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540" windowWidth="15480" windowHeight="11280" activeTab="11"/>
  </bookViews>
  <sheets>
    <sheet name="01.18" sheetId="17" r:id="rId1"/>
    <sheet name="02.18" sheetId="18" r:id="rId2"/>
    <sheet name="03.18" sheetId="19" r:id="rId3"/>
    <sheet name="04.18" sheetId="20" r:id="rId4"/>
    <sheet name="05.18" sheetId="21" r:id="rId5"/>
    <sheet name="06.18" sheetId="22" r:id="rId6"/>
    <sheet name="07.18" sheetId="23" r:id="rId7"/>
    <sheet name="08.18" sheetId="24" r:id="rId8"/>
    <sheet name="09.18" sheetId="25" r:id="rId9"/>
    <sheet name="10.18" sheetId="26" r:id="rId10"/>
    <sheet name="11.18" sheetId="27" r:id="rId11"/>
    <sheet name="12.18" sheetId="28" r:id="rId12"/>
  </sheets>
  <definedNames>
    <definedName name="_xlnm._FilterDatabase" localSheetId="0" hidden="1">'01.18'!$I$12:$I$62</definedName>
    <definedName name="_xlnm._FilterDatabase" localSheetId="1" hidden="1">'02.18'!$I$12:$I$62</definedName>
    <definedName name="_xlnm._FilterDatabase" localSheetId="2" hidden="1">'03.18'!$I$12:$I$62</definedName>
    <definedName name="_xlnm._FilterDatabase" localSheetId="3" hidden="1">'04.18'!$I$12:$I$62</definedName>
    <definedName name="_xlnm._FilterDatabase" localSheetId="4" hidden="1">'05.18'!$I$12:$I$62</definedName>
    <definedName name="_xlnm._FilterDatabase" localSheetId="5" hidden="1">'06.18'!$I$12:$I$62</definedName>
    <definedName name="_xlnm._FilterDatabase" localSheetId="6" hidden="1">'07.18'!$I$12:$I$62</definedName>
    <definedName name="_xlnm._FilterDatabase" localSheetId="7" hidden="1">'08.18'!$I$12:$I$62</definedName>
    <definedName name="_xlnm._FilterDatabase" localSheetId="8" hidden="1">'09.18'!$I$12:$I$62</definedName>
    <definedName name="_xlnm._FilterDatabase" localSheetId="9" hidden="1">'10.18'!$I$12:$I$62</definedName>
    <definedName name="_xlnm._FilterDatabase" localSheetId="10" hidden="1">'11.18'!$I$12:$I$62</definedName>
    <definedName name="_xlnm._FilterDatabase" localSheetId="11" hidden="1">'12.18'!$I$12:$I$62</definedName>
    <definedName name="_xlnm.Print_Area" localSheetId="0">'01.18'!$A$1:$I$113</definedName>
    <definedName name="_xlnm.Print_Area" localSheetId="1">'02.18'!$A$1:$I$129</definedName>
    <definedName name="_xlnm.Print_Area" localSheetId="2">'03.18'!$A$1:$I$113</definedName>
    <definedName name="_xlnm.Print_Area" localSheetId="3">'04.18'!$A$1:$I$106</definedName>
    <definedName name="_xlnm.Print_Area" localSheetId="4">'05.18'!$A$1:$I$127</definedName>
    <definedName name="_xlnm.Print_Area" localSheetId="5">'06.18'!$A$1:$I$118</definedName>
    <definedName name="_xlnm.Print_Area" localSheetId="6">'07.18'!$A$1:$I$115</definedName>
    <definedName name="_xlnm.Print_Area" localSheetId="7">'08.18'!$A$1:$I$124</definedName>
    <definedName name="_xlnm.Print_Area" localSheetId="8">'09.18'!$A$1:$I$122</definedName>
    <definedName name="_xlnm.Print_Area" localSheetId="9">'10.18'!$A$1:$I$117</definedName>
    <definedName name="_xlnm.Print_Area" localSheetId="10">'11.18'!$A$1:$I$115</definedName>
    <definedName name="_xlnm.Print_Area" localSheetId="11">'12.18'!$A$1:$I$123</definedName>
  </definedNames>
  <calcPr calcId="124519"/>
</workbook>
</file>

<file path=xl/calcChain.xml><?xml version="1.0" encoding="utf-8"?>
<calcChain xmlns="http://schemas.openxmlformats.org/spreadsheetml/2006/main">
  <c r="I100" i="28"/>
  <c r="I99"/>
  <c r="I98"/>
  <c r="I97"/>
  <c r="I96"/>
  <c r="I95"/>
  <c r="I94"/>
  <c r="I86" l="1"/>
  <c r="I82"/>
  <c r="I93"/>
  <c r="I92"/>
  <c r="I91"/>
  <c r="I90"/>
  <c r="I89"/>
  <c r="I88"/>
  <c r="I46"/>
  <c r="I88" i="27" l="1"/>
  <c r="I65"/>
  <c r="I92" l="1"/>
  <c r="I86"/>
  <c r="I91"/>
  <c r="I89"/>
  <c r="I90"/>
  <c r="I46"/>
  <c r="F57" i="26"/>
  <c r="I94"/>
  <c r="I93"/>
  <c r="I92"/>
  <c r="I91"/>
  <c r="I90"/>
  <c r="I89"/>
  <c r="I88"/>
  <c r="I65"/>
  <c r="I98" i="25" l="1"/>
  <c r="I97"/>
  <c r="I99" s="1"/>
  <c r="I86" i="24"/>
  <c r="I94"/>
  <c r="I65"/>
  <c r="I65" i="25"/>
  <c r="I101" i="24"/>
  <c r="I100"/>
  <c r="I99"/>
  <c r="I98"/>
  <c r="I97"/>
  <c r="I91"/>
  <c r="I96" i="25"/>
  <c r="I95"/>
  <c r="I94"/>
  <c r="I93"/>
  <c r="I92"/>
  <c r="I91"/>
  <c r="I90"/>
  <c r="I89"/>
  <c r="I88"/>
  <c r="I96" i="24" l="1"/>
  <c r="I95"/>
  <c r="I93"/>
  <c r="I92"/>
  <c r="I90"/>
  <c r="I74"/>
  <c r="I78" i="20"/>
  <c r="I60" i="19"/>
  <c r="I86" i="18"/>
  <c r="I60" i="17"/>
  <c r="I88" i="24"/>
  <c r="I92" i="23" l="1"/>
  <c r="I90"/>
  <c r="I89"/>
  <c r="I88"/>
  <c r="I86" i="22"/>
  <c r="I95"/>
  <c r="I92"/>
  <c r="I91"/>
  <c r="I90"/>
  <c r="I89"/>
  <c r="I88"/>
  <c r="I86" i="21" l="1"/>
  <c r="I42"/>
  <c r="I63"/>
  <c r="I104"/>
  <c r="I103"/>
  <c r="I102"/>
  <c r="I101"/>
  <c r="I100"/>
  <c r="I99"/>
  <c r="I98"/>
  <c r="I97"/>
  <c r="I96"/>
  <c r="I95"/>
  <c r="I94"/>
  <c r="I93"/>
  <c r="I92"/>
  <c r="I91"/>
  <c r="I90"/>
  <c r="I89"/>
  <c r="I88"/>
  <c r="I74"/>
  <c r="I19"/>
  <c r="I80" i="20"/>
  <c r="I81"/>
  <c r="I56"/>
  <c r="I82"/>
  <c r="I83"/>
  <c r="I63"/>
  <c r="I46"/>
  <c r="I89" i="19"/>
  <c r="I88"/>
  <c r="H89"/>
  <c r="H88"/>
  <c r="F63"/>
  <c r="I46"/>
  <c r="I46" i="18"/>
  <c r="I45"/>
  <c r="I46" i="17" l="1"/>
  <c r="I45"/>
  <c r="F63" i="18" l="1"/>
  <c r="I89" i="17"/>
  <c r="H89"/>
  <c r="I88"/>
  <c r="H88"/>
  <c r="I65"/>
  <c r="F63"/>
  <c r="H63" s="1"/>
  <c r="H90" i="28" l="1"/>
  <c r="H89"/>
  <c r="H88"/>
  <c r="E85"/>
  <c r="F85" s="1"/>
  <c r="F84"/>
  <c r="H84" s="1"/>
  <c r="H82"/>
  <c r="H80"/>
  <c r="H78"/>
  <c r="F77"/>
  <c r="H77" s="1"/>
  <c r="I74"/>
  <c r="F72"/>
  <c r="H72" s="1"/>
  <c r="F71"/>
  <c r="I71" s="1"/>
  <c r="F70"/>
  <c r="H70" s="1"/>
  <c r="F69"/>
  <c r="I69" s="1"/>
  <c r="F68"/>
  <c r="H68" s="1"/>
  <c r="F67"/>
  <c r="I67" s="1"/>
  <c r="I66"/>
  <c r="H66"/>
  <c r="I65"/>
  <c r="H65"/>
  <c r="H63"/>
  <c r="I63"/>
  <c r="F62"/>
  <c r="H62" s="1"/>
  <c r="F60"/>
  <c r="I60" s="1"/>
  <c r="I57"/>
  <c r="F57"/>
  <c r="H57" s="1"/>
  <c r="I56"/>
  <c r="H56"/>
  <c r="F55"/>
  <c r="I55" s="1"/>
  <c r="F54"/>
  <c r="I54" s="1"/>
  <c r="F53"/>
  <c r="I53" s="1"/>
  <c r="F52"/>
  <c r="H52" s="1"/>
  <c r="F51"/>
  <c r="H51" s="1"/>
  <c r="F50"/>
  <c r="H50" s="1"/>
  <c r="F49"/>
  <c r="H49" s="1"/>
  <c r="F48"/>
  <c r="H48" s="1"/>
  <c r="H46"/>
  <c r="F45"/>
  <c r="I45" s="1"/>
  <c r="F44"/>
  <c r="I44" s="1"/>
  <c r="H43"/>
  <c r="F43"/>
  <c r="I43" s="1"/>
  <c r="H42"/>
  <c r="F41"/>
  <c r="I41" s="1"/>
  <c r="F40"/>
  <c r="I40" s="1"/>
  <c r="I39"/>
  <c r="H39"/>
  <c r="H37"/>
  <c r="H36"/>
  <c r="H35"/>
  <c r="F35"/>
  <c r="I35" s="1"/>
  <c r="I34"/>
  <c r="F33"/>
  <c r="I33" s="1"/>
  <c r="F32"/>
  <c r="I32" s="1"/>
  <c r="H31"/>
  <c r="F31"/>
  <c r="I31" s="1"/>
  <c r="F28"/>
  <c r="I28" s="1"/>
  <c r="F27"/>
  <c r="I27" s="1"/>
  <c r="F26"/>
  <c r="H26" s="1"/>
  <c r="H25"/>
  <c r="H24"/>
  <c r="F23"/>
  <c r="H23" s="1"/>
  <c r="F22"/>
  <c r="H22" s="1"/>
  <c r="F21"/>
  <c r="H21" s="1"/>
  <c r="F20"/>
  <c r="H20" s="1"/>
  <c r="F19"/>
  <c r="H19" s="1"/>
  <c r="E18"/>
  <c r="F18" s="1"/>
  <c r="I18" s="1"/>
  <c r="F17"/>
  <c r="I17" s="1"/>
  <c r="H16"/>
  <c r="F16"/>
  <c r="I16" s="1"/>
  <c r="H88" i="27"/>
  <c r="E85"/>
  <c r="F85" s="1"/>
  <c r="F84"/>
  <c r="I84" s="1"/>
  <c r="H82"/>
  <c r="H80"/>
  <c r="H78"/>
  <c r="F77"/>
  <c r="H77" s="1"/>
  <c r="I74"/>
  <c r="F72"/>
  <c r="I72" s="1"/>
  <c r="F71"/>
  <c r="H71" s="1"/>
  <c r="F70"/>
  <c r="I70" s="1"/>
  <c r="F69"/>
  <c r="H69" s="1"/>
  <c r="F68"/>
  <c r="I68" s="1"/>
  <c r="F67"/>
  <c r="H67" s="1"/>
  <c r="I66"/>
  <c r="H66"/>
  <c r="H65"/>
  <c r="I63"/>
  <c r="F62"/>
  <c r="H62" s="1"/>
  <c r="F60"/>
  <c r="H60" s="1"/>
  <c r="I57"/>
  <c r="F57"/>
  <c r="H57" s="1"/>
  <c r="I56"/>
  <c r="H56"/>
  <c r="F55"/>
  <c r="H55" s="1"/>
  <c r="F54"/>
  <c r="I54" s="1"/>
  <c r="F53"/>
  <c r="H53" s="1"/>
  <c r="F52"/>
  <c r="H52" s="1"/>
  <c r="F51"/>
  <c r="H51" s="1"/>
  <c r="F50"/>
  <c r="H50" s="1"/>
  <c r="F49"/>
  <c r="H49" s="1"/>
  <c r="F48"/>
  <c r="H48" s="1"/>
  <c r="H46"/>
  <c r="F45"/>
  <c r="I45" s="1"/>
  <c r="F44"/>
  <c r="H44" s="1"/>
  <c r="F43"/>
  <c r="I43" s="1"/>
  <c r="H42"/>
  <c r="F41"/>
  <c r="I41" s="1"/>
  <c r="F40"/>
  <c r="H40" s="1"/>
  <c r="I39"/>
  <c r="H39"/>
  <c r="H37"/>
  <c r="H36"/>
  <c r="H35"/>
  <c r="F35"/>
  <c r="I35" s="1"/>
  <c r="I34"/>
  <c r="F33"/>
  <c r="I33" s="1"/>
  <c r="F32"/>
  <c r="H32" s="1"/>
  <c r="F31"/>
  <c r="I31" s="1"/>
  <c r="F28"/>
  <c r="H28" s="1"/>
  <c r="F27"/>
  <c r="I27" s="1"/>
  <c r="F26"/>
  <c r="H26" s="1"/>
  <c r="H25"/>
  <c r="H24"/>
  <c r="F23"/>
  <c r="H23" s="1"/>
  <c r="F22"/>
  <c r="H22" s="1"/>
  <c r="F21"/>
  <c r="H21" s="1"/>
  <c r="F20"/>
  <c r="H20" s="1"/>
  <c r="F19"/>
  <c r="H19" s="1"/>
  <c r="E18"/>
  <c r="F18" s="1"/>
  <c r="H18" s="1"/>
  <c r="F17"/>
  <c r="H17" s="1"/>
  <c r="F16"/>
  <c r="I16" s="1"/>
  <c r="H91" i="26"/>
  <c r="H90"/>
  <c r="H89"/>
  <c r="H88"/>
  <c r="I74"/>
  <c r="H27" i="28" l="1"/>
  <c r="H33"/>
  <c r="H41"/>
  <c r="H45"/>
  <c r="H27" i="27"/>
  <c r="H54" i="28"/>
  <c r="H85"/>
  <c r="I85"/>
  <c r="H17"/>
  <c r="H18"/>
  <c r="H28"/>
  <c r="H32"/>
  <c r="H40"/>
  <c r="H44"/>
  <c r="H53"/>
  <c r="H55"/>
  <c r="H60"/>
  <c r="H81" s="1"/>
  <c r="H67"/>
  <c r="I68"/>
  <c r="H69"/>
  <c r="I70"/>
  <c r="H71"/>
  <c r="I72"/>
  <c r="I84"/>
  <c r="H16" i="27"/>
  <c r="H33"/>
  <c r="H41"/>
  <c r="H63"/>
  <c r="H81" s="1"/>
  <c r="H54"/>
  <c r="H31"/>
  <c r="H45"/>
  <c r="H43"/>
  <c r="I85"/>
  <c r="H85"/>
  <c r="I17"/>
  <c r="I18"/>
  <c r="I28"/>
  <c r="I32"/>
  <c r="I67"/>
  <c r="H68"/>
  <c r="I69"/>
  <c r="H70"/>
  <c r="I71"/>
  <c r="H72"/>
  <c r="H84"/>
  <c r="I40"/>
  <c r="I44"/>
  <c r="I53"/>
  <c r="I55"/>
  <c r="I60"/>
  <c r="I102" i="28" l="1"/>
  <c r="I94" i="27"/>
  <c r="H94" i="25" l="1"/>
  <c r="H93"/>
  <c r="H92"/>
  <c r="H91"/>
  <c r="H90"/>
  <c r="H89"/>
  <c r="H88"/>
  <c r="H89" i="24"/>
  <c r="H88"/>
  <c r="H91" i="23"/>
  <c r="H90"/>
  <c r="H89"/>
  <c r="H88"/>
  <c r="F88"/>
  <c r="H94" i="22"/>
  <c r="F94"/>
  <c r="H93"/>
  <c r="H92"/>
  <c r="H91"/>
  <c r="H90"/>
  <c r="H89" l="1"/>
  <c r="F88"/>
  <c r="H88" s="1"/>
  <c r="I65"/>
  <c r="H90" i="21"/>
  <c r="H89"/>
  <c r="F88"/>
  <c r="H88" s="1"/>
  <c r="I65"/>
  <c r="H82" i="20" l="1"/>
  <c r="F81"/>
  <c r="H81" s="1"/>
  <c r="H80"/>
  <c r="I82" i="19" l="1"/>
  <c r="I65" i="18"/>
  <c r="I90" i="17"/>
  <c r="I74"/>
  <c r="I56" i="26" l="1"/>
  <c r="E85"/>
  <c r="F85" s="1"/>
  <c r="F84"/>
  <c r="H84" s="1"/>
  <c r="H82"/>
  <c r="H80"/>
  <c r="H78"/>
  <c r="F77"/>
  <c r="H77" s="1"/>
  <c r="F72"/>
  <c r="I72" s="1"/>
  <c r="F71"/>
  <c r="H71" s="1"/>
  <c r="F70"/>
  <c r="I70" s="1"/>
  <c r="F69"/>
  <c r="H69" s="1"/>
  <c r="F68"/>
  <c r="I68" s="1"/>
  <c r="F67"/>
  <c r="H67" s="1"/>
  <c r="I66"/>
  <c r="H66"/>
  <c r="H65"/>
  <c r="H63"/>
  <c r="F62"/>
  <c r="H62" s="1"/>
  <c r="F60"/>
  <c r="I60" s="1"/>
  <c r="I57"/>
  <c r="H57"/>
  <c r="H56"/>
  <c r="F55"/>
  <c r="H55" s="1"/>
  <c r="F54"/>
  <c r="I54" s="1"/>
  <c r="F53"/>
  <c r="H53" s="1"/>
  <c r="F52"/>
  <c r="H52" s="1"/>
  <c r="F51"/>
  <c r="H51" s="1"/>
  <c r="F50"/>
  <c r="H50" s="1"/>
  <c r="F49"/>
  <c r="H49" s="1"/>
  <c r="F48"/>
  <c r="H48" s="1"/>
  <c r="I46"/>
  <c r="H46"/>
  <c r="F45"/>
  <c r="I45" s="1"/>
  <c r="F44"/>
  <c r="H44" s="1"/>
  <c r="F43"/>
  <c r="I43" s="1"/>
  <c r="H42"/>
  <c r="F41"/>
  <c r="I41" s="1"/>
  <c r="F40"/>
  <c r="H40" s="1"/>
  <c r="I39"/>
  <c r="H39"/>
  <c r="H37"/>
  <c r="H36"/>
  <c r="H35"/>
  <c r="F35"/>
  <c r="I35" s="1"/>
  <c r="I34"/>
  <c r="F33"/>
  <c r="I33" s="1"/>
  <c r="F32"/>
  <c r="H32" s="1"/>
  <c r="F31"/>
  <c r="I31" s="1"/>
  <c r="F28"/>
  <c r="H28" s="1"/>
  <c r="F27"/>
  <c r="I27" s="1"/>
  <c r="F26"/>
  <c r="H26" s="1"/>
  <c r="H25"/>
  <c r="H24"/>
  <c r="F23"/>
  <c r="H23" s="1"/>
  <c r="F22"/>
  <c r="H22" s="1"/>
  <c r="F21"/>
  <c r="H21" s="1"/>
  <c r="F20"/>
  <c r="H20" s="1"/>
  <c r="F19"/>
  <c r="H19" s="1"/>
  <c r="E18"/>
  <c r="F18" s="1"/>
  <c r="H18" s="1"/>
  <c r="F17"/>
  <c r="H17" s="1"/>
  <c r="F16"/>
  <c r="I16" s="1"/>
  <c r="E85" i="25"/>
  <c r="F85" s="1"/>
  <c r="F84"/>
  <c r="H84" s="1"/>
  <c r="H82"/>
  <c r="H80"/>
  <c r="H78"/>
  <c r="F77"/>
  <c r="H77" s="1"/>
  <c r="F72"/>
  <c r="I72" s="1"/>
  <c r="F71"/>
  <c r="H71" s="1"/>
  <c r="F70"/>
  <c r="I70" s="1"/>
  <c r="F69"/>
  <c r="H69" s="1"/>
  <c r="F68"/>
  <c r="I68" s="1"/>
  <c r="F67"/>
  <c r="H67" s="1"/>
  <c r="I66"/>
  <c r="H66"/>
  <c r="H65"/>
  <c r="H63"/>
  <c r="F62"/>
  <c r="H62" s="1"/>
  <c r="F60"/>
  <c r="I60" s="1"/>
  <c r="I57"/>
  <c r="F57"/>
  <c r="H57" s="1"/>
  <c r="H56"/>
  <c r="H55"/>
  <c r="F55"/>
  <c r="H54"/>
  <c r="F54"/>
  <c r="F53"/>
  <c r="H53" s="1"/>
  <c r="F52"/>
  <c r="H52" s="1"/>
  <c r="F51"/>
  <c r="H51" s="1"/>
  <c r="F50"/>
  <c r="H50" s="1"/>
  <c r="F49"/>
  <c r="H49" s="1"/>
  <c r="F48"/>
  <c r="H48" s="1"/>
  <c r="I46"/>
  <c r="H46"/>
  <c r="F45"/>
  <c r="I45" s="1"/>
  <c r="F44"/>
  <c r="H44" s="1"/>
  <c r="F43"/>
  <c r="I43" s="1"/>
  <c r="H42"/>
  <c r="H41"/>
  <c r="F41"/>
  <c r="I41" s="1"/>
  <c r="F40"/>
  <c r="H40" s="1"/>
  <c r="I39"/>
  <c r="H39"/>
  <c r="H37"/>
  <c r="H36"/>
  <c r="H35"/>
  <c r="F35"/>
  <c r="I35" s="1"/>
  <c r="I34"/>
  <c r="F33"/>
  <c r="I33" s="1"/>
  <c r="F32"/>
  <c r="H32" s="1"/>
  <c r="F31"/>
  <c r="I31" s="1"/>
  <c r="F28"/>
  <c r="H28" s="1"/>
  <c r="F27"/>
  <c r="I27" s="1"/>
  <c r="F26"/>
  <c r="H26" s="1"/>
  <c r="H25"/>
  <c r="H24"/>
  <c r="F23"/>
  <c r="H23" s="1"/>
  <c r="F22"/>
  <c r="H22" s="1"/>
  <c r="F21"/>
  <c r="H21" s="1"/>
  <c r="F20"/>
  <c r="H20" s="1"/>
  <c r="F19"/>
  <c r="H19" s="1"/>
  <c r="E18"/>
  <c r="F18" s="1"/>
  <c r="H18" s="1"/>
  <c r="F17"/>
  <c r="H17" s="1"/>
  <c r="F16"/>
  <c r="I16" s="1"/>
  <c r="E85" i="24"/>
  <c r="F85" s="1"/>
  <c r="F84"/>
  <c r="H84" s="1"/>
  <c r="H82"/>
  <c r="H80"/>
  <c r="H78"/>
  <c r="F77"/>
  <c r="H77" s="1"/>
  <c r="F72"/>
  <c r="I72" s="1"/>
  <c r="F71"/>
  <c r="H71" s="1"/>
  <c r="F70"/>
  <c r="I70" s="1"/>
  <c r="F69"/>
  <c r="H69" s="1"/>
  <c r="F68"/>
  <c r="I68" s="1"/>
  <c r="F67"/>
  <c r="H67" s="1"/>
  <c r="I66"/>
  <c r="H66"/>
  <c r="H65"/>
  <c r="H63"/>
  <c r="F62"/>
  <c r="H62" s="1"/>
  <c r="F60"/>
  <c r="I60" s="1"/>
  <c r="I57"/>
  <c r="F57"/>
  <c r="H57" s="1"/>
  <c r="H56"/>
  <c r="F55"/>
  <c r="H55" s="1"/>
  <c r="F54"/>
  <c r="H54" s="1"/>
  <c r="F53"/>
  <c r="I53" s="1"/>
  <c r="F52"/>
  <c r="H52" s="1"/>
  <c r="F51"/>
  <c r="H51" s="1"/>
  <c r="F50"/>
  <c r="H50" s="1"/>
  <c r="F49"/>
  <c r="H49" s="1"/>
  <c r="F48"/>
  <c r="H48" s="1"/>
  <c r="I46"/>
  <c r="H46"/>
  <c r="F45"/>
  <c r="I45" s="1"/>
  <c r="F44"/>
  <c r="I44" s="1"/>
  <c r="F43"/>
  <c r="I43" s="1"/>
  <c r="H42"/>
  <c r="F41"/>
  <c r="I41" s="1"/>
  <c r="F40"/>
  <c r="I40" s="1"/>
  <c r="I39"/>
  <c r="H39"/>
  <c r="H37"/>
  <c r="H36"/>
  <c r="H35"/>
  <c r="F35"/>
  <c r="I35" s="1"/>
  <c r="I34"/>
  <c r="F33"/>
  <c r="I33" s="1"/>
  <c r="F32"/>
  <c r="I32" s="1"/>
  <c r="F31"/>
  <c r="I31" s="1"/>
  <c r="H28"/>
  <c r="F28"/>
  <c r="I28" s="1"/>
  <c r="F27"/>
  <c r="I27" s="1"/>
  <c r="F26"/>
  <c r="H26" s="1"/>
  <c r="H25"/>
  <c r="H24"/>
  <c r="F23"/>
  <c r="H23" s="1"/>
  <c r="F22"/>
  <c r="H22" s="1"/>
  <c r="F21"/>
  <c r="H21" s="1"/>
  <c r="F20"/>
  <c r="H20" s="1"/>
  <c r="F19"/>
  <c r="H19" s="1"/>
  <c r="E18"/>
  <c r="F18" s="1"/>
  <c r="H17"/>
  <c r="F17"/>
  <c r="I17" s="1"/>
  <c r="F16"/>
  <c r="I16" s="1"/>
  <c r="F85" i="23"/>
  <c r="H85" s="1"/>
  <c r="E85"/>
  <c r="F84"/>
  <c r="H84" s="1"/>
  <c r="H82"/>
  <c r="H80"/>
  <c r="H78"/>
  <c r="F77"/>
  <c r="H77" s="1"/>
  <c r="F72"/>
  <c r="I72" s="1"/>
  <c r="F71"/>
  <c r="H71" s="1"/>
  <c r="H70"/>
  <c r="F70"/>
  <c r="I70" s="1"/>
  <c r="F69"/>
  <c r="H69" s="1"/>
  <c r="F68"/>
  <c r="I68" s="1"/>
  <c r="F67"/>
  <c r="H67" s="1"/>
  <c r="I66"/>
  <c r="H66"/>
  <c r="H65"/>
  <c r="H63"/>
  <c r="F62"/>
  <c r="H62" s="1"/>
  <c r="F60"/>
  <c r="I60" s="1"/>
  <c r="I57"/>
  <c r="F57"/>
  <c r="H57" s="1"/>
  <c r="H56"/>
  <c r="H55"/>
  <c r="F55"/>
  <c r="H54"/>
  <c r="F54"/>
  <c r="F53"/>
  <c r="H53" s="1"/>
  <c r="F52"/>
  <c r="H52" s="1"/>
  <c r="F51"/>
  <c r="H51" s="1"/>
  <c r="F50"/>
  <c r="H50" s="1"/>
  <c r="F49"/>
  <c r="H49" s="1"/>
  <c r="F48"/>
  <c r="H48" s="1"/>
  <c r="I46"/>
  <c r="H46"/>
  <c r="F45"/>
  <c r="I45" s="1"/>
  <c r="F44"/>
  <c r="H44" s="1"/>
  <c r="F43"/>
  <c r="I43" s="1"/>
  <c r="H42"/>
  <c r="H41"/>
  <c r="F41"/>
  <c r="I41" s="1"/>
  <c r="F40"/>
  <c r="H40" s="1"/>
  <c r="I39"/>
  <c r="H39"/>
  <c r="H37"/>
  <c r="H36"/>
  <c r="H35"/>
  <c r="F35"/>
  <c r="I35" s="1"/>
  <c r="I34"/>
  <c r="F33"/>
  <c r="I33" s="1"/>
  <c r="F32"/>
  <c r="H32" s="1"/>
  <c r="F31"/>
  <c r="I31" s="1"/>
  <c r="F28"/>
  <c r="H28" s="1"/>
  <c r="H27"/>
  <c r="F27"/>
  <c r="I27" s="1"/>
  <c r="H26"/>
  <c r="F26"/>
  <c r="H25"/>
  <c r="H24"/>
  <c r="H23"/>
  <c r="F23"/>
  <c r="H22"/>
  <c r="F22"/>
  <c r="H21"/>
  <c r="F21"/>
  <c r="H20"/>
  <c r="F20"/>
  <c r="H19"/>
  <c r="F19"/>
  <c r="F18"/>
  <c r="H18" s="1"/>
  <c r="E18"/>
  <c r="F17"/>
  <c r="H17" s="1"/>
  <c r="F16"/>
  <c r="I16" s="1"/>
  <c r="E85" i="22"/>
  <c r="F85" s="1"/>
  <c r="F84"/>
  <c r="H84" s="1"/>
  <c r="H82"/>
  <c r="H80"/>
  <c r="H78"/>
  <c r="F77"/>
  <c r="H77" s="1"/>
  <c r="F72"/>
  <c r="I72" s="1"/>
  <c r="F71"/>
  <c r="H71" s="1"/>
  <c r="F70"/>
  <c r="I70" s="1"/>
  <c r="F69"/>
  <c r="H69" s="1"/>
  <c r="F68"/>
  <c r="I68" s="1"/>
  <c r="F67"/>
  <c r="H67" s="1"/>
  <c r="I66"/>
  <c r="H66"/>
  <c r="H65"/>
  <c r="H63"/>
  <c r="F62"/>
  <c r="H62" s="1"/>
  <c r="F60"/>
  <c r="I60" s="1"/>
  <c r="I57"/>
  <c r="F57"/>
  <c r="H57" s="1"/>
  <c r="H56"/>
  <c r="F55"/>
  <c r="H55" s="1"/>
  <c r="F54"/>
  <c r="H54" s="1"/>
  <c r="F53"/>
  <c r="H53" s="1"/>
  <c r="F52"/>
  <c r="H52" s="1"/>
  <c r="F51"/>
  <c r="H51" s="1"/>
  <c r="F50"/>
  <c r="H50" s="1"/>
  <c r="F49"/>
  <c r="H49" s="1"/>
  <c r="F48"/>
  <c r="H48" s="1"/>
  <c r="I46"/>
  <c r="H46"/>
  <c r="F45"/>
  <c r="I45" s="1"/>
  <c r="F44"/>
  <c r="H44" s="1"/>
  <c r="F43"/>
  <c r="I43" s="1"/>
  <c r="H42"/>
  <c r="F41"/>
  <c r="I41" s="1"/>
  <c r="F40"/>
  <c r="H40" s="1"/>
  <c r="I39"/>
  <c r="H39"/>
  <c r="H37"/>
  <c r="H36"/>
  <c r="H35"/>
  <c r="F35"/>
  <c r="I35" s="1"/>
  <c r="I34"/>
  <c r="F33"/>
  <c r="I33" s="1"/>
  <c r="F32"/>
  <c r="H32" s="1"/>
  <c r="F31"/>
  <c r="I31" s="1"/>
  <c r="F28"/>
  <c r="H28" s="1"/>
  <c r="F27"/>
  <c r="I27" s="1"/>
  <c r="F26"/>
  <c r="H26" s="1"/>
  <c r="H25"/>
  <c r="H24"/>
  <c r="F23"/>
  <c r="H23" s="1"/>
  <c r="F22"/>
  <c r="H22" s="1"/>
  <c r="F21"/>
  <c r="H21" s="1"/>
  <c r="F20"/>
  <c r="H20" s="1"/>
  <c r="F19"/>
  <c r="H19" s="1"/>
  <c r="E18"/>
  <c r="F18" s="1"/>
  <c r="H18" s="1"/>
  <c r="F17"/>
  <c r="H17" s="1"/>
  <c r="H16"/>
  <c r="F16"/>
  <c r="I16" s="1"/>
  <c r="I78" i="21"/>
  <c r="I56"/>
  <c r="I24"/>
  <c r="I25"/>
  <c r="E85"/>
  <c r="F85" s="1"/>
  <c r="F84"/>
  <c r="H84" s="1"/>
  <c r="H82"/>
  <c r="H80"/>
  <c r="H78"/>
  <c r="F77"/>
  <c r="H77" s="1"/>
  <c r="F72"/>
  <c r="I72" s="1"/>
  <c r="F71"/>
  <c r="H71" s="1"/>
  <c r="F70"/>
  <c r="I70" s="1"/>
  <c r="F69"/>
  <c r="H69" s="1"/>
  <c r="F68"/>
  <c r="I68" s="1"/>
  <c r="F67"/>
  <c r="H67" s="1"/>
  <c r="I66"/>
  <c r="H66"/>
  <c r="H65"/>
  <c r="F63"/>
  <c r="H63" s="1"/>
  <c r="F62"/>
  <c r="H62" s="1"/>
  <c r="F60"/>
  <c r="I60" s="1"/>
  <c r="I57"/>
  <c r="F57"/>
  <c r="H57" s="1"/>
  <c r="H56"/>
  <c r="F55"/>
  <c r="H55" s="1"/>
  <c r="F54"/>
  <c r="H54" s="1"/>
  <c r="F53"/>
  <c r="H53" s="1"/>
  <c r="F52"/>
  <c r="H52" s="1"/>
  <c r="F51"/>
  <c r="H51" s="1"/>
  <c r="F50"/>
  <c r="H50" s="1"/>
  <c r="F49"/>
  <c r="H49" s="1"/>
  <c r="F48"/>
  <c r="H48" s="1"/>
  <c r="I46"/>
  <c r="H46"/>
  <c r="F45"/>
  <c r="I45" s="1"/>
  <c r="F44"/>
  <c r="H44" s="1"/>
  <c r="F43"/>
  <c r="I43" s="1"/>
  <c r="H42"/>
  <c r="F41"/>
  <c r="I41" s="1"/>
  <c r="F40"/>
  <c r="H40" s="1"/>
  <c r="I39"/>
  <c r="H39"/>
  <c r="H37"/>
  <c r="H36"/>
  <c r="H35"/>
  <c r="F35"/>
  <c r="I35" s="1"/>
  <c r="I34"/>
  <c r="F33"/>
  <c r="I33" s="1"/>
  <c r="F32"/>
  <c r="H32" s="1"/>
  <c r="F31"/>
  <c r="I31" s="1"/>
  <c r="F28"/>
  <c r="H28" s="1"/>
  <c r="F27"/>
  <c r="I27" s="1"/>
  <c r="F26"/>
  <c r="H26" s="1"/>
  <c r="H25"/>
  <c r="H24"/>
  <c r="F23"/>
  <c r="H23" s="1"/>
  <c r="F22"/>
  <c r="H22" s="1"/>
  <c r="F21"/>
  <c r="H21" s="1"/>
  <c r="F20"/>
  <c r="H20" s="1"/>
  <c r="F19"/>
  <c r="H19" s="1"/>
  <c r="F18"/>
  <c r="H18" s="1"/>
  <c r="E18"/>
  <c r="F17"/>
  <c r="H17" s="1"/>
  <c r="F16"/>
  <c r="I16" s="1"/>
  <c r="I74" i="20"/>
  <c r="I66"/>
  <c r="I65"/>
  <c r="E77"/>
  <c r="F77" s="1"/>
  <c r="F76"/>
  <c r="H76" s="1"/>
  <c r="F72"/>
  <c r="I72" s="1"/>
  <c r="F71"/>
  <c r="H71" s="1"/>
  <c r="F70"/>
  <c r="I70" s="1"/>
  <c r="F69"/>
  <c r="H69" s="1"/>
  <c r="F68"/>
  <c r="I68" s="1"/>
  <c r="F67"/>
  <c r="H67" s="1"/>
  <c r="H66"/>
  <c r="H65"/>
  <c r="F63"/>
  <c r="H63" s="1"/>
  <c r="F62"/>
  <c r="H62" s="1"/>
  <c r="F60"/>
  <c r="I60" s="1"/>
  <c r="I57"/>
  <c r="F57"/>
  <c r="H57" s="1"/>
  <c r="H56"/>
  <c r="F55"/>
  <c r="F54"/>
  <c r="F53"/>
  <c r="H53" s="1"/>
  <c r="F52"/>
  <c r="H52" s="1"/>
  <c r="F51"/>
  <c r="H51" s="1"/>
  <c r="F50"/>
  <c r="H50" s="1"/>
  <c r="F49"/>
  <c r="H49" s="1"/>
  <c r="F48"/>
  <c r="H48" s="1"/>
  <c r="H46"/>
  <c r="F45"/>
  <c r="I45" s="1"/>
  <c r="F44"/>
  <c r="F43"/>
  <c r="I43" s="1"/>
  <c r="H42"/>
  <c r="F41"/>
  <c r="I41" s="1"/>
  <c r="F40"/>
  <c r="H40" s="1"/>
  <c r="I39"/>
  <c r="H39"/>
  <c r="H37"/>
  <c r="H36"/>
  <c r="H35"/>
  <c r="F35"/>
  <c r="I35" s="1"/>
  <c r="I34"/>
  <c r="F33"/>
  <c r="I33" s="1"/>
  <c r="F32"/>
  <c r="H32" s="1"/>
  <c r="F31"/>
  <c r="I31" s="1"/>
  <c r="F28"/>
  <c r="H28" s="1"/>
  <c r="F27"/>
  <c r="I27" s="1"/>
  <c r="F26"/>
  <c r="H26" s="1"/>
  <c r="H25"/>
  <c r="H24"/>
  <c r="F23"/>
  <c r="H23" s="1"/>
  <c r="F22"/>
  <c r="H22" s="1"/>
  <c r="F21"/>
  <c r="H21" s="1"/>
  <c r="F20"/>
  <c r="H20" s="1"/>
  <c r="F19"/>
  <c r="H19" s="1"/>
  <c r="E18"/>
  <c r="F18" s="1"/>
  <c r="H18" s="1"/>
  <c r="F17"/>
  <c r="H17" s="1"/>
  <c r="F16"/>
  <c r="I16" s="1"/>
  <c r="I90" i="19"/>
  <c r="I65"/>
  <c r="H16" i="26" l="1"/>
  <c r="H60" i="20"/>
  <c r="H44"/>
  <c r="I44"/>
  <c r="H55"/>
  <c r="I55"/>
  <c r="H54"/>
  <c r="I54"/>
  <c r="H16" i="23"/>
  <c r="H68"/>
  <c r="H72"/>
  <c r="H27" i="26"/>
  <c r="H41"/>
  <c r="H54"/>
  <c r="H70"/>
  <c r="I55"/>
  <c r="H68"/>
  <c r="H72"/>
  <c r="H60"/>
  <c r="H81" s="1"/>
  <c r="H45"/>
  <c r="H43"/>
  <c r="H33"/>
  <c r="H31"/>
  <c r="H85"/>
  <c r="I85"/>
  <c r="I17"/>
  <c r="I18"/>
  <c r="I28"/>
  <c r="I32"/>
  <c r="I40"/>
  <c r="I44"/>
  <c r="I53"/>
  <c r="I63"/>
  <c r="I86" s="1"/>
  <c r="I67"/>
  <c r="I69"/>
  <c r="I71"/>
  <c r="I84"/>
  <c r="H16" i="25"/>
  <c r="H27"/>
  <c r="I51"/>
  <c r="I49"/>
  <c r="I52"/>
  <c r="I50"/>
  <c r="I48"/>
  <c r="H60"/>
  <c r="H81" s="1"/>
  <c r="H45"/>
  <c r="H43"/>
  <c r="H33"/>
  <c r="H31"/>
  <c r="H85"/>
  <c r="I85"/>
  <c r="I17"/>
  <c r="I18"/>
  <c r="I28"/>
  <c r="I32"/>
  <c r="I40"/>
  <c r="I44"/>
  <c r="I53"/>
  <c r="I63"/>
  <c r="I86" s="1"/>
  <c r="I67"/>
  <c r="H68"/>
  <c r="I69"/>
  <c r="H70"/>
  <c r="I71"/>
  <c r="H72"/>
  <c r="I84"/>
  <c r="H72" i="24"/>
  <c r="H32"/>
  <c r="H68"/>
  <c r="H70"/>
  <c r="H60"/>
  <c r="H81" s="1"/>
  <c r="H53"/>
  <c r="H40"/>
  <c r="H44"/>
  <c r="H18"/>
  <c r="I18"/>
  <c r="H85"/>
  <c r="I85"/>
  <c r="H16"/>
  <c r="H27"/>
  <c r="H31"/>
  <c r="H33"/>
  <c r="H41"/>
  <c r="H43"/>
  <c r="H45"/>
  <c r="I63"/>
  <c r="I67"/>
  <c r="I69"/>
  <c r="I71"/>
  <c r="I84"/>
  <c r="H60" i="23"/>
  <c r="H81" s="1"/>
  <c r="H45"/>
  <c r="H43"/>
  <c r="H33"/>
  <c r="H31"/>
  <c r="I32"/>
  <c r="I40"/>
  <c r="I63"/>
  <c r="I86" s="1"/>
  <c r="I17"/>
  <c r="I18"/>
  <c r="I28"/>
  <c r="I44"/>
  <c r="I53"/>
  <c r="I67"/>
  <c r="I69"/>
  <c r="I71"/>
  <c r="I84"/>
  <c r="I85"/>
  <c r="H27" i="22"/>
  <c r="H41"/>
  <c r="H60"/>
  <c r="H81" s="1"/>
  <c r="H43"/>
  <c r="H45"/>
  <c r="H31"/>
  <c r="H33"/>
  <c r="H85"/>
  <c r="I85"/>
  <c r="I17"/>
  <c r="I18"/>
  <c r="I28"/>
  <c r="I32"/>
  <c r="I40"/>
  <c r="I44"/>
  <c r="I53"/>
  <c r="I63"/>
  <c r="I67"/>
  <c r="H68"/>
  <c r="I69"/>
  <c r="H70"/>
  <c r="I71"/>
  <c r="H72"/>
  <c r="I84"/>
  <c r="I20" i="21"/>
  <c r="I23"/>
  <c r="I21"/>
  <c r="I51"/>
  <c r="I49"/>
  <c r="I54"/>
  <c r="I55"/>
  <c r="H16"/>
  <c r="H41"/>
  <c r="I26"/>
  <c r="I22"/>
  <c r="I52"/>
  <c r="I50"/>
  <c r="I48"/>
  <c r="H68"/>
  <c r="H72"/>
  <c r="H70"/>
  <c r="H60"/>
  <c r="H43"/>
  <c r="H45"/>
  <c r="H31"/>
  <c r="H33"/>
  <c r="H27"/>
  <c r="H85"/>
  <c r="I85"/>
  <c r="H81"/>
  <c r="I28"/>
  <c r="I32"/>
  <c r="I40"/>
  <c r="I44"/>
  <c r="I53"/>
  <c r="I67"/>
  <c r="I69"/>
  <c r="I71"/>
  <c r="I84"/>
  <c r="I17"/>
  <c r="I18"/>
  <c r="H16" i="20"/>
  <c r="H31"/>
  <c r="H43"/>
  <c r="H27"/>
  <c r="H33"/>
  <c r="H41"/>
  <c r="H45"/>
  <c r="H77"/>
  <c r="I77"/>
  <c r="I17"/>
  <c r="I18"/>
  <c r="I28"/>
  <c r="I32"/>
  <c r="I40"/>
  <c r="I53"/>
  <c r="I67"/>
  <c r="H68"/>
  <c r="I69"/>
  <c r="H70"/>
  <c r="I71"/>
  <c r="H72"/>
  <c r="I76"/>
  <c r="E85" i="19"/>
  <c r="F85" s="1"/>
  <c r="F84"/>
  <c r="H84" s="1"/>
  <c r="H82"/>
  <c r="H80"/>
  <c r="H78"/>
  <c r="F77"/>
  <c r="H77" s="1"/>
  <c r="F72"/>
  <c r="I72" s="1"/>
  <c r="F71"/>
  <c r="H71" s="1"/>
  <c r="F70"/>
  <c r="I70" s="1"/>
  <c r="F69"/>
  <c r="H69" s="1"/>
  <c r="F68"/>
  <c r="I68" s="1"/>
  <c r="F67"/>
  <c r="H67" s="1"/>
  <c r="I66"/>
  <c r="H66"/>
  <c r="H65"/>
  <c r="H63"/>
  <c r="F62"/>
  <c r="H62" s="1"/>
  <c r="H60"/>
  <c r="F60"/>
  <c r="I57"/>
  <c r="F57"/>
  <c r="H57" s="1"/>
  <c r="H56"/>
  <c r="F55"/>
  <c r="H55" s="1"/>
  <c r="H54"/>
  <c r="F54"/>
  <c r="F53"/>
  <c r="H53" s="1"/>
  <c r="F52"/>
  <c r="H52" s="1"/>
  <c r="F51"/>
  <c r="H51" s="1"/>
  <c r="F50"/>
  <c r="H50" s="1"/>
  <c r="F49"/>
  <c r="H49" s="1"/>
  <c r="F48"/>
  <c r="H48" s="1"/>
  <c r="H46"/>
  <c r="F45"/>
  <c r="I45" s="1"/>
  <c r="F44"/>
  <c r="H44" s="1"/>
  <c r="F43"/>
  <c r="I43" s="1"/>
  <c r="H42"/>
  <c r="F41"/>
  <c r="I41" s="1"/>
  <c r="F40"/>
  <c r="H40" s="1"/>
  <c r="I39"/>
  <c r="H39"/>
  <c r="H37"/>
  <c r="H36"/>
  <c r="H35"/>
  <c r="F35"/>
  <c r="I35" s="1"/>
  <c r="I34"/>
  <c r="F33"/>
  <c r="I33" s="1"/>
  <c r="F32"/>
  <c r="H32" s="1"/>
  <c r="F31"/>
  <c r="I31" s="1"/>
  <c r="F28"/>
  <c r="H28" s="1"/>
  <c r="F27"/>
  <c r="I27" s="1"/>
  <c r="F26"/>
  <c r="H26" s="1"/>
  <c r="H25"/>
  <c r="H24"/>
  <c r="F23"/>
  <c r="H23" s="1"/>
  <c r="F22"/>
  <c r="H22" s="1"/>
  <c r="F21"/>
  <c r="H21" s="1"/>
  <c r="F20"/>
  <c r="H20" s="1"/>
  <c r="F19"/>
  <c r="H19" s="1"/>
  <c r="E18"/>
  <c r="F18" s="1"/>
  <c r="H18" s="1"/>
  <c r="F17"/>
  <c r="H17" s="1"/>
  <c r="F16"/>
  <c r="I16" s="1"/>
  <c r="F105" i="18"/>
  <c r="H105" s="1"/>
  <c r="H104"/>
  <c r="H103"/>
  <c r="H102"/>
  <c r="F101"/>
  <c r="H101" s="1"/>
  <c r="H100"/>
  <c r="H99"/>
  <c r="F98"/>
  <c r="H98" s="1"/>
  <c r="F97"/>
  <c r="H97" s="1"/>
  <c r="H96"/>
  <c r="F95"/>
  <c r="H95" s="1"/>
  <c r="H94"/>
  <c r="H93"/>
  <c r="H92"/>
  <c r="H91"/>
  <c r="H90"/>
  <c r="H89"/>
  <c r="H88"/>
  <c r="E85"/>
  <c r="F85" s="1"/>
  <c r="F84"/>
  <c r="H84" s="1"/>
  <c r="H82"/>
  <c r="H80"/>
  <c r="H78"/>
  <c r="F77"/>
  <c r="H77" s="1"/>
  <c r="F72"/>
  <c r="I72" s="1"/>
  <c r="F71"/>
  <c r="H71" s="1"/>
  <c r="F70"/>
  <c r="I70" s="1"/>
  <c r="F69"/>
  <c r="H69" s="1"/>
  <c r="F68"/>
  <c r="I68" s="1"/>
  <c r="F67"/>
  <c r="H67" s="1"/>
  <c r="I66"/>
  <c r="H66"/>
  <c r="H65"/>
  <c r="H63"/>
  <c r="F62"/>
  <c r="H62" s="1"/>
  <c r="F60"/>
  <c r="I60" s="1"/>
  <c r="I57"/>
  <c r="F57"/>
  <c r="H57" s="1"/>
  <c r="H56"/>
  <c r="F55"/>
  <c r="H55" s="1"/>
  <c r="F54"/>
  <c r="H54" s="1"/>
  <c r="F53"/>
  <c r="H53" s="1"/>
  <c r="F52"/>
  <c r="H52" s="1"/>
  <c r="F51"/>
  <c r="H51" s="1"/>
  <c r="F50"/>
  <c r="H50" s="1"/>
  <c r="F49"/>
  <c r="H49" s="1"/>
  <c r="F48"/>
  <c r="H48" s="1"/>
  <c r="H46"/>
  <c r="F45"/>
  <c r="F44"/>
  <c r="H44" s="1"/>
  <c r="F43"/>
  <c r="I43" s="1"/>
  <c r="H42"/>
  <c r="F41"/>
  <c r="I41" s="1"/>
  <c r="F40"/>
  <c r="H40" s="1"/>
  <c r="I39"/>
  <c r="H39"/>
  <c r="H37"/>
  <c r="H36"/>
  <c r="H35"/>
  <c r="F35"/>
  <c r="I35" s="1"/>
  <c r="I34"/>
  <c r="F33"/>
  <c r="I33" s="1"/>
  <c r="F32"/>
  <c r="H32" s="1"/>
  <c r="F31"/>
  <c r="I31" s="1"/>
  <c r="F28"/>
  <c r="H28" s="1"/>
  <c r="F27"/>
  <c r="I27" s="1"/>
  <c r="F26"/>
  <c r="H26" s="1"/>
  <c r="H25"/>
  <c r="H24"/>
  <c r="F23"/>
  <c r="H23" s="1"/>
  <c r="F22"/>
  <c r="H22" s="1"/>
  <c r="F21"/>
  <c r="H21" s="1"/>
  <c r="F20"/>
  <c r="H20" s="1"/>
  <c r="F19"/>
  <c r="H19" s="1"/>
  <c r="E18"/>
  <c r="F18" s="1"/>
  <c r="H18" s="1"/>
  <c r="F17"/>
  <c r="H17" s="1"/>
  <c r="F16"/>
  <c r="I16" s="1"/>
  <c r="H60" l="1"/>
  <c r="I94" i="23"/>
  <c r="I85" i="20"/>
  <c r="H27" i="19"/>
  <c r="H45"/>
  <c r="I96" i="26"/>
  <c r="H81" i="19"/>
  <c r="H16" i="18"/>
  <c r="H31"/>
  <c r="H43"/>
  <c r="H27"/>
  <c r="H33"/>
  <c r="H41"/>
  <c r="H45"/>
  <c r="I106"/>
  <c r="I101" i="25"/>
  <c r="I103" i="24"/>
  <c r="I97" i="22"/>
  <c r="I106" i="21"/>
  <c r="H33" i="19"/>
  <c r="H41"/>
  <c r="H16"/>
  <c r="H31"/>
  <c r="H43"/>
  <c r="H85"/>
  <c r="I85"/>
  <c r="I17"/>
  <c r="I86" s="1"/>
  <c r="I18"/>
  <c r="I28"/>
  <c r="I32"/>
  <c r="I40"/>
  <c r="I44"/>
  <c r="I53"/>
  <c r="I63"/>
  <c r="I67"/>
  <c r="H68"/>
  <c r="I69"/>
  <c r="H70"/>
  <c r="I71"/>
  <c r="H72"/>
  <c r="I84"/>
  <c r="H81" i="18"/>
  <c r="H85"/>
  <c r="I85"/>
  <c r="I17"/>
  <c r="I18"/>
  <c r="I28"/>
  <c r="I40"/>
  <c r="I44"/>
  <c r="I53"/>
  <c r="I63"/>
  <c r="I67"/>
  <c r="H68"/>
  <c r="I69"/>
  <c r="H70"/>
  <c r="I71"/>
  <c r="H72"/>
  <c r="I84"/>
  <c r="I32"/>
  <c r="I34" i="17"/>
  <c r="I92" i="19" l="1"/>
  <c r="I108" i="18"/>
  <c r="E85" i="17" l="1"/>
  <c r="F85" s="1"/>
  <c r="F84"/>
  <c r="I84" s="1"/>
  <c r="H82"/>
  <c r="H80"/>
  <c r="H78"/>
  <c r="F77"/>
  <c r="H77" s="1"/>
  <c r="F72"/>
  <c r="F71"/>
  <c r="F70"/>
  <c r="F69"/>
  <c r="F68"/>
  <c r="F67"/>
  <c r="I66"/>
  <c r="H66"/>
  <c r="H65"/>
  <c r="I63"/>
  <c r="F62"/>
  <c r="H62" s="1"/>
  <c r="F60"/>
  <c r="I57"/>
  <c r="F57"/>
  <c r="H57" s="1"/>
  <c r="H56"/>
  <c r="F55"/>
  <c r="H55" s="1"/>
  <c r="F54"/>
  <c r="H54" s="1"/>
  <c r="F53"/>
  <c r="I53" s="1"/>
  <c r="F52"/>
  <c r="H52" s="1"/>
  <c r="F51"/>
  <c r="H51" s="1"/>
  <c r="F50"/>
  <c r="H50" s="1"/>
  <c r="F49"/>
  <c r="H49" s="1"/>
  <c r="F48"/>
  <c r="H48" s="1"/>
  <c r="H46"/>
  <c r="F45"/>
  <c r="F44"/>
  <c r="H44" s="1"/>
  <c r="F43"/>
  <c r="I43" s="1"/>
  <c r="H42"/>
  <c r="F41"/>
  <c r="I41" s="1"/>
  <c r="F40"/>
  <c r="H40" s="1"/>
  <c r="I39"/>
  <c r="H39"/>
  <c r="F28"/>
  <c r="H28" s="1"/>
  <c r="H37"/>
  <c r="H36"/>
  <c r="F27"/>
  <c r="I27" s="1"/>
  <c r="H35"/>
  <c r="F35"/>
  <c r="I35" s="1"/>
  <c r="F33"/>
  <c r="F32"/>
  <c r="F31"/>
  <c r="F26"/>
  <c r="H26" s="1"/>
  <c r="H25"/>
  <c r="H24"/>
  <c r="F23"/>
  <c r="H23" s="1"/>
  <c r="F22"/>
  <c r="H22" s="1"/>
  <c r="F21"/>
  <c r="F20"/>
  <c r="H20" s="1"/>
  <c r="F19"/>
  <c r="H19" s="1"/>
  <c r="E18"/>
  <c r="F18" s="1"/>
  <c r="F17"/>
  <c r="H17" s="1"/>
  <c r="F16"/>
  <c r="I16" s="1"/>
  <c r="H67" l="1"/>
  <c r="I67"/>
  <c r="H69"/>
  <c r="I69"/>
  <c r="H71"/>
  <c r="I71"/>
  <c r="H68"/>
  <c r="I68"/>
  <c r="H70"/>
  <c r="I70"/>
  <c r="H72"/>
  <c r="I72"/>
  <c r="H31"/>
  <c r="I31"/>
  <c r="H33"/>
  <c r="I33"/>
  <c r="H32"/>
  <c r="I32"/>
  <c r="H45"/>
  <c r="H84"/>
  <c r="H18"/>
  <c r="I18"/>
  <c r="I85"/>
  <c r="H85"/>
  <c r="H16"/>
  <c r="I17"/>
  <c r="H21"/>
  <c r="H27"/>
  <c r="I28"/>
  <c r="I40"/>
  <c r="H41"/>
  <c r="H43"/>
  <c r="I44"/>
  <c r="H53"/>
  <c r="H60"/>
  <c r="H81" s="1"/>
  <c r="I86" l="1"/>
  <c r="I92" s="1"/>
</calcChain>
</file>

<file path=xl/sharedStrings.xml><?xml version="1.0" encoding="utf-8"?>
<sst xmlns="http://schemas.openxmlformats.org/spreadsheetml/2006/main" count="2783" uniqueCount="293">
  <si>
    <t>№ позиции</t>
  </si>
  <si>
    <r>
      <t>Наименование вида работы (услуги)</t>
    </r>
    <r>
      <rPr>
        <vertAlign val="superscript"/>
        <sz val="10"/>
        <rFont val="Times New Roman"/>
        <family val="1"/>
        <charset val="204"/>
      </rPr>
      <t>2</t>
    </r>
  </si>
  <si>
    <t>Единица измерения работы (услуги)</t>
  </si>
  <si>
    <t>Цена выполненной работы  (оказанной услуги), в рублях</t>
  </si>
  <si>
    <t>I. Санитарное содержание помещений общего пользования</t>
  </si>
  <si>
    <t>Зимняя уборка</t>
  </si>
  <si>
    <t>(прописью)</t>
  </si>
  <si>
    <t>3. Работы (услуги) выполнены (оказаны) полностью, в установленные сроки, с надлежащим качеством.</t>
  </si>
  <si>
    <t>4. Претензий по выполнению условий Договора Стороны друг к другу не имеют.</t>
  </si>
  <si>
    <t>Подписи Сторон:</t>
  </si>
  <si>
    <t>Исполнитель -</t>
  </si>
  <si>
    <t>(должность, ФИО)</t>
  </si>
  <si>
    <t>(подпись)</t>
  </si>
  <si>
    <t>Заказчик -</t>
  </si>
  <si>
    <t>________________</t>
  </si>
  <si>
    <t>Примечания:</t>
  </si>
  <si>
    <r>
      <t>1</t>
    </r>
    <r>
      <rPr>
        <sz val="10"/>
        <rFont val="Times New Roman"/>
        <family val="1"/>
        <charset val="204"/>
      </rPr>
      <t> В соответствии с пунктом 4 части 8 статьи 161.1 Жилищного кодекса Российской Федерации (Собрание законодательства Российской Федерации, 2005, N 1, ст.14; 2011, N 23, ст.3263; 2014, N 30, ст.4264, 2015, N 27, ст.3967) председатель совета многоквартирного дома подписывает в том числе акты приемки оказанных услуг и (или) выполненных работ по содержанию и текущему ремонту общего имущества в многоквартирном доме.</t>
    </r>
  </si>
  <si>
    <r>
      <t>2</t>
    </r>
    <r>
      <rPr>
        <sz val="10"/>
        <rFont val="Times New Roman"/>
        <family val="1"/>
        <charset val="204"/>
      </rPr>
      <t> Минимальный перечень услуг и работ, необходимых для обеспечения надлежащего содержания общего имущества в многоквартирном доме, утвержден постановлением Правительства Российской Федерации от 3 апреля 2013 года N 290.</t>
    </r>
  </si>
  <si>
    <t>Периодичность</t>
  </si>
  <si>
    <t>Количественный показатель выполненной работы (оказанной услуги)</t>
  </si>
  <si>
    <r>
      <t>4</t>
    </r>
    <r>
      <rPr>
        <sz val="10"/>
        <rFont val="Times New Roman"/>
        <family val="1"/>
        <charset val="204"/>
      </rPr>
      <t xml:space="preserve"> Сметная стоимость за единицу выполненной работы по договору </t>
    </r>
    <r>
      <rPr>
        <sz val="10"/>
        <color rgb="FFFF0000"/>
        <rFont val="Times New Roman"/>
        <family val="1"/>
        <charset val="204"/>
      </rPr>
      <t xml:space="preserve">подряда </t>
    </r>
    <r>
      <rPr>
        <sz val="10"/>
        <rFont val="Times New Roman"/>
        <family val="1"/>
        <charset val="204"/>
      </rPr>
      <t>по выполнению работ по ремонту общего имущества в многоквартирном доме.</t>
    </r>
  </si>
  <si>
    <r>
      <t>3</t>
    </r>
    <r>
      <rPr>
        <sz val="10"/>
        <rFont val="Times New Roman"/>
        <family val="1"/>
        <charset val="204"/>
      </rPr>
      <t xml:space="preserve"> Стоимость за единицу выполненной работы (оказанной услуги) </t>
    </r>
    <r>
      <rPr>
        <sz val="10"/>
        <color rgb="FFFF0000"/>
        <rFont val="Times New Roman"/>
        <family val="1"/>
        <charset val="204"/>
      </rPr>
      <t xml:space="preserve">по договору управления </t>
    </r>
    <r>
      <rPr>
        <sz val="10"/>
        <rFont val="Times New Roman"/>
        <family val="1"/>
        <charset val="204"/>
      </rPr>
      <t xml:space="preserve">многоквартирным домом или </t>
    </r>
    <r>
      <rPr>
        <sz val="10"/>
        <color rgb="FFFF0000"/>
        <rFont val="Times New Roman"/>
        <family val="1"/>
        <charset val="204"/>
      </rPr>
      <t>договору оказания услуг</t>
    </r>
    <r>
      <rPr>
        <sz val="10"/>
        <rFont val="Times New Roman"/>
        <family val="1"/>
        <charset val="204"/>
      </rPr>
      <t xml:space="preserve"> по содержанию и (или) выполнению работ по ремонту общего имущества в многоквартирном доме.</t>
    </r>
  </si>
  <si>
    <t>Стоимость выполненной работы (оказанной услуги)  за единицу</t>
  </si>
  <si>
    <t>Вывоз ТБО и КГО</t>
  </si>
  <si>
    <t xml:space="preserve">кв. м </t>
  </si>
  <si>
    <t>м2</t>
  </si>
  <si>
    <t>Механизированная уборка дворовой территории</t>
  </si>
  <si>
    <t>Уборка газонов сильной загрязненности</t>
  </si>
  <si>
    <t>Летняя уборка</t>
  </si>
  <si>
    <t>1000 м2</t>
  </si>
  <si>
    <t>шт.</t>
  </si>
  <si>
    <t>10 шт.</t>
  </si>
  <si>
    <t>м/час</t>
  </si>
  <si>
    <t>м3</t>
  </si>
  <si>
    <t>Осмотр деревянных конструкций стропил</t>
  </si>
  <si>
    <t>100 м3</t>
  </si>
  <si>
    <t>Осмотр деревянных заполнений проемов</t>
  </si>
  <si>
    <t>Осмотр внутренней и наружной отделки здания</t>
  </si>
  <si>
    <t>Осмотр каменных конструкций</t>
  </si>
  <si>
    <t>100 лест.</t>
  </si>
  <si>
    <t>Осмотр вводных электрических щитков</t>
  </si>
  <si>
    <t>100 шт.</t>
  </si>
  <si>
    <t>Проверка вентканалов</t>
  </si>
  <si>
    <t>2 раза в год</t>
  </si>
  <si>
    <t>Кровля</t>
  </si>
  <si>
    <t>Чердак, подвал, технический этаж</t>
  </si>
  <si>
    <t>Очистка от мусора</t>
  </si>
  <si>
    <t>Отопление</t>
  </si>
  <si>
    <t>Ликвидация воздушных пробок в стояках</t>
  </si>
  <si>
    <t>Ликвидация воздушных пробок в радиаторах</t>
  </si>
  <si>
    <t xml:space="preserve">Промывка СО </t>
  </si>
  <si>
    <t>Спуск воды и наполнение системы без осмотра</t>
  </si>
  <si>
    <t>Гидравлическое испытание СО</t>
  </si>
  <si>
    <t>Итого текущий ремонт</t>
  </si>
  <si>
    <t>100 м2</t>
  </si>
  <si>
    <t>1 раз в год</t>
  </si>
  <si>
    <t>1 м2</t>
  </si>
  <si>
    <t>ежемесячно</t>
  </si>
  <si>
    <t xml:space="preserve">Осмотр СО </t>
  </si>
  <si>
    <t>Проверка на прогрев отопительных приборов</t>
  </si>
  <si>
    <t>прибор</t>
  </si>
  <si>
    <t>Обязательные работы по содержанию общего имущества собственников помещений в многоквартирном доме</t>
  </si>
  <si>
    <t>Работы по текущему ремонту и по заявкам</t>
  </si>
  <si>
    <t>5. Настоящий Акт составлен в 2 экземплярах, имеющих одинаковую юридическую силу, по одному для каждой из Сторон</t>
  </si>
  <si>
    <t>пгт. Ярега</t>
  </si>
  <si>
    <t>155 раз</t>
  </si>
  <si>
    <t>Подборка мусора на контейнерной площадке</t>
  </si>
  <si>
    <t xml:space="preserve">Погрузка травы, ветвей </t>
  </si>
  <si>
    <t>Вывоз смета, травы, ветвей и т.п.- м/ч</t>
  </si>
  <si>
    <t>по необходимости</t>
  </si>
  <si>
    <t xml:space="preserve">Подметание снега с тротуара, крылец, конт. площадок </t>
  </si>
  <si>
    <t>45 раз за сезон</t>
  </si>
  <si>
    <t>Стоимость песка -100м2-0,002м3</t>
  </si>
  <si>
    <t>3 раза в год</t>
  </si>
  <si>
    <t>6 раз за сезон</t>
  </si>
  <si>
    <t>Электроснабжение</t>
  </si>
  <si>
    <t>Смена ламп накаливания</t>
  </si>
  <si>
    <t>Смена плавкой вставки в электрощите</t>
  </si>
  <si>
    <t>10 шт</t>
  </si>
  <si>
    <t>Вентканалы, дымоходы</t>
  </si>
  <si>
    <t>100м</t>
  </si>
  <si>
    <t>Услуги по выпуску квитанций, сопровождение собраний, работа с должниками</t>
  </si>
  <si>
    <t xml:space="preserve">Непредвиденные расходы </t>
  </si>
  <si>
    <t>Итого:</t>
  </si>
  <si>
    <t>1 м</t>
  </si>
  <si>
    <t>Подключение и отключение сварочного аппарата</t>
  </si>
  <si>
    <t>Очистка территории 1-го класса с усовершенствованным покрытием под скребок: ступеньки и площадки крылец, контейнерные площадки</t>
  </si>
  <si>
    <t>место</t>
  </si>
  <si>
    <t>II. Уборка земельного участка</t>
  </si>
  <si>
    <t>ООО «Жилсервис»</t>
  </si>
  <si>
    <t>Влажное подметание лестничных клеток 1 этажа</t>
  </si>
  <si>
    <t>Замена ламп ДРЛ</t>
  </si>
  <si>
    <t>Смена арматуры - вентилей и клапанов обратных муфтовых диаметром до 20 мм</t>
  </si>
  <si>
    <t>генеральный директор Куканов Ю.Л.</t>
  </si>
  <si>
    <t>Прочистка засоров ГВС, XВC</t>
  </si>
  <si>
    <t>3м</t>
  </si>
  <si>
    <t>1 шт</t>
  </si>
  <si>
    <t>Влажное подметание лестничных клеток 2-5 этажа</t>
  </si>
  <si>
    <t>Мытье лестничных  площадок и маршей 1-5 этаж.</t>
  </si>
  <si>
    <t>Вывоз снега с придомовой территории</t>
  </si>
  <si>
    <t>Дератизация</t>
  </si>
  <si>
    <t>10 м2</t>
  </si>
  <si>
    <t>Влажная протирка перил</t>
  </si>
  <si>
    <t>Влажная протирка почтовых ящиков</t>
  </si>
  <si>
    <t>водосток</t>
  </si>
  <si>
    <t>Влажная протирка подоконников</t>
  </si>
  <si>
    <t>Влажная протирка отопительных приборов</t>
  </si>
  <si>
    <t>1 соединение</t>
  </si>
  <si>
    <t>Внеплановая проверка вентканалов</t>
  </si>
  <si>
    <t>Сдвигание снега в дни снегопада (проезды)</t>
  </si>
  <si>
    <t>Дезинфекция подвала</t>
  </si>
  <si>
    <t>100м2</t>
  </si>
  <si>
    <t>156 раз в год</t>
  </si>
  <si>
    <t>104 раза в год</t>
  </si>
  <si>
    <t xml:space="preserve">24 раза в год </t>
  </si>
  <si>
    <t>Мытье окон</t>
  </si>
  <si>
    <t>10м2</t>
  </si>
  <si>
    <t xml:space="preserve">1 раз в год     </t>
  </si>
  <si>
    <t xml:space="preserve">Влажная уборка стен </t>
  </si>
  <si>
    <t>Влажная протирка дверей</t>
  </si>
  <si>
    <t>Влажная протирка шкафов для щитов и слаботочн.устройств</t>
  </si>
  <si>
    <t>Уборка газонов</t>
  </si>
  <si>
    <t>1000м2</t>
  </si>
  <si>
    <t>52 раза в сезон</t>
  </si>
  <si>
    <t>78 раз за сезон</t>
  </si>
  <si>
    <t>Уборка контейнерной площадки (16 кв.м.)</t>
  </si>
  <si>
    <t>30 раз за сезон</t>
  </si>
  <si>
    <t>1м3</t>
  </si>
  <si>
    <t>155 раз за сезон</t>
  </si>
  <si>
    <t xml:space="preserve">Пескопосыпка территории: крыльца и тротуары </t>
  </si>
  <si>
    <t>Осмотр электросетей, арматуры и электрооборудования на чердаках, подвалах и техэтажах</t>
  </si>
  <si>
    <t>Осмотр электросетей,арматуры и электооборудования на лестничных клетках</t>
  </si>
  <si>
    <t>шт</t>
  </si>
  <si>
    <t>Очистка края кровли от слежавшегося снега со сбрасыванием сосулек (10% от S кровли и козырьки)</t>
  </si>
  <si>
    <t>100м3</t>
  </si>
  <si>
    <t>1000м3</t>
  </si>
  <si>
    <t>Вода для промывки СО</t>
  </si>
  <si>
    <t>Спуск воды после промывки СО в канализацию</t>
  </si>
  <si>
    <t>Техническое обслуживание наружных газопроводов</t>
  </si>
  <si>
    <t>ТО внутридомового газ.оборудования</t>
  </si>
  <si>
    <t xml:space="preserve"> </t>
  </si>
  <si>
    <t>Прочистка каналов</t>
  </si>
  <si>
    <t>Аварийно-диспетчерское обслуживание</t>
  </si>
  <si>
    <t xml:space="preserve">приемки оказанных услуг и выполненных работ по содержанию и текущему ремонту
общего имущества в многоквартирном доме №11 по ул.Нефтяников пгт.Ярега
</t>
  </si>
  <si>
    <t>12 раз за сезон</t>
  </si>
  <si>
    <t>Сдвигание снега в дни снегопада (крыльца, тротуары)</t>
  </si>
  <si>
    <t>24 раза за сезон</t>
  </si>
  <si>
    <t>Осмотр шиферной кровли</t>
  </si>
  <si>
    <t>Смена выключателей</t>
  </si>
  <si>
    <t>Смена патронов</t>
  </si>
  <si>
    <t>1шт.</t>
  </si>
  <si>
    <t>Внеплановый осмотр электросетей, армазуры и электрооборудования на лестничных клетках</t>
  </si>
  <si>
    <r>
      <t xml:space="preserve">    Собственники помещений в многоквартирном доме,  расположенном по адресу:  пгт.Ярега, ул.Нефтяников, д.11,  именуемые в дальнейшем "Заказчик",   в лице </t>
    </r>
    <r>
      <rPr>
        <u/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>, являющегося собственником квартиры №</t>
    </r>
    <r>
      <rPr>
        <u/>
        <sz val="12"/>
        <color theme="1"/>
        <rFont val="Times New Roman"/>
        <family val="1"/>
        <charset val="204"/>
      </rPr>
      <t xml:space="preserve">          </t>
    </r>
    <r>
      <rPr>
        <sz val="12"/>
        <color theme="1"/>
        <rFont val="Times New Roman"/>
        <family val="1"/>
        <charset val="204"/>
      </rPr>
      <t>, находящихся в данном многоквартирном доме, действующего на основании решения от 08.11.2013г. стороны,  и ООО «Жилсервис», именуемое в дальнейшем "Исполнитель",  в лице генерального директора Куканова Юрия Леонидовича,  действующего на основании Устава,  с другой стороны,  совместно именуемые "Стороны", составили настоящий Акт о нижеследующем:</t>
    </r>
  </si>
  <si>
    <t>III. Проведение технических осмотров</t>
  </si>
  <si>
    <t>IV. Содержание общего имущества МКД</t>
  </si>
  <si>
    <t>V. Прочие услуги</t>
  </si>
  <si>
    <t>АКТ №1</t>
  </si>
  <si>
    <t>Очистка урн от мусора</t>
  </si>
  <si>
    <t xml:space="preserve"> - Уборка контейнерной площадки (16 кв.м.)</t>
  </si>
  <si>
    <t>по мере необходимости</t>
  </si>
  <si>
    <t>2 раз в год</t>
  </si>
  <si>
    <t>Монтаж освещения в подсобке уборщицы</t>
  </si>
  <si>
    <t>тыс.руб.</t>
  </si>
  <si>
    <t xml:space="preserve">Уплотнение сгонов с применением льняной пряди или асбестового шнура (без разборки сгонов) </t>
  </si>
  <si>
    <t>Мелкий ремонт электропроводки</t>
  </si>
  <si>
    <t>Ремонт и регулировка доводчика (без стоимости доводчика)</t>
  </si>
  <si>
    <t>Установка скамейки (I, IV под.)</t>
  </si>
  <si>
    <t>Установка хомута диаметром до 50 мм</t>
  </si>
  <si>
    <t>Ремонт отдельных мест покрытия из асбоцементных листов обыкновенного профиля</t>
  </si>
  <si>
    <t>Ремонт разделки</t>
  </si>
  <si>
    <t>руб.</t>
  </si>
  <si>
    <t>Ремонт поверхности кирпичных стен при глубине заделки в 0,5 кирпича площадью в одном месте до 1 м2 (ремонт кирпичной кладки цоколя I-II под.)</t>
  </si>
  <si>
    <t>Ремонт штукатурки гладких фасадов по камню и бетону с земли цементно-известковым раствором площадью до 5 м2 толщиной слоя до 20 мм (штукатурка цоколя I-II под.)</t>
  </si>
  <si>
    <t xml:space="preserve">Смена сгонов у трубопроводов диаметром до 20 мм </t>
  </si>
  <si>
    <t>1 сгон</t>
  </si>
  <si>
    <t>Заделка стыков соединений стояков внутренних водостоков</t>
  </si>
  <si>
    <t>Устройство подстилающих слоев щебеночных</t>
  </si>
  <si>
    <t>1 мЗ</t>
  </si>
  <si>
    <t>Герметизация входной двери (III подъезд)</t>
  </si>
  <si>
    <t>Подметание территории с усовершенствованным покрытием асф.: крыльца, контейнерн пл., проезд, тротуар</t>
  </si>
  <si>
    <t>5 раз в год</t>
  </si>
  <si>
    <t>АКТ №2</t>
  </si>
  <si>
    <t>АКТ №3</t>
  </si>
  <si>
    <t>III. Содержание общего имущества МКД</t>
  </si>
  <si>
    <t>АКТ №4</t>
  </si>
  <si>
    <t>АКТ №5</t>
  </si>
  <si>
    <t>АКТ №6</t>
  </si>
  <si>
    <t>IV. Прочие услуги</t>
  </si>
  <si>
    <t>АКТ №7</t>
  </si>
  <si>
    <t>АКТ №8</t>
  </si>
  <si>
    <t>АКТ №9</t>
  </si>
  <si>
    <t>АКТ №10</t>
  </si>
  <si>
    <t>Итого затраты за месяц</t>
  </si>
  <si>
    <r>
      <t>1.  Исполнителем   предъявлены   к   приемке   следующие   оказанные   на   основании   Договора   на   содержание   и   ремонт   многоквартирного   дома   №</t>
    </r>
    <r>
      <rPr>
        <u/>
        <sz val="12"/>
        <rFont val="Times New Roman"/>
        <family val="1"/>
        <charset val="204"/>
      </rPr>
      <t xml:space="preserve">      </t>
    </r>
    <r>
      <rPr>
        <sz val="12"/>
        <rFont val="Times New Roman"/>
        <family val="1"/>
        <charset val="204"/>
      </rPr>
      <t xml:space="preserve"> от</t>
    </r>
    <r>
      <rPr>
        <u/>
        <sz val="12"/>
        <rFont val="Times New Roman"/>
        <family val="1"/>
        <charset val="204"/>
      </rPr>
      <t xml:space="preserve">                      </t>
    </r>
    <r>
      <rPr>
        <sz val="12"/>
        <rFont val="Times New Roman"/>
        <family val="1"/>
        <charset val="204"/>
      </rPr>
      <t>20    г. (далее - "Договор") услуги и выполненные работы по содержанию и текущему ремонту общего имущества в многоквартирном доме, расположенном по адресу: г.Ухта, пгт.Ярега, ул.Нефтяников, д.11</t>
    </r>
  </si>
  <si>
    <t>Внеплановый осмотр вводных электрических щитков</t>
  </si>
  <si>
    <t>АКТ №11</t>
  </si>
  <si>
    <t>АКТ №12</t>
  </si>
  <si>
    <t>за период с 01.01.2018 г. по 31.01.2018 г.</t>
  </si>
  <si>
    <t>за период с 01.02.2018 г. по 28.02.2018 г.</t>
  </si>
  <si>
    <t>за период с 01.03.2018 г. по 31.03.2018 г.</t>
  </si>
  <si>
    <t>за период с 01.04.2018 г. по 30.04.2018 г.</t>
  </si>
  <si>
    <t>Ремонт внутренних трубопроводов и стояков д=до 50 мм</t>
  </si>
  <si>
    <t>за период с 01.05.2018 г. по 31.05.2018 г.</t>
  </si>
  <si>
    <t>Смена арматуры - вентилей диаметром  20 мм (ПП)</t>
  </si>
  <si>
    <t>Смена внутренних трубопроводов на полипропиленовые PN 25 Dу 20 ( с 34 кв. до 4 п)</t>
  </si>
  <si>
    <t>м</t>
  </si>
  <si>
    <t>28м</t>
  </si>
  <si>
    <t>Муфта 20*25</t>
  </si>
  <si>
    <t>Муфта разъемная 20*1/2 ВР</t>
  </si>
  <si>
    <t>Колено 20-45º</t>
  </si>
  <si>
    <t>Колено 20-90º</t>
  </si>
  <si>
    <t>Муфта разъемная 25*3/4 ВР</t>
  </si>
  <si>
    <t>Муфта разъемная 25*3/4 НР</t>
  </si>
  <si>
    <t>Тройник 20</t>
  </si>
  <si>
    <t>Муфта 20</t>
  </si>
  <si>
    <t>Смена внутренних трубопроводов на полипропиленовые PN 25 Dу 25 ( с 34 кв. до 4 п)</t>
  </si>
  <si>
    <t>8м</t>
  </si>
  <si>
    <t>Ремонт штукатурки внутренних стен по камню известковым раствором площадью до 10 м2 толщиной слоя до 20 мм</t>
  </si>
  <si>
    <t>1,5м2</t>
  </si>
  <si>
    <t xml:space="preserve">Заделка трещин в кипичных стенах кипичом </t>
  </si>
  <si>
    <t xml:space="preserve">Заделка выбоин в полах цементных </t>
  </si>
  <si>
    <t>I место</t>
  </si>
  <si>
    <t>2. Всего за период с 01.05.2018 по 31.05.2018 выполнено работ (оказано услуг) на общую сумму: 173029,55 руб.</t>
  </si>
  <si>
    <t>(сто семьдесят три тысячи двадцать девять рублей 55 копеек)</t>
  </si>
  <si>
    <t>за период с 01.06.2018 г. по 30.06.2018 г.</t>
  </si>
  <si>
    <t>Перекрытие ХВС</t>
  </si>
  <si>
    <t>Осмотр оголовков</t>
  </si>
  <si>
    <t>2. Всего за период с 01.06.2018 по 30.06.2018 выполнено работ (оказано услуг) на общую сумму: 50457,81 руб.</t>
  </si>
  <si>
    <t>(пятьдесят тысяч четыреста пятьдесят один рубль 81 копейка)</t>
  </si>
  <si>
    <t>ООО «Движение»</t>
  </si>
  <si>
    <t>за период с 01.07.2018 г. по 31.07.2018 г.</t>
  </si>
  <si>
    <t>Доски объявлений (1,2,3,4 подъезды)</t>
  </si>
  <si>
    <t>2. Всего за период с 01.07.2018 по 31.07.2018 выполнено работ (оказано услуг) на общую сумму: 47676,71 руб.</t>
  </si>
  <si>
    <t>(сорок семь тысяч шестьсот семьдесят шесть рублей 71 копейка)</t>
  </si>
  <si>
    <r>
      <t xml:space="preserve">    Собственники помещений в многоквартирном доме,  расположенном по адресу:  пгт.Ярега, ул.Нефтяников, д.11,  именуемые в дальнейшем "Заказчик",   в лице </t>
    </r>
    <r>
      <rPr>
        <u/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>, являющегося собственником квартиры №</t>
    </r>
    <r>
      <rPr>
        <u/>
        <sz val="12"/>
        <color theme="1"/>
        <rFont val="Times New Roman"/>
        <family val="1"/>
        <charset val="204"/>
      </rPr>
      <t xml:space="preserve">          </t>
    </r>
    <r>
      <rPr>
        <sz val="12"/>
        <color theme="1"/>
        <rFont val="Times New Roman"/>
        <family val="1"/>
        <charset val="204"/>
      </rPr>
      <t>, находящихся в данном многоквартирном доме, действующего на основании решения от 08.11.2013г. стороны,  и ООО «Движение», именуемое в дальнейшем "Исполнитель",  в лице генерального директора Куканова Юрия Леонидовича,  действующего на основании Устава,  с другой стороны,  совместно именуемые "Стороны", составили настоящий Акт о нижеследующем:</t>
    </r>
  </si>
  <si>
    <t>за период с 01.08.2018 г. по 31.08.2018 г.</t>
  </si>
  <si>
    <t>Ремонт цоколя (3 под)</t>
  </si>
  <si>
    <t>27,2м2</t>
  </si>
  <si>
    <t>2. Всего за период с 01.01.2018 по 31.01.2018 выполнено работ (оказано услуг) на общую сумму: 55639,87 руб.</t>
  </si>
  <si>
    <t>(пятьдесят пять тысяч шестьсот тридцать девять рублей 87 копеек)</t>
  </si>
  <si>
    <t>2. Всего за период с 01.02.2018 по 28.02.2018 выполнено работ (оказано услуг) на общую сумму: 44080,40 руб.</t>
  </si>
  <si>
    <t>(сорок четыре тысячи восемьдесят рублей 40 копеек)</t>
  </si>
  <si>
    <t>12м2</t>
  </si>
  <si>
    <t>2. Всего за период с 01.03.2018 по 31.03.2018 выполнено работ (оказано услуг) на общую сумму: 43569,56 руб.</t>
  </si>
  <si>
    <t>(сорок три тысячи пятьсот шестьдесят девять рублей 56 копеек )</t>
  </si>
  <si>
    <t>2. Всего за период с 01.04.2018 по 30.04.2018 выполнено работ (оказано услуг) на общую сумму: 45121,23 руб.</t>
  </si>
  <si>
    <t>(сорок пять тысяч сто двадцать один рубль 23 копейки)</t>
  </si>
  <si>
    <t>Ремонт поверхности кирпичных стен при глубине заделки в 1 кирпич площадью в одном месте до 1 м2</t>
  </si>
  <si>
    <t>Заделка подвальных окон фанерой</t>
  </si>
  <si>
    <t>4м2</t>
  </si>
  <si>
    <t>за период с 01.09.2018 г. по 30.09.2018 г.</t>
  </si>
  <si>
    <t>Ниппель 1/2 НР</t>
  </si>
  <si>
    <t>Ревизия вентиля</t>
  </si>
  <si>
    <t>Вскрытие полов для работ ВДИС (кв 52)</t>
  </si>
  <si>
    <t>Восстановление пола после работ ВДИС</t>
  </si>
  <si>
    <t>0,5 м2</t>
  </si>
  <si>
    <t>Вскрытие шахты для работ ВДИС (кв 29)</t>
  </si>
  <si>
    <t>Восстановление шахты после работ ВДИС</t>
  </si>
  <si>
    <t>пена монтажная</t>
  </si>
  <si>
    <t>Муфта разъемная 20*1/2 НР</t>
  </si>
  <si>
    <t>2. Всего за период с 01.08.2018 по 31.08.2018 выполнено работ (оказано услуг) на общую сумму: 47719,46 руб.</t>
  </si>
  <si>
    <t>(сорок семь тысяч  семьсот девятнадцать рублей 46 копеек)</t>
  </si>
  <si>
    <t>0,2 м2</t>
  </si>
  <si>
    <t>2. Всего за период с 01.09.2018 по 30.09.2018 выполнено работ (оказано услуг) на общую сумму: 46213,14 руб.</t>
  </si>
  <si>
    <t>(сорок шесть тысяч двести тринадцать рублей 14 копеек)</t>
  </si>
  <si>
    <t>за период с 01.10.2018 г. по 31.10.2018 г.</t>
  </si>
  <si>
    <t>Осмотр водопроводов, канализации, отопления в квартирах</t>
  </si>
  <si>
    <t>100 кв.</t>
  </si>
  <si>
    <t>Смена внутренних трубопроводов на м/п Dу 20 (кв.47)</t>
  </si>
  <si>
    <t>Пресс- муфта Dу 20</t>
  </si>
  <si>
    <t>Пресс- муфта ВР 20*3/4</t>
  </si>
  <si>
    <t>Пресс-муфа НР 20*1/2</t>
  </si>
  <si>
    <t>2. Всего за период с 01.10.2018 по 31.10.2018 выполнено работ (оказано услуг) на общую сумму: 54688,75 руб.</t>
  </si>
  <si>
    <t>(пятьдесят четыре тысячи шестьсот восемьдесят восемь рублей 75 копеек)</t>
  </si>
  <si>
    <t>за период с 01.11.2018 г. по 30.11.2018 г.</t>
  </si>
  <si>
    <t>Очистка вручную от снега и наледи люков каналиационных и водопроводных колодцев</t>
  </si>
  <si>
    <t>Смена радиаторов отопительных чугунных  (5 секций)</t>
  </si>
  <si>
    <t>2. Всего за период с 01.11.2018 по 30.11.2018 выполнено работ (оказано услуг) на общую сумму: 33426,71 руб.</t>
  </si>
  <si>
    <t>(тридцать три тысячи четыреста двадцать шесть рублей 71 копейка)</t>
  </si>
  <si>
    <t>за период с 01.12.2018 г. по 31.12.2018 г.</t>
  </si>
  <si>
    <t>Очистка канализационной сети внутренней</t>
  </si>
  <si>
    <t>1м</t>
  </si>
  <si>
    <t>Монтаж общедомового узла учета эл/энергии (4 под)</t>
  </si>
  <si>
    <t>Работа автовышки</t>
  </si>
  <si>
    <t>маш/час</t>
  </si>
  <si>
    <t>Тройник 100*100*100</t>
  </si>
  <si>
    <t>Отвод 100</t>
  </si>
  <si>
    <t>Муфта ремонтная 100</t>
  </si>
  <si>
    <t>Отвод 50</t>
  </si>
  <si>
    <t>Тройник 100*50*90</t>
  </si>
  <si>
    <t>Смена полиэтиленовых канализационных труб диаметром 100*2000 ( с 32 до 29 кв)</t>
  </si>
  <si>
    <t>2. Всего за период с 01.12.2018 по 31.12.2018 выполнено работ (оказано услуг) на общую сумму: 69880,33 руб.</t>
  </si>
  <si>
    <t>(шестьдесят девять тысяч восемьсот восемьдесят рублей 33 копейки)</t>
  </si>
</sst>
</file>

<file path=xl/styles.xml><?xml version="1.0" encoding="utf-8"?>
<styleSheet xmlns="http://schemas.openxmlformats.org/spreadsheetml/2006/main">
  <fonts count="20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9"/>
      <name val="Times New Roman"/>
      <family val="1"/>
      <charset val="204"/>
    </font>
    <font>
      <u/>
      <sz val="12"/>
      <name val="Times New Roman"/>
      <family val="1"/>
      <charset val="204"/>
    </font>
    <font>
      <sz val="10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</font>
    <font>
      <sz val="10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u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51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hair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7" fillId="0" borderId="0"/>
    <xf numFmtId="0" fontId="8" fillId="0" borderId="0"/>
    <xf numFmtId="0" fontId="8" fillId="0" borderId="0"/>
  </cellStyleXfs>
  <cellXfs count="151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 applyAlignment="1"/>
    <xf numFmtId="0" fontId="2" fillId="0" borderId="0" xfId="0" applyFont="1" applyBorder="1" applyAlignment="1">
      <alignment wrapText="1"/>
    </xf>
    <xf numFmtId="0" fontId="2" fillId="0" borderId="0" xfId="0" applyFont="1"/>
    <xf numFmtId="0" fontId="3" fillId="0" borderId="0" xfId="0" applyFont="1" applyBorder="1" applyAlignment="1">
      <alignment vertical="top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0" fillId="0" borderId="0" xfId="0" applyFill="1"/>
    <xf numFmtId="0" fontId="0" fillId="0" borderId="0" xfId="0" applyBorder="1"/>
    <xf numFmtId="0" fontId="9" fillId="0" borderId="0" xfId="0" applyFont="1" applyAlignment="1">
      <alignment wrapText="1"/>
    </xf>
    <xf numFmtId="0" fontId="2" fillId="0" borderId="0" xfId="0" applyFont="1" applyAlignment="1">
      <alignment horizontal="justify"/>
    </xf>
    <xf numFmtId="0" fontId="2" fillId="0" borderId="0" xfId="0" applyFont="1" applyAlignment="1">
      <alignment horizontal="center" wrapText="1"/>
    </xf>
    <xf numFmtId="4" fontId="11" fillId="0" borderId="3" xfId="0" applyNumberFormat="1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left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4" fontId="11" fillId="2" borderId="3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15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15" fillId="0" borderId="0" xfId="0" applyFont="1"/>
    <xf numFmtId="0" fontId="11" fillId="0" borderId="3" xfId="0" applyFont="1" applyFill="1" applyBorder="1" applyAlignment="1">
      <alignment horizontal="center" vertical="center" wrapText="1"/>
    </xf>
    <xf numFmtId="14" fontId="2" fillId="0" borderId="0" xfId="0" applyNumberFormat="1" applyFont="1" applyAlignment="1">
      <alignment wrapText="1"/>
    </xf>
    <xf numFmtId="0" fontId="13" fillId="0" borderId="3" xfId="0" applyFont="1" applyFill="1" applyBorder="1" applyAlignment="1">
      <alignment horizontal="left" vertical="center" wrapText="1"/>
    </xf>
    <xf numFmtId="4" fontId="13" fillId="0" borderId="3" xfId="0" applyNumberFormat="1" applyFont="1" applyFill="1" applyBorder="1" applyAlignment="1">
      <alignment horizontal="center" vertical="center" wrapText="1"/>
    </xf>
    <xf numFmtId="0" fontId="14" fillId="0" borderId="3" xfId="0" applyFont="1" applyBorder="1"/>
    <xf numFmtId="4" fontId="11" fillId="2" borderId="3" xfId="0" applyNumberFormat="1" applyFont="1" applyFill="1" applyBorder="1" applyAlignment="1">
      <alignment horizontal="center" vertical="center"/>
    </xf>
    <xf numFmtId="4" fontId="11" fillId="3" borderId="3" xfId="0" applyNumberFormat="1" applyFont="1" applyFill="1" applyBorder="1" applyAlignment="1">
      <alignment horizontal="center" vertical="center"/>
    </xf>
    <xf numFmtId="4" fontId="13" fillId="2" borderId="3" xfId="0" applyNumberFormat="1" applyFont="1" applyFill="1" applyBorder="1" applyAlignment="1">
      <alignment horizontal="left" vertical="center"/>
    </xf>
    <xf numFmtId="0" fontId="11" fillId="2" borderId="3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wrapText="1"/>
    </xf>
    <xf numFmtId="1" fontId="11" fillId="0" borderId="3" xfId="0" applyNumberFormat="1" applyFont="1" applyBorder="1" applyAlignment="1">
      <alignment horizontal="center" vertical="center" wrapText="1"/>
    </xf>
    <xf numFmtId="0" fontId="11" fillId="0" borderId="3" xfId="3" applyFont="1" applyBorder="1" applyAlignment="1">
      <alignment horizontal="center" vertical="center"/>
    </xf>
    <xf numFmtId="4" fontId="13" fillId="2" borderId="3" xfId="0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left" wrapText="1"/>
    </xf>
    <xf numFmtId="0" fontId="13" fillId="0" borderId="3" xfId="0" applyFont="1" applyFill="1" applyBorder="1" applyAlignment="1">
      <alignment horizontal="left"/>
    </xf>
    <xf numFmtId="0" fontId="11" fillId="0" borderId="3" xfId="0" applyFont="1" applyFill="1" applyBorder="1" applyAlignment="1">
      <alignment horizontal="left" vertical="center"/>
    </xf>
    <xf numFmtId="0" fontId="12" fillId="0" borderId="3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wrapText="1"/>
    </xf>
    <xf numFmtId="0" fontId="11" fillId="0" borderId="3" xfId="0" applyFont="1" applyBorder="1"/>
    <xf numFmtId="0" fontId="11" fillId="2" borderId="3" xfId="0" applyFont="1" applyFill="1" applyBorder="1" applyAlignment="1">
      <alignment horizontal="left" vertical="center"/>
    </xf>
    <xf numFmtId="0" fontId="11" fillId="0" borderId="3" xfId="0" applyNumberFormat="1" applyFont="1" applyFill="1" applyBorder="1" applyAlignment="1" applyProtection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1" fillId="0" borderId="3" xfId="0" applyNumberFormat="1" applyFont="1" applyFill="1" applyBorder="1" applyAlignment="1" applyProtection="1">
      <alignment horizontal="center" vertical="center" wrapText="1"/>
    </xf>
    <xf numFmtId="0" fontId="11" fillId="2" borderId="3" xfId="0" applyNumberFormat="1" applyFont="1" applyFill="1" applyBorder="1" applyAlignment="1" applyProtection="1">
      <alignment horizontal="left" vertical="center" wrapText="1"/>
    </xf>
    <xf numFmtId="0" fontId="11" fillId="2" borderId="3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13" fillId="0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2" fillId="0" borderId="0" xfId="0" applyFont="1" applyBorder="1" applyAlignment="1">
      <alignment horizontal="left" wrapText="1"/>
    </xf>
    <xf numFmtId="4" fontId="11" fillId="0" borderId="0" xfId="0" applyNumberFormat="1" applyFont="1" applyFill="1" applyBorder="1" applyAlignment="1">
      <alignment horizontal="center" vertical="center"/>
    </xf>
    <xf numFmtId="4" fontId="11" fillId="0" borderId="0" xfId="0" applyNumberFormat="1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14" fillId="0" borderId="0" xfId="0" applyFont="1" applyBorder="1" applyAlignment="1">
      <alignment wrapText="1"/>
    </xf>
    <xf numFmtId="0" fontId="11" fillId="0" borderId="3" xfId="0" applyNumberFormat="1" applyFont="1" applyFill="1" applyBorder="1" applyAlignment="1" applyProtection="1">
      <alignment horizontal="center" vertical="center"/>
    </xf>
    <xf numFmtId="0" fontId="11" fillId="0" borderId="7" xfId="0" applyFont="1" applyFill="1" applyBorder="1" applyAlignment="1">
      <alignment horizontal="left" vertical="center" wrapText="1"/>
    </xf>
    <xf numFmtId="0" fontId="11" fillId="0" borderId="7" xfId="0" applyFont="1" applyFill="1" applyBorder="1" applyAlignment="1">
      <alignment horizontal="center" vertical="center"/>
    </xf>
    <xf numFmtId="4" fontId="11" fillId="0" borderId="7" xfId="0" applyNumberFormat="1" applyFont="1" applyFill="1" applyBorder="1" applyAlignment="1">
      <alignment horizontal="center" vertical="center" wrapText="1"/>
    </xf>
    <xf numFmtId="4" fontId="11" fillId="0" borderId="7" xfId="0" applyNumberFormat="1" applyFont="1" applyFill="1" applyBorder="1" applyAlignment="1">
      <alignment horizontal="center" vertical="center"/>
    </xf>
    <xf numFmtId="4" fontId="11" fillId="0" borderId="14" xfId="0" applyNumberFormat="1" applyFont="1" applyFill="1" applyBorder="1" applyAlignment="1">
      <alignment horizontal="center" vertical="center"/>
    </xf>
    <xf numFmtId="4" fontId="11" fillId="0" borderId="13" xfId="0" applyNumberFormat="1" applyFont="1" applyFill="1" applyBorder="1" applyAlignment="1">
      <alignment horizontal="center" vertical="center" wrapText="1"/>
    </xf>
    <xf numFmtId="4" fontId="11" fillId="0" borderId="15" xfId="0" applyNumberFormat="1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left" vertical="center" wrapText="1"/>
    </xf>
    <xf numFmtId="4" fontId="13" fillId="0" borderId="3" xfId="0" applyNumberFormat="1" applyFont="1" applyFill="1" applyBorder="1" applyAlignment="1">
      <alignment horizontal="center" vertical="center"/>
    </xf>
    <xf numFmtId="4" fontId="17" fillId="0" borderId="7" xfId="0" applyNumberFormat="1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left" vertical="center"/>
    </xf>
    <xf numFmtId="4" fontId="11" fillId="0" borderId="11" xfId="0" applyNumberFormat="1" applyFont="1" applyFill="1" applyBorder="1" applyAlignment="1">
      <alignment horizontal="center" vertical="center"/>
    </xf>
    <xf numFmtId="0" fontId="11" fillId="0" borderId="10" xfId="0" applyFont="1" applyFill="1" applyBorder="1" applyAlignment="1">
      <alignment horizontal="center" vertical="center"/>
    </xf>
    <xf numFmtId="0" fontId="11" fillId="0" borderId="10" xfId="0" applyFont="1" applyFill="1" applyBorder="1" applyAlignment="1">
      <alignment horizontal="left" vertical="center" wrapText="1"/>
    </xf>
    <xf numFmtId="4" fontId="11" fillId="0" borderId="10" xfId="0" applyNumberFormat="1" applyFont="1" applyFill="1" applyBorder="1" applyAlignment="1">
      <alignment horizontal="center" vertical="center" wrapText="1"/>
    </xf>
    <xf numFmtId="4" fontId="11" fillId="0" borderId="10" xfId="0" applyNumberFormat="1" applyFont="1" applyFill="1" applyBorder="1" applyAlignment="1">
      <alignment horizontal="center" vertical="center"/>
    </xf>
    <xf numFmtId="4" fontId="11" fillId="0" borderId="12" xfId="0" applyNumberFormat="1" applyFont="1" applyFill="1" applyBorder="1" applyAlignment="1">
      <alignment horizontal="center" vertical="center"/>
    </xf>
    <xf numFmtId="4" fontId="11" fillId="0" borderId="5" xfId="0" applyNumberFormat="1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left" vertical="center" wrapText="1"/>
    </xf>
    <xf numFmtId="0" fontId="13" fillId="0" borderId="3" xfId="0" applyFont="1" applyFill="1" applyBorder="1" applyAlignment="1">
      <alignment horizontal="center" vertical="center"/>
    </xf>
    <xf numFmtId="4" fontId="13" fillId="0" borderId="5" xfId="0" applyNumberFormat="1" applyFont="1" applyFill="1" applyBorder="1" applyAlignment="1">
      <alignment horizontal="center" vertical="center"/>
    </xf>
    <xf numFmtId="1" fontId="11" fillId="0" borderId="3" xfId="0" applyNumberFormat="1" applyFont="1" applyFill="1" applyBorder="1" applyAlignment="1">
      <alignment horizontal="left" vertical="center" wrapText="1"/>
    </xf>
    <xf numFmtId="0" fontId="11" fillId="0" borderId="3" xfId="0" applyNumberFormat="1" applyFont="1" applyFill="1" applyBorder="1" applyAlignment="1" applyProtection="1">
      <alignment horizontal="left" vertical="center"/>
    </xf>
    <xf numFmtId="0" fontId="13" fillId="0" borderId="7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4" fontId="11" fillId="0" borderId="16" xfId="0" applyNumberFormat="1" applyFont="1" applyFill="1" applyBorder="1" applyAlignment="1">
      <alignment horizontal="center" vertical="center"/>
    </xf>
    <xf numFmtId="4" fontId="11" fillId="0" borderId="6" xfId="0" applyNumberFormat="1" applyFont="1" applyFill="1" applyBorder="1" applyAlignment="1">
      <alignment horizontal="center" vertical="center"/>
    </xf>
    <xf numFmtId="4" fontId="11" fillId="0" borderId="17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12" fillId="0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3" fillId="0" borderId="3" xfId="0" applyFont="1" applyFill="1" applyBorder="1" applyAlignment="1">
      <alignment horizontal="center" vertical="center" wrapText="1"/>
    </xf>
    <xf numFmtId="4" fontId="11" fillId="2" borderId="5" xfId="0" applyNumberFormat="1" applyFont="1" applyFill="1" applyBorder="1" applyAlignment="1">
      <alignment horizontal="center" vertical="center"/>
    </xf>
    <xf numFmtId="2" fontId="11" fillId="0" borderId="4" xfId="0" applyNumberFormat="1" applyFont="1" applyFill="1" applyBorder="1" applyAlignment="1">
      <alignment horizontal="center" vertical="center" wrapText="1"/>
    </xf>
    <xf numFmtId="2" fontId="11" fillId="4" borderId="3" xfId="0" applyNumberFormat="1" applyFont="1" applyFill="1" applyBorder="1" applyAlignment="1" applyProtection="1">
      <alignment horizontal="center" vertical="center"/>
    </xf>
    <xf numFmtId="0" fontId="18" fillId="2" borderId="3" xfId="0" applyFont="1" applyFill="1" applyBorder="1" applyAlignment="1">
      <alignment horizontal="left" vertical="center" wrapText="1"/>
    </xf>
    <xf numFmtId="2" fontId="11" fillId="0" borderId="3" xfId="0" applyNumberFormat="1" applyFont="1" applyFill="1" applyBorder="1" applyAlignment="1" applyProtection="1">
      <alignment horizontal="center" vertical="center"/>
    </xf>
    <xf numFmtId="0" fontId="11" fillId="2" borderId="3" xfId="0" applyNumberFormat="1" applyFont="1" applyFill="1" applyBorder="1" applyAlignment="1" applyProtection="1">
      <alignment horizontal="left" vertical="center"/>
    </xf>
    <xf numFmtId="0" fontId="11" fillId="2" borderId="3" xfId="0" applyFont="1" applyFill="1" applyBorder="1" applyAlignment="1">
      <alignment horizontal="left" vertical="center" wrapText="1"/>
    </xf>
    <xf numFmtId="0" fontId="11" fillId="2" borderId="10" xfId="0" applyFont="1" applyFill="1" applyBorder="1" applyAlignment="1">
      <alignment horizontal="left" vertical="center" wrapText="1"/>
    </xf>
    <xf numFmtId="0" fontId="11" fillId="2" borderId="10" xfId="0" applyFont="1" applyFill="1" applyBorder="1" applyAlignment="1">
      <alignment horizontal="center" vertical="center"/>
    </xf>
    <xf numFmtId="4" fontId="11" fillId="2" borderId="10" xfId="0" applyNumberFormat="1" applyFont="1" applyFill="1" applyBorder="1" applyAlignment="1">
      <alignment horizontal="center" vertical="center" wrapText="1"/>
    </xf>
    <xf numFmtId="4" fontId="11" fillId="2" borderId="10" xfId="0" applyNumberFormat="1" applyFont="1" applyFill="1" applyBorder="1" applyAlignment="1">
      <alignment horizontal="center" vertical="center"/>
    </xf>
    <xf numFmtId="4" fontId="11" fillId="2" borderId="13" xfId="0" applyNumberFormat="1" applyFont="1" applyFill="1" applyBorder="1" applyAlignment="1">
      <alignment horizontal="center" vertical="center"/>
    </xf>
    <xf numFmtId="4" fontId="11" fillId="2" borderId="18" xfId="0" applyNumberFormat="1" applyFont="1" applyFill="1" applyBorder="1" applyAlignment="1">
      <alignment horizontal="center" vertical="center"/>
    </xf>
    <xf numFmtId="4" fontId="11" fillId="0" borderId="19" xfId="0" applyNumberFormat="1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left" vertical="center" wrapText="1"/>
    </xf>
    <xf numFmtId="0" fontId="11" fillId="2" borderId="7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1" fillId="2" borderId="19" xfId="0" applyNumberFormat="1" applyFont="1" applyFill="1" applyBorder="1" applyAlignment="1" applyProtection="1">
      <alignment horizontal="left" vertical="center" wrapText="1"/>
    </xf>
    <xf numFmtId="0" fontId="11" fillId="2" borderId="19" xfId="0" applyNumberFormat="1" applyFont="1" applyFill="1" applyBorder="1" applyAlignment="1" applyProtection="1">
      <alignment horizontal="center" vertical="center" wrapText="1"/>
    </xf>
    <xf numFmtId="0" fontId="14" fillId="0" borderId="0" xfId="0" applyFont="1"/>
    <xf numFmtId="0" fontId="18" fillId="2" borderId="19" xfId="0" applyFont="1" applyFill="1" applyBorder="1" applyAlignment="1">
      <alignment horizontal="left" vertical="center" wrapText="1"/>
    </xf>
    <xf numFmtId="4" fontId="19" fillId="2" borderId="3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0" fontId="12" fillId="0" borderId="8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/>
    <xf numFmtId="0" fontId="15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wrapText="1"/>
    </xf>
    <xf numFmtId="0" fontId="13" fillId="0" borderId="6" xfId="0" applyFont="1" applyFill="1" applyBorder="1" applyAlignment="1">
      <alignment horizontal="center" wrapText="1"/>
    </xf>
    <xf numFmtId="0" fontId="13" fillId="0" borderId="4" xfId="0" applyFont="1" applyFill="1" applyBorder="1" applyAlignment="1">
      <alignment horizontal="center" wrapText="1"/>
    </xf>
    <xf numFmtId="0" fontId="2" fillId="0" borderId="2" xfId="0" applyFont="1" applyBorder="1" applyAlignment="1">
      <alignment horizontal="left" wrapText="1"/>
    </xf>
    <xf numFmtId="0" fontId="14" fillId="0" borderId="1" xfId="0" applyFont="1" applyBorder="1" applyAlignment="1">
      <alignment wrapText="1"/>
    </xf>
    <xf numFmtId="0" fontId="3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left"/>
    </xf>
    <xf numFmtId="0" fontId="6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1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5" fillId="0" borderId="0" xfId="0" applyFont="1" applyAlignment="1">
      <alignment horizontal="left"/>
    </xf>
  </cellXfs>
  <cellStyles count="4">
    <cellStyle name="Обычный" xfId="0" builtinId="0"/>
    <cellStyle name="Обычный 2" xfId="2"/>
    <cellStyle name="Обычный 2 2" xfId="3"/>
    <cellStyle name="Обычный_Соддома № 13 по ул.Чибьюская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113"/>
  <sheetViews>
    <sheetView topLeftCell="A57" workbookViewId="0">
      <selection activeCell="B94" sqref="B94:G94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7" t="s">
        <v>89</v>
      </c>
      <c r="I1" s="26"/>
      <c r="J1" s="1"/>
      <c r="K1" s="1"/>
      <c r="L1" s="1"/>
      <c r="M1" s="1"/>
    </row>
    <row r="2" spans="1:13" ht="15.75" customHeight="1">
      <c r="A2" s="28" t="s">
        <v>64</v>
      </c>
      <c r="J2" s="2"/>
      <c r="K2" s="2"/>
      <c r="L2" s="2"/>
      <c r="M2" s="2"/>
    </row>
    <row r="3" spans="1:13" ht="15.75" customHeight="1">
      <c r="A3" s="128" t="s">
        <v>156</v>
      </c>
      <c r="B3" s="128"/>
      <c r="C3" s="128"/>
      <c r="D3" s="128"/>
      <c r="E3" s="128"/>
      <c r="F3" s="128"/>
      <c r="G3" s="128"/>
      <c r="H3" s="128"/>
      <c r="I3" s="128"/>
      <c r="J3" s="3"/>
      <c r="K3" s="3"/>
      <c r="L3" s="3"/>
    </row>
    <row r="4" spans="1:13" ht="31.5" customHeight="1">
      <c r="A4" s="129" t="s">
        <v>143</v>
      </c>
      <c r="B4" s="129"/>
      <c r="C4" s="129"/>
      <c r="D4" s="129"/>
      <c r="E4" s="129"/>
      <c r="F4" s="129"/>
      <c r="G4" s="129"/>
      <c r="H4" s="129"/>
      <c r="I4" s="129"/>
    </row>
    <row r="5" spans="1:13" ht="15.75" customHeight="1">
      <c r="A5" s="128" t="s">
        <v>197</v>
      </c>
      <c r="B5" s="130"/>
      <c r="C5" s="130"/>
      <c r="D5" s="130"/>
      <c r="E5" s="130"/>
      <c r="F5" s="130"/>
      <c r="G5" s="130"/>
      <c r="H5" s="130"/>
      <c r="I5" s="130"/>
      <c r="J5" s="2"/>
      <c r="K5" s="2"/>
      <c r="L5" s="2"/>
      <c r="M5" s="2"/>
    </row>
    <row r="6" spans="1:13" ht="15.75" customHeight="1">
      <c r="A6" s="2"/>
      <c r="B6" s="58"/>
      <c r="C6" s="58"/>
      <c r="D6" s="58"/>
      <c r="E6" s="58"/>
      <c r="F6" s="58"/>
      <c r="G6" s="58"/>
      <c r="H6" s="58"/>
      <c r="I6" s="30">
        <v>43131</v>
      </c>
      <c r="J6" s="2"/>
      <c r="K6" s="2"/>
      <c r="L6" s="2"/>
      <c r="M6" s="2"/>
    </row>
    <row r="7" spans="1:13" ht="15.75" customHeight="1">
      <c r="B7" s="59"/>
      <c r="C7" s="59"/>
      <c r="D7" s="59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131" t="s">
        <v>152</v>
      </c>
      <c r="B8" s="131"/>
      <c r="C8" s="131"/>
      <c r="D8" s="131"/>
      <c r="E8" s="131"/>
      <c r="F8" s="131"/>
      <c r="G8" s="131"/>
      <c r="H8" s="131"/>
      <c r="I8" s="131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32" t="s">
        <v>193</v>
      </c>
      <c r="B10" s="132"/>
      <c r="C10" s="132"/>
      <c r="D10" s="132"/>
      <c r="E10" s="132"/>
      <c r="F10" s="132"/>
      <c r="G10" s="132"/>
      <c r="H10" s="132"/>
      <c r="I10" s="132"/>
      <c r="J10" s="2"/>
      <c r="K10" s="2"/>
      <c r="L10" s="2"/>
      <c r="M10" s="2"/>
    </row>
    <row r="11" spans="1:13" ht="15.75">
      <c r="A11" s="4"/>
    </row>
    <row r="12" spans="1:13" ht="5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133" t="s">
        <v>61</v>
      </c>
      <c r="B14" s="133"/>
      <c r="C14" s="133"/>
      <c r="D14" s="133"/>
      <c r="E14" s="133"/>
      <c r="F14" s="133"/>
      <c r="G14" s="133"/>
      <c r="H14" s="133"/>
      <c r="I14" s="133"/>
      <c r="J14" s="8"/>
      <c r="K14" s="8"/>
      <c r="L14" s="8"/>
      <c r="M14" s="8"/>
    </row>
    <row r="15" spans="1:13" ht="15.75" customHeight="1">
      <c r="A15" s="135" t="s">
        <v>4</v>
      </c>
      <c r="B15" s="135"/>
      <c r="C15" s="135"/>
      <c r="D15" s="135"/>
      <c r="E15" s="135"/>
      <c r="F15" s="135"/>
      <c r="G15" s="135"/>
      <c r="H15" s="135"/>
      <c r="I15" s="135"/>
      <c r="J15" s="8"/>
      <c r="K15" s="8"/>
      <c r="L15" s="8"/>
      <c r="M15" s="8"/>
    </row>
    <row r="16" spans="1:13" ht="15" customHeight="1">
      <c r="A16" s="29">
        <v>1</v>
      </c>
      <c r="B16" s="67" t="s">
        <v>90</v>
      </c>
      <c r="C16" s="68" t="s">
        <v>111</v>
      </c>
      <c r="D16" s="67" t="s">
        <v>112</v>
      </c>
      <c r="E16" s="69">
        <v>59.96</v>
      </c>
      <c r="F16" s="70">
        <f>SUM(E16*156/100)</f>
        <v>93.537599999999998</v>
      </c>
      <c r="G16" s="70">
        <v>175.38</v>
      </c>
      <c r="H16" s="71">
        <f t="shared" ref="H16:H26" si="0">SUM(F16*G16/1000)</f>
        <v>16.404624288000001</v>
      </c>
      <c r="I16" s="13">
        <f>F16/12*G16</f>
        <v>1367.0520239999998</v>
      </c>
      <c r="J16" s="8"/>
      <c r="K16" s="8"/>
      <c r="L16" s="8"/>
      <c r="M16" s="8"/>
    </row>
    <row r="17" spans="1:13" ht="15" customHeight="1">
      <c r="A17" s="29">
        <v>2</v>
      </c>
      <c r="B17" s="67" t="s">
        <v>97</v>
      </c>
      <c r="C17" s="68" t="s">
        <v>111</v>
      </c>
      <c r="D17" s="67" t="s">
        <v>113</v>
      </c>
      <c r="E17" s="69">
        <v>239.84</v>
      </c>
      <c r="F17" s="70">
        <f>SUM(E17*104/100)</f>
        <v>249.43360000000001</v>
      </c>
      <c r="G17" s="70">
        <v>175.38</v>
      </c>
      <c r="H17" s="71">
        <f t="shared" si="0"/>
        <v>43.745664768000005</v>
      </c>
      <c r="I17" s="13">
        <f>F17/12*G17</f>
        <v>3645.4720640000005</v>
      </c>
      <c r="J17" s="22"/>
      <c r="K17" s="8"/>
      <c r="L17" s="8"/>
      <c r="M17" s="8"/>
    </row>
    <row r="18" spans="1:13" ht="15" customHeight="1">
      <c r="A18" s="29">
        <v>3</v>
      </c>
      <c r="B18" s="67" t="s">
        <v>98</v>
      </c>
      <c r="C18" s="68" t="s">
        <v>111</v>
      </c>
      <c r="D18" s="67" t="s">
        <v>114</v>
      </c>
      <c r="E18" s="69">
        <f>SUM(E16+E17)</f>
        <v>299.8</v>
      </c>
      <c r="F18" s="70">
        <f>SUM(E18*24/100)</f>
        <v>71.952000000000012</v>
      </c>
      <c r="G18" s="70">
        <v>504.5</v>
      </c>
      <c r="H18" s="71">
        <f t="shared" si="0"/>
        <v>36.29978400000001</v>
      </c>
      <c r="I18" s="13">
        <f>F18/12*G18</f>
        <v>3024.9820000000009</v>
      </c>
      <c r="J18" s="22"/>
      <c r="K18" s="8"/>
      <c r="L18" s="8"/>
      <c r="M18" s="8"/>
    </row>
    <row r="19" spans="1:13" ht="15" hidden="1" customHeight="1">
      <c r="A19" s="29"/>
      <c r="B19" s="67" t="s">
        <v>115</v>
      </c>
      <c r="C19" s="68" t="s">
        <v>116</v>
      </c>
      <c r="D19" s="67" t="s">
        <v>117</v>
      </c>
      <c r="E19" s="69">
        <v>40.799999999999997</v>
      </c>
      <c r="F19" s="70">
        <f>SUM(E19/10)</f>
        <v>4.08</v>
      </c>
      <c r="G19" s="70">
        <v>170.16</v>
      </c>
      <c r="H19" s="71">
        <f t="shared" si="0"/>
        <v>0.6942528</v>
      </c>
      <c r="I19" s="13">
        <v>0</v>
      </c>
      <c r="J19" s="22"/>
      <c r="K19" s="8"/>
      <c r="L19" s="8"/>
      <c r="M19" s="8"/>
    </row>
    <row r="20" spans="1:13" ht="15" hidden="1" customHeight="1">
      <c r="A20" s="29"/>
      <c r="B20" s="67" t="s">
        <v>102</v>
      </c>
      <c r="C20" s="68" t="s">
        <v>111</v>
      </c>
      <c r="D20" s="67" t="s">
        <v>55</v>
      </c>
      <c r="E20" s="69">
        <v>43.2</v>
      </c>
      <c r="F20" s="70">
        <f>SUM(E20/100)</f>
        <v>0.43200000000000005</v>
      </c>
      <c r="G20" s="70">
        <v>217.88</v>
      </c>
      <c r="H20" s="71">
        <f t="shared" si="0"/>
        <v>9.4124159999999998E-2</v>
      </c>
      <c r="I20" s="13">
        <v>0</v>
      </c>
      <c r="J20" s="22"/>
      <c r="K20" s="8"/>
      <c r="L20" s="8"/>
      <c r="M20" s="8"/>
    </row>
    <row r="21" spans="1:13" ht="15" hidden="1" customHeight="1">
      <c r="A21" s="29"/>
      <c r="B21" s="67" t="s">
        <v>103</v>
      </c>
      <c r="C21" s="68" t="s">
        <v>111</v>
      </c>
      <c r="D21" s="67" t="s">
        <v>55</v>
      </c>
      <c r="E21" s="69">
        <v>10.08</v>
      </c>
      <c r="F21" s="70">
        <f>E21/100</f>
        <v>0.1008</v>
      </c>
      <c r="G21" s="70">
        <v>216.12</v>
      </c>
      <c r="H21" s="71">
        <f>SUM(F21*G21)/1000</f>
        <v>2.1784896000000002E-2</v>
      </c>
      <c r="I21" s="13">
        <v>0</v>
      </c>
      <c r="J21" s="22"/>
      <c r="K21" s="8"/>
      <c r="L21" s="8"/>
      <c r="M21" s="8"/>
    </row>
    <row r="22" spans="1:13" ht="15" hidden="1" customHeight="1">
      <c r="A22" s="29"/>
      <c r="B22" s="67" t="s">
        <v>118</v>
      </c>
      <c r="C22" s="68" t="s">
        <v>54</v>
      </c>
      <c r="D22" s="67" t="s">
        <v>117</v>
      </c>
      <c r="E22" s="69">
        <v>403.84</v>
      </c>
      <c r="F22" s="70">
        <f>SUM(E22/100)</f>
        <v>4.0383999999999993</v>
      </c>
      <c r="G22" s="70">
        <v>269.26</v>
      </c>
      <c r="H22" s="71">
        <f t="shared" si="0"/>
        <v>1.0873795839999998</v>
      </c>
      <c r="I22" s="13">
        <v>0</v>
      </c>
      <c r="J22" s="22"/>
      <c r="K22" s="8"/>
      <c r="L22" s="8"/>
      <c r="M22" s="8"/>
    </row>
    <row r="23" spans="1:13" ht="15" hidden="1" customHeight="1">
      <c r="A23" s="29"/>
      <c r="B23" s="67" t="s">
        <v>119</v>
      </c>
      <c r="C23" s="68" t="s">
        <v>54</v>
      </c>
      <c r="D23" s="67" t="s">
        <v>117</v>
      </c>
      <c r="E23" s="72">
        <v>70.56</v>
      </c>
      <c r="F23" s="70">
        <f>SUM(E23/100)</f>
        <v>0.7056</v>
      </c>
      <c r="G23" s="70">
        <v>44.29</v>
      </c>
      <c r="H23" s="71">
        <f t="shared" si="0"/>
        <v>3.1251024000000002E-2</v>
      </c>
      <c r="I23" s="13">
        <v>0</v>
      </c>
      <c r="J23" s="22"/>
      <c r="K23" s="8"/>
      <c r="L23" s="8"/>
      <c r="M23" s="8"/>
    </row>
    <row r="24" spans="1:13" ht="15" hidden="1" customHeight="1">
      <c r="A24" s="29"/>
      <c r="B24" s="67" t="s">
        <v>105</v>
      </c>
      <c r="C24" s="68" t="s">
        <v>54</v>
      </c>
      <c r="D24" s="67" t="s">
        <v>117</v>
      </c>
      <c r="E24" s="18">
        <v>14.4</v>
      </c>
      <c r="F24" s="73">
        <v>0.14000000000000001</v>
      </c>
      <c r="G24" s="70">
        <v>398.72</v>
      </c>
      <c r="H24" s="71">
        <f>F24*G24/1000</f>
        <v>5.5820800000000011E-2</v>
      </c>
      <c r="I24" s="13">
        <v>0</v>
      </c>
      <c r="J24" s="22"/>
      <c r="K24" s="8"/>
      <c r="L24" s="8"/>
      <c r="M24" s="8"/>
    </row>
    <row r="25" spans="1:13" ht="15" hidden="1" customHeight="1">
      <c r="A25" s="29"/>
      <c r="B25" s="67" t="s">
        <v>120</v>
      </c>
      <c r="C25" s="68" t="s">
        <v>54</v>
      </c>
      <c r="D25" s="67" t="s">
        <v>117</v>
      </c>
      <c r="E25" s="72">
        <v>31.5</v>
      </c>
      <c r="F25" s="70">
        <v>0.32</v>
      </c>
      <c r="G25" s="70">
        <v>216.12</v>
      </c>
      <c r="H25" s="71">
        <f>F25*G25/1000</f>
        <v>6.9158399999999995E-2</v>
      </c>
      <c r="I25" s="13">
        <v>0</v>
      </c>
      <c r="J25" s="22"/>
      <c r="K25" s="8"/>
      <c r="L25" s="8"/>
      <c r="M25" s="8"/>
    </row>
    <row r="26" spans="1:13" ht="15" hidden="1" customHeight="1">
      <c r="A26" s="29"/>
      <c r="B26" s="67" t="s">
        <v>106</v>
      </c>
      <c r="C26" s="68" t="s">
        <v>54</v>
      </c>
      <c r="D26" s="67" t="s">
        <v>117</v>
      </c>
      <c r="E26" s="69">
        <v>28.22</v>
      </c>
      <c r="F26" s="70">
        <f>SUM(E26/100)</f>
        <v>0.28220000000000001</v>
      </c>
      <c r="G26" s="70">
        <v>520.79999999999995</v>
      </c>
      <c r="H26" s="71">
        <f t="shared" si="0"/>
        <v>0.14696975999999998</v>
      </c>
      <c r="I26" s="13">
        <v>0</v>
      </c>
      <c r="J26" s="22"/>
      <c r="K26" s="8"/>
      <c r="L26" s="8"/>
      <c r="M26" s="8"/>
    </row>
    <row r="27" spans="1:13" ht="15" customHeight="1">
      <c r="A27" s="29">
        <v>4</v>
      </c>
      <c r="B27" s="67" t="s">
        <v>66</v>
      </c>
      <c r="C27" s="68" t="s">
        <v>33</v>
      </c>
      <c r="D27" s="67"/>
      <c r="E27" s="69">
        <v>0.1</v>
      </c>
      <c r="F27" s="70">
        <f>SUM(E27*365)</f>
        <v>36.5</v>
      </c>
      <c r="G27" s="70">
        <v>147.03</v>
      </c>
      <c r="H27" s="71">
        <f>SUM(F27*G27/1000)</f>
        <v>5.3665950000000002</v>
      </c>
      <c r="I27" s="13">
        <f>F27/12*G27</f>
        <v>447.21625</v>
      </c>
      <c r="J27" s="23"/>
    </row>
    <row r="28" spans="1:13" ht="15" customHeight="1">
      <c r="A28" s="29">
        <v>5</v>
      </c>
      <c r="B28" s="77" t="s">
        <v>23</v>
      </c>
      <c r="C28" s="68" t="s">
        <v>24</v>
      </c>
      <c r="D28" s="67"/>
      <c r="E28" s="69">
        <v>3031.3</v>
      </c>
      <c r="F28" s="70">
        <f>SUM(E28*12)</f>
        <v>36375.600000000006</v>
      </c>
      <c r="G28" s="70">
        <v>5.47</v>
      </c>
      <c r="H28" s="71">
        <f>SUM(F28*G28/1000)</f>
        <v>198.97453200000004</v>
      </c>
      <c r="I28" s="13">
        <f>F28/12*G28</f>
        <v>16581.211000000003</v>
      </c>
      <c r="J28" s="23"/>
    </row>
    <row r="29" spans="1:13" ht="15.75" customHeight="1">
      <c r="A29" s="135" t="s">
        <v>88</v>
      </c>
      <c r="B29" s="135"/>
      <c r="C29" s="135"/>
      <c r="D29" s="135"/>
      <c r="E29" s="135"/>
      <c r="F29" s="135"/>
      <c r="G29" s="135"/>
      <c r="H29" s="135"/>
      <c r="I29" s="135"/>
      <c r="J29" s="22"/>
      <c r="K29" s="8"/>
      <c r="L29" s="8"/>
      <c r="M29" s="8"/>
    </row>
    <row r="30" spans="1:13" ht="15" hidden="1" customHeight="1">
      <c r="A30" s="29"/>
      <c r="B30" s="90" t="s">
        <v>28</v>
      </c>
      <c r="C30" s="68"/>
      <c r="D30" s="67"/>
      <c r="E30" s="69"/>
      <c r="F30" s="70"/>
      <c r="G30" s="70"/>
      <c r="H30" s="71"/>
      <c r="I30" s="13"/>
      <c r="J30" s="22"/>
      <c r="K30" s="8"/>
      <c r="L30" s="8"/>
      <c r="M30" s="8"/>
    </row>
    <row r="31" spans="1:13" ht="15" hidden="1" customHeight="1">
      <c r="A31" s="29">
        <v>6</v>
      </c>
      <c r="B31" s="67" t="s">
        <v>121</v>
      </c>
      <c r="C31" s="68" t="s">
        <v>122</v>
      </c>
      <c r="D31" s="67" t="s">
        <v>123</v>
      </c>
      <c r="E31" s="70">
        <v>709.53</v>
      </c>
      <c r="F31" s="70">
        <f>SUM(E31*52/1000)</f>
        <v>36.895559999999996</v>
      </c>
      <c r="G31" s="70">
        <v>155.88999999999999</v>
      </c>
      <c r="H31" s="71">
        <f t="shared" ref="H31:H37" si="1">SUM(F31*G31/1000)</f>
        <v>5.7516488483999995</v>
      </c>
      <c r="I31" s="13">
        <f>F31/6*G31</f>
        <v>958.60814139999979</v>
      </c>
      <c r="J31" s="22"/>
      <c r="K31" s="8"/>
      <c r="L31" s="8"/>
      <c r="M31" s="8"/>
    </row>
    <row r="32" spans="1:13" ht="31.5" hidden="1" customHeight="1">
      <c r="A32" s="29">
        <v>7</v>
      </c>
      <c r="B32" s="67" t="s">
        <v>179</v>
      </c>
      <c r="C32" s="68" t="s">
        <v>122</v>
      </c>
      <c r="D32" s="67" t="s">
        <v>124</v>
      </c>
      <c r="E32" s="70">
        <v>68</v>
      </c>
      <c r="F32" s="70">
        <f>SUM(E32*78/1000)</f>
        <v>5.3040000000000003</v>
      </c>
      <c r="G32" s="70">
        <v>258.63</v>
      </c>
      <c r="H32" s="71">
        <f t="shared" si="1"/>
        <v>1.3717735199999999</v>
      </c>
      <c r="I32" s="13">
        <f t="shared" ref="I32:I35" si="2">F32/6*G32</f>
        <v>228.62891999999999</v>
      </c>
      <c r="J32" s="22"/>
      <c r="K32" s="8"/>
      <c r="L32" s="8"/>
      <c r="M32" s="8"/>
    </row>
    <row r="33" spans="1:14" ht="15" hidden="1" customHeight="1">
      <c r="A33" s="29">
        <v>16</v>
      </c>
      <c r="B33" s="67" t="s">
        <v>27</v>
      </c>
      <c r="C33" s="68" t="s">
        <v>122</v>
      </c>
      <c r="D33" s="67" t="s">
        <v>55</v>
      </c>
      <c r="E33" s="70">
        <v>709.53</v>
      </c>
      <c r="F33" s="70">
        <f>SUM(E33/1000)</f>
        <v>0.70952999999999999</v>
      </c>
      <c r="G33" s="70">
        <v>3020.33</v>
      </c>
      <c r="H33" s="71">
        <f t="shared" si="1"/>
        <v>2.1430147448999999</v>
      </c>
      <c r="I33" s="13">
        <f>F33*G33</f>
        <v>2143.0147449000001</v>
      </c>
      <c r="J33" s="22"/>
      <c r="K33" s="8"/>
      <c r="L33" s="8"/>
      <c r="M33" s="8"/>
    </row>
    <row r="34" spans="1:14" ht="15" hidden="1" customHeight="1">
      <c r="A34" s="29">
        <v>8</v>
      </c>
      <c r="B34" s="67" t="s">
        <v>157</v>
      </c>
      <c r="C34" s="68" t="s">
        <v>41</v>
      </c>
      <c r="D34" s="67" t="s">
        <v>65</v>
      </c>
      <c r="E34" s="70">
        <v>4</v>
      </c>
      <c r="F34" s="70">
        <v>6.2</v>
      </c>
      <c r="G34" s="70">
        <v>1302.02</v>
      </c>
      <c r="H34" s="71">
        <v>8.0730000000000004</v>
      </c>
      <c r="I34" s="13">
        <f t="shared" si="2"/>
        <v>1345.4206666666669</v>
      </c>
      <c r="J34" s="22"/>
      <c r="K34" s="8"/>
      <c r="L34" s="8"/>
      <c r="M34" s="8"/>
    </row>
    <row r="35" spans="1:14" ht="15" hidden="1" customHeight="1">
      <c r="A35" s="29">
        <v>9</v>
      </c>
      <c r="B35" s="67" t="s">
        <v>158</v>
      </c>
      <c r="C35" s="68" t="s">
        <v>30</v>
      </c>
      <c r="D35" s="67" t="s">
        <v>65</v>
      </c>
      <c r="E35" s="76">
        <v>0.33333333333333331</v>
      </c>
      <c r="F35" s="70">
        <f>155/3</f>
        <v>51.666666666666664</v>
      </c>
      <c r="G35" s="70">
        <v>56.69</v>
      </c>
      <c r="H35" s="71">
        <f>SUM(G35*155/3/1000)</f>
        <v>2.9289833333333331</v>
      </c>
      <c r="I35" s="13">
        <f t="shared" si="2"/>
        <v>488.16388888888883</v>
      </c>
      <c r="J35" s="22"/>
      <c r="K35" s="8"/>
    </row>
    <row r="36" spans="1:14" ht="15" hidden="1" customHeight="1">
      <c r="A36" s="29"/>
      <c r="B36" s="67" t="s">
        <v>67</v>
      </c>
      <c r="C36" s="68" t="s">
        <v>33</v>
      </c>
      <c r="D36" s="67" t="s">
        <v>69</v>
      </c>
      <c r="E36" s="69"/>
      <c r="F36" s="70">
        <v>3</v>
      </c>
      <c r="G36" s="70">
        <v>191.32</v>
      </c>
      <c r="H36" s="71">
        <f t="shared" si="1"/>
        <v>0.57396000000000003</v>
      </c>
      <c r="I36" s="13">
        <v>0</v>
      </c>
      <c r="J36" s="23"/>
    </row>
    <row r="37" spans="1:14" ht="15" hidden="1" customHeight="1">
      <c r="A37" s="29"/>
      <c r="B37" s="67" t="s">
        <v>68</v>
      </c>
      <c r="C37" s="68" t="s">
        <v>32</v>
      </c>
      <c r="D37" s="67" t="s">
        <v>69</v>
      </c>
      <c r="E37" s="69"/>
      <c r="F37" s="70">
        <v>2</v>
      </c>
      <c r="G37" s="70">
        <v>1136.32</v>
      </c>
      <c r="H37" s="71">
        <f t="shared" si="1"/>
        <v>2.27264</v>
      </c>
      <c r="I37" s="13">
        <v>0</v>
      </c>
      <c r="J37" s="23"/>
    </row>
    <row r="38" spans="1:14" ht="15" customHeight="1">
      <c r="A38" s="29"/>
      <c r="B38" s="90" t="s">
        <v>5</v>
      </c>
      <c r="C38" s="68"/>
      <c r="D38" s="67"/>
      <c r="E38" s="69"/>
      <c r="F38" s="70"/>
      <c r="G38" s="70"/>
      <c r="H38" s="71" t="s">
        <v>140</v>
      </c>
      <c r="I38" s="13"/>
      <c r="J38" s="23"/>
    </row>
    <row r="39" spans="1:14" ht="15" customHeight="1">
      <c r="A39" s="29">
        <v>6</v>
      </c>
      <c r="B39" s="67" t="s">
        <v>26</v>
      </c>
      <c r="C39" s="68" t="s">
        <v>32</v>
      </c>
      <c r="D39" s="67"/>
      <c r="E39" s="69"/>
      <c r="F39" s="70">
        <v>6</v>
      </c>
      <c r="G39" s="70">
        <v>1527.22</v>
      </c>
      <c r="H39" s="71">
        <f t="shared" ref="H39:H46" si="3">SUM(F39*G39/1000)</f>
        <v>9.1633200000000006</v>
      </c>
      <c r="I39" s="13">
        <f>F39/6*G39</f>
        <v>1527.22</v>
      </c>
      <c r="J39" s="23"/>
    </row>
    <row r="40" spans="1:14" ht="15" customHeight="1">
      <c r="A40" s="29">
        <v>7</v>
      </c>
      <c r="B40" s="67" t="s">
        <v>109</v>
      </c>
      <c r="C40" s="68" t="s">
        <v>29</v>
      </c>
      <c r="D40" s="67" t="s">
        <v>144</v>
      </c>
      <c r="E40" s="70">
        <v>429.8</v>
      </c>
      <c r="F40" s="70">
        <f>SUM(E40*12/1000)</f>
        <v>5.1576000000000004</v>
      </c>
      <c r="G40" s="70">
        <v>2102.71</v>
      </c>
      <c r="H40" s="71">
        <f t="shared" si="3"/>
        <v>10.844937096000001</v>
      </c>
      <c r="I40" s="13">
        <f>F40/6*G40</f>
        <v>1807.4895160000001</v>
      </c>
      <c r="J40" s="23"/>
      <c r="L40" s="19"/>
      <c r="M40" s="20"/>
      <c r="N40" s="21"/>
    </row>
    <row r="41" spans="1:14" ht="15" customHeight="1">
      <c r="A41" s="29">
        <v>8</v>
      </c>
      <c r="B41" s="67" t="s">
        <v>145</v>
      </c>
      <c r="C41" s="68" t="s">
        <v>29</v>
      </c>
      <c r="D41" s="67" t="s">
        <v>126</v>
      </c>
      <c r="E41" s="70">
        <v>68</v>
      </c>
      <c r="F41" s="70">
        <f>SUM(E41*30/1000)</f>
        <v>2.04</v>
      </c>
      <c r="G41" s="70">
        <v>2102.71</v>
      </c>
      <c r="H41" s="71">
        <f>SUM(F41*G41/1000)</f>
        <v>4.2895284</v>
      </c>
      <c r="I41" s="13">
        <f>F41/6*G41</f>
        <v>714.92140000000006</v>
      </c>
      <c r="J41" s="23"/>
      <c r="L41" s="19"/>
      <c r="M41" s="20"/>
      <c r="N41" s="21"/>
    </row>
    <row r="42" spans="1:14" ht="15" hidden="1" customHeight="1">
      <c r="A42" s="29"/>
      <c r="B42" s="67" t="s">
        <v>99</v>
      </c>
      <c r="C42" s="68" t="s">
        <v>127</v>
      </c>
      <c r="D42" s="67" t="s">
        <v>159</v>
      </c>
      <c r="E42" s="69"/>
      <c r="F42" s="70">
        <v>50</v>
      </c>
      <c r="G42" s="70">
        <v>199.44</v>
      </c>
      <c r="H42" s="71">
        <f>SUM(F42*G42/1000)</f>
        <v>9.9719999999999995</v>
      </c>
      <c r="I42" s="13">
        <v>0</v>
      </c>
      <c r="J42" s="23"/>
      <c r="L42" s="19"/>
      <c r="M42" s="20"/>
      <c r="N42" s="21"/>
    </row>
    <row r="43" spans="1:14" ht="15" customHeight="1">
      <c r="A43" s="29">
        <v>9</v>
      </c>
      <c r="B43" s="67" t="s">
        <v>70</v>
      </c>
      <c r="C43" s="68" t="s">
        <v>29</v>
      </c>
      <c r="D43" s="67" t="s">
        <v>128</v>
      </c>
      <c r="E43" s="70">
        <v>68</v>
      </c>
      <c r="F43" s="70">
        <f>SUM(E43*155/1000)</f>
        <v>10.54</v>
      </c>
      <c r="G43" s="70">
        <v>350.75</v>
      </c>
      <c r="H43" s="71">
        <f t="shared" si="3"/>
        <v>3.6969049999999997</v>
      </c>
      <c r="I43" s="13">
        <f>F43/6*G43</f>
        <v>616.15083333333325</v>
      </c>
      <c r="J43" s="23"/>
      <c r="L43" s="19"/>
      <c r="M43" s="20"/>
      <c r="N43" s="21"/>
    </row>
    <row r="44" spans="1:14" ht="47.25" customHeight="1">
      <c r="A44" s="29">
        <v>10</v>
      </c>
      <c r="B44" s="67" t="s">
        <v>86</v>
      </c>
      <c r="C44" s="68" t="s">
        <v>122</v>
      </c>
      <c r="D44" s="67" t="s">
        <v>146</v>
      </c>
      <c r="E44" s="70">
        <v>68</v>
      </c>
      <c r="F44" s="70">
        <f>SUM(E44*24/1000)</f>
        <v>1.6319999999999999</v>
      </c>
      <c r="G44" s="70">
        <v>5803.28</v>
      </c>
      <c r="H44" s="71">
        <f t="shared" si="3"/>
        <v>9.4709529599999982</v>
      </c>
      <c r="I44" s="13">
        <f>F44/6*G44</f>
        <v>1578.4921599999998</v>
      </c>
      <c r="J44" s="23"/>
      <c r="L44" s="19"/>
      <c r="M44" s="20"/>
      <c r="N44" s="21"/>
    </row>
    <row r="45" spans="1:14" ht="15" customHeight="1">
      <c r="A45" s="29">
        <v>11</v>
      </c>
      <c r="B45" s="67" t="s">
        <v>129</v>
      </c>
      <c r="C45" s="68" t="s">
        <v>122</v>
      </c>
      <c r="D45" s="67" t="s">
        <v>71</v>
      </c>
      <c r="E45" s="70">
        <v>68</v>
      </c>
      <c r="F45" s="70">
        <f>SUM(E45*45/1000)</f>
        <v>3.06</v>
      </c>
      <c r="G45" s="70">
        <v>428.7</v>
      </c>
      <c r="H45" s="71">
        <f t="shared" si="3"/>
        <v>1.3118219999999998</v>
      </c>
      <c r="I45" s="13">
        <f>F45/7.5*G45</f>
        <v>174.90960000000001</v>
      </c>
      <c r="J45" s="23"/>
      <c r="L45" s="19"/>
      <c r="M45" s="20"/>
      <c r="N45" s="21"/>
    </row>
    <row r="46" spans="1:14" ht="15" customHeight="1">
      <c r="A46" s="29">
        <v>12</v>
      </c>
      <c r="B46" s="67" t="s">
        <v>72</v>
      </c>
      <c r="C46" s="68" t="s">
        <v>33</v>
      </c>
      <c r="D46" s="67"/>
      <c r="E46" s="69"/>
      <c r="F46" s="70">
        <v>0.9</v>
      </c>
      <c r="G46" s="70">
        <v>798</v>
      </c>
      <c r="H46" s="71">
        <f t="shared" si="3"/>
        <v>0.71820000000000006</v>
      </c>
      <c r="I46" s="13">
        <f>F46/7.5*G46</f>
        <v>95.76</v>
      </c>
      <c r="J46" s="23"/>
      <c r="L46" s="19"/>
      <c r="M46" s="20"/>
      <c r="N46" s="21"/>
    </row>
    <row r="47" spans="1:14" ht="15.75" customHeight="1">
      <c r="A47" s="136" t="s">
        <v>153</v>
      </c>
      <c r="B47" s="137"/>
      <c r="C47" s="137"/>
      <c r="D47" s="137"/>
      <c r="E47" s="137"/>
      <c r="F47" s="137"/>
      <c r="G47" s="137"/>
      <c r="H47" s="137"/>
      <c r="I47" s="138"/>
      <c r="J47" s="23"/>
      <c r="L47" s="19"/>
      <c r="M47" s="20"/>
      <c r="N47" s="21"/>
    </row>
    <row r="48" spans="1:14" ht="15" hidden="1" customHeight="1">
      <c r="A48" s="29"/>
      <c r="B48" s="67" t="s">
        <v>147</v>
      </c>
      <c r="C48" s="68" t="s">
        <v>122</v>
      </c>
      <c r="D48" s="67" t="s">
        <v>43</v>
      </c>
      <c r="E48" s="69">
        <v>1061.3</v>
      </c>
      <c r="F48" s="70">
        <f>SUM(E48*2/1000)</f>
        <v>2.1225999999999998</v>
      </c>
      <c r="G48" s="13">
        <v>809.74</v>
      </c>
      <c r="H48" s="71">
        <f t="shared" ref="H48:H57" si="4">SUM(F48*G48/1000)</f>
        <v>1.7187541239999997</v>
      </c>
      <c r="I48" s="13">
        <v>0</v>
      </c>
      <c r="J48" s="23"/>
      <c r="L48" s="19"/>
      <c r="M48" s="20"/>
      <c r="N48" s="21"/>
    </row>
    <row r="49" spans="1:22" ht="15" hidden="1" customHeight="1">
      <c r="A49" s="29"/>
      <c r="B49" s="67" t="s">
        <v>36</v>
      </c>
      <c r="C49" s="68" t="s">
        <v>122</v>
      </c>
      <c r="D49" s="67" t="s">
        <v>43</v>
      </c>
      <c r="E49" s="69">
        <v>52</v>
      </c>
      <c r="F49" s="70">
        <f>SUM(E49*2/1000)</f>
        <v>0.104</v>
      </c>
      <c r="G49" s="13">
        <v>579.48</v>
      </c>
      <c r="H49" s="71">
        <f t="shared" si="4"/>
        <v>6.0265920000000001E-2</v>
      </c>
      <c r="I49" s="13">
        <v>0</v>
      </c>
      <c r="J49" s="23"/>
      <c r="L49" s="19"/>
      <c r="M49" s="20"/>
      <c r="N49" s="21"/>
    </row>
    <row r="50" spans="1:22" ht="15" hidden="1" customHeight="1">
      <c r="A50" s="29"/>
      <c r="B50" s="67" t="s">
        <v>37</v>
      </c>
      <c r="C50" s="68" t="s">
        <v>122</v>
      </c>
      <c r="D50" s="67" t="s">
        <v>43</v>
      </c>
      <c r="E50" s="69">
        <v>1238.8</v>
      </c>
      <c r="F50" s="70">
        <f>SUM(E50*2/1000)</f>
        <v>2.4775999999999998</v>
      </c>
      <c r="G50" s="13">
        <v>579.48</v>
      </c>
      <c r="H50" s="71">
        <f t="shared" si="4"/>
        <v>1.4357196480000001</v>
      </c>
      <c r="I50" s="13">
        <v>0</v>
      </c>
      <c r="J50" s="23"/>
      <c r="L50" s="19"/>
      <c r="M50" s="20"/>
      <c r="N50" s="21"/>
    </row>
    <row r="51" spans="1:22" ht="15" hidden="1" customHeight="1">
      <c r="A51" s="29"/>
      <c r="B51" s="67" t="s">
        <v>38</v>
      </c>
      <c r="C51" s="68" t="s">
        <v>122</v>
      </c>
      <c r="D51" s="67" t="s">
        <v>43</v>
      </c>
      <c r="E51" s="69">
        <v>1794.01</v>
      </c>
      <c r="F51" s="70">
        <f>SUM(E51*2/1000)</f>
        <v>3.5880199999999998</v>
      </c>
      <c r="G51" s="13">
        <v>606.77</v>
      </c>
      <c r="H51" s="71">
        <f t="shared" si="4"/>
        <v>2.1771028954</v>
      </c>
      <c r="I51" s="13">
        <v>0</v>
      </c>
      <c r="J51" s="23"/>
      <c r="L51" s="19"/>
      <c r="M51" s="20"/>
      <c r="N51" s="21"/>
    </row>
    <row r="52" spans="1:22" ht="15" hidden="1" customHeight="1">
      <c r="A52" s="29"/>
      <c r="B52" s="67" t="s">
        <v>34</v>
      </c>
      <c r="C52" s="68" t="s">
        <v>35</v>
      </c>
      <c r="D52" s="67" t="s">
        <v>160</v>
      </c>
      <c r="E52" s="69">
        <v>85.78</v>
      </c>
      <c r="F52" s="70">
        <f>SUM(E52*2/100)</f>
        <v>1.7156</v>
      </c>
      <c r="G52" s="13">
        <v>72.81</v>
      </c>
      <c r="H52" s="71">
        <f t="shared" si="4"/>
        <v>0.124912836</v>
      </c>
      <c r="I52" s="13">
        <v>0</v>
      </c>
      <c r="J52" s="23"/>
      <c r="L52" s="19"/>
      <c r="M52" s="20"/>
      <c r="N52" s="21"/>
    </row>
    <row r="53" spans="1:22" ht="15" customHeight="1">
      <c r="A53" s="29">
        <v>13</v>
      </c>
      <c r="B53" s="67" t="s">
        <v>58</v>
      </c>
      <c r="C53" s="68" t="s">
        <v>122</v>
      </c>
      <c r="D53" s="67" t="s">
        <v>180</v>
      </c>
      <c r="E53" s="69">
        <v>884</v>
      </c>
      <c r="F53" s="70">
        <f>SUM(E53*5/1000)</f>
        <v>4.42</v>
      </c>
      <c r="G53" s="13">
        <v>1213.55</v>
      </c>
      <c r="H53" s="71">
        <f t="shared" si="4"/>
        <v>5.3638909999999997</v>
      </c>
      <c r="I53" s="13">
        <f>F53/5*G53</f>
        <v>1072.7782</v>
      </c>
      <c r="J53" s="23"/>
      <c r="L53" s="19"/>
      <c r="M53" s="20"/>
      <c r="N53" s="21"/>
    </row>
    <row r="54" spans="1:22" ht="31.5" hidden="1" customHeight="1">
      <c r="A54" s="29"/>
      <c r="B54" s="67" t="s">
        <v>130</v>
      </c>
      <c r="C54" s="68" t="s">
        <v>122</v>
      </c>
      <c r="D54" s="67" t="s">
        <v>43</v>
      </c>
      <c r="E54" s="69">
        <v>884</v>
      </c>
      <c r="F54" s="70">
        <f>SUM(E54*2/1000)</f>
        <v>1.768</v>
      </c>
      <c r="G54" s="13">
        <v>1213.55</v>
      </c>
      <c r="H54" s="71">
        <f t="shared" si="4"/>
        <v>2.1455563999999998</v>
      </c>
      <c r="I54" s="13">
        <v>0</v>
      </c>
      <c r="J54" s="23"/>
      <c r="L54" s="19"/>
      <c r="M54" s="20"/>
      <c r="N54" s="21"/>
    </row>
    <row r="55" spans="1:22" ht="31.5" hidden="1" customHeight="1">
      <c r="A55" s="29"/>
      <c r="B55" s="67" t="s">
        <v>131</v>
      </c>
      <c r="C55" s="68" t="s">
        <v>39</v>
      </c>
      <c r="D55" s="67" t="s">
        <v>43</v>
      </c>
      <c r="E55" s="69">
        <v>20</v>
      </c>
      <c r="F55" s="70">
        <f>SUM(E55*2/100)</f>
        <v>0.4</v>
      </c>
      <c r="G55" s="13">
        <v>2730.49</v>
      </c>
      <c r="H55" s="71">
        <f t="shared" si="4"/>
        <v>1.0921959999999999</v>
      </c>
      <c r="I55" s="13">
        <v>0</v>
      </c>
      <c r="J55" s="23"/>
      <c r="L55" s="19"/>
      <c r="M55" s="20"/>
      <c r="N55" s="21"/>
    </row>
    <row r="56" spans="1:22" ht="15" hidden="1" customHeight="1">
      <c r="A56" s="29"/>
      <c r="B56" s="67" t="s">
        <v>40</v>
      </c>
      <c r="C56" s="68" t="s">
        <v>41</v>
      </c>
      <c r="D56" s="67" t="s">
        <v>43</v>
      </c>
      <c r="E56" s="69">
        <v>1</v>
      </c>
      <c r="F56" s="70">
        <v>0.02</v>
      </c>
      <c r="G56" s="13">
        <v>5652.13</v>
      </c>
      <c r="H56" s="71">
        <f t="shared" si="4"/>
        <v>0.11304260000000001</v>
      </c>
      <c r="I56" s="13">
        <v>0</v>
      </c>
      <c r="J56" s="23"/>
      <c r="L56" s="19"/>
      <c r="M56" s="20"/>
      <c r="N56" s="21"/>
    </row>
    <row r="57" spans="1:22" ht="15" customHeight="1">
      <c r="A57" s="29">
        <v>14</v>
      </c>
      <c r="B57" s="67" t="s">
        <v>42</v>
      </c>
      <c r="C57" s="68" t="s">
        <v>30</v>
      </c>
      <c r="D57" s="67" t="s">
        <v>73</v>
      </c>
      <c r="E57" s="69">
        <v>136</v>
      </c>
      <c r="F57" s="70">
        <f>SUM(E57)*3</f>
        <v>408</v>
      </c>
      <c r="G57" s="13">
        <v>65.67</v>
      </c>
      <c r="H57" s="71">
        <f t="shared" si="4"/>
        <v>26.79336</v>
      </c>
      <c r="I57" s="13">
        <f>E57*G57</f>
        <v>8931.1200000000008</v>
      </c>
      <c r="J57" s="23"/>
      <c r="L57" s="19"/>
      <c r="M57" s="20"/>
      <c r="N57" s="21"/>
    </row>
    <row r="58" spans="1:22" ht="15.75" customHeight="1">
      <c r="A58" s="136" t="s">
        <v>154</v>
      </c>
      <c r="B58" s="137"/>
      <c r="C58" s="137"/>
      <c r="D58" s="137"/>
      <c r="E58" s="137"/>
      <c r="F58" s="137"/>
      <c r="G58" s="137"/>
      <c r="H58" s="137"/>
      <c r="I58" s="138"/>
      <c r="J58" s="23"/>
      <c r="L58" s="19"/>
      <c r="M58" s="20"/>
      <c r="N58" s="21"/>
    </row>
    <row r="59" spans="1:22" ht="15" customHeight="1">
      <c r="A59" s="29"/>
      <c r="B59" s="90" t="s">
        <v>44</v>
      </c>
      <c r="C59" s="68"/>
      <c r="D59" s="67"/>
      <c r="E59" s="69"/>
      <c r="F59" s="70"/>
      <c r="G59" s="70"/>
      <c r="H59" s="71"/>
      <c r="I59" s="13"/>
      <c r="J59" s="23"/>
      <c r="L59" s="19"/>
      <c r="M59" s="20"/>
      <c r="N59" s="21"/>
    </row>
    <row r="60" spans="1:22" ht="31.5" customHeight="1">
      <c r="A60" s="29">
        <v>15</v>
      </c>
      <c r="B60" s="67" t="s">
        <v>133</v>
      </c>
      <c r="C60" s="68" t="s">
        <v>104</v>
      </c>
      <c r="D60" s="67" t="s">
        <v>237</v>
      </c>
      <c r="E60" s="69">
        <v>106.13</v>
      </c>
      <c r="F60" s="70">
        <f>E60*6/100</f>
        <v>6.3677999999999999</v>
      </c>
      <c r="G60" s="78">
        <v>1547.28</v>
      </c>
      <c r="H60" s="71">
        <f>F60*G60/1000</f>
        <v>9.8527695839999989</v>
      </c>
      <c r="I60" s="13">
        <f>G60*0.272</f>
        <v>420.86016000000001</v>
      </c>
      <c r="J60" s="23"/>
      <c r="L60" s="19"/>
    </row>
    <row r="61" spans="1:22" ht="15" customHeight="1">
      <c r="A61" s="29"/>
      <c r="B61" s="91" t="s">
        <v>45</v>
      </c>
      <c r="C61" s="79"/>
      <c r="D61" s="80"/>
      <c r="E61" s="81"/>
      <c r="F61" s="82"/>
      <c r="G61" s="83"/>
      <c r="H61" s="92"/>
      <c r="I61" s="13"/>
    </row>
    <row r="62" spans="1:22" ht="15" hidden="1" customHeight="1">
      <c r="A62" s="29"/>
      <c r="B62" s="80" t="s">
        <v>46</v>
      </c>
      <c r="C62" s="79" t="s">
        <v>54</v>
      </c>
      <c r="D62" s="80" t="s">
        <v>55</v>
      </c>
      <c r="E62" s="81">
        <v>884</v>
      </c>
      <c r="F62" s="82">
        <f>E62/100</f>
        <v>8.84</v>
      </c>
      <c r="G62" s="70">
        <v>793.61</v>
      </c>
      <c r="H62" s="92">
        <f>G62*F62/1000</f>
        <v>7.0155123999999995</v>
      </c>
      <c r="I62" s="13">
        <v>0</v>
      </c>
    </row>
    <row r="63" spans="1:22" ht="15" customHeight="1">
      <c r="A63" s="29">
        <v>16</v>
      </c>
      <c r="B63" s="109" t="s">
        <v>100</v>
      </c>
      <c r="C63" s="110" t="s">
        <v>25</v>
      </c>
      <c r="D63" s="109"/>
      <c r="E63" s="111">
        <v>100</v>
      </c>
      <c r="F63" s="112">
        <f>E63*12</f>
        <v>1200</v>
      </c>
      <c r="G63" s="113">
        <v>1.2</v>
      </c>
      <c r="H63" s="114">
        <f>G63*F63</f>
        <v>1440</v>
      </c>
      <c r="I63" s="13">
        <f>F63/12*G63</f>
        <v>120</v>
      </c>
    </row>
    <row r="64" spans="1:22" ht="15" customHeight="1">
      <c r="A64" s="29"/>
      <c r="B64" s="91" t="s">
        <v>47</v>
      </c>
      <c r="C64" s="79"/>
      <c r="D64" s="80"/>
      <c r="E64" s="81"/>
      <c r="F64" s="82"/>
      <c r="G64" s="70"/>
      <c r="H64" s="92" t="s">
        <v>140</v>
      </c>
      <c r="I64" s="1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9"/>
    </row>
    <row r="65" spans="1:21" ht="15" customHeight="1">
      <c r="A65" s="29">
        <v>17</v>
      </c>
      <c r="B65" s="14" t="s">
        <v>48</v>
      </c>
      <c r="C65" s="16" t="s">
        <v>132</v>
      </c>
      <c r="D65" s="14" t="s">
        <v>69</v>
      </c>
      <c r="E65" s="18">
        <v>20</v>
      </c>
      <c r="F65" s="70">
        <v>20</v>
      </c>
      <c r="G65" s="94">
        <v>222.4</v>
      </c>
      <c r="H65" s="93">
        <f t="shared" ref="H65:H80" si="5">SUM(F65*G65/1000)</f>
        <v>4.4480000000000004</v>
      </c>
      <c r="I65" s="13">
        <f>G65*7</f>
        <v>1556.8</v>
      </c>
      <c r="J65" s="25"/>
      <c r="K65" s="25"/>
      <c r="L65" s="3"/>
      <c r="M65" s="3"/>
      <c r="N65" s="3"/>
      <c r="O65" s="3"/>
      <c r="P65" s="3"/>
      <c r="Q65" s="3"/>
      <c r="R65" s="3"/>
      <c r="S65" s="3"/>
      <c r="T65" s="3"/>
      <c r="U65" s="3"/>
    </row>
    <row r="66" spans="1:21" ht="15" hidden="1" customHeight="1">
      <c r="A66" s="29">
        <v>17</v>
      </c>
      <c r="B66" s="14" t="s">
        <v>49</v>
      </c>
      <c r="C66" s="16" t="s">
        <v>132</v>
      </c>
      <c r="D66" s="14" t="s">
        <v>69</v>
      </c>
      <c r="E66" s="14" t="s">
        <v>69</v>
      </c>
      <c r="F66" s="14" t="s">
        <v>69</v>
      </c>
      <c r="G66" s="13">
        <v>76.25</v>
      </c>
      <c r="H66" s="84" t="e">
        <f t="shared" si="5"/>
        <v>#VALUE!</v>
      </c>
      <c r="I66" s="13">
        <f>G66</f>
        <v>76.25</v>
      </c>
      <c r="J66" s="3"/>
      <c r="K66" s="3"/>
      <c r="L66" s="3"/>
      <c r="M66" s="3"/>
      <c r="N66" s="3"/>
      <c r="O66" s="3"/>
      <c r="P66" s="3"/>
      <c r="Q66" s="3"/>
      <c r="S66" s="3"/>
      <c r="T66" s="3"/>
      <c r="U66" s="3"/>
    </row>
    <row r="67" spans="1:21" ht="15" hidden="1" customHeight="1">
      <c r="A67" s="29"/>
      <c r="B67" s="14" t="s">
        <v>50</v>
      </c>
      <c r="C67" s="16" t="s">
        <v>134</v>
      </c>
      <c r="D67" s="14" t="s">
        <v>55</v>
      </c>
      <c r="E67" s="69">
        <v>12647</v>
      </c>
      <c r="F67" s="13">
        <f>SUM(E67/100)</f>
        <v>126.47</v>
      </c>
      <c r="G67" s="13">
        <v>212.15</v>
      </c>
      <c r="H67" s="84">
        <f t="shared" si="5"/>
        <v>26.830610499999999</v>
      </c>
      <c r="I67" s="13">
        <f>F67*G67</f>
        <v>26830.610499999999</v>
      </c>
      <c r="J67" s="5"/>
      <c r="K67" s="5"/>
      <c r="L67" s="5"/>
      <c r="M67" s="5"/>
      <c r="N67" s="5"/>
      <c r="O67" s="5"/>
      <c r="P67" s="5"/>
      <c r="Q67" s="5"/>
      <c r="R67" s="124"/>
      <c r="S67" s="124"/>
      <c r="T67" s="124"/>
      <c r="U67" s="124"/>
    </row>
    <row r="68" spans="1:21" ht="15" hidden="1" customHeight="1">
      <c r="A68" s="29"/>
      <c r="B68" s="14" t="s">
        <v>51</v>
      </c>
      <c r="C68" s="16" t="s">
        <v>135</v>
      </c>
      <c r="D68" s="14"/>
      <c r="E68" s="69">
        <v>12647</v>
      </c>
      <c r="F68" s="13">
        <f>SUM(E68/1000)</f>
        <v>12.647</v>
      </c>
      <c r="G68" s="13">
        <v>165.21</v>
      </c>
      <c r="H68" s="84">
        <f t="shared" si="5"/>
        <v>2.08941087</v>
      </c>
      <c r="I68" s="13">
        <f t="shared" ref="I68:I72" si="6">F68*G68</f>
        <v>2089.4108700000002</v>
      </c>
    </row>
    <row r="69" spans="1:21" ht="15" hidden="1" customHeight="1">
      <c r="A69" s="29"/>
      <c r="B69" s="14" t="s">
        <v>52</v>
      </c>
      <c r="C69" s="16" t="s">
        <v>80</v>
      </c>
      <c r="D69" s="14" t="s">
        <v>55</v>
      </c>
      <c r="E69" s="69">
        <v>1900</v>
      </c>
      <c r="F69" s="13">
        <f>SUM(E69/100)</f>
        <v>19</v>
      </c>
      <c r="G69" s="13">
        <v>2074.63</v>
      </c>
      <c r="H69" s="84">
        <f t="shared" si="5"/>
        <v>39.417970000000004</v>
      </c>
      <c r="I69" s="13">
        <f t="shared" si="6"/>
        <v>39417.97</v>
      </c>
    </row>
    <row r="70" spans="1:21" ht="15" hidden="1" customHeight="1">
      <c r="A70" s="29"/>
      <c r="B70" s="85" t="s">
        <v>136</v>
      </c>
      <c r="C70" s="16" t="s">
        <v>33</v>
      </c>
      <c r="D70" s="14"/>
      <c r="E70" s="69">
        <v>11.3</v>
      </c>
      <c r="F70" s="13">
        <f>SUM(E70)</f>
        <v>11.3</v>
      </c>
      <c r="G70" s="13">
        <v>42.67</v>
      </c>
      <c r="H70" s="84">
        <f t="shared" si="5"/>
        <v>0.48217100000000007</v>
      </c>
      <c r="I70" s="13">
        <f t="shared" si="6"/>
        <v>482.17100000000005</v>
      </c>
    </row>
    <row r="71" spans="1:21" ht="15" hidden="1" customHeight="1">
      <c r="A71" s="29"/>
      <c r="B71" s="85" t="s">
        <v>137</v>
      </c>
      <c r="C71" s="16" t="s">
        <v>33</v>
      </c>
      <c r="D71" s="14"/>
      <c r="E71" s="69">
        <v>11.3</v>
      </c>
      <c r="F71" s="13">
        <f>SUM(E71)</f>
        <v>11.3</v>
      </c>
      <c r="G71" s="13">
        <v>39.81</v>
      </c>
      <c r="H71" s="84">
        <f t="shared" si="5"/>
        <v>0.44985300000000006</v>
      </c>
      <c r="I71" s="13">
        <f t="shared" si="6"/>
        <v>449.85300000000007</v>
      </c>
    </row>
    <row r="72" spans="1:21" ht="15" hidden="1" customHeight="1">
      <c r="A72" s="29"/>
      <c r="B72" s="14" t="s">
        <v>59</v>
      </c>
      <c r="C72" s="16" t="s">
        <v>60</v>
      </c>
      <c r="D72" s="14" t="s">
        <v>55</v>
      </c>
      <c r="E72" s="18">
        <v>6</v>
      </c>
      <c r="F72" s="70">
        <f>SUM(E72)</f>
        <v>6</v>
      </c>
      <c r="G72" s="13">
        <v>49.88</v>
      </c>
      <c r="H72" s="84">
        <f t="shared" si="5"/>
        <v>0.29928000000000005</v>
      </c>
      <c r="I72" s="13">
        <f t="shared" si="6"/>
        <v>299.28000000000003</v>
      </c>
    </row>
    <row r="73" spans="1:21" ht="15" hidden="1" customHeight="1">
      <c r="A73" s="29"/>
      <c r="B73" s="57" t="s">
        <v>75</v>
      </c>
      <c r="C73" s="16"/>
      <c r="D73" s="14"/>
      <c r="E73" s="18"/>
      <c r="F73" s="13"/>
      <c r="G73" s="13"/>
      <c r="H73" s="84" t="s">
        <v>140</v>
      </c>
      <c r="I73" s="13"/>
    </row>
    <row r="74" spans="1:21" ht="15" hidden="1" customHeight="1">
      <c r="A74" s="29">
        <v>18</v>
      </c>
      <c r="B74" s="14" t="s">
        <v>76</v>
      </c>
      <c r="C74" s="16" t="s">
        <v>31</v>
      </c>
      <c r="D74" s="14"/>
      <c r="E74" s="18">
        <v>5</v>
      </c>
      <c r="F74" s="61">
        <v>0.5</v>
      </c>
      <c r="G74" s="13">
        <v>501.62</v>
      </c>
      <c r="H74" s="84">
        <v>0.251</v>
      </c>
      <c r="I74" s="13">
        <f>G74*0.2</f>
        <v>100.32400000000001</v>
      </c>
    </row>
    <row r="75" spans="1:21" ht="15" hidden="1" customHeight="1">
      <c r="A75" s="29"/>
      <c r="B75" s="14" t="s">
        <v>148</v>
      </c>
      <c r="C75" s="16" t="s">
        <v>30</v>
      </c>
      <c r="D75" s="14"/>
      <c r="E75" s="18">
        <v>2</v>
      </c>
      <c r="F75" s="13">
        <v>2</v>
      </c>
      <c r="G75" s="13">
        <v>99.85</v>
      </c>
      <c r="H75" s="84">
        <v>0.1</v>
      </c>
      <c r="I75" s="13">
        <v>0</v>
      </c>
    </row>
    <row r="76" spans="1:21" ht="15" hidden="1" customHeight="1">
      <c r="A76" s="29"/>
      <c r="B76" s="14" t="s">
        <v>149</v>
      </c>
      <c r="C76" s="16" t="s">
        <v>30</v>
      </c>
      <c r="D76" s="14"/>
      <c r="E76" s="18">
        <v>1</v>
      </c>
      <c r="F76" s="61">
        <v>1</v>
      </c>
      <c r="G76" s="13">
        <v>120.26</v>
      </c>
      <c r="H76" s="84">
        <v>0.12</v>
      </c>
      <c r="I76" s="13">
        <v>0</v>
      </c>
    </row>
    <row r="77" spans="1:21" ht="15" hidden="1" customHeight="1">
      <c r="A77" s="29"/>
      <c r="B77" s="14" t="s">
        <v>91</v>
      </c>
      <c r="C77" s="16" t="s">
        <v>30</v>
      </c>
      <c r="D77" s="14"/>
      <c r="E77" s="18">
        <v>1</v>
      </c>
      <c r="F77" s="70">
        <f>SUM(E77)</f>
        <v>1</v>
      </c>
      <c r="G77" s="13">
        <v>358.51</v>
      </c>
      <c r="H77" s="84">
        <f t="shared" si="5"/>
        <v>0.35851</v>
      </c>
      <c r="I77" s="13">
        <v>0</v>
      </c>
    </row>
    <row r="78" spans="1:21" ht="15" hidden="1" customHeight="1">
      <c r="A78" s="29"/>
      <c r="B78" s="14" t="s">
        <v>77</v>
      </c>
      <c r="C78" s="16" t="s">
        <v>30</v>
      </c>
      <c r="D78" s="14"/>
      <c r="E78" s="18">
        <v>1</v>
      </c>
      <c r="F78" s="13">
        <v>1</v>
      </c>
      <c r="G78" s="13">
        <v>852.99</v>
      </c>
      <c r="H78" s="84">
        <f>F78*G78/1000</f>
        <v>0.85299000000000003</v>
      </c>
      <c r="I78" s="13">
        <v>0</v>
      </c>
    </row>
    <row r="79" spans="1:21" ht="15" hidden="1" customHeight="1">
      <c r="A79" s="29"/>
      <c r="B79" s="86" t="s">
        <v>79</v>
      </c>
      <c r="C79" s="16"/>
      <c r="D79" s="14"/>
      <c r="E79" s="18"/>
      <c r="F79" s="13"/>
      <c r="G79" s="13" t="s">
        <v>140</v>
      </c>
      <c r="H79" s="84" t="s">
        <v>140</v>
      </c>
      <c r="I79" s="13"/>
    </row>
    <row r="80" spans="1:21" ht="15" hidden="1" customHeight="1">
      <c r="A80" s="29"/>
      <c r="B80" s="44" t="s">
        <v>141</v>
      </c>
      <c r="C80" s="16" t="s">
        <v>80</v>
      </c>
      <c r="D80" s="14"/>
      <c r="E80" s="18"/>
      <c r="F80" s="13">
        <v>0.2</v>
      </c>
      <c r="G80" s="13">
        <v>2759.44</v>
      </c>
      <c r="H80" s="84">
        <f t="shared" si="5"/>
        <v>0.55188800000000005</v>
      </c>
      <c r="I80" s="13">
        <v>0</v>
      </c>
    </row>
    <row r="81" spans="1:9" ht="15" hidden="1" customHeight="1">
      <c r="A81" s="29"/>
      <c r="B81" s="74" t="s">
        <v>138</v>
      </c>
      <c r="C81" s="86"/>
      <c r="D81" s="31"/>
      <c r="E81" s="32"/>
      <c r="F81" s="75"/>
      <c r="G81" s="75"/>
      <c r="H81" s="87" t="e">
        <f>SUM(H60:H80)</f>
        <v>#VALUE!</v>
      </c>
      <c r="I81" s="75"/>
    </row>
    <row r="82" spans="1:9" ht="15" hidden="1" customHeight="1">
      <c r="A82" s="29"/>
      <c r="B82" s="67" t="s">
        <v>139</v>
      </c>
      <c r="C82" s="16"/>
      <c r="D82" s="14"/>
      <c r="E82" s="62"/>
      <c r="F82" s="13">
        <v>1</v>
      </c>
      <c r="G82" s="13">
        <v>13437.4</v>
      </c>
      <c r="H82" s="84">
        <f>G82*F82/1000</f>
        <v>13.4374</v>
      </c>
      <c r="I82" s="13">
        <v>0</v>
      </c>
    </row>
    <row r="83" spans="1:9" ht="15.75" customHeight="1">
      <c r="A83" s="125" t="s">
        <v>155</v>
      </c>
      <c r="B83" s="126"/>
      <c r="C83" s="126"/>
      <c r="D83" s="126"/>
      <c r="E83" s="126"/>
      <c r="F83" s="126"/>
      <c r="G83" s="126"/>
      <c r="H83" s="126"/>
      <c r="I83" s="127"/>
    </row>
    <row r="84" spans="1:9" ht="15" customHeight="1">
      <c r="A84" s="29">
        <v>18</v>
      </c>
      <c r="B84" s="67" t="s">
        <v>142</v>
      </c>
      <c r="C84" s="16" t="s">
        <v>56</v>
      </c>
      <c r="D84" s="88" t="s">
        <v>57</v>
      </c>
      <c r="E84" s="13">
        <v>3031.3</v>
      </c>
      <c r="F84" s="13">
        <f>SUM(E84*12)</f>
        <v>36375.600000000006</v>
      </c>
      <c r="G84" s="13">
        <v>2.1</v>
      </c>
      <c r="H84" s="84">
        <f>SUM(F84*G84/1000)</f>
        <v>76.388760000000005</v>
      </c>
      <c r="I84" s="13">
        <f>F84/12*G84</f>
        <v>6365.7300000000014</v>
      </c>
    </row>
    <row r="85" spans="1:9" ht="31.5" customHeight="1">
      <c r="A85" s="29">
        <v>19</v>
      </c>
      <c r="B85" s="14" t="s">
        <v>81</v>
      </c>
      <c r="C85" s="16"/>
      <c r="D85" s="88" t="s">
        <v>57</v>
      </c>
      <c r="E85" s="69">
        <f>E84</f>
        <v>3031.3</v>
      </c>
      <c r="F85" s="13">
        <f>E85*12</f>
        <v>36375.600000000006</v>
      </c>
      <c r="G85" s="13">
        <v>1.63</v>
      </c>
      <c r="H85" s="84">
        <f>F85*G85/1000</f>
        <v>59.292228000000001</v>
      </c>
      <c r="I85" s="13">
        <f>F85/12*G85</f>
        <v>4941.0190000000011</v>
      </c>
    </row>
    <row r="86" spans="1:9" ht="15.75" customHeight="1">
      <c r="A86" s="45"/>
      <c r="B86" s="36" t="s">
        <v>83</v>
      </c>
      <c r="C86" s="37"/>
      <c r="D86" s="15"/>
      <c r="E86" s="15"/>
      <c r="F86" s="15"/>
      <c r="G86" s="18"/>
      <c r="H86" s="18"/>
      <c r="I86" s="32">
        <f>I16+I17+I18+I27+I28+I39+I40+I41+I43+I44+I45+I46+I53+I57+I60+I63+I65+I84+I85</f>
        <v>54989.184207333339</v>
      </c>
    </row>
    <row r="87" spans="1:9" ht="15.75" customHeight="1">
      <c r="A87" s="139" t="s">
        <v>62</v>
      </c>
      <c r="B87" s="140"/>
      <c r="C87" s="140"/>
      <c r="D87" s="140"/>
      <c r="E87" s="140"/>
      <c r="F87" s="140"/>
      <c r="G87" s="140"/>
      <c r="H87" s="140"/>
      <c r="I87" s="141"/>
    </row>
    <row r="88" spans="1:9" ht="31.5" customHeight="1">
      <c r="A88" s="29">
        <v>20</v>
      </c>
      <c r="B88" s="49" t="s">
        <v>92</v>
      </c>
      <c r="C88" s="51" t="s">
        <v>96</v>
      </c>
      <c r="D88" s="14"/>
      <c r="E88" s="18"/>
      <c r="F88" s="13">
        <v>1</v>
      </c>
      <c r="G88" s="13">
        <v>613.44000000000005</v>
      </c>
      <c r="H88" s="84">
        <f t="shared" ref="H88:H89" si="7">G88*F88/1000</f>
        <v>0.6134400000000001</v>
      </c>
      <c r="I88" s="13">
        <f>G88</f>
        <v>613.44000000000005</v>
      </c>
    </row>
    <row r="89" spans="1:9" ht="31.5" customHeight="1">
      <c r="A89" s="29">
        <v>21</v>
      </c>
      <c r="B89" s="49" t="s">
        <v>151</v>
      </c>
      <c r="C89" s="51" t="s">
        <v>39</v>
      </c>
      <c r="D89" s="44"/>
      <c r="E89" s="13"/>
      <c r="F89" s="13">
        <v>0.01</v>
      </c>
      <c r="G89" s="13">
        <v>3724.37</v>
      </c>
      <c r="H89" s="84">
        <f t="shared" si="7"/>
        <v>3.7243699999999998E-2</v>
      </c>
      <c r="I89" s="115">
        <f>G89*0.01</f>
        <v>37.243699999999997</v>
      </c>
    </row>
    <row r="90" spans="1:9" ht="15.75" customHeight="1">
      <c r="A90" s="29"/>
      <c r="B90" s="42" t="s">
        <v>53</v>
      </c>
      <c r="C90" s="38"/>
      <c r="D90" s="46"/>
      <c r="E90" s="38">
        <v>1</v>
      </c>
      <c r="F90" s="38"/>
      <c r="G90" s="38"/>
      <c r="H90" s="38"/>
      <c r="I90" s="32">
        <f>SUM(I88:I89)</f>
        <v>650.68370000000004</v>
      </c>
    </row>
    <row r="91" spans="1:9" ht="15.75" customHeight="1">
      <c r="A91" s="29"/>
      <c r="B91" s="44" t="s">
        <v>82</v>
      </c>
      <c r="C91" s="15"/>
      <c r="D91" s="15"/>
      <c r="E91" s="39"/>
      <c r="F91" s="39"/>
      <c r="G91" s="40"/>
      <c r="H91" s="40"/>
      <c r="I91" s="17">
        <v>0</v>
      </c>
    </row>
    <row r="92" spans="1:9" ht="15.75" customHeight="1">
      <c r="A92" s="47"/>
      <c r="B92" s="43" t="s">
        <v>192</v>
      </c>
      <c r="C92" s="33"/>
      <c r="D92" s="33"/>
      <c r="E92" s="33"/>
      <c r="F92" s="33"/>
      <c r="G92" s="33"/>
      <c r="H92" s="33"/>
      <c r="I92" s="41">
        <f>I86+I90</f>
        <v>55639.867907333341</v>
      </c>
    </row>
    <row r="93" spans="1:9" ht="15.75">
      <c r="A93" s="142" t="s">
        <v>238</v>
      </c>
      <c r="B93" s="142"/>
      <c r="C93" s="142"/>
      <c r="D93" s="142"/>
      <c r="E93" s="142"/>
      <c r="F93" s="142"/>
      <c r="G93" s="142"/>
      <c r="H93" s="142"/>
      <c r="I93" s="142"/>
    </row>
    <row r="94" spans="1:9" ht="15.75">
      <c r="A94" s="60"/>
      <c r="B94" s="143" t="s">
        <v>239</v>
      </c>
      <c r="C94" s="143"/>
      <c r="D94" s="143"/>
      <c r="E94" s="143"/>
      <c r="F94" s="143"/>
      <c r="G94" s="143"/>
      <c r="H94" s="65"/>
      <c r="I94" s="3"/>
    </row>
    <row r="95" spans="1:9">
      <c r="A95" s="56"/>
      <c r="B95" s="144" t="s">
        <v>6</v>
      </c>
      <c r="C95" s="144"/>
      <c r="D95" s="144"/>
      <c r="E95" s="144"/>
      <c r="F95" s="144"/>
      <c r="G95" s="144"/>
      <c r="H95" s="24"/>
      <c r="I95" s="5"/>
    </row>
    <row r="96" spans="1:9">
      <c r="A96" s="10"/>
      <c r="B96" s="10"/>
      <c r="C96" s="10"/>
      <c r="D96" s="10"/>
      <c r="E96" s="10"/>
      <c r="F96" s="10"/>
      <c r="G96" s="10"/>
      <c r="H96" s="10"/>
      <c r="I96" s="10"/>
    </row>
    <row r="97" spans="1:9" ht="15.75">
      <c r="A97" s="145" t="s">
        <v>7</v>
      </c>
      <c r="B97" s="145"/>
      <c r="C97" s="145"/>
      <c r="D97" s="145"/>
      <c r="E97" s="145"/>
      <c r="F97" s="145"/>
      <c r="G97" s="145"/>
      <c r="H97" s="145"/>
      <c r="I97" s="145"/>
    </row>
    <row r="98" spans="1:9" ht="15.75">
      <c r="A98" s="145" t="s">
        <v>8</v>
      </c>
      <c r="B98" s="145"/>
      <c r="C98" s="145"/>
      <c r="D98" s="145"/>
      <c r="E98" s="145"/>
      <c r="F98" s="145"/>
      <c r="G98" s="145"/>
      <c r="H98" s="145"/>
      <c r="I98" s="145"/>
    </row>
    <row r="99" spans="1:9" ht="15.75">
      <c r="A99" s="134" t="s">
        <v>63</v>
      </c>
      <c r="B99" s="134"/>
      <c r="C99" s="134"/>
      <c r="D99" s="134"/>
      <c r="E99" s="134"/>
      <c r="F99" s="134"/>
      <c r="G99" s="134"/>
      <c r="H99" s="134"/>
      <c r="I99" s="134"/>
    </row>
    <row r="100" spans="1:9" ht="15.75">
      <c r="A100" s="11"/>
    </row>
    <row r="101" spans="1:9" ht="15.75">
      <c r="A101" s="147" t="s">
        <v>9</v>
      </c>
      <c r="B101" s="147"/>
      <c r="C101" s="147"/>
      <c r="D101" s="147"/>
      <c r="E101" s="147"/>
      <c r="F101" s="147"/>
      <c r="G101" s="147"/>
      <c r="H101" s="147"/>
      <c r="I101" s="147"/>
    </row>
    <row r="102" spans="1:9" ht="15.75">
      <c r="A102" s="4"/>
    </row>
    <row r="103" spans="1:9" ht="15.75">
      <c r="B103" s="59" t="s">
        <v>10</v>
      </c>
      <c r="C103" s="148" t="s">
        <v>93</v>
      </c>
      <c r="D103" s="148"/>
      <c r="E103" s="148"/>
      <c r="F103" s="63"/>
      <c r="I103" s="55"/>
    </row>
    <row r="104" spans="1:9">
      <c r="A104" s="56"/>
      <c r="C104" s="144" t="s">
        <v>11</v>
      </c>
      <c r="D104" s="144"/>
      <c r="E104" s="144"/>
      <c r="F104" s="24"/>
      <c r="I104" s="54" t="s">
        <v>12</v>
      </c>
    </row>
    <row r="105" spans="1:9" ht="15.75">
      <c r="A105" s="25"/>
      <c r="C105" s="12"/>
      <c r="D105" s="12"/>
      <c r="G105" s="12"/>
      <c r="H105" s="12"/>
    </row>
    <row r="106" spans="1:9" ht="15.75">
      <c r="B106" s="59" t="s">
        <v>13</v>
      </c>
      <c r="C106" s="149"/>
      <c r="D106" s="149"/>
      <c r="E106" s="149"/>
      <c r="F106" s="64"/>
      <c r="I106" s="55"/>
    </row>
    <row r="107" spans="1:9">
      <c r="A107" s="56"/>
      <c r="C107" s="124" t="s">
        <v>11</v>
      </c>
      <c r="D107" s="124"/>
      <c r="E107" s="124"/>
      <c r="F107" s="56"/>
      <c r="I107" s="54" t="s">
        <v>12</v>
      </c>
    </row>
    <row r="108" spans="1:9" ht="15.75">
      <c r="A108" s="4" t="s">
        <v>14</v>
      </c>
    </row>
    <row r="109" spans="1:9">
      <c r="A109" s="150" t="s">
        <v>15</v>
      </c>
      <c r="B109" s="150"/>
      <c r="C109" s="150"/>
      <c r="D109" s="150"/>
      <c r="E109" s="150"/>
      <c r="F109" s="150"/>
      <c r="G109" s="150"/>
      <c r="H109" s="150"/>
      <c r="I109" s="150"/>
    </row>
    <row r="110" spans="1:9" ht="45" customHeight="1">
      <c r="A110" s="146" t="s">
        <v>16</v>
      </c>
      <c r="B110" s="146"/>
      <c r="C110" s="146"/>
      <c r="D110" s="146"/>
      <c r="E110" s="146"/>
      <c r="F110" s="146"/>
      <c r="G110" s="146"/>
      <c r="H110" s="146"/>
      <c r="I110" s="146"/>
    </row>
    <row r="111" spans="1:9" ht="30" customHeight="1">
      <c r="A111" s="146" t="s">
        <v>17</v>
      </c>
      <c r="B111" s="146"/>
      <c r="C111" s="146"/>
      <c r="D111" s="146"/>
      <c r="E111" s="146"/>
      <c r="F111" s="146"/>
      <c r="G111" s="146"/>
      <c r="H111" s="146"/>
      <c r="I111" s="146"/>
    </row>
    <row r="112" spans="1:9" ht="30" customHeight="1">
      <c r="A112" s="146" t="s">
        <v>21</v>
      </c>
      <c r="B112" s="146"/>
      <c r="C112" s="146"/>
      <c r="D112" s="146"/>
      <c r="E112" s="146"/>
      <c r="F112" s="146"/>
      <c r="G112" s="146"/>
      <c r="H112" s="146"/>
      <c r="I112" s="146"/>
    </row>
    <row r="113" spans="1:9" ht="15.75">
      <c r="A113" s="146" t="s">
        <v>20</v>
      </c>
      <c r="B113" s="146"/>
      <c r="C113" s="146"/>
      <c r="D113" s="146"/>
      <c r="E113" s="146"/>
      <c r="F113" s="146"/>
      <c r="G113" s="146"/>
      <c r="H113" s="146"/>
      <c r="I113" s="146"/>
    </row>
  </sheetData>
  <autoFilter ref="I12:I62"/>
  <mergeCells count="29">
    <mergeCell ref="A110:I110"/>
    <mergeCell ref="A111:I111"/>
    <mergeCell ref="A112:I112"/>
    <mergeCell ref="A113:I113"/>
    <mergeCell ref="A101:I101"/>
    <mergeCell ref="C103:E103"/>
    <mergeCell ref="C104:E104"/>
    <mergeCell ref="C106:E106"/>
    <mergeCell ref="C107:E107"/>
    <mergeCell ref="A109:I109"/>
    <mergeCell ref="A99:I99"/>
    <mergeCell ref="A15:I15"/>
    <mergeCell ref="A29:I29"/>
    <mergeCell ref="A47:I47"/>
    <mergeCell ref="A58:I58"/>
    <mergeCell ref="A87:I87"/>
    <mergeCell ref="A93:I93"/>
    <mergeCell ref="B94:G94"/>
    <mergeCell ref="B95:G95"/>
    <mergeCell ref="A97:I97"/>
    <mergeCell ref="A98:I98"/>
    <mergeCell ref="R67:U67"/>
    <mergeCell ref="A83:I83"/>
    <mergeCell ref="A3:I3"/>
    <mergeCell ref="A4:I4"/>
    <mergeCell ref="A5:I5"/>
    <mergeCell ref="A8:I8"/>
    <mergeCell ref="A10:I10"/>
    <mergeCell ref="A14:I14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>
  <dimension ref="A1:V117"/>
  <sheetViews>
    <sheetView workbookViewId="0">
      <selection activeCell="L91" sqref="L91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9.7109375" hidden="1" customWidth="1"/>
    <col min="6" max="6" width="13.14062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7" t="s">
        <v>229</v>
      </c>
      <c r="I1" s="26"/>
      <c r="J1" s="1"/>
      <c r="K1" s="1"/>
      <c r="L1" s="1"/>
      <c r="M1" s="1"/>
    </row>
    <row r="2" spans="1:13" ht="15.75" customHeight="1">
      <c r="A2" s="28" t="s">
        <v>64</v>
      </c>
      <c r="J2" s="2"/>
      <c r="K2" s="2"/>
      <c r="L2" s="2"/>
      <c r="M2" s="2"/>
    </row>
    <row r="3" spans="1:13" ht="15.75" customHeight="1">
      <c r="A3" s="128" t="s">
        <v>191</v>
      </c>
      <c r="B3" s="128"/>
      <c r="C3" s="128"/>
      <c r="D3" s="128"/>
      <c r="E3" s="128"/>
      <c r="F3" s="128"/>
      <c r="G3" s="128"/>
      <c r="H3" s="128"/>
      <c r="I3" s="128"/>
      <c r="J3" s="3"/>
      <c r="K3" s="3"/>
      <c r="L3" s="3"/>
    </row>
    <row r="4" spans="1:13" ht="31.5" customHeight="1">
      <c r="A4" s="129" t="s">
        <v>143</v>
      </c>
      <c r="B4" s="129"/>
      <c r="C4" s="129"/>
      <c r="D4" s="129"/>
      <c r="E4" s="129"/>
      <c r="F4" s="129"/>
      <c r="G4" s="129"/>
      <c r="H4" s="129"/>
      <c r="I4" s="129"/>
    </row>
    <row r="5" spans="1:13" ht="15.75" customHeight="1">
      <c r="A5" s="128" t="s">
        <v>265</v>
      </c>
      <c r="B5" s="130"/>
      <c r="C5" s="130"/>
      <c r="D5" s="130"/>
      <c r="E5" s="130"/>
      <c r="F5" s="130"/>
      <c r="G5" s="130"/>
      <c r="H5" s="130"/>
      <c r="I5" s="130"/>
      <c r="J5" s="2"/>
      <c r="K5" s="2"/>
      <c r="L5" s="2"/>
      <c r="M5" s="2"/>
    </row>
    <row r="6" spans="1:13" ht="15.75" customHeight="1">
      <c r="A6" s="2"/>
      <c r="B6" s="58"/>
      <c r="C6" s="58"/>
      <c r="D6" s="58"/>
      <c r="E6" s="58"/>
      <c r="F6" s="58"/>
      <c r="G6" s="58"/>
      <c r="H6" s="58"/>
      <c r="I6" s="30">
        <v>43404</v>
      </c>
      <c r="J6" s="2"/>
      <c r="K6" s="2"/>
      <c r="L6" s="2"/>
      <c r="M6" s="2"/>
    </row>
    <row r="7" spans="1:13" ht="15.75" customHeight="1">
      <c r="B7" s="59"/>
      <c r="C7" s="59"/>
      <c r="D7" s="59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131" t="s">
        <v>234</v>
      </c>
      <c r="B8" s="131"/>
      <c r="C8" s="131"/>
      <c r="D8" s="131"/>
      <c r="E8" s="131"/>
      <c r="F8" s="131"/>
      <c r="G8" s="131"/>
      <c r="H8" s="131"/>
      <c r="I8" s="131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32" t="s">
        <v>193</v>
      </c>
      <c r="B10" s="132"/>
      <c r="C10" s="132"/>
      <c r="D10" s="132"/>
      <c r="E10" s="132"/>
      <c r="F10" s="132"/>
      <c r="G10" s="132"/>
      <c r="H10" s="132"/>
      <c r="I10" s="132"/>
      <c r="J10" s="2"/>
      <c r="K10" s="2"/>
      <c r="L10" s="2"/>
      <c r="M10" s="2"/>
    </row>
    <row r="11" spans="1:13" ht="15.75">
      <c r="A11" s="4"/>
    </row>
    <row r="12" spans="1:13" ht="102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133" t="s">
        <v>61</v>
      </c>
      <c r="B14" s="133"/>
      <c r="C14" s="133"/>
      <c r="D14" s="133"/>
      <c r="E14" s="133"/>
      <c r="F14" s="133"/>
      <c r="G14" s="133"/>
      <c r="H14" s="133"/>
      <c r="I14" s="133"/>
      <c r="J14" s="8"/>
      <c r="K14" s="8"/>
      <c r="L14" s="8"/>
      <c r="M14" s="8"/>
    </row>
    <row r="15" spans="1:13" ht="15.75" customHeight="1">
      <c r="A15" s="135" t="s">
        <v>4</v>
      </c>
      <c r="B15" s="135"/>
      <c r="C15" s="135"/>
      <c r="D15" s="135"/>
      <c r="E15" s="135"/>
      <c r="F15" s="135"/>
      <c r="G15" s="135"/>
      <c r="H15" s="135"/>
      <c r="I15" s="135"/>
      <c r="J15" s="8"/>
      <c r="K15" s="8"/>
      <c r="L15" s="8"/>
      <c r="M15" s="8"/>
    </row>
    <row r="16" spans="1:13" ht="15" customHeight="1">
      <c r="A16" s="29">
        <v>1</v>
      </c>
      <c r="B16" s="67" t="s">
        <v>90</v>
      </c>
      <c r="C16" s="68" t="s">
        <v>111</v>
      </c>
      <c r="D16" s="67" t="s">
        <v>112</v>
      </c>
      <c r="E16" s="69">
        <v>59.96</v>
      </c>
      <c r="F16" s="70">
        <f>SUM(E16*156/100)</f>
        <v>93.537599999999998</v>
      </c>
      <c r="G16" s="70">
        <v>175.38</v>
      </c>
      <c r="H16" s="71">
        <f t="shared" ref="H16:H26" si="0">SUM(F16*G16/1000)</f>
        <v>16.404624288000001</v>
      </c>
      <c r="I16" s="13">
        <f>F16/12*G16</f>
        <v>1367.0520239999998</v>
      </c>
      <c r="J16" s="8"/>
      <c r="K16" s="8"/>
      <c r="L16" s="8"/>
      <c r="M16" s="8"/>
    </row>
    <row r="17" spans="1:13" ht="15" customHeight="1">
      <c r="A17" s="29">
        <v>2</v>
      </c>
      <c r="B17" s="67" t="s">
        <v>97</v>
      </c>
      <c r="C17" s="68" t="s">
        <v>111</v>
      </c>
      <c r="D17" s="67" t="s">
        <v>113</v>
      </c>
      <c r="E17" s="69">
        <v>239.84</v>
      </c>
      <c r="F17" s="70">
        <f>SUM(E17*104/100)</f>
        <v>249.43360000000001</v>
      </c>
      <c r="G17" s="70">
        <v>175.38</v>
      </c>
      <c r="H17" s="71">
        <f t="shared" si="0"/>
        <v>43.745664768000005</v>
      </c>
      <c r="I17" s="13">
        <f>F17/12*G17</f>
        <v>3645.4720640000005</v>
      </c>
      <c r="J17" s="22"/>
      <c r="K17" s="8"/>
      <c r="L17" s="8"/>
      <c r="M17" s="8"/>
    </row>
    <row r="18" spans="1:13" ht="15" customHeight="1">
      <c r="A18" s="29">
        <v>3</v>
      </c>
      <c r="B18" s="67" t="s">
        <v>98</v>
      </c>
      <c r="C18" s="68" t="s">
        <v>111</v>
      </c>
      <c r="D18" s="67" t="s">
        <v>114</v>
      </c>
      <c r="E18" s="69">
        <f>SUM(E16+E17)</f>
        <v>299.8</v>
      </c>
      <c r="F18" s="70">
        <f>SUM(E18*24/100)</f>
        <v>71.952000000000012</v>
      </c>
      <c r="G18" s="70">
        <v>504.5</v>
      </c>
      <c r="H18" s="71">
        <f t="shared" si="0"/>
        <v>36.29978400000001</v>
      </c>
      <c r="I18" s="13">
        <f>F18/12*G18</f>
        <v>3024.9820000000009</v>
      </c>
      <c r="J18" s="22"/>
      <c r="K18" s="8"/>
      <c r="L18" s="8"/>
      <c r="M18" s="8"/>
    </row>
    <row r="19" spans="1:13" ht="15" hidden="1" customHeight="1">
      <c r="A19" s="29"/>
      <c r="B19" s="67" t="s">
        <v>115</v>
      </c>
      <c r="C19" s="68" t="s">
        <v>116</v>
      </c>
      <c r="D19" s="67" t="s">
        <v>117</v>
      </c>
      <c r="E19" s="69">
        <v>40.799999999999997</v>
      </c>
      <c r="F19" s="70">
        <f>SUM(E19/10)</f>
        <v>4.08</v>
      </c>
      <c r="G19" s="70">
        <v>170.16</v>
      </c>
      <c r="H19" s="71">
        <f t="shared" si="0"/>
        <v>0.6942528</v>
      </c>
      <c r="I19" s="13">
        <v>0</v>
      </c>
      <c r="J19" s="22"/>
      <c r="K19" s="8"/>
      <c r="L19" s="8"/>
      <c r="M19" s="8"/>
    </row>
    <row r="20" spans="1:13" ht="15" hidden="1" customHeight="1">
      <c r="A20" s="29"/>
      <c r="B20" s="67" t="s">
        <v>102</v>
      </c>
      <c r="C20" s="68" t="s">
        <v>111</v>
      </c>
      <c r="D20" s="67" t="s">
        <v>55</v>
      </c>
      <c r="E20" s="69">
        <v>43.2</v>
      </c>
      <c r="F20" s="70">
        <f>SUM(E20/100)</f>
        <v>0.43200000000000005</v>
      </c>
      <c r="G20" s="70">
        <v>217.88</v>
      </c>
      <c r="H20" s="71">
        <f t="shared" si="0"/>
        <v>9.4124159999999998E-2</v>
      </c>
      <c r="I20" s="13">
        <v>0</v>
      </c>
      <c r="J20" s="22"/>
      <c r="K20" s="8"/>
      <c r="L20" s="8"/>
      <c r="M20" s="8"/>
    </row>
    <row r="21" spans="1:13" ht="15" hidden="1" customHeight="1">
      <c r="A21" s="29"/>
      <c r="B21" s="67" t="s">
        <v>103</v>
      </c>
      <c r="C21" s="68" t="s">
        <v>111</v>
      </c>
      <c r="D21" s="67" t="s">
        <v>55</v>
      </c>
      <c r="E21" s="69">
        <v>10.08</v>
      </c>
      <c r="F21" s="70">
        <f>E21/100</f>
        <v>0.1008</v>
      </c>
      <c r="G21" s="70">
        <v>216.12</v>
      </c>
      <c r="H21" s="71">
        <f>SUM(F21*G21)/1000</f>
        <v>2.1784896000000002E-2</v>
      </c>
      <c r="I21" s="13">
        <v>0</v>
      </c>
      <c r="J21" s="22"/>
      <c r="K21" s="8"/>
      <c r="L21" s="8"/>
      <c r="M21" s="8"/>
    </row>
    <row r="22" spans="1:13" ht="15" hidden="1" customHeight="1">
      <c r="A22" s="29"/>
      <c r="B22" s="67" t="s">
        <v>118</v>
      </c>
      <c r="C22" s="68" t="s">
        <v>54</v>
      </c>
      <c r="D22" s="67" t="s">
        <v>117</v>
      </c>
      <c r="E22" s="69">
        <v>403.84</v>
      </c>
      <c r="F22" s="70">
        <f>SUM(E22/100)</f>
        <v>4.0383999999999993</v>
      </c>
      <c r="G22" s="70">
        <v>269.26</v>
      </c>
      <c r="H22" s="71">
        <f t="shared" si="0"/>
        <v>1.0873795839999998</v>
      </c>
      <c r="I22" s="13">
        <v>0</v>
      </c>
      <c r="J22" s="22"/>
      <c r="K22" s="8"/>
      <c r="L22" s="8"/>
      <c r="M22" s="8"/>
    </row>
    <row r="23" spans="1:13" ht="15" hidden="1" customHeight="1">
      <c r="A23" s="29"/>
      <c r="B23" s="67" t="s">
        <v>119</v>
      </c>
      <c r="C23" s="68" t="s">
        <v>54</v>
      </c>
      <c r="D23" s="67" t="s">
        <v>117</v>
      </c>
      <c r="E23" s="72">
        <v>70.56</v>
      </c>
      <c r="F23" s="70">
        <f>SUM(E23/100)</f>
        <v>0.7056</v>
      </c>
      <c r="G23" s="70">
        <v>44.29</v>
      </c>
      <c r="H23" s="71">
        <f t="shared" si="0"/>
        <v>3.1251024000000002E-2</v>
      </c>
      <c r="I23" s="13">
        <v>0</v>
      </c>
      <c r="J23" s="22"/>
      <c r="K23" s="8"/>
      <c r="L23" s="8"/>
      <c r="M23" s="8"/>
    </row>
    <row r="24" spans="1:13" ht="15" hidden="1" customHeight="1">
      <c r="A24" s="29"/>
      <c r="B24" s="67" t="s">
        <v>105</v>
      </c>
      <c r="C24" s="68" t="s">
        <v>54</v>
      </c>
      <c r="D24" s="67" t="s">
        <v>117</v>
      </c>
      <c r="E24" s="18">
        <v>14.4</v>
      </c>
      <c r="F24" s="73">
        <v>0.14000000000000001</v>
      </c>
      <c r="G24" s="70">
        <v>398.72</v>
      </c>
      <c r="H24" s="71">
        <f>F24*G24/1000</f>
        <v>5.5820800000000011E-2</v>
      </c>
      <c r="I24" s="13">
        <v>0</v>
      </c>
      <c r="J24" s="22"/>
      <c r="K24" s="8"/>
      <c r="L24" s="8"/>
      <c r="M24" s="8"/>
    </row>
    <row r="25" spans="1:13" ht="15" hidden="1" customHeight="1">
      <c r="A25" s="29"/>
      <c r="B25" s="67" t="s">
        <v>120</v>
      </c>
      <c r="C25" s="68" t="s">
        <v>54</v>
      </c>
      <c r="D25" s="67" t="s">
        <v>117</v>
      </c>
      <c r="E25" s="72">
        <v>31.5</v>
      </c>
      <c r="F25" s="70">
        <v>0.32</v>
      </c>
      <c r="G25" s="70">
        <v>216.12</v>
      </c>
      <c r="H25" s="71">
        <f>F25*G25/1000</f>
        <v>6.9158399999999995E-2</v>
      </c>
      <c r="I25" s="13">
        <v>0</v>
      </c>
      <c r="J25" s="22"/>
      <c r="K25" s="8"/>
      <c r="L25" s="8"/>
      <c r="M25" s="8"/>
    </row>
    <row r="26" spans="1:13" ht="15" hidden="1" customHeight="1">
      <c r="A26" s="29"/>
      <c r="B26" s="67" t="s">
        <v>106</v>
      </c>
      <c r="C26" s="68" t="s">
        <v>54</v>
      </c>
      <c r="D26" s="67" t="s">
        <v>117</v>
      </c>
      <c r="E26" s="69">
        <v>28.22</v>
      </c>
      <c r="F26" s="70">
        <f>SUM(E26/100)</f>
        <v>0.28220000000000001</v>
      </c>
      <c r="G26" s="70">
        <v>520.79999999999995</v>
      </c>
      <c r="H26" s="71">
        <f t="shared" si="0"/>
        <v>0.14696975999999998</v>
      </c>
      <c r="I26" s="13">
        <v>0</v>
      </c>
      <c r="J26" s="22"/>
      <c r="K26" s="8"/>
      <c r="L26" s="8"/>
      <c r="M26" s="8"/>
    </row>
    <row r="27" spans="1:13" ht="15" customHeight="1">
      <c r="A27" s="29">
        <v>4</v>
      </c>
      <c r="B27" s="67" t="s">
        <v>66</v>
      </c>
      <c r="C27" s="68" t="s">
        <v>33</v>
      </c>
      <c r="D27" s="67"/>
      <c r="E27" s="69">
        <v>0.1</v>
      </c>
      <c r="F27" s="70">
        <f>SUM(E27*365)</f>
        <v>36.5</v>
      </c>
      <c r="G27" s="70">
        <v>147.03</v>
      </c>
      <c r="H27" s="71">
        <f>SUM(F27*G27/1000)</f>
        <v>5.3665950000000002</v>
      </c>
      <c r="I27" s="13">
        <f>F27/12*G27</f>
        <v>447.21625</v>
      </c>
      <c r="J27" s="23"/>
    </row>
    <row r="28" spans="1:13" ht="15" customHeight="1">
      <c r="A28" s="29">
        <v>5</v>
      </c>
      <c r="B28" s="77" t="s">
        <v>23</v>
      </c>
      <c r="C28" s="68" t="s">
        <v>24</v>
      </c>
      <c r="D28" s="67"/>
      <c r="E28" s="69">
        <v>3031.3</v>
      </c>
      <c r="F28" s="70">
        <f>SUM(E28*12)</f>
        <v>36375.600000000006</v>
      </c>
      <c r="G28" s="70">
        <v>5.47</v>
      </c>
      <c r="H28" s="71">
        <f>SUM(F28*G28/1000)</f>
        <v>198.97453200000004</v>
      </c>
      <c r="I28" s="13">
        <f>F28/12*G28</f>
        <v>16581.211000000003</v>
      </c>
      <c r="J28" s="23"/>
    </row>
    <row r="29" spans="1:13" ht="15.75" customHeight="1">
      <c r="A29" s="135" t="s">
        <v>88</v>
      </c>
      <c r="B29" s="135"/>
      <c r="C29" s="135"/>
      <c r="D29" s="135"/>
      <c r="E29" s="135"/>
      <c r="F29" s="135"/>
      <c r="G29" s="135"/>
      <c r="H29" s="135"/>
      <c r="I29" s="135"/>
      <c r="J29" s="22"/>
      <c r="K29" s="8"/>
      <c r="L29" s="8"/>
      <c r="M29" s="8"/>
    </row>
    <row r="30" spans="1:13" ht="15" customHeight="1">
      <c r="A30" s="29"/>
      <c r="B30" s="90" t="s">
        <v>28</v>
      </c>
      <c r="C30" s="68"/>
      <c r="D30" s="67"/>
      <c r="E30" s="69"/>
      <c r="F30" s="70"/>
      <c r="G30" s="70"/>
      <c r="H30" s="71"/>
      <c r="I30" s="13"/>
      <c r="J30" s="22"/>
      <c r="K30" s="8"/>
      <c r="L30" s="8"/>
      <c r="M30" s="8"/>
    </row>
    <row r="31" spans="1:13" ht="15" customHeight="1">
      <c r="A31" s="29">
        <v>6</v>
      </c>
      <c r="B31" s="67" t="s">
        <v>121</v>
      </c>
      <c r="C31" s="68" t="s">
        <v>122</v>
      </c>
      <c r="D31" s="67" t="s">
        <v>123</v>
      </c>
      <c r="E31" s="70">
        <v>709.53</v>
      </c>
      <c r="F31" s="70">
        <f>SUM(E31*52/1000)</f>
        <v>36.895559999999996</v>
      </c>
      <c r="G31" s="70">
        <v>155.88999999999999</v>
      </c>
      <c r="H31" s="71">
        <f t="shared" ref="H31:H37" si="1">SUM(F31*G31/1000)</f>
        <v>5.7516488483999995</v>
      </c>
      <c r="I31" s="13">
        <f>F31/6*G31</f>
        <v>958.60814139999979</v>
      </c>
      <c r="J31" s="22"/>
      <c r="K31" s="8"/>
      <c r="L31" s="8"/>
      <c r="M31" s="8"/>
    </row>
    <row r="32" spans="1:13" ht="31.5" customHeight="1">
      <c r="A32" s="29">
        <v>7</v>
      </c>
      <c r="B32" s="67" t="s">
        <v>179</v>
      </c>
      <c r="C32" s="68" t="s">
        <v>122</v>
      </c>
      <c r="D32" s="67" t="s">
        <v>124</v>
      </c>
      <c r="E32" s="70">
        <v>68</v>
      </c>
      <c r="F32" s="70">
        <f>SUM(E32*78/1000)</f>
        <v>5.3040000000000003</v>
      </c>
      <c r="G32" s="70">
        <v>258.63</v>
      </c>
      <c r="H32" s="71">
        <f t="shared" si="1"/>
        <v>1.3717735199999999</v>
      </c>
      <c r="I32" s="13">
        <f t="shared" ref="I32:I35" si="2">F32/6*G32</f>
        <v>228.62891999999999</v>
      </c>
      <c r="J32" s="22"/>
      <c r="K32" s="8"/>
      <c r="L32" s="8"/>
      <c r="M32" s="8"/>
    </row>
    <row r="33" spans="1:14" ht="15" hidden="1" customHeight="1">
      <c r="A33" s="29">
        <v>16</v>
      </c>
      <c r="B33" s="67" t="s">
        <v>27</v>
      </c>
      <c r="C33" s="68" t="s">
        <v>122</v>
      </c>
      <c r="D33" s="67" t="s">
        <v>55</v>
      </c>
      <c r="E33" s="70">
        <v>709.53</v>
      </c>
      <c r="F33" s="70">
        <f>SUM(E33/1000)</f>
        <v>0.70952999999999999</v>
      </c>
      <c r="G33" s="70">
        <v>3020.33</v>
      </c>
      <c r="H33" s="71">
        <f t="shared" si="1"/>
        <v>2.1430147448999999</v>
      </c>
      <c r="I33" s="13">
        <f>F33*G33</f>
        <v>2143.0147449000001</v>
      </c>
      <c r="J33" s="22"/>
      <c r="K33" s="8"/>
      <c r="L33" s="8"/>
      <c r="M33" s="8"/>
    </row>
    <row r="34" spans="1:14" ht="15" customHeight="1">
      <c r="A34" s="29">
        <v>8</v>
      </c>
      <c r="B34" s="67" t="s">
        <v>157</v>
      </c>
      <c r="C34" s="68" t="s">
        <v>41</v>
      </c>
      <c r="D34" s="67" t="s">
        <v>65</v>
      </c>
      <c r="E34" s="70">
        <v>4</v>
      </c>
      <c r="F34" s="70">
        <v>6.2</v>
      </c>
      <c r="G34" s="70">
        <v>1302.02</v>
      </c>
      <c r="H34" s="71">
        <v>8.0730000000000004</v>
      </c>
      <c r="I34" s="13">
        <f t="shared" si="2"/>
        <v>1345.4206666666669</v>
      </c>
      <c r="J34" s="22"/>
      <c r="K34" s="8"/>
      <c r="L34" s="8"/>
      <c r="M34" s="8"/>
    </row>
    <row r="35" spans="1:14" ht="15" customHeight="1">
      <c r="A35" s="29">
        <v>9</v>
      </c>
      <c r="B35" s="67" t="s">
        <v>125</v>
      </c>
      <c r="C35" s="68" t="s">
        <v>30</v>
      </c>
      <c r="D35" s="67" t="s">
        <v>65</v>
      </c>
      <c r="E35" s="76">
        <v>0.33333333333333331</v>
      </c>
      <c r="F35" s="70">
        <f>155/3</f>
        <v>51.666666666666664</v>
      </c>
      <c r="G35" s="70">
        <v>56.69</v>
      </c>
      <c r="H35" s="71">
        <f>SUM(G35*155/3/1000)</f>
        <v>2.9289833333333331</v>
      </c>
      <c r="I35" s="13">
        <f t="shared" si="2"/>
        <v>488.16388888888883</v>
      </c>
      <c r="J35" s="22"/>
      <c r="K35" s="8"/>
    </row>
    <row r="36" spans="1:14" ht="15" hidden="1" customHeight="1">
      <c r="A36" s="29"/>
      <c r="B36" s="67" t="s">
        <v>67</v>
      </c>
      <c r="C36" s="68" t="s">
        <v>33</v>
      </c>
      <c r="D36" s="67" t="s">
        <v>69</v>
      </c>
      <c r="E36" s="69"/>
      <c r="F36" s="70">
        <v>3</v>
      </c>
      <c r="G36" s="70">
        <v>191.32</v>
      </c>
      <c r="H36" s="71">
        <f t="shared" si="1"/>
        <v>0.57396000000000003</v>
      </c>
      <c r="I36" s="13">
        <v>0</v>
      </c>
      <c r="J36" s="23"/>
    </row>
    <row r="37" spans="1:14" ht="15" hidden="1" customHeight="1">
      <c r="A37" s="29"/>
      <c r="B37" s="67" t="s">
        <v>68</v>
      </c>
      <c r="C37" s="68" t="s">
        <v>32</v>
      </c>
      <c r="D37" s="67" t="s">
        <v>69</v>
      </c>
      <c r="E37" s="69"/>
      <c r="F37" s="70">
        <v>2</v>
      </c>
      <c r="G37" s="70">
        <v>1136.32</v>
      </c>
      <c r="H37" s="71">
        <f t="shared" si="1"/>
        <v>2.27264</v>
      </c>
      <c r="I37" s="13">
        <v>0</v>
      </c>
      <c r="J37" s="23"/>
    </row>
    <row r="38" spans="1:14" ht="15" hidden="1" customHeight="1">
      <c r="A38" s="29"/>
      <c r="B38" s="90" t="s">
        <v>5</v>
      </c>
      <c r="C38" s="68"/>
      <c r="D38" s="67"/>
      <c r="E38" s="69"/>
      <c r="F38" s="70"/>
      <c r="G38" s="70"/>
      <c r="H38" s="71" t="s">
        <v>140</v>
      </c>
      <c r="I38" s="13"/>
      <c r="J38" s="23"/>
    </row>
    <row r="39" spans="1:14" ht="15" hidden="1" customHeight="1">
      <c r="A39" s="29">
        <v>6</v>
      </c>
      <c r="B39" s="67" t="s">
        <v>26</v>
      </c>
      <c r="C39" s="68" t="s">
        <v>32</v>
      </c>
      <c r="D39" s="67"/>
      <c r="E39" s="69"/>
      <c r="F39" s="70">
        <v>6</v>
      </c>
      <c r="G39" s="70">
        <v>1527.22</v>
      </c>
      <c r="H39" s="71">
        <f t="shared" ref="H39:H46" si="3">SUM(F39*G39/1000)</f>
        <v>9.1633200000000006</v>
      </c>
      <c r="I39" s="13">
        <f>F39/6*G39</f>
        <v>1527.22</v>
      </c>
      <c r="J39" s="23"/>
    </row>
    <row r="40" spans="1:14" ht="15" hidden="1" customHeight="1">
      <c r="A40" s="29">
        <v>7</v>
      </c>
      <c r="B40" s="67" t="s">
        <v>109</v>
      </c>
      <c r="C40" s="68" t="s">
        <v>29</v>
      </c>
      <c r="D40" s="67" t="s">
        <v>144</v>
      </c>
      <c r="E40" s="70">
        <v>429.8</v>
      </c>
      <c r="F40" s="70">
        <f>SUM(E40*12/1000)</f>
        <v>5.1576000000000004</v>
      </c>
      <c r="G40" s="70">
        <v>2102.71</v>
      </c>
      <c r="H40" s="71">
        <f t="shared" si="3"/>
        <v>10.844937096000001</v>
      </c>
      <c r="I40" s="13">
        <f>F40/6*G40</f>
        <v>1807.4895160000001</v>
      </c>
      <c r="J40" s="23"/>
      <c r="L40" s="19"/>
      <c r="M40" s="20"/>
      <c r="N40" s="21"/>
    </row>
    <row r="41" spans="1:14" ht="15" hidden="1" customHeight="1">
      <c r="A41" s="29">
        <v>8</v>
      </c>
      <c r="B41" s="67" t="s">
        <v>145</v>
      </c>
      <c r="C41" s="68" t="s">
        <v>29</v>
      </c>
      <c r="D41" s="67" t="s">
        <v>126</v>
      </c>
      <c r="E41" s="70">
        <v>68</v>
      </c>
      <c r="F41" s="70">
        <f>SUM(E41*30/1000)</f>
        <v>2.04</v>
      </c>
      <c r="G41" s="70">
        <v>2102.71</v>
      </c>
      <c r="H41" s="71">
        <f>SUM(F41*G41/1000)</f>
        <v>4.2895284</v>
      </c>
      <c r="I41" s="13">
        <f>F41/6*G41</f>
        <v>714.92140000000006</v>
      </c>
      <c r="J41" s="23"/>
      <c r="L41" s="19"/>
      <c r="M41" s="20"/>
      <c r="N41" s="21"/>
    </row>
    <row r="42" spans="1:14" ht="15" hidden="1" customHeight="1">
      <c r="A42" s="29"/>
      <c r="B42" s="67" t="s">
        <v>99</v>
      </c>
      <c r="C42" s="68" t="s">
        <v>127</v>
      </c>
      <c r="D42" s="67" t="s">
        <v>159</v>
      </c>
      <c r="E42" s="69"/>
      <c r="F42" s="70">
        <v>50</v>
      </c>
      <c r="G42" s="70">
        <v>199.44</v>
      </c>
      <c r="H42" s="71">
        <f>SUM(F42*G42/1000)</f>
        <v>9.9719999999999995</v>
      </c>
      <c r="I42" s="13">
        <v>0</v>
      </c>
      <c r="J42" s="23"/>
      <c r="L42" s="19"/>
      <c r="M42" s="20"/>
      <c r="N42" s="21"/>
    </row>
    <row r="43" spans="1:14" ht="15" hidden="1" customHeight="1">
      <c r="A43" s="29">
        <v>9</v>
      </c>
      <c r="B43" s="67" t="s">
        <v>70</v>
      </c>
      <c r="C43" s="68" t="s">
        <v>29</v>
      </c>
      <c r="D43" s="67" t="s">
        <v>128</v>
      </c>
      <c r="E43" s="70">
        <v>68</v>
      </c>
      <c r="F43" s="70">
        <f>SUM(E43*155/1000)</f>
        <v>10.54</v>
      </c>
      <c r="G43" s="70">
        <v>350.75</v>
      </c>
      <c r="H43" s="71">
        <f t="shared" si="3"/>
        <v>3.6969049999999997</v>
      </c>
      <c r="I43" s="13">
        <f>F43/6*G43</f>
        <v>616.15083333333325</v>
      </c>
      <c r="J43" s="23"/>
      <c r="L43" s="19"/>
      <c r="M43" s="20"/>
      <c r="N43" s="21"/>
    </row>
    <row r="44" spans="1:14" ht="47.25" hidden="1" customHeight="1">
      <c r="A44" s="29">
        <v>10</v>
      </c>
      <c r="B44" s="67" t="s">
        <v>86</v>
      </c>
      <c r="C44" s="68" t="s">
        <v>122</v>
      </c>
      <c r="D44" s="67" t="s">
        <v>146</v>
      </c>
      <c r="E44" s="70">
        <v>68</v>
      </c>
      <c r="F44" s="70">
        <f>SUM(E44*24/1000)</f>
        <v>1.6319999999999999</v>
      </c>
      <c r="G44" s="70">
        <v>5803.28</v>
      </c>
      <c r="H44" s="71">
        <f t="shared" si="3"/>
        <v>9.4709529599999982</v>
      </c>
      <c r="I44" s="13">
        <f>F44/6*G44</f>
        <v>1578.4921599999998</v>
      </c>
      <c r="J44" s="23"/>
      <c r="L44" s="19"/>
      <c r="M44" s="20"/>
      <c r="N44" s="21"/>
    </row>
    <row r="45" spans="1:14" ht="15" hidden="1" customHeight="1">
      <c r="A45" s="29">
        <v>11</v>
      </c>
      <c r="B45" s="67" t="s">
        <v>129</v>
      </c>
      <c r="C45" s="68" t="s">
        <v>122</v>
      </c>
      <c r="D45" s="67" t="s">
        <v>71</v>
      </c>
      <c r="E45" s="70">
        <v>68</v>
      </c>
      <c r="F45" s="70">
        <f>SUM(E45*45/1000)</f>
        <v>3.06</v>
      </c>
      <c r="G45" s="70">
        <v>428.7</v>
      </c>
      <c r="H45" s="71">
        <f t="shared" si="3"/>
        <v>1.3118219999999998</v>
      </c>
      <c r="I45" s="13">
        <f>F45/6*G45</f>
        <v>218.637</v>
      </c>
      <c r="J45" s="23"/>
      <c r="L45" s="19"/>
      <c r="M45" s="20"/>
      <c r="N45" s="21"/>
    </row>
    <row r="46" spans="1:14" ht="15" hidden="1" customHeight="1">
      <c r="A46" s="29">
        <v>12</v>
      </c>
      <c r="B46" s="67" t="s">
        <v>72</v>
      </c>
      <c r="C46" s="68" t="s">
        <v>33</v>
      </c>
      <c r="D46" s="67"/>
      <c r="E46" s="69"/>
      <c r="F46" s="70">
        <v>0.9</v>
      </c>
      <c r="G46" s="70">
        <v>798</v>
      </c>
      <c r="H46" s="71">
        <f t="shared" si="3"/>
        <v>0.71820000000000006</v>
      </c>
      <c r="I46" s="13">
        <f>F46/6*G46</f>
        <v>119.69999999999999</v>
      </c>
      <c r="J46" s="23"/>
      <c r="L46" s="19"/>
      <c r="M46" s="20"/>
      <c r="N46" s="21"/>
    </row>
    <row r="47" spans="1:14" ht="15.75" customHeight="1">
      <c r="A47" s="136" t="s">
        <v>153</v>
      </c>
      <c r="B47" s="137"/>
      <c r="C47" s="137"/>
      <c r="D47" s="137"/>
      <c r="E47" s="137"/>
      <c r="F47" s="137"/>
      <c r="G47" s="137"/>
      <c r="H47" s="137"/>
      <c r="I47" s="138"/>
      <c r="J47" s="23"/>
      <c r="L47" s="19"/>
      <c r="M47" s="20"/>
      <c r="N47" s="21"/>
    </row>
    <row r="48" spans="1:14" ht="15" hidden="1" customHeight="1">
      <c r="A48" s="29"/>
      <c r="B48" s="67" t="s">
        <v>147</v>
      </c>
      <c r="C48" s="68" t="s">
        <v>122</v>
      </c>
      <c r="D48" s="67" t="s">
        <v>43</v>
      </c>
      <c r="E48" s="69">
        <v>1061.3</v>
      </c>
      <c r="F48" s="70">
        <f>SUM(E48*2/1000)</f>
        <v>2.1225999999999998</v>
      </c>
      <c r="G48" s="13">
        <v>809.74</v>
      </c>
      <c r="H48" s="71">
        <f t="shared" ref="H48:H57" si="4">SUM(F48*G48/1000)</f>
        <v>1.7187541239999997</v>
      </c>
      <c r="I48" s="13">
        <v>0</v>
      </c>
      <c r="J48" s="23"/>
      <c r="L48" s="19"/>
      <c r="M48" s="20"/>
      <c r="N48" s="21"/>
    </row>
    <row r="49" spans="1:22" ht="15" hidden="1" customHeight="1">
      <c r="A49" s="29"/>
      <c r="B49" s="67" t="s">
        <v>36</v>
      </c>
      <c r="C49" s="68" t="s">
        <v>122</v>
      </c>
      <c r="D49" s="67" t="s">
        <v>43</v>
      </c>
      <c r="E49" s="69">
        <v>52</v>
      </c>
      <c r="F49" s="70">
        <f>SUM(E49*2/1000)</f>
        <v>0.104</v>
      </c>
      <c r="G49" s="13">
        <v>579.48</v>
      </c>
      <c r="H49" s="71">
        <f t="shared" si="4"/>
        <v>6.0265920000000001E-2</v>
      </c>
      <c r="I49" s="13">
        <v>0</v>
      </c>
      <c r="J49" s="23"/>
      <c r="L49" s="19"/>
      <c r="M49" s="20"/>
      <c r="N49" s="21"/>
    </row>
    <row r="50" spans="1:22" ht="15" hidden="1" customHeight="1">
      <c r="A50" s="29"/>
      <c r="B50" s="67" t="s">
        <v>37</v>
      </c>
      <c r="C50" s="68" t="s">
        <v>122</v>
      </c>
      <c r="D50" s="67" t="s">
        <v>43</v>
      </c>
      <c r="E50" s="69">
        <v>1238.8</v>
      </c>
      <c r="F50" s="70">
        <f>SUM(E50*2/1000)</f>
        <v>2.4775999999999998</v>
      </c>
      <c r="G50" s="13">
        <v>579.48</v>
      </c>
      <c r="H50" s="71">
        <f t="shared" si="4"/>
        <v>1.4357196480000001</v>
      </c>
      <c r="I50" s="13">
        <v>0</v>
      </c>
      <c r="J50" s="23"/>
      <c r="L50" s="19"/>
      <c r="M50" s="20"/>
      <c r="N50" s="21"/>
    </row>
    <row r="51" spans="1:22" ht="15" hidden="1" customHeight="1">
      <c r="A51" s="29"/>
      <c r="B51" s="67" t="s">
        <v>38</v>
      </c>
      <c r="C51" s="68" t="s">
        <v>122</v>
      </c>
      <c r="D51" s="67" t="s">
        <v>43</v>
      </c>
      <c r="E51" s="69">
        <v>1794.01</v>
      </c>
      <c r="F51" s="70">
        <f>SUM(E51*2/1000)</f>
        <v>3.5880199999999998</v>
      </c>
      <c r="G51" s="13">
        <v>606.77</v>
      </c>
      <c r="H51" s="71">
        <f t="shared" si="4"/>
        <v>2.1771028954</v>
      </c>
      <c r="I51" s="13">
        <v>0</v>
      </c>
      <c r="J51" s="23"/>
      <c r="L51" s="19"/>
      <c r="M51" s="20"/>
      <c r="N51" s="21"/>
    </row>
    <row r="52" spans="1:22" ht="15" hidden="1" customHeight="1">
      <c r="A52" s="29"/>
      <c r="B52" s="67" t="s">
        <v>34</v>
      </c>
      <c r="C52" s="68" t="s">
        <v>35</v>
      </c>
      <c r="D52" s="67" t="s">
        <v>160</v>
      </c>
      <c r="E52" s="69">
        <v>85.78</v>
      </c>
      <c r="F52" s="70">
        <f>SUM(E52*2/100)</f>
        <v>1.7156</v>
      </c>
      <c r="G52" s="13">
        <v>72.81</v>
      </c>
      <c r="H52" s="71">
        <f t="shared" si="4"/>
        <v>0.124912836</v>
      </c>
      <c r="I52" s="13">
        <v>0</v>
      </c>
      <c r="J52" s="23"/>
      <c r="L52" s="19"/>
      <c r="M52" s="20"/>
      <c r="N52" s="21"/>
    </row>
    <row r="53" spans="1:22" ht="15" hidden="1" customHeight="1">
      <c r="A53" s="29">
        <v>13</v>
      </c>
      <c r="B53" s="67" t="s">
        <v>58</v>
      </c>
      <c r="C53" s="68" t="s">
        <v>122</v>
      </c>
      <c r="D53" s="67" t="s">
        <v>180</v>
      </c>
      <c r="E53" s="69">
        <v>884</v>
      </c>
      <c r="F53" s="70">
        <f>SUM(E53*5/1000)</f>
        <v>4.42</v>
      </c>
      <c r="G53" s="13">
        <v>1213.55</v>
      </c>
      <c r="H53" s="71">
        <f t="shared" si="4"/>
        <v>5.3638909999999997</v>
      </c>
      <c r="I53" s="13">
        <f>F53/5*G53</f>
        <v>1072.7782</v>
      </c>
      <c r="J53" s="23"/>
      <c r="L53" s="19"/>
      <c r="M53" s="20"/>
      <c r="N53" s="21"/>
    </row>
    <row r="54" spans="1:22" ht="31.5" customHeight="1">
      <c r="A54" s="29">
        <v>10</v>
      </c>
      <c r="B54" s="67" t="s">
        <v>130</v>
      </c>
      <c r="C54" s="68" t="s">
        <v>122</v>
      </c>
      <c r="D54" s="67" t="s">
        <v>43</v>
      </c>
      <c r="E54" s="69">
        <v>884</v>
      </c>
      <c r="F54" s="70">
        <f>SUM(E54*2/1000)</f>
        <v>1.768</v>
      </c>
      <c r="G54" s="13">
        <v>1213.55</v>
      </c>
      <c r="H54" s="71">
        <f t="shared" si="4"/>
        <v>2.1455563999999998</v>
      </c>
      <c r="I54" s="13">
        <f>F54/2*G54</f>
        <v>1072.7782</v>
      </c>
      <c r="J54" s="23"/>
      <c r="L54" s="19"/>
      <c r="M54" s="20"/>
      <c r="N54" s="21"/>
    </row>
    <row r="55" spans="1:22" ht="31.5" customHeight="1">
      <c r="A55" s="29">
        <v>11</v>
      </c>
      <c r="B55" s="67" t="s">
        <v>131</v>
      </c>
      <c r="C55" s="68" t="s">
        <v>39</v>
      </c>
      <c r="D55" s="67" t="s">
        <v>43</v>
      </c>
      <c r="E55" s="69">
        <v>20</v>
      </c>
      <c r="F55" s="70">
        <f>SUM(E55*2/100)</f>
        <v>0.4</v>
      </c>
      <c r="G55" s="13">
        <v>2730.49</v>
      </c>
      <c r="H55" s="71">
        <f t="shared" si="4"/>
        <v>1.0921959999999999</v>
      </c>
      <c r="I55" s="13">
        <f t="shared" ref="I55:I56" si="5">F55/2*G55</f>
        <v>546.09799999999996</v>
      </c>
      <c r="J55" s="23"/>
      <c r="L55" s="19"/>
      <c r="M55" s="20"/>
      <c r="N55" s="21"/>
    </row>
    <row r="56" spans="1:22" ht="15" customHeight="1">
      <c r="A56" s="29">
        <v>12</v>
      </c>
      <c r="B56" s="67" t="s">
        <v>40</v>
      </c>
      <c r="C56" s="68" t="s">
        <v>41</v>
      </c>
      <c r="D56" s="67" t="s">
        <v>43</v>
      </c>
      <c r="E56" s="69">
        <v>1</v>
      </c>
      <c r="F56" s="70">
        <v>0.02</v>
      </c>
      <c r="G56" s="13">
        <v>5652.13</v>
      </c>
      <c r="H56" s="71">
        <f t="shared" si="4"/>
        <v>0.11304260000000001</v>
      </c>
      <c r="I56" s="13">
        <f t="shared" si="5"/>
        <v>56.521300000000004</v>
      </c>
      <c r="J56" s="23"/>
      <c r="L56" s="19"/>
      <c r="M56" s="20"/>
      <c r="N56" s="21"/>
    </row>
    <row r="57" spans="1:22" ht="15" customHeight="1">
      <c r="A57" s="29">
        <v>13</v>
      </c>
      <c r="B57" s="67" t="s">
        <v>42</v>
      </c>
      <c r="C57" s="68" t="s">
        <v>30</v>
      </c>
      <c r="D57" s="67" t="s">
        <v>73</v>
      </c>
      <c r="E57" s="69">
        <v>136</v>
      </c>
      <c r="F57" s="70">
        <f>SUM(E57)*3</f>
        <v>408</v>
      </c>
      <c r="G57" s="13">
        <v>65.67</v>
      </c>
      <c r="H57" s="71">
        <f t="shared" si="4"/>
        <v>26.79336</v>
      </c>
      <c r="I57" s="13">
        <f>E57*G57</f>
        <v>8931.1200000000008</v>
      </c>
      <c r="J57" s="23"/>
      <c r="L57" s="19"/>
      <c r="M57" s="20"/>
      <c r="N57" s="21"/>
    </row>
    <row r="58" spans="1:22" ht="15.75" customHeight="1">
      <c r="A58" s="136" t="s">
        <v>154</v>
      </c>
      <c r="B58" s="137"/>
      <c r="C58" s="137"/>
      <c r="D58" s="137"/>
      <c r="E58" s="137"/>
      <c r="F58" s="137"/>
      <c r="G58" s="137"/>
      <c r="H58" s="137"/>
      <c r="I58" s="138"/>
      <c r="J58" s="23"/>
      <c r="L58" s="19"/>
      <c r="M58" s="20"/>
      <c r="N58" s="21"/>
    </row>
    <row r="59" spans="1:22" ht="15" hidden="1" customHeight="1">
      <c r="A59" s="29"/>
      <c r="B59" s="90" t="s">
        <v>44</v>
      </c>
      <c r="C59" s="68"/>
      <c r="D59" s="67"/>
      <c r="E59" s="69"/>
      <c r="F59" s="70"/>
      <c r="G59" s="70"/>
      <c r="H59" s="71"/>
      <c r="I59" s="13"/>
      <c r="J59" s="23"/>
      <c r="L59" s="19"/>
      <c r="M59" s="20"/>
      <c r="N59" s="21"/>
    </row>
    <row r="60" spans="1:22" ht="31.5" hidden="1" customHeight="1">
      <c r="A60" s="29">
        <v>15</v>
      </c>
      <c r="B60" s="67" t="s">
        <v>133</v>
      </c>
      <c r="C60" s="68" t="s">
        <v>104</v>
      </c>
      <c r="D60" s="67" t="s">
        <v>74</v>
      </c>
      <c r="E60" s="69">
        <v>106.13</v>
      </c>
      <c r="F60" s="70">
        <f>E60*6/100</f>
        <v>6.3677999999999999</v>
      </c>
      <c r="G60" s="78">
        <v>1547.28</v>
      </c>
      <c r="H60" s="71">
        <f>F60*G60/1000</f>
        <v>9.8527695839999989</v>
      </c>
      <c r="I60" s="13">
        <f>F60/6*G60</f>
        <v>1642.1282639999999</v>
      </c>
      <c r="J60" s="23"/>
      <c r="L60" s="19"/>
    </row>
    <row r="61" spans="1:22" ht="15" customHeight="1">
      <c r="A61" s="29"/>
      <c r="B61" s="91" t="s">
        <v>45</v>
      </c>
      <c r="C61" s="79"/>
      <c r="D61" s="80"/>
      <c r="E61" s="81"/>
      <c r="F61" s="82"/>
      <c r="G61" s="83"/>
      <c r="H61" s="92"/>
      <c r="I61" s="13"/>
    </row>
    <row r="62" spans="1:22" ht="15" hidden="1" customHeight="1">
      <c r="A62" s="29"/>
      <c r="B62" s="80" t="s">
        <v>46</v>
      </c>
      <c r="C62" s="79" t="s">
        <v>54</v>
      </c>
      <c r="D62" s="80" t="s">
        <v>55</v>
      </c>
      <c r="E62" s="81">
        <v>884</v>
      </c>
      <c r="F62" s="82">
        <f>E62/100</f>
        <v>8.84</v>
      </c>
      <c r="G62" s="70">
        <v>793.61</v>
      </c>
      <c r="H62" s="92">
        <f>G62*F62/1000</f>
        <v>7.0155123999999995</v>
      </c>
      <c r="I62" s="13">
        <v>0</v>
      </c>
    </row>
    <row r="63" spans="1:22" ht="15" customHeight="1">
      <c r="A63" s="29">
        <v>14</v>
      </c>
      <c r="B63" s="80" t="s">
        <v>100</v>
      </c>
      <c r="C63" s="79" t="s">
        <v>25</v>
      </c>
      <c r="D63" s="80"/>
      <c r="E63" s="81">
        <v>176.8</v>
      </c>
      <c r="F63" s="82">
        <v>1200</v>
      </c>
      <c r="G63" s="70">
        <v>1.2</v>
      </c>
      <c r="H63" s="92">
        <f>G63*F63</f>
        <v>1440</v>
      </c>
      <c r="I63" s="13">
        <f>F63/12*G63</f>
        <v>120</v>
      </c>
    </row>
    <row r="64" spans="1:22" ht="16.5" customHeight="1">
      <c r="A64" s="29"/>
      <c r="B64" s="91" t="s">
        <v>47</v>
      </c>
      <c r="C64" s="79"/>
      <c r="D64" s="80"/>
      <c r="E64" s="81"/>
      <c r="F64" s="82"/>
      <c r="G64" s="70"/>
      <c r="H64" s="92" t="s">
        <v>140</v>
      </c>
      <c r="I64" s="1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9"/>
    </row>
    <row r="65" spans="1:21" ht="15" customHeight="1">
      <c r="A65" s="29">
        <v>15</v>
      </c>
      <c r="B65" s="14" t="s">
        <v>48</v>
      </c>
      <c r="C65" s="16" t="s">
        <v>132</v>
      </c>
      <c r="D65" s="14" t="s">
        <v>69</v>
      </c>
      <c r="E65" s="18">
        <v>20</v>
      </c>
      <c r="F65" s="70">
        <v>20</v>
      </c>
      <c r="G65" s="94">
        <v>222.4</v>
      </c>
      <c r="H65" s="93">
        <f t="shared" ref="H65:H80" si="6">SUM(F65*G65/1000)</f>
        <v>4.4480000000000004</v>
      </c>
      <c r="I65" s="13">
        <f>G65*7</f>
        <v>1556.8</v>
      </c>
      <c r="J65" s="25"/>
      <c r="K65" s="25"/>
      <c r="L65" s="3"/>
      <c r="M65" s="3"/>
      <c r="N65" s="3"/>
      <c r="O65" s="3"/>
      <c r="P65" s="3"/>
      <c r="Q65" s="3"/>
      <c r="R65" s="3"/>
      <c r="S65" s="3"/>
      <c r="T65" s="3"/>
      <c r="U65" s="3"/>
    </row>
    <row r="66" spans="1:21" ht="21" hidden="1" customHeight="1">
      <c r="A66" s="29">
        <v>17</v>
      </c>
      <c r="B66" s="14" t="s">
        <v>49</v>
      </c>
      <c r="C66" s="16" t="s">
        <v>132</v>
      </c>
      <c r="D66" s="14" t="s">
        <v>69</v>
      </c>
      <c r="E66" s="14" t="s">
        <v>69</v>
      </c>
      <c r="F66" s="14" t="s">
        <v>69</v>
      </c>
      <c r="G66" s="13">
        <v>76.25</v>
      </c>
      <c r="H66" s="84" t="e">
        <f t="shared" si="6"/>
        <v>#VALUE!</v>
      </c>
      <c r="I66" s="13">
        <f>G66</f>
        <v>76.25</v>
      </c>
      <c r="J66" s="3"/>
      <c r="K66" s="3"/>
      <c r="L66" s="3"/>
      <c r="M66" s="3"/>
      <c r="N66" s="3"/>
      <c r="O66" s="3"/>
      <c r="P66" s="3"/>
      <c r="Q66" s="3"/>
      <c r="S66" s="3"/>
      <c r="T66" s="3"/>
      <c r="U66" s="3"/>
    </row>
    <row r="67" spans="1:21" ht="22.5" hidden="1" customHeight="1">
      <c r="A67" s="29"/>
      <c r="B67" s="14" t="s">
        <v>50</v>
      </c>
      <c r="C67" s="16" t="s">
        <v>134</v>
      </c>
      <c r="D67" s="14" t="s">
        <v>55</v>
      </c>
      <c r="E67" s="69">
        <v>12647</v>
      </c>
      <c r="F67" s="13">
        <f>SUM(E67/100)</f>
        <v>126.47</v>
      </c>
      <c r="G67" s="13">
        <v>212.15</v>
      </c>
      <c r="H67" s="84">
        <f t="shared" si="6"/>
        <v>26.830610499999999</v>
      </c>
      <c r="I67" s="13">
        <f>F67*G67</f>
        <v>26830.610499999999</v>
      </c>
      <c r="J67" s="5"/>
      <c r="K67" s="5"/>
      <c r="L67" s="5"/>
      <c r="M67" s="5"/>
      <c r="N67" s="5"/>
      <c r="O67" s="5"/>
      <c r="P67" s="5"/>
      <c r="Q67" s="5"/>
      <c r="R67" s="124"/>
      <c r="S67" s="124"/>
      <c r="T67" s="124"/>
      <c r="U67" s="124"/>
    </row>
    <row r="68" spans="1:21" ht="21.75" hidden="1" customHeight="1">
      <c r="A68" s="29"/>
      <c r="B68" s="14" t="s">
        <v>51</v>
      </c>
      <c r="C68" s="16" t="s">
        <v>135</v>
      </c>
      <c r="D68" s="14"/>
      <c r="E68" s="69">
        <v>12647</v>
      </c>
      <c r="F68" s="13">
        <f>SUM(E68/1000)</f>
        <v>12.647</v>
      </c>
      <c r="G68" s="13">
        <v>165.21</v>
      </c>
      <c r="H68" s="84">
        <f t="shared" si="6"/>
        <v>2.08941087</v>
      </c>
      <c r="I68" s="13">
        <f t="shared" ref="I68:I72" si="7">F68*G68</f>
        <v>2089.4108700000002</v>
      </c>
    </row>
    <row r="69" spans="1:21" ht="24" hidden="1" customHeight="1">
      <c r="A69" s="29"/>
      <c r="B69" s="14" t="s">
        <v>52</v>
      </c>
      <c r="C69" s="16" t="s">
        <v>80</v>
      </c>
      <c r="D69" s="14" t="s">
        <v>55</v>
      </c>
      <c r="E69" s="69">
        <v>1900</v>
      </c>
      <c r="F69" s="13">
        <f>SUM(E69/100)</f>
        <v>19</v>
      </c>
      <c r="G69" s="13">
        <v>2074.63</v>
      </c>
      <c r="H69" s="84">
        <f t="shared" si="6"/>
        <v>39.417970000000004</v>
      </c>
      <c r="I69" s="13">
        <f t="shared" si="7"/>
        <v>39417.97</v>
      </c>
    </row>
    <row r="70" spans="1:21" ht="20.25" hidden="1" customHeight="1">
      <c r="A70" s="29"/>
      <c r="B70" s="85" t="s">
        <v>136</v>
      </c>
      <c r="C70" s="16" t="s">
        <v>33</v>
      </c>
      <c r="D70" s="14"/>
      <c r="E70" s="69">
        <v>11.3</v>
      </c>
      <c r="F70" s="13">
        <f>SUM(E70)</f>
        <v>11.3</v>
      </c>
      <c r="G70" s="13">
        <v>42.67</v>
      </c>
      <c r="H70" s="84">
        <f t="shared" si="6"/>
        <v>0.48217100000000007</v>
      </c>
      <c r="I70" s="13">
        <f t="shared" si="7"/>
        <v>482.17100000000005</v>
      </c>
    </row>
    <row r="71" spans="1:21" ht="18.75" hidden="1" customHeight="1">
      <c r="A71" s="29"/>
      <c r="B71" s="85" t="s">
        <v>137</v>
      </c>
      <c r="C71" s="16" t="s">
        <v>33</v>
      </c>
      <c r="D71" s="14"/>
      <c r="E71" s="69">
        <v>11.3</v>
      </c>
      <c r="F71" s="13">
        <f>SUM(E71)</f>
        <v>11.3</v>
      </c>
      <c r="G71" s="13">
        <v>39.81</v>
      </c>
      <c r="H71" s="84">
        <f t="shared" si="6"/>
        <v>0.44985300000000006</v>
      </c>
      <c r="I71" s="13">
        <f t="shared" si="7"/>
        <v>449.85300000000007</v>
      </c>
    </row>
    <row r="72" spans="1:21" ht="18.75" hidden="1" customHeight="1">
      <c r="A72" s="29"/>
      <c r="B72" s="14" t="s">
        <v>59</v>
      </c>
      <c r="C72" s="16" t="s">
        <v>60</v>
      </c>
      <c r="D72" s="14" t="s">
        <v>55</v>
      </c>
      <c r="E72" s="18">
        <v>6</v>
      </c>
      <c r="F72" s="70">
        <f>SUM(E72)</f>
        <v>6</v>
      </c>
      <c r="G72" s="13">
        <v>49.88</v>
      </c>
      <c r="H72" s="84">
        <f t="shared" si="6"/>
        <v>0.29928000000000005</v>
      </c>
      <c r="I72" s="13">
        <f t="shared" si="7"/>
        <v>299.28000000000003</v>
      </c>
    </row>
    <row r="73" spans="1:21" ht="15" hidden="1" customHeight="1">
      <c r="A73" s="29"/>
      <c r="B73" s="57" t="s">
        <v>75</v>
      </c>
      <c r="C73" s="16"/>
      <c r="D73" s="14"/>
      <c r="E73" s="18"/>
      <c r="F73" s="13"/>
      <c r="G73" s="13"/>
      <c r="H73" s="84" t="s">
        <v>140</v>
      </c>
      <c r="I73" s="13"/>
    </row>
    <row r="74" spans="1:21" ht="15" hidden="1" customHeight="1">
      <c r="A74" s="29">
        <v>15</v>
      </c>
      <c r="B74" s="14" t="s">
        <v>76</v>
      </c>
      <c r="C74" s="16" t="s">
        <v>31</v>
      </c>
      <c r="D74" s="14"/>
      <c r="E74" s="18">
        <v>5</v>
      </c>
      <c r="F74" s="61">
        <v>0.5</v>
      </c>
      <c r="G74" s="13">
        <v>501.62</v>
      </c>
      <c r="H74" s="84">
        <v>0.251</v>
      </c>
      <c r="I74" s="13">
        <f>G74*0.1</f>
        <v>50.162000000000006</v>
      </c>
    </row>
    <row r="75" spans="1:21" ht="15" hidden="1" customHeight="1">
      <c r="A75" s="29"/>
      <c r="B75" s="14" t="s">
        <v>148</v>
      </c>
      <c r="C75" s="16" t="s">
        <v>30</v>
      </c>
      <c r="D75" s="14"/>
      <c r="E75" s="18">
        <v>2</v>
      </c>
      <c r="F75" s="13">
        <v>2</v>
      </c>
      <c r="G75" s="13">
        <v>99.85</v>
      </c>
      <c r="H75" s="84">
        <v>0.1</v>
      </c>
      <c r="I75" s="13">
        <v>0</v>
      </c>
    </row>
    <row r="76" spans="1:21" ht="15" hidden="1" customHeight="1">
      <c r="A76" s="29"/>
      <c r="B76" s="14" t="s">
        <v>149</v>
      </c>
      <c r="C76" s="16" t="s">
        <v>30</v>
      </c>
      <c r="D76" s="14"/>
      <c r="E76" s="18">
        <v>1</v>
      </c>
      <c r="F76" s="61">
        <v>1</v>
      </c>
      <c r="G76" s="13">
        <v>120.26</v>
      </c>
      <c r="H76" s="84">
        <v>0.12</v>
      </c>
      <c r="I76" s="13">
        <v>0</v>
      </c>
    </row>
    <row r="77" spans="1:21" ht="15" hidden="1" customHeight="1">
      <c r="A77" s="29"/>
      <c r="B77" s="14" t="s">
        <v>91</v>
      </c>
      <c r="C77" s="16" t="s">
        <v>30</v>
      </c>
      <c r="D77" s="14"/>
      <c r="E77" s="18">
        <v>1</v>
      </c>
      <c r="F77" s="70">
        <f>SUM(E77)</f>
        <v>1</v>
      </c>
      <c r="G77" s="13">
        <v>358.51</v>
      </c>
      <c r="H77" s="84">
        <f t="shared" si="6"/>
        <v>0.35851</v>
      </c>
      <c r="I77" s="13">
        <v>0</v>
      </c>
    </row>
    <row r="78" spans="1:21" ht="15" hidden="1" customHeight="1">
      <c r="A78" s="29"/>
      <c r="B78" s="14" t="s">
        <v>77</v>
      </c>
      <c r="C78" s="16" t="s">
        <v>30</v>
      </c>
      <c r="D78" s="14"/>
      <c r="E78" s="18">
        <v>1</v>
      </c>
      <c r="F78" s="13">
        <v>1</v>
      </c>
      <c r="G78" s="13">
        <v>852.99</v>
      </c>
      <c r="H78" s="84">
        <f>F78*G78/1000</f>
        <v>0.85299000000000003</v>
      </c>
      <c r="I78" s="13">
        <v>0</v>
      </c>
    </row>
    <row r="79" spans="1:21" ht="15" hidden="1" customHeight="1">
      <c r="A79" s="29"/>
      <c r="B79" s="86" t="s">
        <v>79</v>
      </c>
      <c r="C79" s="16"/>
      <c r="D79" s="14"/>
      <c r="E79" s="18"/>
      <c r="F79" s="13"/>
      <c r="G79" s="13" t="s">
        <v>140</v>
      </c>
      <c r="H79" s="84" t="s">
        <v>140</v>
      </c>
      <c r="I79" s="13"/>
    </row>
    <row r="80" spans="1:21" ht="15" hidden="1" customHeight="1">
      <c r="A80" s="29"/>
      <c r="B80" s="44" t="s">
        <v>141</v>
      </c>
      <c r="C80" s="16" t="s">
        <v>80</v>
      </c>
      <c r="D80" s="14"/>
      <c r="E80" s="18"/>
      <c r="F80" s="13">
        <v>0.2</v>
      </c>
      <c r="G80" s="13">
        <v>2759.44</v>
      </c>
      <c r="H80" s="84">
        <f t="shared" si="6"/>
        <v>0.55188800000000005</v>
      </c>
      <c r="I80" s="13">
        <v>0</v>
      </c>
    </row>
    <row r="81" spans="1:9" ht="15" hidden="1" customHeight="1">
      <c r="A81" s="29"/>
      <c r="B81" s="74" t="s">
        <v>138</v>
      </c>
      <c r="C81" s="86"/>
      <c r="D81" s="31"/>
      <c r="E81" s="32"/>
      <c r="F81" s="75"/>
      <c r="G81" s="75"/>
      <c r="H81" s="87" t="e">
        <f>SUM(H60:H80)</f>
        <v>#VALUE!</v>
      </c>
      <c r="I81" s="75"/>
    </row>
    <row r="82" spans="1:9" ht="15" hidden="1" customHeight="1">
      <c r="A82" s="29"/>
      <c r="B82" s="67" t="s">
        <v>139</v>
      </c>
      <c r="C82" s="16"/>
      <c r="D82" s="14"/>
      <c r="E82" s="62"/>
      <c r="F82" s="13">
        <v>1</v>
      </c>
      <c r="G82" s="13">
        <v>13437.4</v>
      </c>
      <c r="H82" s="84">
        <f>G82*F82/1000</f>
        <v>13.4374</v>
      </c>
      <c r="I82" s="13">
        <v>0</v>
      </c>
    </row>
    <row r="83" spans="1:9" ht="15.75" customHeight="1">
      <c r="A83" s="125" t="s">
        <v>155</v>
      </c>
      <c r="B83" s="126"/>
      <c r="C83" s="126"/>
      <c r="D83" s="126"/>
      <c r="E83" s="126"/>
      <c r="F83" s="126"/>
      <c r="G83" s="126"/>
      <c r="H83" s="126"/>
      <c r="I83" s="127"/>
    </row>
    <row r="84" spans="1:9" ht="15" customHeight="1">
      <c r="A84" s="29">
        <v>16</v>
      </c>
      <c r="B84" s="67" t="s">
        <v>142</v>
      </c>
      <c r="C84" s="16" t="s">
        <v>56</v>
      </c>
      <c r="D84" s="88" t="s">
        <v>57</v>
      </c>
      <c r="E84" s="13">
        <v>3031.3</v>
      </c>
      <c r="F84" s="13">
        <f>SUM(E84*12)</f>
        <v>36375.600000000006</v>
      </c>
      <c r="G84" s="13">
        <v>2.1</v>
      </c>
      <c r="H84" s="84">
        <f>SUM(F84*G84/1000)</f>
        <v>76.388760000000005</v>
      </c>
      <c r="I84" s="13">
        <f>F84/12*G84</f>
        <v>6365.7300000000014</v>
      </c>
    </row>
    <row r="85" spans="1:9" ht="31.5" customHeight="1">
      <c r="A85" s="29">
        <v>17</v>
      </c>
      <c r="B85" s="14" t="s">
        <v>81</v>
      </c>
      <c r="C85" s="16"/>
      <c r="D85" s="88" t="s">
        <v>57</v>
      </c>
      <c r="E85" s="69">
        <f>E84</f>
        <v>3031.3</v>
      </c>
      <c r="F85" s="13">
        <f>E85*12</f>
        <v>36375.600000000006</v>
      </c>
      <c r="G85" s="13">
        <v>1.63</v>
      </c>
      <c r="H85" s="84">
        <f>F85*G85/1000</f>
        <v>59.292228000000001</v>
      </c>
      <c r="I85" s="13">
        <f>F85/12*G85</f>
        <v>4941.0190000000011</v>
      </c>
    </row>
    <row r="86" spans="1:9" ht="15.75" customHeight="1">
      <c r="A86" s="45"/>
      <c r="B86" s="36" t="s">
        <v>83</v>
      </c>
      <c r="C86" s="37"/>
      <c r="D86" s="15"/>
      <c r="E86" s="15"/>
      <c r="F86" s="15"/>
      <c r="G86" s="18"/>
      <c r="H86" s="18"/>
      <c r="I86" s="32">
        <f>I85+I84+I65+I63+I57+I56+I55+I54+I35+I34+I32+I31+I28+I27+I18+I17+I16</f>
        <v>51676.821454955563</v>
      </c>
    </row>
    <row r="87" spans="1:9" ht="15.75" customHeight="1">
      <c r="A87" s="139" t="s">
        <v>62</v>
      </c>
      <c r="B87" s="140"/>
      <c r="C87" s="140"/>
      <c r="D87" s="140"/>
      <c r="E87" s="140"/>
      <c r="F87" s="140"/>
      <c r="G87" s="140"/>
      <c r="H87" s="140"/>
      <c r="I87" s="141"/>
    </row>
    <row r="88" spans="1:9" ht="31.5" customHeight="1">
      <c r="A88" s="29">
        <v>18</v>
      </c>
      <c r="B88" s="52" t="s">
        <v>266</v>
      </c>
      <c r="C88" s="53" t="s">
        <v>267</v>
      </c>
      <c r="D88" s="44"/>
      <c r="E88" s="13"/>
      <c r="F88" s="13">
        <v>4</v>
      </c>
      <c r="G88" s="34">
        <v>24829.08</v>
      </c>
      <c r="H88" s="84">
        <f t="shared" ref="H88:H91" si="8">G88*F88/1000</f>
        <v>99.316320000000005</v>
      </c>
      <c r="I88" s="13">
        <f>G88*0.01</f>
        <v>248.29080000000002</v>
      </c>
    </row>
    <row r="89" spans="1:9" ht="16.5" customHeight="1">
      <c r="A89" s="29">
        <v>19</v>
      </c>
      <c r="B89" s="52" t="s">
        <v>268</v>
      </c>
      <c r="C89" s="53" t="s">
        <v>84</v>
      </c>
      <c r="D89" s="44"/>
      <c r="E89" s="34"/>
      <c r="F89" s="34">
        <v>9</v>
      </c>
      <c r="G89" s="34">
        <v>2057</v>
      </c>
      <c r="H89" s="102">
        <f t="shared" si="8"/>
        <v>18.513000000000002</v>
      </c>
      <c r="I89" s="13">
        <f>G89*1</f>
        <v>2057</v>
      </c>
    </row>
    <row r="90" spans="1:9" ht="18" customHeight="1">
      <c r="A90" s="29">
        <v>20</v>
      </c>
      <c r="B90" s="52" t="s">
        <v>269</v>
      </c>
      <c r="C90" s="53" t="s">
        <v>132</v>
      </c>
      <c r="D90" s="104"/>
      <c r="E90" s="34"/>
      <c r="F90" s="34">
        <v>0.06</v>
      </c>
      <c r="G90" s="34">
        <v>179</v>
      </c>
      <c r="H90" s="102">
        <f t="shared" si="8"/>
        <v>1.074E-2</v>
      </c>
      <c r="I90" s="13">
        <f>G90*1</f>
        <v>179</v>
      </c>
    </row>
    <row r="91" spans="1:9" ht="15" customHeight="1">
      <c r="A91" s="29">
        <v>21</v>
      </c>
      <c r="B91" s="52" t="s">
        <v>270</v>
      </c>
      <c r="C91" s="53" t="s">
        <v>132</v>
      </c>
      <c r="D91" s="48"/>
      <c r="E91" s="34"/>
      <c r="F91" s="34">
        <v>1</v>
      </c>
      <c r="G91" s="34">
        <v>181.93</v>
      </c>
      <c r="H91" s="102">
        <f t="shared" si="8"/>
        <v>0.18193000000000001</v>
      </c>
      <c r="I91" s="13">
        <f>G91*1</f>
        <v>181.93</v>
      </c>
    </row>
    <row r="92" spans="1:9" ht="15" customHeight="1">
      <c r="A92" s="29">
        <v>22</v>
      </c>
      <c r="B92" s="52" t="s">
        <v>271</v>
      </c>
      <c r="C92" s="53" t="s">
        <v>132</v>
      </c>
      <c r="D92" s="48"/>
      <c r="E92" s="34"/>
      <c r="F92" s="34"/>
      <c r="G92" s="34">
        <v>148.22999999999999</v>
      </c>
      <c r="H92" s="102"/>
      <c r="I92" s="13">
        <f>G92*1</f>
        <v>148.22999999999999</v>
      </c>
    </row>
    <row r="93" spans="1:9" ht="15" customHeight="1">
      <c r="A93" s="29">
        <v>23</v>
      </c>
      <c r="B93" s="52" t="s">
        <v>85</v>
      </c>
      <c r="C93" s="53" t="s">
        <v>132</v>
      </c>
      <c r="D93" s="48"/>
      <c r="E93" s="34"/>
      <c r="F93" s="34"/>
      <c r="G93" s="34">
        <v>197.48</v>
      </c>
      <c r="H93" s="102"/>
      <c r="I93" s="13">
        <f>G93*1</f>
        <v>197.48</v>
      </c>
    </row>
    <row r="94" spans="1:9" ht="15.75" customHeight="1">
      <c r="A94" s="29"/>
      <c r="B94" s="42" t="s">
        <v>53</v>
      </c>
      <c r="C94" s="38"/>
      <c r="D94" s="46"/>
      <c r="E94" s="38">
        <v>1</v>
      </c>
      <c r="F94" s="38"/>
      <c r="G94" s="38"/>
      <c r="H94" s="38"/>
      <c r="I94" s="32">
        <f>SUM(I88:I93)</f>
        <v>3011.9308000000001</v>
      </c>
    </row>
    <row r="95" spans="1:9" ht="15.75" customHeight="1">
      <c r="A95" s="29"/>
      <c r="B95" s="44" t="s">
        <v>82</v>
      </c>
      <c r="C95" s="15"/>
      <c r="D95" s="15"/>
      <c r="E95" s="39"/>
      <c r="F95" s="39"/>
      <c r="G95" s="40"/>
      <c r="H95" s="40"/>
      <c r="I95" s="17">
        <v>0</v>
      </c>
    </row>
    <row r="96" spans="1:9" ht="15.75" customHeight="1">
      <c r="A96" s="47"/>
      <c r="B96" s="43" t="s">
        <v>192</v>
      </c>
      <c r="C96" s="33"/>
      <c r="D96" s="33"/>
      <c r="E96" s="33"/>
      <c r="F96" s="33"/>
      <c r="G96" s="33"/>
      <c r="H96" s="33"/>
      <c r="I96" s="41">
        <f>I86+I94</f>
        <v>54688.752254955565</v>
      </c>
    </row>
    <row r="97" spans="1:9" ht="15.75">
      <c r="A97" s="142" t="s">
        <v>272</v>
      </c>
      <c r="B97" s="142"/>
      <c r="C97" s="142"/>
      <c r="D97" s="142"/>
      <c r="E97" s="142"/>
      <c r="F97" s="142"/>
      <c r="G97" s="142"/>
      <c r="H97" s="142"/>
      <c r="I97" s="142"/>
    </row>
    <row r="98" spans="1:9" ht="15.75">
      <c r="A98" s="60"/>
      <c r="B98" s="143" t="s">
        <v>273</v>
      </c>
      <c r="C98" s="143"/>
      <c r="D98" s="143"/>
      <c r="E98" s="143"/>
      <c r="F98" s="143"/>
      <c r="G98" s="143"/>
      <c r="H98" s="65"/>
      <c r="I98" s="3"/>
    </row>
    <row r="99" spans="1:9">
      <c r="A99" s="56"/>
      <c r="B99" s="144" t="s">
        <v>6</v>
      </c>
      <c r="C99" s="144"/>
      <c r="D99" s="144"/>
      <c r="E99" s="144"/>
      <c r="F99" s="144"/>
      <c r="G99" s="144"/>
      <c r="H99" s="24"/>
      <c r="I99" s="5"/>
    </row>
    <row r="100" spans="1:9">
      <c r="A100" s="10"/>
      <c r="B100" s="10"/>
      <c r="C100" s="10"/>
      <c r="D100" s="10"/>
      <c r="E100" s="10"/>
      <c r="F100" s="10"/>
      <c r="G100" s="10"/>
      <c r="H100" s="10"/>
      <c r="I100" s="10"/>
    </row>
    <row r="101" spans="1:9" ht="15.75">
      <c r="A101" s="145" t="s">
        <v>7</v>
      </c>
      <c r="B101" s="145"/>
      <c r="C101" s="145"/>
      <c r="D101" s="145"/>
      <c r="E101" s="145"/>
      <c r="F101" s="145"/>
      <c r="G101" s="145"/>
      <c r="H101" s="145"/>
      <c r="I101" s="145"/>
    </row>
    <row r="102" spans="1:9" ht="15.75">
      <c r="A102" s="145" t="s">
        <v>8</v>
      </c>
      <c r="B102" s="145"/>
      <c r="C102" s="145"/>
      <c r="D102" s="145"/>
      <c r="E102" s="145"/>
      <c r="F102" s="145"/>
      <c r="G102" s="145"/>
      <c r="H102" s="145"/>
      <c r="I102" s="145"/>
    </row>
    <row r="103" spans="1:9" ht="15.75">
      <c r="A103" s="134" t="s">
        <v>63</v>
      </c>
      <c r="B103" s="134"/>
      <c r="C103" s="134"/>
      <c r="D103" s="134"/>
      <c r="E103" s="134"/>
      <c r="F103" s="134"/>
      <c r="G103" s="134"/>
      <c r="H103" s="134"/>
      <c r="I103" s="134"/>
    </row>
    <row r="104" spans="1:9" ht="15.75">
      <c r="A104" s="11"/>
    </row>
    <row r="105" spans="1:9" ht="15.75">
      <c r="A105" s="147" t="s">
        <v>9</v>
      </c>
      <c r="B105" s="147"/>
      <c r="C105" s="147"/>
      <c r="D105" s="147"/>
      <c r="E105" s="147"/>
      <c r="F105" s="147"/>
      <c r="G105" s="147"/>
      <c r="H105" s="147"/>
      <c r="I105" s="147"/>
    </row>
    <row r="106" spans="1:9" ht="15.75">
      <c r="A106" s="4"/>
    </row>
    <row r="107" spans="1:9" ht="15.75">
      <c r="B107" s="59" t="s">
        <v>10</v>
      </c>
      <c r="C107" s="148" t="s">
        <v>93</v>
      </c>
      <c r="D107" s="148"/>
      <c r="E107" s="148"/>
      <c r="F107" s="63"/>
      <c r="I107" s="55"/>
    </row>
    <row r="108" spans="1:9">
      <c r="A108" s="56"/>
      <c r="C108" s="144" t="s">
        <v>11</v>
      </c>
      <c r="D108" s="144"/>
      <c r="E108" s="144"/>
      <c r="F108" s="24"/>
      <c r="I108" s="54" t="s">
        <v>12</v>
      </c>
    </row>
    <row r="109" spans="1:9" ht="15.75">
      <c r="A109" s="25"/>
      <c r="C109" s="12"/>
      <c r="D109" s="12"/>
      <c r="G109" s="12"/>
      <c r="H109" s="12"/>
    </row>
    <row r="110" spans="1:9" ht="15.75">
      <c r="B110" s="59" t="s">
        <v>13</v>
      </c>
      <c r="C110" s="149"/>
      <c r="D110" s="149"/>
      <c r="E110" s="149"/>
      <c r="F110" s="64"/>
      <c r="I110" s="55"/>
    </row>
    <row r="111" spans="1:9">
      <c r="A111" s="56"/>
      <c r="C111" s="124" t="s">
        <v>11</v>
      </c>
      <c r="D111" s="124"/>
      <c r="E111" s="124"/>
      <c r="F111" s="56"/>
      <c r="I111" s="54" t="s">
        <v>12</v>
      </c>
    </row>
    <row r="112" spans="1:9" ht="15.75">
      <c r="A112" s="4" t="s">
        <v>14</v>
      </c>
    </row>
    <row r="113" spans="1:9">
      <c r="A113" s="150" t="s">
        <v>15</v>
      </c>
      <c r="B113" s="150"/>
      <c r="C113" s="150"/>
      <c r="D113" s="150"/>
      <c r="E113" s="150"/>
      <c r="F113" s="150"/>
      <c r="G113" s="150"/>
      <c r="H113" s="150"/>
      <c r="I113" s="150"/>
    </row>
    <row r="114" spans="1:9" ht="45" customHeight="1">
      <c r="A114" s="146" t="s">
        <v>16</v>
      </c>
      <c r="B114" s="146"/>
      <c r="C114" s="146"/>
      <c r="D114" s="146"/>
      <c r="E114" s="146"/>
      <c r="F114" s="146"/>
      <c r="G114" s="146"/>
      <c r="H114" s="146"/>
      <c r="I114" s="146"/>
    </row>
    <row r="115" spans="1:9" ht="30" customHeight="1">
      <c r="A115" s="146" t="s">
        <v>17</v>
      </c>
      <c r="B115" s="146"/>
      <c r="C115" s="146"/>
      <c r="D115" s="146"/>
      <c r="E115" s="146"/>
      <c r="F115" s="146"/>
      <c r="G115" s="146"/>
      <c r="H115" s="146"/>
      <c r="I115" s="146"/>
    </row>
    <row r="116" spans="1:9" ht="30" customHeight="1">
      <c r="A116" s="146" t="s">
        <v>21</v>
      </c>
      <c r="B116" s="146"/>
      <c r="C116" s="146"/>
      <c r="D116" s="146"/>
      <c r="E116" s="146"/>
      <c r="F116" s="146"/>
      <c r="G116" s="146"/>
      <c r="H116" s="146"/>
      <c r="I116" s="146"/>
    </row>
    <row r="117" spans="1:9" ht="15.75">
      <c r="A117" s="146" t="s">
        <v>20</v>
      </c>
      <c r="B117" s="146"/>
      <c r="C117" s="146"/>
      <c r="D117" s="146"/>
      <c r="E117" s="146"/>
      <c r="F117" s="146"/>
      <c r="G117" s="146"/>
      <c r="H117" s="146"/>
      <c r="I117" s="146"/>
    </row>
  </sheetData>
  <autoFilter ref="I12:I62"/>
  <mergeCells count="29">
    <mergeCell ref="A114:I114"/>
    <mergeCell ref="A115:I115"/>
    <mergeCell ref="A116:I116"/>
    <mergeCell ref="A117:I117"/>
    <mergeCell ref="A105:I105"/>
    <mergeCell ref="C107:E107"/>
    <mergeCell ref="C108:E108"/>
    <mergeCell ref="C110:E110"/>
    <mergeCell ref="C111:E111"/>
    <mergeCell ref="A113:I113"/>
    <mergeCell ref="A103:I103"/>
    <mergeCell ref="A15:I15"/>
    <mergeCell ref="A29:I29"/>
    <mergeCell ref="A47:I47"/>
    <mergeCell ref="A58:I58"/>
    <mergeCell ref="A97:I97"/>
    <mergeCell ref="B98:G98"/>
    <mergeCell ref="B99:G99"/>
    <mergeCell ref="A101:I101"/>
    <mergeCell ref="A102:I102"/>
    <mergeCell ref="A87:I87"/>
    <mergeCell ref="R67:U67"/>
    <mergeCell ref="A83:I83"/>
    <mergeCell ref="A3:I3"/>
    <mergeCell ref="A4:I4"/>
    <mergeCell ref="A5:I5"/>
    <mergeCell ref="A8:I8"/>
    <mergeCell ref="A10:I10"/>
    <mergeCell ref="A14:I14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>
  <dimension ref="A1:V115"/>
  <sheetViews>
    <sheetView topLeftCell="A27" workbookViewId="0">
      <selection activeCell="M95" sqref="M95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85546875" hidden="1" customWidth="1"/>
    <col min="6" max="6" width="13.14062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7" t="s">
        <v>229</v>
      </c>
      <c r="I1" s="26"/>
      <c r="J1" s="1"/>
      <c r="K1" s="1"/>
      <c r="L1" s="1"/>
      <c r="M1" s="1"/>
    </row>
    <row r="2" spans="1:13" ht="15.75" customHeight="1">
      <c r="A2" s="28" t="s">
        <v>64</v>
      </c>
      <c r="J2" s="2"/>
      <c r="K2" s="2"/>
      <c r="L2" s="2"/>
      <c r="M2" s="2"/>
    </row>
    <row r="3" spans="1:13" ht="15.75" customHeight="1">
      <c r="A3" s="128" t="s">
        <v>195</v>
      </c>
      <c r="B3" s="128"/>
      <c r="C3" s="128"/>
      <c r="D3" s="128"/>
      <c r="E3" s="128"/>
      <c r="F3" s="128"/>
      <c r="G3" s="128"/>
      <c r="H3" s="128"/>
      <c r="I3" s="128"/>
      <c r="J3" s="3"/>
      <c r="K3" s="3"/>
      <c r="L3" s="3"/>
    </row>
    <row r="4" spans="1:13" ht="31.5" customHeight="1">
      <c r="A4" s="129" t="s">
        <v>143</v>
      </c>
      <c r="B4" s="129"/>
      <c r="C4" s="129"/>
      <c r="D4" s="129"/>
      <c r="E4" s="129"/>
      <c r="F4" s="129"/>
      <c r="G4" s="129"/>
      <c r="H4" s="129"/>
      <c r="I4" s="129"/>
    </row>
    <row r="5" spans="1:13" ht="15.75" customHeight="1">
      <c r="A5" s="128" t="s">
        <v>274</v>
      </c>
      <c r="B5" s="130"/>
      <c r="C5" s="130"/>
      <c r="D5" s="130"/>
      <c r="E5" s="130"/>
      <c r="F5" s="130"/>
      <c r="G5" s="130"/>
      <c r="H5" s="130"/>
      <c r="I5" s="130"/>
      <c r="J5" s="2"/>
      <c r="K5" s="2"/>
      <c r="L5" s="2"/>
      <c r="M5" s="2"/>
    </row>
    <row r="6" spans="1:13" ht="15.75" customHeight="1">
      <c r="A6" s="2"/>
      <c r="B6" s="100"/>
      <c r="C6" s="100"/>
      <c r="D6" s="100"/>
      <c r="E6" s="100"/>
      <c r="F6" s="100"/>
      <c r="G6" s="100"/>
      <c r="H6" s="100"/>
      <c r="I6" s="30">
        <v>43434</v>
      </c>
      <c r="J6" s="2"/>
      <c r="K6" s="2"/>
      <c r="L6" s="2"/>
      <c r="M6" s="2"/>
    </row>
    <row r="7" spans="1:13" ht="15.75" customHeight="1">
      <c r="B7" s="98"/>
      <c r="C7" s="98"/>
      <c r="D7" s="98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131" t="s">
        <v>234</v>
      </c>
      <c r="B8" s="131"/>
      <c r="C8" s="131"/>
      <c r="D8" s="131"/>
      <c r="E8" s="131"/>
      <c r="F8" s="131"/>
      <c r="G8" s="131"/>
      <c r="H8" s="131"/>
      <c r="I8" s="131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32" t="s">
        <v>193</v>
      </c>
      <c r="B10" s="132"/>
      <c r="C10" s="132"/>
      <c r="D10" s="132"/>
      <c r="E10" s="132"/>
      <c r="F10" s="132"/>
      <c r="G10" s="132"/>
      <c r="H10" s="132"/>
      <c r="I10" s="132"/>
      <c r="J10" s="2"/>
      <c r="K10" s="2"/>
      <c r="L10" s="2"/>
      <c r="M10" s="2"/>
    </row>
    <row r="11" spans="1:13" ht="15.75">
      <c r="A11" s="4"/>
    </row>
    <row r="12" spans="1:13" ht="5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133" t="s">
        <v>61</v>
      </c>
      <c r="B14" s="133"/>
      <c r="C14" s="133"/>
      <c r="D14" s="133"/>
      <c r="E14" s="133"/>
      <c r="F14" s="133"/>
      <c r="G14" s="133"/>
      <c r="H14" s="133"/>
      <c r="I14" s="133"/>
      <c r="J14" s="8"/>
      <c r="K14" s="8"/>
      <c r="L14" s="8"/>
      <c r="M14" s="8"/>
    </row>
    <row r="15" spans="1:13" ht="15.75" customHeight="1">
      <c r="A15" s="135" t="s">
        <v>4</v>
      </c>
      <c r="B15" s="135"/>
      <c r="C15" s="135"/>
      <c r="D15" s="135"/>
      <c r="E15" s="135"/>
      <c r="F15" s="135"/>
      <c r="G15" s="135"/>
      <c r="H15" s="135"/>
      <c r="I15" s="135"/>
      <c r="J15" s="8"/>
      <c r="K15" s="8"/>
      <c r="L15" s="8"/>
      <c r="M15" s="8"/>
    </row>
    <row r="16" spans="1:13" ht="15" customHeight="1">
      <c r="A16" s="29">
        <v>1</v>
      </c>
      <c r="B16" s="67" t="s">
        <v>90</v>
      </c>
      <c r="C16" s="68" t="s">
        <v>111</v>
      </c>
      <c r="D16" s="67" t="s">
        <v>112</v>
      </c>
      <c r="E16" s="69">
        <v>59.96</v>
      </c>
      <c r="F16" s="70">
        <f>SUM(E16*156/100)</f>
        <v>93.537599999999998</v>
      </c>
      <c r="G16" s="70">
        <v>175.38</v>
      </c>
      <c r="H16" s="71">
        <f t="shared" ref="H16:H26" si="0">SUM(F16*G16/1000)</f>
        <v>16.404624288000001</v>
      </c>
      <c r="I16" s="13">
        <f>F16/12*G16</f>
        <v>1367.0520239999998</v>
      </c>
      <c r="J16" s="8"/>
      <c r="K16" s="8"/>
      <c r="L16" s="8"/>
      <c r="M16" s="8"/>
    </row>
    <row r="17" spans="1:13" ht="15" customHeight="1">
      <c r="A17" s="29">
        <v>2</v>
      </c>
      <c r="B17" s="67" t="s">
        <v>97</v>
      </c>
      <c r="C17" s="68" t="s">
        <v>111</v>
      </c>
      <c r="D17" s="67" t="s">
        <v>113</v>
      </c>
      <c r="E17" s="69">
        <v>239.84</v>
      </c>
      <c r="F17" s="70">
        <f>SUM(E17*104/100)</f>
        <v>249.43360000000001</v>
      </c>
      <c r="G17" s="70">
        <v>175.38</v>
      </c>
      <c r="H17" s="71">
        <f t="shared" si="0"/>
        <v>43.745664768000005</v>
      </c>
      <c r="I17" s="13">
        <f>F17/12*G17</f>
        <v>3645.4720640000005</v>
      </c>
      <c r="J17" s="22"/>
      <c r="K17" s="8"/>
      <c r="L17" s="8"/>
      <c r="M17" s="8"/>
    </row>
    <row r="18" spans="1:13" ht="15" customHeight="1">
      <c r="A18" s="29">
        <v>3</v>
      </c>
      <c r="B18" s="67" t="s">
        <v>98</v>
      </c>
      <c r="C18" s="68" t="s">
        <v>111</v>
      </c>
      <c r="D18" s="67" t="s">
        <v>114</v>
      </c>
      <c r="E18" s="69">
        <f>SUM(E16+E17)</f>
        <v>299.8</v>
      </c>
      <c r="F18" s="70">
        <f>SUM(E18*24/100)</f>
        <v>71.952000000000012</v>
      </c>
      <c r="G18" s="70">
        <v>504.5</v>
      </c>
      <c r="H18" s="71">
        <f t="shared" si="0"/>
        <v>36.29978400000001</v>
      </c>
      <c r="I18" s="13">
        <f>F18/12*G18</f>
        <v>3024.9820000000009</v>
      </c>
      <c r="J18" s="22"/>
      <c r="K18" s="8"/>
      <c r="L18" s="8"/>
      <c r="M18" s="8"/>
    </row>
    <row r="19" spans="1:13" ht="15" hidden="1" customHeight="1">
      <c r="A19" s="29"/>
      <c r="B19" s="67" t="s">
        <v>115</v>
      </c>
      <c r="C19" s="68" t="s">
        <v>116</v>
      </c>
      <c r="D19" s="67" t="s">
        <v>117</v>
      </c>
      <c r="E19" s="69">
        <v>40.799999999999997</v>
      </c>
      <c r="F19" s="70">
        <f>SUM(E19/10)</f>
        <v>4.08</v>
      </c>
      <c r="G19" s="70">
        <v>170.16</v>
      </c>
      <c r="H19" s="71">
        <f t="shared" si="0"/>
        <v>0.6942528</v>
      </c>
      <c r="I19" s="13">
        <v>0</v>
      </c>
      <c r="J19" s="22"/>
      <c r="K19" s="8"/>
      <c r="L19" s="8"/>
      <c r="M19" s="8"/>
    </row>
    <row r="20" spans="1:13" ht="15" hidden="1" customHeight="1">
      <c r="A20" s="29"/>
      <c r="B20" s="67" t="s">
        <v>102</v>
      </c>
      <c r="C20" s="68" t="s">
        <v>111</v>
      </c>
      <c r="D20" s="67" t="s">
        <v>55</v>
      </c>
      <c r="E20" s="69">
        <v>43.2</v>
      </c>
      <c r="F20" s="70">
        <f>SUM(E20/100)</f>
        <v>0.43200000000000005</v>
      </c>
      <c r="G20" s="70">
        <v>217.88</v>
      </c>
      <c r="H20" s="71">
        <f t="shared" si="0"/>
        <v>9.4124159999999998E-2</v>
      </c>
      <c r="I20" s="13">
        <v>0</v>
      </c>
      <c r="J20" s="22"/>
      <c r="K20" s="8"/>
      <c r="L20" s="8"/>
      <c r="M20" s="8"/>
    </row>
    <row r="21" spans="1:13" ht="15" hidden="1" customHeight="1">
      <c r="A21" s="29"/>
      <c r="B21" s="67" t="s">
        <v>103</v>
      </c>
      <c r="C21" s="68" t="s">
        <v>111</v>
      </c>
      <c r="D21" s="67" t="s">
        <v>55</v>
      </c>
      <c r="E21" s="69">
        <v>10.08</v>
      </c>
      <c r="F21" s="70">
        <f>E21/100</f>
        <v>0.1008</v>
      </c>
      <c r="G21" s="70">
        <v>216.12</v>
      </c>
      <c r="H21" s="71">
        <f>SUM(F21*G21)/1000</f>
        <v>2.1784896000000002E-2</v>
      </c>
      <c r="I21" s="13">
        <v>0</v>
      </c>
      <c r="J21" s="22"/>
      <c r="K21" s="8"/>
      <c r="L21" s="8"/>
      <c r="M21" s="8"/>
    </row>
    <row r="22" spans="1:13" ht="15" hidden="1" customHeight="1">
      <c r="A22" s="29"/>
      <c r="B22" s="67" t="s">
        <v>118</v>
      </c>
      <c r="C22" s="68" t="s">
        <v>54</v>
      </c>
      <c r="D22" s="67" t="s">
        <v>117</v>
      </c>
      <c r="E22" s="69">
        <v>403.84</v>
      </c>
      <c r="F22" s="70">
        <f>SUM(E22/100)</f>
        <v>4.0383999999999993</v>
      </c>
      <c r="G22" s="70">
        <v>269.26</v>
      </c>
      <c r="H22" s="71">
        <f t="shared" si="0"/>
        <v>1.0873795839999998</v>
      </c>
      <c r="I22" s="13">
        <v>0</v>
      </c>
      <c r="J22" s="22"/>
      <c r="K22" s="8"/>
      <c r="L22" s="8"/>
      <c r="M22" s="8"/>
    </row>
    <row r="23" spans="1:13" ht="15" hidden="1" customHeight="1">
      <c r="A23" s="29"/>
      <c r="B23" s="67" t="s">
        <v>119</v>
      </c>
      <c r="C23" s="68" t="s">
        <v>54</v>
      </c>
      <c r="D23" s="67" t="s">
        <v>117</v>
      </c>
      <c r="E23" s="72">
        <v>70.56</v>
      </c>
      <c r="F23" s="70">
        <f>SUM(E23/100)</f>
        <v>0.7056</v>
      </c>
      <c r="G23" s="70">
        <v>44.29</v>
      </c>
      <c r="H23" s="71">
        <f t="shared" si="0"/>
        <v>3.1251024000000002E-2</v>
      </c>
      <c r="I23" s="13">
        <v>0</v>
      </c>
      <c r="J23" s="22"/>
      <c r="K23" s="8"/>
      <c r="L23" s="8"/>
      <c r="M23" s="8"/>
    </row>
    <row r="24" spans="1:13" ht="15" hidden="1" customHeight="1">
      <c r="A24" s="29"/>
      <c r="B24" s="67" t="s">
        <v>105</v>
      </c>
      <c r="C24" s="68" t="s">
        <v>54</v>
      </c>
      <c r="D24" s="67" t="s">
        <v>117</v>
      </c>
      <c r="E24" s="18">
        <v>14.4</v>
      </c>
      <c r="F24" s="73">
        <v>0.14000000000000001</v>
      </c>
      <c r="G24" s="70">
        <v>398.72</v>
      </c>
      <c r="H24" s="71">
        <f>F24*G24/1000</f>
        <v>5.5820800000000011E-2</v>
      </c>
      <c r="I24" s="13">
        <v>0</v>
      </c>
      <c r="J24" s="22"/>
      <c r="K24" s="8"/>
      <c r="L24" s="8"/>
      <c r="M24" s="8"/>
    </row>
    <row r="25" spans="1:13" ht="15" hidden="1" customHeight="1">
      <c r="A25" s="29"/>
      <c r="B25" s="67" t="s">
        <v>120</v>
      </c>
      <c r="C25" s="68" t="s">
        <v>54</v>
      </c>
      <c r="D25" s="67" t="s">
        <v>117</v>
      </c>
      <c r="E25" s="72">
        <v>31.5</v>
      </c>
      <c r="F25" s="70">
        <v>0.32</v>
      </c>
      <c r="G25" s="70">
        <v>216.12</v>
      </c>
      <c r="H25" s="71">
        <f>F25*G25/1000</f>
        <v>6.9158399999999995E-2</v>
      </c>
      <c r="I25" s="13">
        <v>0</v>
      </c>
      <c r="J25" s="22"/>
      <c r="K25" s="8"/>
      <c r="L25" s="8"/>
      <c r="M25" s="8"/>
    </row>
    <row r="26" spans="1:13" ht="15" hidden="1" customHeight="1">
      <c r="A26" s="29"/>
      <c r="B26" s="67" t="s">
        <v>106</v>
      </c>
      <c r="C26" s="68" t="s">
        <v>54</v>
      </c>
      <c r="D26" s="67" t="s">
        <v>117</v>
      </c>
      <c r="E26" s="69">
        <v>28.22</v>
      </c>
      <c r="F26" s="70">
        <f>SUM(E26/100)</f>
        <v>0.28220000000000001</v>
      </c>
      <c r="G26" s="70">
        <v>520.79999999999995</v>
      </c>
      <c r="H26" s="71">
        <f t="shared" si="0"/>
        <v>0.14696975999999998</v>
      </c>
      <c r="I26" s="13">
        <v>0</v>
      </c>
      <c r="J26" s="22"/>
      <c r="K26" s="8"/>
      <c r="L26" s="8"/>
      <c r="M26" s="8"/>
    </row>
    <row r="27" spans="1:13" ht="15" customHeight="1">
      <c r="A27" s="29">
        <v>4</v>
      </c>
      <c r="B27" s="67" t="s">
        <v>66</v>
      </c>
      <c r="C27" s="68" t="s">
        <v>33</v>
      </c>
      <c r="D27" s="67"/>
      <c r="E27" s="69">
        <v>0.1</v>
      </c>
      <c r="F27" s="70">
        <f>SUM(E27*365)</f>
        <v>36.5</v>
      </c>
      <c r="G27" s="70">
        <v>147.03</v>
      </c>
      <c r="H27" s="71">
        <f>SUM(F27*G27/1000)</f>
        <v>5.3665950000000002</v>
      </c>
      <c r="I27" s="13">
        <f>F27/12*G27</f>
        <v>447.21625</v>
      </c>
      <c r="J27" s="23"/>
    </row>
    <row r="28" spans="1:13" ht="15" hidden="1" customHeight="1">
      <c r="A28" s="29">
        <v>5</v>
      </c>
      <c r="B28" s="77" t="s">
        <v>23</v>
      </c>
      <c r="C28" s="68" t="s">
        <v>24</v>
      </c>
      <c r="D28" s="67"/>
      <c r="E28" s="69">
        <v>3031.3</v>
      </c>
      <c r="F28" s="70">
        <f>SUM(E28*12)</f>
        <v>36375.600000000006</v>
      </c>
      <c r="G28" s="70">
        <v>5.47</v>
      </c>
      <c r="H28" s="71">
        <f>SUM(F28*G28/1000)</f>
        <v>198.97453200000004</v>
      </c>
      <c r="I28" s="13">
        <f>F28/12*G28</f>
        <v>16581.211000000003</v>
      </c>
      <c r="J28" s="23"/>
    </row>
    <row r="29" spans="1:13" ht="15.75" customHeight="1">
      <c r="A29" s="135" t="s">
        <v>88</v>
      </c>
      <c r="B29" s="135"/>
      <c r="C29" s="135"/>
      <c r="D29" s="135"/>
      <c r="E29" s="135"/>
      <c r="F29" s="135"/>
      <c r="G29" s="135"/>
      <c r="H29" s="135"/>
      <c r="I29" s="135"/>
      <c r="J29" s="22"/>
      <c r="K29" s="8"/>
      <c r="L29" s="8"/>
      <c r="M29" s="8"/>
    </row>
    <row r="30" spans="1:13" ht="15" hidden="1" customHeight="1">
      <c r="A30" s="29"/>
      <c r="B30" s="90" t="s">
        <v>28</v>
      </c>
      <c r="C30" s="68"/>
      <c r="D30" s="67"/>
      <c r="E30" s="69"/>
      <c r="F30" s="70"/>
      <c r="G30" s="70"/>
      <c r="H30" s="71"/>
      <c r="I30" s="13"/>
      <c r="J30" s="22"/>
      <c r="K30" s="8"/>
      <c r="L30" s="8"/>
      <c r="M30" s="8"/>
    </row>
    <row r="31" spans="1:13" ht="15" hidden="1" customHeight="1">
      <c r="A31" s="29">
        <v>6</v>
      </c>
      <c r="B31" s="67" t="s">
        <v>121</v>
      </c>
      <c r="C31" s="68" t="s">
        <v>122</v>
      </c>
      <c r="D31" s="67" t="s">
        <v>123</v>
      </c>
      <c r="E31" s="70">
        <v>709.53</v>
      </c>
      <c r="F31" s="70">
        <f>SUM(E31*52/1000)</f>
        <v>36.895559999999996</v>
      </c>
      <c r="G31" s="70">
        <v>155.88999999999999</v>
      </c>
      <c r="H31" s="71">
        <f t="shared" ref="H31:H37" si="1">SUM(F31*G31/1000)</f>
        <v>5.7516488483999995</v>
      </c>
      <c r="I31" s="13">
        <f>F31/6*G31</f>
        <v>958.60814139999979</v>
      </c>
      <c r="J31" s="22"/>
      <c r="K31" s="8"/>
      <c r="L31" s="8"/>
      <c r="M31" s="8"/>
    </row>
    <row r="32" spans="1:13" ht="31.5" hidden="1" customHeight="1">
      <c r="A32" s="29">
        <v>7</v>
      </c>
      <c r="B32" s="67" t="s">
        <v>179</v>
      </c>
      <c r="C32" s="68" t="s">
        <v>122</v>
      </c>
      <c r="D32" s="67" t="s">
        <v>124</v>
      </c>
      <c r="E32" s="70">
        <v>68</v>
      </c>
      <c r="F32" s="70">
        <f>SUM(E32*78/1000)</f>
        <v>5.3040000000000003</v>
      </c>
      <c r="G32" s="70">
        <v>258.63</v>
      </c>
      <c r="H32" s="71">
        <f t="shared" si="1"/>
        <v>1.3717735199999999</v>
      </c>
      <c r="I32" s="13">
        <f t="shared" ref="I32:I35" si="2">F32/6*G32</f>
        <v>228.62891999999999</v>
      </c>
      <c r="J32" s="22"/>
      <c r="K32" s="8"/>
      <c r="L32" s="8"/>
      <c r="M32" s="8"/>
    </row>
    <row r="33" spans="1:14" ht="15" hidden="1" customHeight="1">
      <c r="A33" s="29">
        <v>16</v>
      </c>
      <c r="B33" s="67" t="s">
        <v>27</v>
      </c>
      <c r="C33" s="68" t="s">
        <v>122</v>
      </c>
      <c r="D33" s="67" t="s">
        <v>55</v>
      </c>
      <c r="E33" s="70">
        <v>709.53</v>
      </c>
      <c r="F33" s="70">
        <f>SUM(E33/1000)</f>
        <v>0.70952999999999999</v>
      </c>
      <c r="G33" s="70">
        <v>3020.33</v>
      </c>
      <c r="H33" s="71">
        <f t="shared" si="1"/>
        <v>2.1430147448999999</v>
      </c>
      <c r="I33" s="13">
        <f>F33*G33</f>
        <v>2143.0147449000001</v>
      </c>
      <c r="J33" s="22"/>
      <c r="K33" s="8"/>
      <c r="L33" s="8"/>
      <c r="M33" s="8"/>
    </row>
    <row r="34" spans="1:14" ht="15" hidden="1" customHeight="1">
      <c r="A34" s="29">
        <v>8</v>
      </c>
      <c r="B34" s="67" t="s">
        <v>157</v>
      </c>
      <c r="C34" s="68" t="s">
        <v>41</v>
      </c>
      <c r="D34" s="67" t="s">
        <v>65</v>
      </c>
      <c r="E34" s="70">
        <v>4</v>
      </c>
      <c r="F34" s="70">
        <v>6.2</v>
      </c>
      <c r="G34" s="70">
        <v>1302.02</v>
      </c>
      <c r="H34" s="71">
        <v>8.0730000000000004</v>
      </c>
      <c r="I34" s="13">
        <f t="shared" si="2"/>
        <v>1345.4206666666669</v>
      </c>
      <c r="J34" s="22"/>
      <c r="K34" s="8"/>
      <c r="L34" s="8"/>
      <c r="M34" s="8"/>
    </row>
    <row r="35" spans="1:14" ht="15" hidden="1" customHeight="1">
      <c r="A35" s="29">
        <v>9</v>
      </c>
      <c r="B35" s="67" t="s">
        <v>125</v>
      </c>
      <c r="C35" s="68" t="s">
        <v>30</v>
      </c>
      <c r="D35" s="67" t="s">
        <v>65</v>
      </c>
      <c r="E35" s="76">
        <v>0.33333333333333331</v>
      </c>
      <c r="F35" s="70">
        <f>155/3</f>
        <v>51.666666666666664</v>
      </c>
      <c r="G35" s="70">
        <v>56.69</v>
      </c>
      <c r="H35" s="71">
        <f>SUM(G35*155/3/1000)</f>
        <v>2.9289833333333331</v>
      </c>
      <c r="I35" s="13">
        <f t="shared" si="2"/>
        <v>488.16388888888883</v>
      </c>
      <c r="J35" s="22"/>
      <c r="K35" s="8"/>
    </row>
    <row r="36" spans="1:14" ht="15" hidden="1" customHeight="1">
      <c r="A36" s="29"/>
      <c r="B36" s="67" t="s">
        <v>67</v>
      </c>
      <c r="C36" s="68" t="s">
        <v>33</v>
      </c>
      <c r="D36" s="67" t="s">
        <v>69</v>
      </c>
      <c r="E36" s="69"/>
      <c r="F36" s="70">
        <v>3</v>
      </c>
      <c r="G36" s="70">
        <v>191.32</v>
      </c>
      <c r="H36" s="71">
        <f t="shared" si="1"/>
        <v>0.57396000000000003</v>
      </c>
      <c r="I36" s="13">
        <v>0</v>
      </c>
      <c r="J36" s="23"/>
    </row>
    <row r="37" spans="1:14" ht="15" hidden="1" customHeight="1">
      <c r="A37" s="29"/>
      <c r="B37" s="67" t="s">
        <v>68</v>
      </c>
      <c r="C37" s="68" t="s">
        <v>32</v>
      </c>
      <c r="D37" s="67" t="s">
        <v>69</v>
      </c>
      <c r="E37" s="69"/>
      <c r="F37" s="70">
        <v>2</v>
      </c>
      <c r="G37" s="70">
        <v>1136.32</v>
      </c>
      <c r="H37" s="71">
        <f t="shared" si="1"/>
        <v>2.27264</v>
      </c>
      <c r="I37" s="13">
        <v>0</v>
      </c>
      <c r="J37" s="23"/>
    </row>
    <row r="38" spans="1:14" ht="15" customHeight="1">
      <c r="A38" s="29"/>
      <c r="B38" s="90" t="s">
        <v>5</v>
      </c>
      <c r="C38" s="68"/>
      <c r="D38" s="67"/>
      <c r="E38" s="69"/>
      <c r="F38" s="70"/>
      <c r="G38" s="70"/>
      <c r="H38" s="71" t="s">
        <v>140</v>
      </c>
      <c r="I38" s="13"/>
      <c r="J38" s="23"/>
    </row>
    <row r="39" spans="1:14" ht="15" customHeight="1">
      <c r="A39" s="29">
        <v>5</v>
      </c>
      <c r="B39" s="67" t="s">
        <v>26</v>
      </c>
      <c r="C39" s="68" t="s">
        <v>32</v>
      </c>
      <c r="D39" s="67"/>
      <c r="E39" s="69"/>
      <c r="F39" s="70">
        <v>6</v>
      </c>
      <c r="G39" s="70">
        <v>1527.22</v>
      </c>
      <c r="H39" s="71">
        <f t="shared" ref="H39:H46" si="3">SUM(F39*G39/1000)</f>
        <v>9.1633200000000006</v>
      </c>
      <c r="I39" s="13">
        <f>F39/6*G39</f>
        <v>1527.22</v>
      </c>
      <c r="J39" s="23"/>
    </row>
    <row r="40" spans="1:14" ht="15" customHeight="1">
      <c r="A40" s="29">
        <v>6</v>
      </c>
      <c r="B40" s="67" t="s">
        <v>109</v>
      </c>
      <c r="C40" s="68" t="s">
        <v>29</v>
      </c>
      <c r="D40" s="67" t="s">
        <v>144</v>
      </c>
      <c r="E40" s="70">
        <v>429.8</v>
      </c>
      <c r="F40" s="70">
        <f>SUM(E40*12/1000)</f>
        <v>5.1576000000000004</v>
      </c>
      <c r="G40" s="70">
        <v>2102.71</v>
      </c>
      <c r="H40" s="71">
        <f t="shared" si="3"/>
        <v>10.844937096000001</v>
      </c>
      <c r="I40" s="13">
        <f>F40/6*G40</f>
        <v>1807.4895160000001</v>
      </c>
      <c r="J40" s="23"/>
      <c r="L40" s="19"/>
      <c r="M40" s="20"/>
      <c r="N40" s="21"/>
    </row>
    <row r="41" spans="1:14" ht="15" customHeight="1">
      <c r="A41" s="29">
        <v>7</v>
      </c>
      <c r="B41" s="67" t="s">
        <v>145</v>
      </c>
      <c r="C41" s="68" t="s">
        <v>29</v>
      </c>
      <c r="D41" s="67" t="s">
        <v>126</v>
      </c>
      <c r="E41" s="70">
        <v>68</v>
      </c>
      <c r="F41" s="70">
        <f>SUM(E41*30/1000)</f>
        <v>2.04</v>
      </c>
      <c r="G41" s="70">
        <v>2102.71</v>
      </c>
      <c r="H41" s="71">
        <f>SUM(F41*G41/1000)</f>
        <v>4.2895284</v>
      </c>
      <c r="I41" s="13">
        <f>F41/6*G41</f>
        <v>714.92140000000006</v>
      </c>
      <c r="J41" s="23"/>
      <c r="L41" s="19"/>
      <c r="M41" s="20"/>
      <c r="N41" s="21"/>
    </row>
    <row r="42" spans="1:14" ht="15" hidden="1" customHeight="1">
      <c r="A42" s="29"/>
      <c r="B42" s="67" t="s">
        <v>99</v>
      </c>
      <c r="C42" s="68" t="s">
        <v>127</v>
      </c>
      <c r="D42" s="67" t="s">
        <v>159</v>
      </c>
      <c r="E42" s="69"/>
      <c r="F42" s="70">
        <v>50</v>
      </c>
      <c r="G42" s="70">
        <v>199.44</v>
      </c>
      <c r="H42" s="71">
        <f>SUM(F42*G42/1000)</f>
        <v>9.9719999999999995</v>
      </c>
      <c r="I42" s="13">
        <v>0</v>
      </c>
      <c r="J42" s="23"/>
      <c r="L42" s="19"/>
      <c r="M42" s="20"/>
      <c r="N42" s="21"/>
    </row>
    <row r="43" spans="1:14" ht="15" customHeight="1">
      <c r="A43" s="29">
        <v>8</v>
      </c>
      <c r="B43" s="67" t="s">
        <v>70</v>
      </c>
      <c r="C43" s="68" t="s">
        <v>29</v>
      </c>
      <c r="D43" s="67" t="s">
        <v>128</v>
      </c>
      <c r="E43" s="70">
        <v>68</v>
      </c>
      <c r="F43" s="70">
        <f>SUM(E43*155/1000)</f>
        <v>10.54</v>
      </c>
      <c r="G43" s="70">
        <v>350.75</v>
      </c>
      <c r="H43" s="71">
        <f t="shared" si="3"/>
        <v>3.6969049999999997</v>
      </c>
      <c r="I43" s="13">
        <f>F43/6*G43</f>
        <v>616.15083333333325</v>
      </c>
      <c r="J43" s="23"/>
      <c r="L43" s="19"/>
      <c r="M43" s="20"/>
      <c r="N43" s="21"/>
    </row>
    <row r="44" spans="1:14" ht="47.25" customHeight="1">
      <c r="A44" s="29">
        <v>9</v>
      </c>
      <c r="B44" s="67" t="s">
        <v>86</v>
      </c>
      <c r="C44" s="68" t="s">
        <v>122</v>
      </c>
      <c r="D44" s="67" t="s">
        <v>146</v>
      </c>
      <c r="E44" s="70">
        <v>68</v>
      </c>
      <c r="F44" s="70">
        <f>SUM(E44*24/1000)</f>
        <v>1.6319999999999999</v>
      </c>
      <c r="G44" s="70">
        <v>5803.28</v>
      </c>
      <c r="H44" s="71">
        <f t="shared" si="3"/>
        <v>9.4709529599999982</v>
      </c>
      <c r="I44" s="13">
        <f>F44/6*G44</f>
        <v>1578.4921599999998</v>
      </c>
      <c r="J44" s="23"/>
      <c r="L44" s="19"/>
      <c r="M44" s="20"/>
      <c r="N44" s="21"/>
    </row>
    <row r="45" spans="1:14" ht="15" customHeight="1">
      <c r="A45" s="29">
        <v>10</v>
      </c>
      <c r="B45" s="67" t="s">
        <v>129</v>
      </c>
      <c r="C45" s="68" t="s">
        <v>122</v>
      </c>
      <c r="D45" s="67" t="s">
        <v>71</v>
      </c>
      <c r="E45" s="70">
        <v>68</v>
      </c>
      <c r="F45" s="70">
        <f>SUM(E45*45/1000)</f>
        <v>3.06</v>
      </c>
      <c r="G45" s="70">
        <v>428.7</v>
      </c>
      <c r="H45" s="71">
        <f t="shared" si="3"/>
        <v>1.3118219999999998</v>
      </c>
      <c r="I45" s="13">
        <f>F45/7.5*G45</f>
        <v>174.90960000000001</v>
      </c>
      <c r="J45" s="23"/>
      <c r="L45" s="19"/>
      <c r="M45" s="20"/>
      <c r="N45" s="21"/>
    </row>
    <row r="46" spans="1:14" ht="15" customHeight="1">
      <c r="A46" s="29">
        <v>11</v>
      </c>
      <c r="B46" s="67" t="s">
        <v>72</v>
      </c>
      <c r="C46" s="68" t="s">
        <v>33</v>
      </c>
      <c r="D46" s="67"/>
      <c r="E46" s="69"/>
      <c r="F46" s="70">
        <v>0.9</v>
      </c>
      <c r="G46" s="70">
        <v>798</v>
      </c>
      <c r="H46" s="71">
        <f t="shared" si="3"/>
        <v>0.71820000000000006</v>
      </c>
      <c r="I46" s="13">
        <f>F46/7.5*G46</f>
        <v>95.76</v>
      </c>
      <c r="J46" s="23"/>
      <c r="L46" s="19"/>
      <c r="M46" s="20"/>
      <c r="N46" s="21"/>
    </row>
    <row r="47" spans="1:14" ht="15.75" hidden="1" customHeight="1">
      <c r="A47" s="136" t="s">
        <v>153</v>
      </c>
      <c r="B47" s="137"/>
      <c r="C47" s="137"/>
      <c r="D47" s="137"/>
      <c r="E47" s="137"/>
      <c r="F47" s="137"/>
      <c r="G47" s="137"/>
      <c r="H47" s="137"/>
      <c r="I47" s="138"/>
      <c r="J47" s="23"/>
      <c r="L47" s="19"/>
      <c r="M47" s="20"/>
      <c r="N47" s="21"/>
    </row>
    <row r="48" spans="1:14" ht="15" hidden="1" customHeight="1">
      <c r="A48" s="29"/>
      <c r="B48" s="67" t="s">
        <v>147</v>
      </c>
      <c r="C48" s="68" t="s">
        <v>122</v>
      </c>
      <c r="D48" s="67" t="s">
        <v>43</v>
      </c>
      <c r="E48" s="69">
        <v>1061.3</v>
      </c>
      <c r="F48" s="70">
        <f>SUM(E48*2/1000)</f>
        <v>2.1225999999999998</v>
      </c>
      <c r="G48" s="13">
        <v>809.74</v>
      </c>
      <c r="H48" s="71">
        <f t="shared" ref="H48:H57" si="4">SUM(F48*G48/1000)</f>
        <v>1.7187541239999997</v>
      </c>
      <c r="I48" s="13">
        <v>0</v>
      </c>
      <c r="J48" s="23"/>
      <c r="L48" s="19"/>
      <c r="M48" s="20"/>
      <c r="N48" s="21"/>
    </row>
    <row r="49" spans="1:22" ht="15" hidden="1" customHeight="1">
      <c r="A49" s="29"/>
      <c r="B49" s="67" t="s">
        <v>36</v>
      </c>
      <c r="C49" s="68" t="s">
        <v>122</v>
      </c>
      <c r="D49" s="67" t="s">
        <v>43</v>
      </c>
      <c r="E49" s="69">
        <v>52</v>
      </c>
      <c r="F49" s="70">
        <f>SUM(E49*2/1000)</f>
        <v>0.104</v>
      </c>
      <c r="G49" s="13">
        <v>579.48</v>
      </c>
      <c r="H49" s="71">
        <f t="shared" si="4"/>
        <v>6.0265920000000001E-2</v>
      </c>
      <c r="I49" s="13">
        <v>0</v>
      </c>
      <c r="J49" s="23"/>
      <c r="L49" s="19"/>
      <c r="M49" s="20"/>
      <c r="N49" s="21"/>
    </row>
    <row r="50" spans="1:22" ht="15" hidden="1" customHeight="1">
      <c r="A50" s="29"/>
      <c r="B50" s="67" t="s">
        <v>37</v>
      </c>
      <c r="C50" s="68" t="s">
        <v>122</v>
      </c>
      <c r="D50" s="67" t="s">
        <v>43</v>
      </c>
      <c r="E50" s="69">
        <v>1238.8</v>
      </c>
      <c r="F50" s="70">
        <f>SUM(E50*2/1000)</f>
        <v>2.4775999999999998</v>
      </c>
      <c r="G50" s="13">
        <v>579.48</v>
      </c>
      <c r="H50" s="71">
        <f t="shared" si="4"/>
        <v>1.4357196480000001</v>
      </c>
      <c r="I50" s="13">
        <v>0</v>
      </c>
      <c r="J50" s="23"/>
      <c r="L50" s="19"/>
      <c r="M50" s="20"/>
      <c r="N50" s="21"/>
    </row>
    <row r="51" spans="1:22" ht="15" hidden="1" customHeight="1">
      <c r="A51" s="29"/>
      <c r="B51" s="67" t="s">
        <v>38</v>
      </c>
      <c r="C51" s="68" t="s">
        <v>122</v>
      </c>
      <c r="D51" s="67" t="s">
        <v>43</v>
      </c>
      <c r="E51" s="69">
        <v>1794.01</v>
      </c>
      <c r="F51" s="70">
        <f>SUM(E51*2/1000)</f>
        <v>3.5880199999999998</v>
      </c>
      <c r="G51" s="13">
        <v>606.77</v>
      </c>
      <c r="H51" s="71">
        <f t="shared" si="4"/>
        <v>2.1771028954</v>
      </c>
      <c r="I51" s="13">
        <v>0</v>
      </c>
      <c r="J51" s="23"/>
      <c r="L51" s="19"/>
      <c r="M51" s="20"/>
      <c r="N51" s="21"/>
    </row>
    <row r="52" spans="1:22" ht="15" hidden="1" customHeight="1">
      <c r="A52" s="29"/>
      <c r="B52" s="67" t="s">
        <v>34</v>
      </c>
      <c r="C52" s="68" t="s">
        <v>35</v>
      </c>
      <c r="D52" s="67" t="s">
        <v>160</v>
      </c>
      <c r="E52" s="69">
        <v>85.78</v>
      </c>
      <c r="F52" s="70">
        <f>SUM(E52*2/100)</f>
        <v>1.7156</v>
      </c>
      <c r="G52" s="13">
        <v>72.81</v>
      </c>
      <c r="H52" s="71">
        <f t="shared" si="4"/>
        <v>0.124912836</v>
      </c>
      <c r="I52" s="13">
        <v>0</v>
      </c>
      <c r="J52" s="23"/>
      <c r="L52" s="19"/>
      <c r="M52" s="20"/>
      <c r="N52" s="21"/>
    </row>
    <row r="53" spans="1:22" ht="15" hidden="1" customHeight="1">
      <c r="A53" s="29">
        <v>13</v>
      </c>
      <c r="B53" s="67" t="s">
        <v>58</v>
      </c>
      <c r="C53" s="68" t="s">
        <v>122</v>
      </c>
      <c r="D53" s="67" t="s">
        <v>180</v>
      </c>
      <c r="E53" s="69">
        <v>884</v>
      </c>
      <c r="F53" s="70">
        <f>SUM(E53*5/1000)</f>
        <v>4.42</v>
      </c>
      <c r="G53" s="13">
        <v>1213.55</v>
      </c>
      <c r="H53" s="71">
        <f t="shared" si="4"/>
        <v>5.3638909999999997</v>
      </c>
      <c r="I53" s="13">
        <f>F53/5*G53</f>
        <v>1072.7782</v>
      </c>
      <c r="J53" s="23"/>
      <c r="L53" s="19"/>
      <c r="M53" s="20"/>
      <c r="N53" s="21"/>
    </row>
    <row r="54" spans="1:22" ht="31.5" hidden="1" customHeight="1">
      <c r="A54" s="29">
        <v>10</v>
      </c>
      <c r="B54" s="67" t="s">
        <v>130</v>
      </c>
      <c r="C54" s="68" t="s">
        <v>122</v>
      </c>
      <c r="D54" s="67" t="s">
        <v>43</v>
      </c>
      <c r="E54" s="69">
        <v>884</v>
      </c>
      <c r="F54" s="70">
        <f>SUM(E54*2/1000)</f>
        <v>1.768</v>
      </c>
      <c r="G54" s="13">
        <v>1213.55</v>
      </c>
      <c r="H54" s="71">
        <f t="shared" si="4"/>
        <v>2.1455563999999998</v>
      </c>
      <c r="I54" s="13">
        <f>F54/2*G54</f>
        <v>1072.7782</v>
      </c>
      <c r="J54" s="23"/>
      <c r="L54" s="19"/>
      <c r="M54" s="20"/>
      <c r="N54" s="21"/>
    </row>
    <row r="55" spans="1:22" ht="31.5" hidden="1" customHeight="1">
      <c r="A55" s="29">
        <v>11</v>
      </c>
      <c r="B55" s="67" t="s">
        <v>131</v>
      </c>
      <c r="C55" s="68" t="s">
        <v>39</v>
      </c>
      <c r="D55" s="67" t="s">
        <v>43</v>
      </c>
      <c r="E55" s="69">
        <v>20</v>
      </c>
      <c r="F55" s="70">
        <f>SUM(E55*2/100)</f>
        <v>0.4</v>
      </c>
      <c r="G55" s="13">
        <v>2730.49</v>
      </c>
      <c r="H55" s="71">
        <f t="shared" si="4"/>
        <v>1.0921959999999999</v>
      </c>
      <c r="I55" s="13">
        <f t="shared" ref="I55:I56" si="5">F55/2*G55</f>
        <v>546.09799999999996</v>
      </c>
      <c r="J55" s="23"/>
      <c r="L55" s="19"/>
      <c r="M55" s="20"/>
      <c r="N55" s="21"/>
    </row>
    <row r="56" spans="1:22" ht="15" hidden="1" customHeight="1">
      <c r="A56" s="29">
        <v>12</v>
      </c>
      <c r="B56" s="67" t="s">
        <v>40</v>
      </c>
      <c r="C56" s="68" t="s">
        <v>41</v>
      </c>
      <c r="D56" s="67" t="s">
        <v>43</v>
      </c>
      <c r="E56" s="69">
        <v>1</v>
      </c>
      <c r="F56" s="70">
        <v>0.02</v>
      </c>
      <c r="G56" s="13">
        <v>5652.13</v>
      </c>
      <c r="H56" s="71">
        <f t="shared" si="4"/>
        <v>0.11304260000000001</v>
      </c>
      <c r="I56" s="13">
        <f t="shared" si="5"/>
        <v>56.521300000000004</v>
      </c>
      <c r="J56" s="23"/>
      <c r="L56" s="19"/>
      <c r="M56" s="20"/>
      <c r="N56" s="21"/>
    </row>
    <row r="57" spans="1:22" ht="15" hidden="1" customHeight="1">
      <c r="A57" s="29">
        <v>13</v>
      </c>
      <c r="B57" s="67" t="s">
        <v>42</v>
      </c>
      <c r="C57" s="68" t="s">
        <v>30</v>
      </c>
      <c r="D57" s="67" t="s">
        <v>73</v>
      </c>
      <c r="E57" s="69">
        <v>136</v>
      </c>
      <c r="F57" s="70">
        <f>SUM(E57)*3</f>
        <v>408</v>
      </c>
      <c r="G57" s="13">
        <v>65.67</v>
      </c>
      <c r="H57" s="71">
        <f t="shared" si="4"/>
        <v>26.79336</v>
      </c>
      <c r="I57" s="13">
        <f>E57*G57</f>
        <v>8931.1200000000008</v>
      </c>
      <c r="J57" s="23"/>
      <c r="L57" s="19"/>
      <c r="M57" s="20"/>
      <c r="N57" s="21"/>
    </row>
    <row r="58" spans="1:22" ht="15.75" customHeight="1">
      <c r="A58" s="136" t="s">
        <v>183</v>
      </c>
      <c r="B58" s="137"/>
      <c r="C58" s="137"/>
      <c r="D58" s="137"/>
      <c r="E58" s="137"/>
      <c r="F58" s="137"/>
      <c r="G58" s="137"/>
      <c r="H58" s="137"/>
      <c r="I58" s="138"/>
      <c r="J58" s="23"/>
      <c r="L58" s="19"/>
      <c r="M58" s="20"/>
      <c r="N58" s="21"/>
    </row>
    <row r="59" spans="1:22" ht="15" hidden="1" customHeight="1">
      <c r="A59" s="29"/>
      <c r="B59" s="90" t="s">
        <v>44</v>
      </c>
      <c r="C59" s="68"/>
      <c r="D59" s="67"/>
      <c r="E59" s="69"/>
      <c r="F59" s="70"/>
      <c r="G59" s="70"/>
      <c r="H59" s="71"/>
      <c r="I59" s="13"/>
      <c r="J59" s="23"/>
      <c r="L59" s="19"/>
      <c r="M59" s="20"/>
      <c r="N59" s="21"/>
    </row>
    <row r="60" spans="1:22" ht="31.5" hidden="1" customHeight="1">
      <c r="A60" s="29">
        <v>13</v>
      </c>
      <c r="B60" s="67" t="s">
        <v>133</v>
      </c>
      <c r="C60" s="68" t="s">
        <v>104</v>
      </c>
      <c r="D60" s="67" t="s">
        <v>74</v>
      </c>
      <c r="E60" s="69">
        <v>106.13</v>
      </c>
      <c r="F60" s="70">
        <f>E60*6/100</f>
        <v>6.3677999999999999</v>
      </c>
      <c r="G60" s="78">
        <v>1547.28</v>
      </c>
      <c r="H60" s="71">
        <f>F60*G60/1000</f>
        <v>9.8527695839999989</v>
      </c>
      <c r="I60" s="13">
        <f>F60/6*G60</f>
        <v>1642.1282639999999</v>
      </c>
      <c r="J60" s="23"/>
      <c r="L60" s="19"/>
    </row>
    <row r="61" spans="1:22" ht="15" customHeight="1">
      <c r="A61" s="29"/>
      <c r="B61" s="91" t="s">
        <v>45</v>
      </c>
      <c r="C61" s="79"/>
      <c r="D61" s="80"/>
      <c r="E61" s="81"/>
      <c r="F61" s="82"/>
      <c r="G61" s="83"/>
      <c r="H61" s="92"/>
      <c r="I61" s="13"/>
    </row>
    <row r="62" spans="1:22" ht="15" hidden="1" customHeight="1">
      <c r="A62" s="29"/>
      <c r="B62" s="80" t="s">
        <v>46</v>
      </c>
      <c r="C62" s="79" t="s">
        <v>54</v>
      </c>
      <c r="D62" s="80" t="s">
        <v>55</v>
      </c>
      <c r="E62" s="81">
        <v>884</v>
      </c>
      <c r="F62" s="82">
        <f>E62/100</f>
        <v>8.84</v>
      </c>
      <c r="G62" s="70">
        <v>793.61</v>
      </c>
      <c r="H62" s="92">
        <f>G62*F62/1000</f>
        <v>7.0155123999999995</v>
      </c>
      <c r="I62" s="13">
        <v>0</v>
      </c>
    </row>
    <row r="63" spans="1:22" ht="15" customHeight="1">
      <c r="A63" s="29">
        <v>12</v>
      </c>
      <c r="B63" s="80" t="s">
        <v>100</v>
      </c>
      <c r="C63" s="79" t="s">
        <v>25</v>
      </c>
      <c r="D63" s="80"/>
      <c r="E63" s="81">
        <v>176.8</v>
      </c>
      <c r="F63" s="82">
        <v>1200</v>
      </c>
      <c r="G63" s="70">
        <v>1.2</v>
      </c>
      <c r="H63" s="92">
        <f>G63*F63</f>
        <v>1440</v>
      </c>
      <c r="I63" s="13">
        <f>F63/12*G63</f>
        <v>120</v>
      </c>
    </row>
    <row r="64" spans="1:22" ht="15" customHeight="1">
      <c r="A64" s="29"/>
      <c r="B64" s="91" t="s">
        <v>47</v>
      </c>
      <c r="C64" s="79"/>
      <c r="D64" s="80"/>
      <c r="E64" s="81"/>
      <c r="F64" s="82"/>
      <c r="G64" s="70"/>
      <c r="H64" s="92" t="s">
        <v>140</v>
      </c>
      <c r="I64" s="1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9"/>
    </row>
    <row r="65" spans="1:21" ht="15" customHeight="1">
      <c r="A65" s="29">
        <v>13</v>
      </c>
      <c r="B65" s="14" t="s">
        <v>48</v>
      </c>
      <c r="C65" s="16" t="s">
        <v>132</v>
      </c>
      <c r="D65" s="14" t="s">
        <v>69</v>
      </c>
      <c r="E65" s="18">
        <v>20</v>
      </c>
      <c r="F65" s="70">
        <v>20</v>
      </c>
      <c r="G65" s="94">
        <v>222.4</v>
      </c>
      <c r="H65" s="93">
        <f t="shared" ref="H65:H80" si="6">SUM(F65*G65/1000)</f>
        <v>4.4480000000000004</v>
      </c>
      <c r="I65" s="13">
        <f>G65*5</f>
        <v>1112</v>
      </c>
      <c r="J65" s="25"/>
      <c r="K65" s="25"/>
      <c r="L65" s="3"/>
      <c r="M65" s="3"/>
      <c r="N65" s="3"/>
      <c r="O65" s="3"/>
      <c r="P65" s="3"/>
      <c r="Q65" s="3"/>
      <c r="R65" s="3"/>
      <c r="S65" s="3"/>
      <c r="T65" s="3"/>
      <c r="U65" s="3"/>
    </row>
    <row r="66" spans="1:21" ht="15" hidden="1" customHeight="1">
      <c r="A66" s="29">
        <v>17</v>
      </c>
      <c r="B66" s="14" t="s">
        <v>49</v>
      </c>
      <c r="C66" s="16" t="s">
        <v>132</v>
      </c>
      <c r="D66" s="14" t="s">
        <v>69</v>
      </c>
      <c r="E66" s="14" t="s">
        <v>69</v>
      </c>
      <c r="F66" s="14" t="s">
        <v>69</v>
      </c>
      <c r="G66" s="13">
        <v>76.25</v>
      </c>
      <c r="H66" s="84" t="e">
        <f t="shared" si="6"/>
        <v>#VALUE!</v>
      </c>
      <c r="I66" s="13">
        <f>G66</f>
        <v>76.25</v>
      </c>
      <c r="J66" s="3"/>
      <c r="K66" s="3"/>
      <c r="L66" s="3"/>
      <c r="M66" s="3"/>
      <c r="N66" s="3"/>
      <c r="O66" s="3"/>
      <c r="P66" s="3"/>
      <c r="Q66" s="3"/>
      <c r="S66" s="3"/>
      <c r="T66" s="3"/>
      <c r="U66" s="3"/>
    </row>
    <row r="67" spans="1:21" ht="15" hidden="1" customHeight="1">
      <c r="A67" s="29"/>
      <c r="B67" s="14" t="s">
        <v>50</v>
      </c>
      <c r="C67" s="16" t="s">
        <v>134</v>
      </c>
      <c r="D67" s="14" t="s">
        <v>55</v>
      </c>
      <c r="E67" s="69">
        <v>12647</v>
      </c>
      <c r="F67" s="13">
        <f>SUM(E67/100)</f>
        <v>126.47</v>
      </c>
      <c r="G67" s="13">
        <v>212.15</v>
      </c>
      <c r="H67" s="84">
        <f t="shared" si="6"/>
        <v>26.830610499999999</v>
      </c>
      <c r="I67" s="13">
        <f>F67*G67</f>
        <v>26830.610499999999</v>
      </c>
      <c r="J67" s="5"/>
      <c r="K67" s="5"/>
      <c r="L67" s="5"/>
      <c r="M67" s="5"/>
      <c r="N67" s="5"/>
      <c r="O67" s="5"/>
      <c r="P67" s="5"/>
      <c r="Q67" s="5"/>
      <c r="R67" s="124"/>
      <c r="S67" s="124"/>
      <c r="T67" s="124"/>
      <c r="U67" s="124"/>
    </row>
    <row r="68" spans="1:21" ht="15" hidden="1" customHeight="1">
      <c r="A68" s="29"/>
      <c r="B68" s="14" t="s">
        <v>51</v>
      </c>
      <c r="C68" s="16" t="s">
        <v>135</v>
      </c>
      <c r="D68" s="14"/>
      <c r="E68" s="69">
        <v>12647</v>
      </c>
      <c r="F68" s="13">
        <f>SUM(E68/1000)</f>
        <v>12.647</v>
      </c>
      <c r="G68" s="13">
        <v>165.21</v>
      </c>
      <c r="H68" s="84">
        <f t="shared" si="6"/>
        <v>2.08941087</v>
      </c>
      <c r="I68" s="13">
        <f t="shared" ref="I68:I72" si="7">F68*G68</f>
        <v>2089.4108700000002</v>
      </c>
    </row>
    <row r="69" spans="1:21" ht="15" hidden="1" customHeight="1">
      <c r="A69" s="29"/>
      <c r="B69" s="14" t="s">
        <v>52</v>
      </c>
      <c r="C69" s="16" t="s">
        <v>80</v>
      </c>
      <c r="D69" s="14" t="s">
        <v>55</v>
      </c>
      <c r="E69" s="69">
        <v>1900</v>
      </c>
      <c r="F69" s="13">
        <f>SUM(E69/100)</f>
        <v>19</v>
      </c>
      <c r="G69" s="13">
        <v>2074.63</v>
      </c>
      <c r="H69" s="84">
        <f t="shared" si="6"/>
        <v>39.417970000000004</v>
      </c>
      <c r="I69" s="13">
        <f t="shared" si="7"/>
        <v>39417.97</v>
      </c>
    </row>
    <row r="70" spans="1:21" ht="15" hidden="1" customHeight="1">
      <c r="A70" s="29"/>
      <c r="B70" s="85" t="s">
        <v>136</v>
      </c>
      <c r="C70" s="16" t="s">
        <v>33</v>
      </c>
      <c r="D70" s="14"/>
      <c r="E70" s="69">
        <v>11.3</v>
      </c>
      <c r="F70" s="13">
        <f>SUM(E70)</f>
        <v>11.3</v>
      </c>
      <c r="G70" s="13">
        <v>42.67</v>
      </c>
      <c r="H70" s="84">
        <f t="shared" si="6"/>
        <v>0.48217100000000007</v>
      </c>
      <c r="I70" s="13">
        <f t="shared" si="7"/>
        <v>482.17100000000005</v>
      </c>
    </row>
    <row r="71" spans="1:21" ht="15" hidden="1" customHeight="1">
      <c r="A71" s="29"/>
      <c r="B71" s="85" t="s">
        <v>137</v>
      </c>
      <c r="C71" s="16" t="s">
        <v>33</v>
      </c>
      <c r="D71" s="14"/>
      <c r="E71" s="69">
        <v>11.3</v>
      </c>
      <c r="F71" s="13">
        <f>SUM(E71)</f>
        <v>11.3</v>
      </c>
      <c r="G71" s="13">
        <v>39.81</v>
      </c>
      <c r="H71" s="84">
        <f t="shared" si="6"/>
        <v>0.44985300000000006</v>
      </c>
      <c r="I71" s="13">
        <f t="shared" si="7"/>
        <v>449.85300000000007</v>
      </c>
    </row>
    <row r="72" spans="1:21" ht="15" hidden="1" customHeight="1">
      <c r="A72" s="29"/>
      <c r="B72" s="14" t="s">
        <v>59</v>
      </c>
      <c r="C72" s="16" t="s">
        <v>60</v>
      </c>
      <c r="D72" s="14" t="s">
        <v>55</v>
      </c>
      <c r="E72" s="18">
        <v>6</v>
      </c>
      <c r="F72" s="70">
        <f>SUM(E72)</f>
        <v>6</v>
      </c>
      <c r="G72" s="13">
        <v>49.88</v>
      </c>
      <c r="H72" s="84">
        <f t="shared" si="6"/>
        <v>0.29928000000000005</v>
      </c>
      <c r="I72" s="13">
        <f t="shared" si="7"/>
        <v>299.28000000000003</v>
      </c>
    </row>
    <row r="73" spans="1:21" ht="15" hidden="1" customHeight="1">
      <c r="A73" s="29"/>
      <c r="B73" s="101" t="s">
        <v>75</v>
      </c>
      <c r="C73" s="16"/>
      <c r="D73" s="14"/>
      <c r="E73" s="18"/>
      <c r="F73" s="13"/>
      <c r="G73" s="13"/>
      <c r="H73" s="84" t="s">
        <v>140</v>
      </c>
      <c r="I73" s="13"/>
    </row>
    <row r="74" spans="1:21" ht="15" hidden="1" customHeight="1">
      <c r="A74" s="29">
        <v>15</v>
      </c>
      <c r="B74" s="14" t="s">
        <v>76</v>
      </c>
      <c r="C74" s="16" t="s">
        <v>31</v>
      </c>
      <c r="D74" s="14"/>
      <c r="E74" s="18">
        <v>5</v>
      </c>
      <c r="F74" s="61">
        <v>0.5</v>
      </c>
      <c r="G74" s="13">
        <v>501.62</v>
      </c>
      <c r="H74" s="84">
        <v>0.251</v>
      </c>
      <c r="I74" s="13">
        <f>G74*0.1</f>
        <v>50.162000000000006</v>
      </c>
    </row>
    <row r="75" spans="1:21" ht="15" hidden="1" customHeight="1">
      <c r="A75" s="29"/>
      <c r="B75" s="14" t="s">
        <v>148</v>
      </c>
      <c r="C75" s="16" t="s">
        <v>30</v>
      </c>
      <c r="D75" s="14"/>
      <c r="E75" s="18">
        <v>2</v>
      </c>
      <c r="F75" s="13">
        <v>2</v>
      </c>
      <c r="G75" s="13">
        <v>99.85</v>
      </c>
      <c r="H75" s="84">
        <v>0.1</v>
      </c>
      <c r="I75" s="13">
        <v>0</v>
      </c>
    </row>
    <row r="76" spans="1:21" ht="15" hidden="1" customHeight="1">
      <c r="A76" s="29"/>
      <c r="B76" s="14" t="s">
        <v>149</v>
      </c>
      <c r="C76" s="16" t="s">
        <v>30</v>
      </c>
      <c r="D76" s="14"/>
      <c r="E76" s="18">
        <v>1</v>
      </c>
      <c r="F76" s="61">
        <v>1</v>
      </c>
      <c r="G76" s="13">
        <v>120.26</v>
      </c>
      <c r="H76" s="84">
        <v>0.12</v>
      </c>
      <c r="I76" s="13">
        <v>0</v>
      </c>
    </row>
    <row r="77" spans="1:21" ht="15" hidden="1" customHeight="1">
      <c r="A77" s="29"/>
      <c r="B77" s="14" t="s">
        <v>91</v>
      </c>
      <c r="C77" s="16" t="s">
        <v>30</v>
      </c>
      <c r="D77" s="14"/>
      <c r="E77" s="18">
        <v>1</v>
      </c>
      <c r="F77" s="70">
        <f>SUM(E77)</f>
        <v>1</v>
      </c>
      <c r="G77" s="13">
        <v>358.51</v>
      </c>
      <c r="H77" s="84">
        <f t="shared" si="6"/>
        <v>0.35851</v>
      </c>
      <c r="I77" s="13">
        <v>0</v>
      </c>
    </row>
    <row r="78" spans="1:21" ht="15" hidden="1" customHeight="1">
      <c r="A78" s="29"/>
      <c r="B78" s="14" t="s">
        <v>77</v>
      </c>
      <c r="C78" s="16" t="s">
        <v>30</v>
      </c>
      <c r="D78" s="14"/>
      <c r="E78" s="18">
        <v>1</v>
      </c>
      <c r="F78" s="13">
        <v>1</v>
      </c>
      <c r="G78" s="13">
        <v>852.99</v>
      </c>
      <c r="H78" s="84">
        <f>F78*G78/1000</f>
        <v>0.85299000000000003</v>
      </c>
      <c r="I78" s="13">
        <v>0</v>
      </c>
    </row>
    <row r="79" spans="1:21" ht="15" hidden="1" customHeight="1">
      <c r="A79" s="29"/>
      <c r="B79" s="86" t="s">
        <v>79</v>
      </c>
      <c r="C79" s="16"/>
      <c r="D79" s="14"/>
      <c r="E79" s="18"/>
      <c r="F79" s="13"/>
      <c r="G79" s="13" t="s">
        <v>140</v>
      </c>
      <c r="H79" s="84" t="s">
        <v>140</v>
      </c>
      <c r="I79" s="13"/>
    </row>
    <row r="80" spans="1:21" ht="15" hidden="1" customHeight="1">
      <c r="A80" s="29"/>
      <c r="B80" s="44" t="s">
        <v>141</v>
      </c>
      <c r="C80" s="16" t="s">
        <v>80</v>
      </c>
      <c r="D80" s="14"/>
      <c r="E80" s="18"/>
      <c r="F80" s="13">
        <v>0.2</v>
      </c>
      <c r="G80" s="13">
        <v>2759.44</v>
      </c>
      <c r="H80" s="84">
        <f t="shared" si="6"/>
        <v>0.55188800000000005</v>
      </c>
      <c r="I80" s="13">
        <v>0</v>
      </c>
    </row>
    <row r="81" spans="1:9" ht="15" hidden="1" customHeight="1">
      <c r="A81" s="29"/>
      <c r="B81" s="74" t="s">
        <v>138</v>
      </c>
      <c r="C81" s="86"/>
      <c r="D81" s="31"/>
      <c r="E81" s="32"/>
      <c r="F81" s="75"/>
      <c r="G81" s="75"/>
      <c r="H81" s="87" t="e">
        <f>SUM(H60:H80)</f>
        <v>#VALUE!</v>
      </c>
      <c r="I81" s="75"/>
    </row>
    <row r="82" spans="1:9" ht="15" hidden="1" customHeight="1">
      <c r="A82" s="29"/>
      <c r="B82" s="67" t="s">
        <v>139</v>
      </c>
      <c r="C82" s="16"/>
      <c r="D82" s="14"/>
      <c r="E82" s="62"/>
      <c r="F82" s="13">
        <v>1</v>
      </c>
      <c r="G82" s="13">
        <v>13437.4</v>
      </c>
      <c r="H82" s="84">
        <f>G82*F82/1000</f>
        <v>13.4374</v>
      </c>
      <c r="I82" s="13">
        <v>0</v>
      </c>
    </row>
    <row r="83" spans="1:9" ht="15.75" customHeight="1">
      <c r="A83" s="125" t="s">
        <v>187</v>
      </c>
      <c r="B83" s="126"/>
      <c r="C83" s="126"/>
      <c r="D83" s="126"/>
      <c r="E83" s="126"/>
      <c r="F83" s="126"/>
      <c r="G83" s="126"/>
      <c r="H83" s="126"/>
      <c r="I83" s="127"/>
    </row>
    <row r="84" spans="1:9" ht="15" customHeight="1">
      <c r="A84" s="29">
        <v>14</v>
      </c>
      <c r="B84" s="67" t="s">
        <v>142</v>
      </c>
      <c r="C84" s="16" t="s">
        <v>56</v>
      </c>
      <c r="D84" s="88" t="s">
        <v>57</v>
      </c>
      <c r="E84" s="13">
        <v>3031.3</v>
      </c>
      <c r="F84" s="13">
        <f>SUM(E84*12)</f>
        <v>36375.600000000006</v>
      </c>
      <c r="G84" s="13">
        <v>2.1</v>
      </c>
      <c r="H84" s="84">
        <f>SUM(F84*G84/1000)</f>
        <v>76.388760000000005</v>
      </c>
      <c r="I84" s="13">
        <f>F84/12*G84</f>
        <v>6365.7300000000014</v>
      </c>
    </row>
    <row r="85" spans="1:9" ht="31.5" customHeight="1">
      <c r="A85" s="29">
        <v>15</v>
      </c>
      <c r="B85" s="14" t="s">
        <v>81</v>
      </c>
      <c r="C85" s="16"/>
      <c r="D85" s="88" t="s">
        <v>57</v>
      </c>
      <c r="E85" s="69">
        <f>E84</f>
        <v>3031.3</v>
      </c>
      <c r="F85" s="13">
        <f>E85*12</f>
        <v>36375.600000000006</v>
      </c>
      <c r="G85" s="13">
        <v>1.63</v>
      </c>
      <c r="H85" s="84">
        <f>F85*G85/1000</f>
        <v>59.292228000000001</v>
      </c>
      <c r="I85" s="13">
        <f>F85/12*G85</f>
        <v>4941.0190000000011</v>
      </c>
    </row>
    <row r="86" spans="1:9" ht="15.75" customHeight="1">
      <c r="A86" s="99"/>
      <c r="B86" s="36" t="s">
        <v>83</v>
      </c>
      <c r="C86" s="37"/>
      <c r="D86" s="15"/>
      <c r="E86" s="15"/>
      <c r="F86" s="15"/>
      <c r="G86" s="18"/>
      <c r="H86" s="18"/>
      <c r="I86" s="32">
        <f>I85+I84+I65+I63+I46+I45+I44+I43+I41++I40+I39+I27+I18+I17+I16</f>
        <v>27538.414847333341</v>
      </c>
    </row>
    <row r="87" spans="1:9" ht="15.75" customHeight="1">
      <c r="A87" s="139" t="s">
        <v>62</v>
      </c>
      <c r="B87" s="140"/>
      <c r="C87" s="140"/>
      <c r="D87" s="140"/>
      <c r="E87" s="140"/>
      <c r="F87" s="140"/>
      <c r="G87" s="140"/>
      <c r="H87" s="140"/>
      <c r="I87" s="141"/>
    </row>
    <row r="88" spans="1:9" ht="31.5" customHeight="1">
      <c r="A88" s="29">
        <v>16</v>
      </c>
      <c r="B88" s="52" t="s">
        <v>266</v>
      </c>
      <c r="C88" s="53" t="s">
        <v>267</v>
      </c>
      <c r="D88" s="108"/>
      <c r="E88" s="17"/>
      <c r="F88" s="34"/>
      <c r="G88" s="34">
        <v>24829.08</v>
      </c>
      <c r="H88" s="102">
        <f t="shared" ref="H88" si="8">G88*F88/1000</f>
        <v>0</v>
      </c>
      <c r="I88" s="13">
        <f>G88*0.02</f>
        <v>496.58160000000004</v>
      </c>
    </row>
    <row r="89" spans="1:9" ht="30.75" customHeight="1">
      <c r="A89" s="29">
        <v>17</v>
      </c>
      <c r="B89" s="52" t="s">
        <v>275</v>
      </c>
      <c r="C89" s="53" t="s">
        <v>29</v>
      </c>
      <c r="D89" s="108"/>
      <c r="E89" s="17"/>
      <c r="F89" s="34"/>
      <c r="G89" s="34">
        <v>18798.34</v>
      </c>
      <c r="H89" s="102"/>
      <c r="I89" s="13">
        <f>G89*0.003995</f>
        <v>75.099368300000009</v>
      </c>
    </row>
    <row r="90" spans="1:9" ht="15" customHeight="1">
      <c r="A90" s="29">
        <v>18</v>
      </c>
      <c r="B90" s="52" t="s">
        <v>276</v>
      </c>
      <c r="C90" s="53" t="s">
        <v>96</v>
      </c>
      <c r="D90" s="108"/>
      <c r="E90" s="17"/>
      <c r="F90" s="34"/>
      <c r="G90" s="34">
        <v>4909.25</v>
      </c>
      <c r="H90" s="102"/>
      <c r="I90" s="13">
        <f>G90*1</f>
        <v>4909.25</v>
      </c>
    </row>
    <row r="91" spans="1:9" ht="15" customHeight="1">
      <c r="A91" s="29">
        <v>19</v>
      </c>
      <c r="B91" s="49" t="s">
        <v>167</v>
      </c>
      <c r="C91" s="51" t="s">
        <v>87</v>
      </c>
      <c r="D91" s="108"/>
      <c r="E91" s="17"/>
      <c r="F91" s="34"/>
      <c r="G91" s="34">
        <v>203.68</v>
      </c>
      <c r="H91" s="102"/>
      <c r="I91" s="13">
        <f>G91*2</f>
        <v>407.36</v>
      </c>
    </row>
    <row r="92" spans="1:9" ht="15.75" customHeight="1">
      <c r="A92" s="29"/>
      <c r="B92" s="42" t="s">
        <v>53</v>
      </c>
      <c r="C92" s="38"/>
      <c r="D92" s="46"/>
      <c r="E92" s="38">
        <v>1</v>
      </c>
      <c r="F92" s="38"/>
      <c r="G92" s="38"/>
      <c r="H92" s="38"/>
      <c r="I92" s="32">
        <f>SUM(I88:I91)</f>
        <v>5888.2909682999998</v>
      </c>
    </row>
    <row r="93" spans="1:9" ht="15.75" customHeight="1">
      <c r="A93" s="29"/>
      <c r="B93" s="44" t="s">
        <v>82</v>
      </c>
      <c r="C93" s="15"/>
      <c r="D93" s="15"/>
      <c r="E93" s="39"/>
      <c r="F93" s="39"/>
      <c r="G93" s="40"/>
      <c r="H93" s="40"/>
      <c r="I93" s="17">
        <v>0</v>
      </c>
    </row>
    <row r="94" spans="1:9" ht="15.75" customHeight="1">
      <c r="A94" s="47"/>
      <c r="B94" s="43" t="s">
        <v>192</v>
      </c>
      <c r="C94" s="33"/>
      <c r="D94" s="33"/>
      <c r="E94" s="33"/>
      <c r="F94" s="33"/>
      <c r="G94" s="33"/>
      <c r="H94" s="33"/>
      <c r="I94" s="41">
        <f>I86+I92</f>
        <v>33426.705815633337</v>
      </c>
    </row>
    <row r="95" spans="1:9" ht="15.75">
      <c r="A95" s="142" t="s">
        <v>277</v>
      </c>
      <c r="B95" s="142"/>
      <c r="C95" s="142"/>
      <c r="D95" s="142"/>
      <c r="E95" s="142"/>
      <c r="F95" s="142"/>
      <c r="G95" s="142"/>
      <c r="H95" s="142"/>
      <c r="I95" s="142"/>
    </row>
    <row r="96" spans="1:9" ht="15.75">
      <c r="A96" s="60"/>
      <c r="B96" s="143" t="s">
        <v>278</v>
      </c>
      <c r="C96" s="143"/>
      <c r="D96" s="143"/>
      <c r="E96" s="143"/>
      <c r="F96" s="143"/>
      <c r="G96" s="143"/>
      <c r="H96" s="65"/>
      <c r="I96" s="3"/>
    </row>
    <row r="97" spans="1:9">
      <c r="A97" s="97"/>
      <c r="B97" s="144" t="s">
        <v>6</v>
      </c>
      <c r="C97" s="144"/>
      <c r="D97" s="144"/>
      <c r="E97" s="144"/>
      <c r="F97" s="144"/>
      <c r="G97" s="144"/>
      <c r="H97" s="24"/>
      <c r="I97" s="5"/>
    </row>
    <row r="98" spans="1:9">
      <c r="A98" s="10"/>
      <c r="B98" s="10"/>
      <c r="C98" s="10"/>
      <c r="D98" s="10"/>
      <c r="E98" s="10"/>
      <c r="F98" s="10"/>
      <c r="G98" s="10"/>
      <c r="H98" s="10"/>
      <c r="I98" s="10"/>
    </row>
    <row r="99" spans="1:9" ht="15.75">
      <c r="A99" s="145" t="s">
        <v>7</v>
      </c>
      <c r="B99" s="145"/>
      <c r="C99" s="145"/>
      <c r="D99" s="145"/>
      <c r="E99" s="145"/>
      <c r="F99" s="145"/>
      <c r="G99" s="145"/>
      <c r="H99" s="145"/>
      <c r="I99" s="145"/>
    </row>
    <row r="100" spans="1:9" ht="15.75">
      <c r="A100" s="145" t="s">
        <v>8</v>
      </c>
      <c r="B100" s="145"/>
      <c r="C100" s="145"/>
      <c r="D100" s="145"/>
      <c r="E100" s="145"/>
      <c r="F100" s="145"/>
      <c r="G100" s="145"/>
      <c r="H100" s="145"/>
      <c r="I100" s="145"/>
    </row>
    <row r="101" spans="1:9" ht="15.75">
      <c r="A101" s="134" t="s">
        <v>63</v>
      </c>
      <c r="B101" s="134"/>
      <c r="C101" s="134"/>
      <c r="D101" s="134"/>
      <c r="E101" s="134"/>
      <c r="F101" s="134"/>
      <c r="G101" s="134"/>
      <c r="H101" s="134"/>
      <c r="I101" s="134"/>
    </row>
    <row r="102" spans="1:9" ht="15.75">
      <c r="A102" s="11"/>
    </row>
    <row r="103" spans="1:9" ht="15.75">
      <c r="A103" s="147" t="s">
        <v>9</v>
      </c>
      <c r="B103" s="147"/>
      <c r="C103" s="147"/>
      <c r="D103" s="147"/>
      <c r="E103" s="147"/>
      <c r="F103" s="147"/>
      <c r="G103" s="147"/>
      <c r="H103" s="147"/>
      <c r="I103" s="147"/>
    </row>
    <row r="104" spans="1:9" ht="15.75">
      <c r="A104" s="4"/>
    </row>
    <row r="105" spans="1:9" ht="15.75">
      <c r="B105" s="98" t="s">
        <v>10</v>
      </c>
      <c r="C105" s="148" t="s">
        <v>93</v>
      </c>
      <c r="D105" s="148"/>
      <c r="E105" s="148"/>
      <c r="F105" s="63"/>
      <c r="I105" s="96"/>
    </row>
    <row r="106" spans="1:9">
      <c r="A106" s="97"/>
      <c r="C106" s="144" t="s">
        <v>11</v>
      </c>
      <c r="D106" s="144"/>
      <c r="E106" s="144"/>
      <c r="F106" s="24"/>
      <c r="I106" s="95" t="s">
        <v>12</v>
      </c>
    </row>
    <row r="107" spans="1:9" ht="15.75">
      <c r="A107" s="25"/>
      <c r="C107" s="12"/>
      <c r="D107" s="12"/>
      <c r="G107" s="12"/>
      <c r="H107" s="12"/>
    </row>
    <row r="108" spans="1:9" ht="15.75">
      <c r="B108" s="98" t="s">
        <v>13</v>
      </c>
      <c r="C108" s="149"/>
      <c r="D108" s="149"/>
      <c r="E108" s="149"/>
      <c r="F108" s="64"/>
      <c r="I108" s="96"/>
    </row>
    <row r="109" spans="1:9">
      <c r="A109" s="97"/>
      <c r="C109" s="124" t="s">
        <v>11</v>
      </c>
      <c r="D109" s="124"/>
      <c r="E109" s="124"/>
      <c r="F109" s="97"/>
      <c r="I109" s="95" t="s">
        <v>12</v>
      </c>
    </row>
    <row r="110" spans="1:9" ht="15.75">
      <c r="A110" s="4" t="s">
        <v>14</v>
      </c>
    </row>
    <row r="111" spans="1:9">
      <c r="A111" s="150" t="s">
        <v>15</v>
      </c>
      <c r="B111" s="150"/>
      <c r="C111" s="150"/>
      <c r="D111" s="150"/>
      <c r="E111" s="150"/>
      <c r="F111" s="150"/>
      <c r="G111" s="150"/>
      <c r="H111" s="150"/>
      <c r="I111" s="150"/>
    </row>
    <row r="112" spans="1:9" ht="45" customHeight="1">
      <c r="A112" s="146" t="s">
        <v>16</v>
      </c>
      <c r="B112" s="146"/>
      <c r="C112" s="146"/>
      <c r="D112" s="146"/>
      <c r="E112" s="146"/>
      <c r="F112" s="146"/>
      <c r="G112" s="146"/>
      <c r="H112" s="146"/>
      <c r="I112" s="146"/>
    </row>
    <row r="113" spans="1:9" ht="30" customHeight="1">
      <c r="A113" s="146" t="s">
        <v>17</v>
      </c>
      <c r="B113" s="146"/>
      <c r="C113" s="146"/>
      <c r="D113" s="146"/>
      <c r="E113" s="146"/>
      <c r="F113" s="146"/>
      <c r="G113" s="146"/>
      <c r="H113" s="146"/>
      <c r="I113" s="146"/>
    </row>
    <row r="114" spans="1:9" ht="30" customHeight="1">
      <c r="A114" s="146" t="s">
        <v>21</v>
      </c>
      <c r="B114" s="146"/>
      <c r="C114" s="146"/>
      <c r="D114" s="146"/>
      <c r="E114" s="146"/>
      <c r="F114" s="146"/>
      <c r="G114" s="146"/>
      <c r="H114" s="146"/>
      <c r="I114" s="146"/>
    </row>
    <row r="115" spans="1:9" ht="15.75">
      <c r="A115" s="146" t="s">
        <v>20</v>
      </c>
      <c r="B115" s="146"/>
      <c r="C115" s="146"/>
      <c r="D115" s="146"/>
      <c r="E115" s="146"/>
      <c r="F115" s="146"/>
      <c r="G115" s="146"/>
      <c r="H115" s="146"/>
      <c r="I115" s="146"/>
    </row>
  </sheetData>
  <autoFilter ref="I12:I62"/>
  <mergeCells count="29">
    <mergeCell ref="A111:I111"/>
    <mergeCell ref="A112:I112"/>
    <mergeCell ref="A113:I113"/>
    <mergeCell ref="A114:I114"/>
    <mergeCell ref="A115:I115"/>
    <mergeCell ref="R67:U67"/>
    <mergeCell ref="C109:E109"/>
    <mergeCell ref="A87:I87"/>
    <mergeCell ref="A95:I95"/>
    <mergeCell ref="B96:G96"/>
    <mergeCell ref="B97:G97"/>
    <mergeCell ref="A99:I99"/>
    <mergeCell ref="A100:I100"/>
    <mergeCell ref="A101:I101"/>
    <mergeCell ref="A103:I103"/>
    <mergeCell ref="C105:E105"/>
    <mergeCell ref="C106:E106"/>
    <mergeCell ref="C108:E108"/>
    <mergeCell ref="A83:I83"/>
    <mergeCell ref="A3:I3"/>
    <mergeCell ref="A4:I4"/>
    <mergeCell ref="A5:I5"/>
    <mergeCell ref="A8:I8"/>
    <mergeCell ref="A10:I10"/>
    <mergeCell ref="A14:I14"/>
    <mergeCell ref="A15:I15"/>
    <mergeCell ref="A29:I29"/>
    <mergeCell ref="A47:I47"/>
    <mergeCell ref="A58:I58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>
  <dimension ref="A1:V123"/>
  <sheetViews>
    <sheetView tabSelected="1" topLeftCell="A96" workbookViewId="0">
      <selection activeCell="I110" sqref="I110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85546875" hidden="1" customWidth="1"/>
    <col min="6" max="6" width="12.570312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7" t="s">
        <v>229</v>
      </c>
      <c r="I1" s="26"/>
      <c r="J1" s="1"/>
      <c r="K1" s="1"/>
      <c r="L1" s="1"/>
      <c r="M1" s="1"/>
    </row>
    <row r="2" spans="1:13" ht="15.75" customHeight="1">
      <c r="A2" s="28" t="s">
        <v>64</v>
      </c>
      <c r="J2" s="2"/>
      <c r="K2" s="2"/>
      <c r="L2" s="2"/>
      <c r="M2" s="2"/>
    </row>
    <row r="3" spans="1:13" ht="15.75" customHeight="1">
      <c r="A3" s="128" t="s">
        <v>196</v>
      </c>
      <c r="B3" s="128"/>
      <c r="C3" s="128"/>
      <c r="D3" s="128"/>
      <c r="E3" s="128"/>
      <c r="F3" s="128"/>
      <c r="G3" s="128"/>
      <c r="H3" s="128"/>
      <c r="I3" s="128"/>
      <c r="J3" s="3"/>
      <c r="K3" s="3"/>
      <c r="L3" s="3"/>
    </row>
    <row r="4" spans="1:13" ht="31.5" customHeight="1">
      <c r="A4" s="129" t="s">
        <v>143</v>
      </c>
      <c r="B4" s="129"/>
      <c r="C4" s="129"/>
      <c r="D4" s="129"/>
      <c r="E4" s="129"/>
      <c r="F4" s="129"/>
      <c r="G4" s="129"/>
      <c r="H4" s="129"/>
      <c r="I4" s="129"/>
    </row>
    <row r="5" spans="1:13" ht="15.75" customHeight="1">
      <c r="A5" s="128" t="s">
        <v>279</v>
      </c>
      <c r="B5" s="130"/>
      <c r="C5" s="130"/>
      <c r="D5" s="130"/>
      <c r="E5" s="130"/>
      <c r="F5" s="130"/>
      <c r="G5" s="130"/>
      <c r="H5" s="130"/>
      <c r="I5" s="130"/>
      <c r="J5" s="2"/>
      <c r="K5" s="2"/>
      <c r="L5" s="2"/>
      <c r="M5" s="2"/>
    </row>
    <row r="6" spans="1:13" ht="15.75" customHeight="1">
      <c r="A6" s="2"/>
      <c r="B6" s="100"/>
      <c r="C6" s="100"/>
      <c r="D6" s="100"/>
      <c r="E6" s="100"/>
      <c r="F6" s="100"/>
      <c r="G6" s="100"/>
      <c r="H6" s="100"/>
      <c r="I6" s="30">
        <v>43465</v>
      </c>
      <c r="J6" s="2"/>
      <c r="K6" s="2"/>
      <c r="L6" s="2"/>
      <c r="M6" s="2"/>
    </row>
    <row r="7" spans="1:13" ht="15.75" customHeight="1">
      <c r="B7" s="98"/>
      <c r="C7" s="98"/>
      <c r="D7" s="98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131" t="s">
        <v>234</v>
      </c>
      <c r="B8" s="131"/>
      <c r="C8" s="131"/>
      <c r="D8" s="131"/>
      <c r="E8" s="131"/>
      <c r="F8" s="131"/>
      <c r="G8" s="131"/>
      <c r="H8" s="131"/>
      <c r="I8" s="131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32" t="s">
        <v>193</v>
      </c>
      <c r="B10" s="132"/>
      <c r="C10" s="132"/>
      <c r="D10" s="132"/>
      <c r="E10" s="132"/>
      <c r="F10" s="132"/>
      <c r="G10" s="132"/>
      <c r="H10" s="132"/>
      <c r="I10" s="132"/>
      <c r="J10" s="2"/>
      <c r="K10" s="2"/>
      <c r="L10" s="2"/>
      <c r="M10" s="2"/>
    </row>
    <row r="11" spans="1:13" ht="15.75">
      <c r="A11" s="4"/>
    </row>
    <row r="12" spans="1:13" ht="5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133" t="s">
        <v>61</v>
      </c>
      <c r="B14" s="133"/>
      <c r="C14" s="133"/>
      <c r="D14" s="133"/>
      <c r="E14" s="133"/>
      <c r="F14" s="133"/>
      <c r="G14" s="133"/>
      <c r="H14" s="133"/>
      <c r="I14" s="133"/>
      <c r="J14" s="8"/>
      <c r="K14" s="8"/>
      <c r="L14" s="8"/>
      <c r="M14" s="8"/>
    </row>
    <row r="15" spans="1:13" ht="15.75" customHeight="1">
      <c r="A15" s="135" t="s">
        <v>4</v>
      </c>
      <c r="B15" s="135"/>
      <c r="C15" s="135"/>
      <c r="D15" s="135"/>
      <c r="E15" s="135"/>
      <c r="F15" s="135"/>
      <c r="G15" s="135"/>
      <c r="H15" s="135"/>
      <c r="I15" s="135"/>
      <c r="J15" s="8"/>
      <c r="K15" s="8"/>
      <c r="L15" s="8"/>
      <c r="M15" s="8"/>
    </row>
    <row r="16" spans="1:13" ht="15" customHeight="1">
      <c r="A16" s="29">
        <v>1</v>
      </c>
      <c r="B16" s="67" t="s">
        <v>90</v>
      </c>
      <c r="C16" s="68" t="s">
        <v>111</v>
      </c>
      <c r="D16" s="67" t="s">
        <v>112</v>
      </c>
      <c r="E16" s="69">
        <v>59.96</v>
      </c>
      <c r="F16" s="70">
        <f>SUM(E16*156/100)</f>
        <v>93.537599999999998</v>
      </c>
      <c r="G16" s="70">
        <v>175.38</v>
      </c>
      <c r="H16" s="71">
        <f t="shared" ref="H16:H26" si="0">SUM(F16*G16/1000)</f>
        <v>16.404624288000001</v>
      </c>
      <c r="I16" s="13">
        <f>F16/12*G16</f>
        <v>1367.0520239999998</v>
      </c>
      <c r="J16" s="8"/>
      <c r="K16" s="8"/>
      <c r="L16" s="8"/>
      <c r="M16" s="8"/>
    </row>
    <row r="17" spans="1:13" ht="15" customHeight="1">
      <c r="A17" s="29">
        <v>2</v>
      </c>
      <c r="B17" s="67" t="s">
        <v>97</v>
      </c>
      <c r="C17" s="68" t="s">
        <v>111</v>
      </c>
      <c r="D17" s="67" t="s">
        <v>113</v>
      </c>
      <c r="E17" s="69">
        <v>239.84</v>
      </c>
      <c r="F17" s="70">
        <f>SUM(E17*104/100)</f>
        <v>249.43360000000001</v>
      </c>
      <c r="G17" s="70">
        <v>175.38</v>
      </c>
      <c r="H17" s="71">
        <f t="shared" si="0"/>
        <v>43.745664768000005</v>
      </c>
      <c r="I17" s="13">
        <f>F17/12*G17</f>
        <v>3645.4720640000005</v>
      </c>
      <c r="J17" s="22"/>
      <c r="K17" s="8"/>
      <c r="L17" s="8"/>
      <c r="M17" s="8"/>
    </row>
    <row r="18" spans="1:13" ht="15" customHeight="1">
      <c r="A18" s="29">
        <v>3</v>
      </c>
      <c r="B18" s="67" t="s">
        <v>98</v>
      </c>
      <c r="C18" s="68" t="s">
        <v>111</v>
      </c>
      <c r="D18" s="67" t="s">
        <v>114</v>
      </c>
      <c r="E18" s="69">
        <f>SUM(E16+E17)</f>
        <v>299.8</v>
      </c>
      <c r="F18" s="70">
        <f>SUM(E18*24/100)</f>
        <v>71.952000000000012</v>
      </c>
      <c r="G18" s="70">
        <v>504.5</v>
      </c>
      <c r="H18" s="71">
        <f t="shared" si="0"/>
        <v>36.29978400000001</v>
      </c>
      <c r="I18" s="13">
        <f>F18/12*G18</f>
        <v>3024.9820000000009</v>
      </c>
      <c r="J18" s="22"/>
      <c r="K18" s="8"/>
      <c r="L18" s="8"/>
      <c r="M18" s="8"/>
    </row>
    <row r="19" spans="1:13" ht="15" hidden="1" customHeight="1">
      <c r="A19" s="29"/>
      <c r="B19" s="67" t="s">
        <v>115</v>
      </c>
      <c r="C19" s="68" t="s">
        <v>116</v>
      </c>
      <c r="D19" s="67" t="s">
        <v>117</v>
      </c>
      <c r="E19" s="69">
        <v>40.799999999999997</v>
      </c>
      <c r="F19" s="70">
        <f>SUM(E19/10)</f>
        <v>4.08</v>
      </c>
      <c r="G19" s="70">
        <v>170.16</v>
      </c>
      <c r="H19" s="71">
        <f t="shared" si="0"/>
        <v>0.6942528</v>
      </c>
      <c r="I19" s="13">
        <v>0</v>
      </c>
      <c r="J19" s="22"/>
      <c r="K19" s="8"/>
      <c r="L19" s="8"/>
      <c r="M19" s="8"/>
    </row>
    <row r="20" spans="1:13" ht="15" hidden="1" customHeight="1">
      <c r="A20" s="29"/>
      <c r="B20" s="67" t="s">
        <v>102</v>
      </c>
      <c r="C20" s="68" t="s">
        <v>111</v>
      </c>
      <c r="D20" s="67" t="s">
        <v>55</v>
      </c>
      <c r="E20" s="69">
        <v>43.2</v>
      </c>
      <c r="F20" s="70">
        <f>SUM(E20/100)</f>
        <v>0.43200000000000005</v>
      </c>
      <c r="G20" s="70">
        <v>217.88</v>
      </c>
      <c r="H20" s="71">
        <f t="shared" si="0"/>
        <v>9.4124159999999998E-2</v>
      </c>
      <c r="I20" s="13">
        <v>0</v>
      </c>
      <c r="J20" s="22"/>
      <c r="K20" s="8"/>
      <c r="L20" s="8"/>
      <c r="M20" s="8"/>
    </row>
    <row r="21" spans="1:13" ht="15" hidden="1" customHeight="1">
      <c r="A21" s="29"/>
      <c r="B21" s="67" t="s">
        <v>103</v>
      </c>
      <c r="C21" s="68" t="s">
        <v>111</v>
      </c>
      <c r="D21" s="67" t="s">
        <v>55</v>
      </c>
      <c r="E21" s="69">
        <v>10.08</v>
      </c>
      <c r="F21" s="70">
        <f>E21/100</f>
        <v>0.1008</v>
      </c>
      <c r="G21" s="70">
        <v>216.12</v>
      </c>
      <c r="H21" s="71">
        <f>SUM(F21*G21)/1000</f>
        <v>2.1784896000000002E-2</v>
      </c>
      <c r="I21" s="13">
        <v>0</v>
      </c>
      <c r="J21" s="22"/>
      <c r="K21" s="8"/>
      <c r="L21" s="8"/>
      <c r="M21" s="8"/>
    </row>
    <row r="22" spans="1:13" ht="15" hidden="1" customHeight="1">
      <c r="A22" s="29"/>
      <c r="B22" s="67" t="s">
        <v>118</v>
      </c>
      <c r="C22" s="68" t="s">
        <v>54</v>
      </c>
      <c r="D22" s="67" t="s">
        <v>117</v>
      </c>
      <c r="E22" s="69">
        <v>403.84</v>
      </c>
      <c r="F22" s="70">
        <f>SUM(E22/100)</f>
        <v>4.0383999999999993</v>
      </c>
      <c r="G22" s="70">
        <v>269.26</v>
      </c>
      <c r="H22" s="71">
        <f t="shared" si="0"/>
        <v>1.0873795839999998</v>
      </c>
      <c r="I22" s="13">
        <v>0</v>
      </c>
      <c r="J22" s="22"/>
      <c r="K22" s="8"/>
      <c r="L22" s="8"/>
      <c r="M22" s="8"/>
    </row>
    <row r="23" spans="1:13" ht="15" hidden="1" customHeight="1">
      <c r="A23" s="29"/>
      <c r="B23" s="67" t="s">
        <v>119</v>
      </c>
      <c r="C23" s="68" t="s">
        <v>54</v>
      </c>
      <c r="D23" s="67" t="s">
        <v>117</v>
      </c>
      <c r="E23" s="72">
        <v>70.56</v>
      </c>
      <c r="F23" s="70">
        <f>SUM(E23/100)</f>
        <v>0.7056</v>
      </c>
      <c r="G23" s="70">
        <v>44.29</v>
      </c>
      <c r="H23" s="71">
        <f t="shared" si="0"/>
        <v>3.1251024000000002E-2</v>
      </c>
      <c r="I23" s="13">
        <v>0</v>
      </c>
      <c r="J23" s="22"/>
      <c r="K23" s="8"/>
      <c r="L23" s="8"/>
      <c r="M23" s="8"/>
    </row>
    <row r="24" spans="1:13" ht="15" hidden="1" customHeight="1">
      <c r="A24" s="29"/>
      <c r="B24" s="67" t="s">
        <v>105</v>
      </c>
      <c r="C24" s="68" t="s">
        <v>54</v>
      </c>
      <c r="D24" s="67" t="s">
        <v>117</v>
      </c>
      <c r="E24" s="18">
        <v>14.4</v>
      </c>
      <c r="F24" s="73">
        <v>0.14000000000000001</v>
      </c>
      <c r="G24" s="70">
        <v>398.72</v>
      </c>
      <c r="H24" s="71">
        <f>F24*G24/1000</f>
        <v>5.5820800000000011E-2</v>
      </c>
      <c r="I24" s="13">
        <v>0</v>
      </c>
      <c r="J24" s="22"/>
      <c r="K24" s="8"/>
      <c r="L24" s="8"/>
      <c r="M24" s="8"/>
    </row>
    <row r="25" spans="1:13" ht="15" hidden="1" customHeight="1">
      <c r="A25" s="29"/>
      <c r="B25" s="67" t="s">
        <v>120</v>
      </c>
      <c r="C25" s="68" t="s">
        <v>54</v>
      </c>
      <c r="D25" s="67" t="s">
        <v>117</v>
      </c>
      <c r="E25" s="72">
        <v>31.5</v>
      </c>
      <c r="F25" s="70">
        <v>0.32</v>
      </c>
      <c r="G25" s="70">
        <v>216.12</v>
      </c>
      <c r="H25" s="71">
        <f>F25*G25/1000</f>
        <v>6.9158399999999995E-2</v>
      </c>
      <c r="I25" s="13">
        <v>0</v>
      </c>
      <c r="J25" s="22"/>
      <c r="K25" s="8"/>
      <c r="L25" s="8"/>
      <c r="M25" s="8"/>
    </row>
    <row r="26" spans="1:13" ht="15" hidden="1" customHeight="1">
      <c r="A26" s="29"/>
      <c r="B26" s="67" t="s">
        <v>106</v>
      </c>
      <c r="C26" s="68" t="s">
        <v>54</v>
      </c>
      <c r="D26" s="67" t="s">
        <v>117</v>
      </c>
      <c r="E26" s="69">
        <v>28.22</v>
      </c>
      <c r="F26" s="70">
        <f>SUM(E26/100)</f>
        <v>0.28220000000000001</v>
      </c>
      <c r="G26" s="70">
        <v>520.79999999999995</v>
      </c>
      <c r="H26" s="71">
        <f t="shared" si="0"/>
        <v>0.14696975999999998</v>
      </c>
      <c r="I26" s="13">
        <v>0</v>
      </c>
      <c r="J26" s="22"/>
      <c r="K26" s="8"/>
      <c r="L26" s="8"/>
      <c r="M26" s="8"/>
    </row>
    <row r="27" spans="1:13" ht="15" customHeight="1">
      <c r="A27" s="29">
        <v>4</v>
      </c>
      <c r="B27" s="67" t="s">
        <v>66</v>
      </c>
      <c r="C27" s="68" t="s">
        <v>33</v>
      </c>
      <c r="D27" s="67"/>
      <c r="E27" s="69">
        <v>0.1</v>
      </c>
      <c r="F27" s="70">
        <f>SUM(E27*365)</f>
        <v>36.5</v>
      </c>
      <c r="G27" s="70">
        <v>147.03</v>
      </c>
      <c r="H27" s="71">
        <f>SUM(F27*G27/1000)</f>
        <v>5.3665950000000002</v>
      </c>
      <c r="I27" s="13">
        <f>F27/12*G27</f>
        <v>447.21625</v>
      </c>
      <c r="J27" s="23"/>
    </row>
    <row r="28" spans="1:13" ht="15" hidden="1" customHeight="1">
      <c r="A28" s="29">
        <v>5</v>
      </c>
      <c r="B28" s="77" t="s">
        <v>23</v>
      </c>
      <c r="C28" s="68" t="s">
        <v>24</v>
      </c>
      <c r="D28" s="67"/>
      <c r="E28" s="69">
        <v>3031.3</v>
      </c>
      <c r="F28" s="70">
        <f>SUM(E28*12)</f>
        <v>36375.600000000006</v>
      </c>
      <c r="G28" s="70">
        <v>5.47</v>
      </c>
      <c r="H28" s="71">
        <f>SUM(F28*G28/1000)</f>
        <v>198.97453200000004</v>
      </c>
      <c r="I28" s="13">
        <f>F28/12*G28</f>
        <v>16581.211000000003</v>
      </c>
      <c r="J28" s="23"/>
    </row>
    <row r="29" spans="1:13" ht="15.75" customHeight="1">
      <c r="A29" s="135" t="s">
        <v>88</v>
      </c>
      <c r="B29" s="135"/>
      <c r="C29" s="135"/>
      <c r="D29" s="135"/>
      <c r="E29" s="135"/>
      <c r="F29" s="135"/>
      <c r="G29" s="135"/>
      <c r="H29" s="135"/>
      <c r="I29" s="135"/>
      <c r="J29" s="22"/>
      <c r="K29" s="8"/>
      <c r="L29" s="8"/>
      <c r="M29" s="8"/>
    </row>
    <row r="30" spans="1:13" ht="15" hidden="1" customHeight="1">
      <c r="A30" s="29"/>
      <c r="B30" s="90" t="s">
        <v>28</v>
      </c>
      <c r="C30" s="68"/>
      <c r="D30" s="67"/>
      <c r="E30" s="69"/>
      <c r="F30" s="70"/>
      <c r="G30" s="70"/>
      <c r="H30" s="71"/>
      <c r="I30" s="13"/>
      <c r="J30" s="22"/>
      <c r="K30" s="8"/>
      <c r="L30" s="8"/>
      <c r="M30" s="8"/>
    </row>
    <row r="31" spans="1:13" ht="15" hidden="1" customHeight="1">
      <c r="A31" s="29">
        <v>6</v>
      </c>
      <c r="B31" s="67" t="s">
        <v>121</v>
      </c>
      <c r="C31" s="68" t="s">
        <v>122</v>
      </c>
      <c r="D31" s="67" t="s">
        <v>123</v>
      </c>
      <c r="E31" s="70">
        <v>709.53</v>
      </c>
      <c r="F31" s="70">
        <f>SUM(E31*52/1000)</f>
        <v>36.895559999999996</v>
      </c>
      <c r="G31" s="70">
        <v>155.88999999999999</v>
      </c>
      <c r="H31" s="71">
        <f t="shared" ref="H31:H37" si="1">SUM(F31*G31/1000)</f>
        <v>5.7516488483999995</v>
      </c>
      <c r="I31" s="13">
        <f>F31/6*G31</f>
        <v>958.60814139999979</v>
      </c>
      <c r="J31" s="22"/>
      <c r="K31" s="8"/>
      <c r="L31" s="8"/>
      <c r="M31" s="8"/>
    </row>
    <row r="32" spans="1:13" ht="31.5" hidden="1" customHeight="1">
      <c r="A32" s="29">
        <v>7</v>
      </c>
      <c r="B32" s="67" t="s">
        <v>179</v>
      </c>
      <c r="C32" s="68" t="s">
        <v>122</v>
      </c>
      <c r="D32" s="67" t="s">
        <v>124</v>
      </c>
      <c r="E32" s="70">
        <v>68</v>
      </c>
      <c r="F32" s="70">
        <f>SUM(E32*78/1000)</f>
        <v>5.3040000000000003</v>
      </c>
      <c r="G32" s="70">
        <v>258.63</v>
      </c>
      <c r="H32" s="71">
        <f t="shared" si="1"/>
        <v>1.3717735199999999</v>
      </c>
      <c r="I32" s="13">
        <f t="shared" ref="I32:I35" si="2">F32/6*G32</f>
        <v>228.62891999999999</v>
      </c>
      <c r="J32" s="22"/>
      <c r="K32" s="8"/>
      <c r="L32" s="8"/>
      <c r="M32" s="8"/>
    </row>
    <row r="33" spans="1:14" ht="15" hidden="1" customHeight="1">
      <c r="A33" s="29">
        <v>16</v>
      </c>
      <c r="B33" s="67" t="s">
        <v>27</v>
      </c>
      <c r="C33" s="68" t="s">
        <v>122</v>
      </c>
      <c r="D33" s="67" t="s">
        <v>55</v>
      </c>
      <c r="E33" s="70">
        <v>709.53</v>
      </c>
      <c r="F33" s="70">
        <f>SUM(E33/1000)</f>
        <v>0.70952999999999999</v>
      </c>
      <c r="G33" s="70">
        <v>3020.33</v>
      </c>
      <c r="H33" s="71">
        <f t="shared" si="1"/>
        <v>2.1430147448999999</v>
      </c>
      <c r="I33" s="13">
        <f>F33*G33</f>
        <v>2143.0147449000001</v>
      </c>
      <c r="J33" s="22"/>
      <c r="K33" s="8"/>
      <c r="L33" s="8"/>
      <c r="M33" s="8"/>
    </row>
    <row r="34" spans="1:14" ht="15" hidden="1" customHeight="1">
      <c r="A34" s="29">
        <v>8</v>
      </c>
      <c r="B34" s="67" t="s">
        <v>157</v>
      </c>
      <c r="C34" s="68" t="s">
        <v>41</v>
      </c>
      <c r="D34" s="67" t="s">
        <v>65</v>
      </c>
      <c r="E34" s="70">
        <v>4</v>
      </c>
      <c r="F34" s="70">
        <v>6.2</v>
      </c>
      <c r="G34" s="70">
        <v>1302.02</v>
      </c>
      <c r="H34" s="71">
        <v>8.0730000000000004</v>
      </c>
      <c r="I34" s="13">
        <f t="shared" si="2"/>
        <v>1345.4206666666669</v>
      </c>
      <c r="J34" s="22"/>
      <c r="K34" s="8"/>
      <c r="L34" s="8"/>
      <c r="M34" s="8"/>
    </row>
    <row r="35" spans="1:14" ht="15" hidden="1" customHeight="1">
      <c r="A35" s="29">
        <v>9</v>
      </c>
      <c r="B35" s="67" t="s">
        <v>125</v>
      </c>
      <c r="C35" s="68" t="s">
        <v>30</v>
      </c>
      <c r="D35" s="67" t="s">
        <v>65</v>
      </c>
      <c r="E35" s="76">
        <v>0.33333333333333331</v>
      </c>
      <c r="F35" s="70">
        <f>155/3</f>
        <v>51.666666666666664</v>
      </c>
      <c r="G35" s="70">
        <v>56.69</v>
      </c>
      <c r="H35" s="71">
        <f>SUM(G35*155/3/1000)</f>
        <v>2.9289833333333331</v>
      </c>
      <c r="I35" s="13">
        <f t="shared" si="2"/>
        <v>488.16388888888883</v>
      </c>
      <c r="J35" s="22"/>
      <c r="K35" s="8"/>
    </row>
    <row r="36" spans="1:14" ht="15" hidden="1" customHeight="1">
      <c r="A36" s="29"/>
      <c r="B36" s="67" t="s">
        <v>67</v>
      </c>
      <c r="C36" s="68" t="s">
        <v>33</v>
      </c>
      <c r="D36" s="67" t="s">
        <v>69</v>
      </c>
      <c r="E36" s="69"/>
      <c r="F36" s="70">
        <v>3</v>
      </c>
      <c r="G36" s="70">
        <v>191.32</v>
      </c>
      <c r="H36" s="71">
        <f t="shared" si="1"/>
        <v>0.57396000000000003</v>
      </c>
      <c r="I36" s="13">
        <v>0</v>
      </c>
      <c r="J36" s="23"/>
    </row>
    <row r="37" spans="1:14" ht="15" hidden="1" customHeight="1">
      <c r="A37" s="29"/>
      <c r="B37" s="67" t="s">
        <v>68</v>
      </c>
      <c r="C37" s="68" t="s">
        <v>32</v>
      </c>
      <c r="D37" s="67" t="s">
        <v>69</v>
      </c>
      <c r="E37" s="69"/>
      <c r="F37" s="70">
        <v>2</v>
      </c>
      <c r="G37" s="70">
        <v>1136.32</v>
      </c>
      <c r="H37" s="71">
        <f t="shared" si="1"/>
        <v>2.27264</v>
      </c>
      <c r="I37" s="13">
        <v>0</v>
      </c>
      <c r="J37" s="23"/>
    </row>
    <row r="38" spans="1:14" ht="15" customHeight="1">
      <c r="A38" s="29"/>
      <c r="B38" s="90" t="s">
        <v>5</v>
      </c>
      <c r="C38" s="68"/>
      <c r="D38" s="67"/>
      <c r="E38" s="69"/>
      <c r="F38" s="70"/>
      <c r="G38" s="70"/>
      <c r="H38" s="71" t="s">
        <v>140</v>
      </c>
      <c r="I38" s="13"/>
      <c r="J38" s="23"/>
    </row>
    <row r="39" spans="1:14" ht="15" customHeight="1">
      <c r="A39" s="29">
        <v>5</v>
      </c>
      <c r="B39" s="67" t="s">
        <v>26</v>
      </c>
      <c r="C39" s="68" t="s">
        <v>32</v>
      </c>
      <c r="D39" s="67"/>
      <c r="E39" s="69"/>
      <c r="F39" s="70">
        <v>6</v>
      </c>
      <c r="G39" s="70">
        <v>1527.22</v>
      </c>
      <c r="H39" s="71">
        <f t="shared" ref="H39:H46" si="3">SUM(F39*G39/1000)</f>
        <v>9.1633200000000006</v>
      </c>
      <c r="I39" s="13">
        <f>F39/6*G39</f>
        <v>1527.22</v>
      </c>
      <c r="J39" s="23"/>
    </row>
    <row r="40" spans="1:14" ht="15" customHeight="1">
      <c r="A40" s="29">
        <v>6</v>
      </c>
      <c r="B40" s="67" t="s">
        <v>109</v>
      </c>
      <c r="C40" s="68" t="s">
        <v>29</v>
      </c>
      <c r="D40" s="67" t="s">
        <v>144</v>
      </c>
      <c r="E40" s="70">
        <v>429.8</v>
      </c>
      <c r="F40" s="70">
        <f>SUM(E40*12/1000)</f>
        <v>5.1576000000000004</v>
      </c>
      <c r="G40" s="70">
        <v>2102.71</v>
      </c>
      <c r="H40" s="71">
        <f t="shared" si="3"/>
        <v>10.844937096000001</v>
      </c>
      <c r="I40" s="13">
        <f>F40/6*G40</f>
        <v>1807.4895160000001</v>
      </c>
      <c r="J40" s="23"/>
      <c r="L40" s="19"/>
      <c r="M40" s="20"/>
      <c r="N40" s="21"/>
    </row>
    <row r="41" spans="1:14" ht="15" customHeight="1">
      <c r="A41" s="29">
        <v>7</v>
      </c>
      <c r="B41" s="67" t="s">
        <v>145</v>
      </c>
      <c r="C41" s="68" t="s">
        <v>29</v>
      </c>
      <c r="D41" s="67" t="s">
        <v>126</v>
      </c>
      <c r="E41" s="70">
        <v>68</v>
      </c>
      <c r="F41" s="70">
        <f>SUM(E41*30/1000)</f>
        <v>2.04</v>
      </c>
      <c r="G41" s="70">
        <v>2102.71</v>
      </c>
      <c r="H41" s="71">
        <f>SUM(F41*G41/1000)</f>
        <v>4.2895284</v>
      </c>
      <c r="I41" s="13">
        <f>F41/6*G41</f>
        <v>714.92140000000006</v>
      </c>
      <c r="J41" s="23"/>
      <c r="L41" s="19"/>
      <c r="M41" s="20"/>
      <c r="N41" s="21"/>
    </row>
    <row r="42" spans="1:14" ht="15" hidden="1" customHeight="1">
      <c r="A42" s="29"/>
      <c r="B42" s="67" t="s">
        <v>99</v>
      </c>
      <c r="C42" s="68" t="s">
        <v>127</v>
      </c>
      <c r="D42" s="67" t="s">
        <v>159</v>
      </c>
      <c r="E42" s="69"/>
      <c r="F42" s="70">
        <v>50</v>
      </c>
      <c r="G42" s="70">
        <v>199.44</v>
      </c>
      <c r="H42" s="71">
        <f>SUM(F42*G42/1000)</f>
        <v>9.9719999999999995</v>
      </c>
      <c r="I42" s="13">
        <v>0</v>
      </c>
      <c r="J42" s="23"/>
      <c r="L42" s="19"/>
      <c r="M42" s="20"/>
      <c r="N42" s="21"/>
    </row>
    <row r="43" spans="1:14" ht="15" customHeight="1">
      <c r="A43" s="29">
        <v>8</v>
      </c>
      <c r="B43" s="67" t="s">
        <v>70</v>
      </c>
      <c r="C43" s="68" t="s">
        <v>29</v>
      </c>
      <c r="D43" s="67" t="s">
        <v>128</v>
      </c>
      <c r="E43" s="70">
        <v>68</v>
      </c>
      <c r="F43" s="70">
        <f>SUM(E43*155/1000)</f>
        <v>10.54</v>
      </c>
      <c r="G43" s="70">
        <v>350.75</v>
      </c>
      <c r="H43" s="71">
        <f t="shared" si="3"/>
        <v>3.6969049999999997</v>
      </c>
      <c r="I43" s="13">
        <f>F43/6*G43</f>
        <v>616.15083333333325</v>
      </c>
      <c r="J43" s="23"/>
      <c r="L43" s="19"/>
      <c r="M43" s="20"/>
      <c r="N43" s="21"/>
    </row>
    <row r="44" spans="1:14" ht="47.25" customHeight="1">
      <c r="A44" s="29">
        <v>9</v>
      </c>
      <c r="B44" s="67" t="s">
        <v>86</v>
      </c>
      <c r="C44" s="68" t="s">
        <v>122</v>
      </c>
      <c r="D44" s="67" t="s">
        <v>146</v>
      </c>
      <c r="E44" s="70">
        <v>68</v>
      </c>
      <c r="F44" s="70">
        <f>SUM(E44*24/1000)</f>
        <v>1.6319999999999999</v>
      </c>
      <c r="G44" s="70">
        <v>5803.28</v>
      </c>
      <c r="H44" s="71">
        <f t="shared" si="3"/>
        <v>9.4709529599999982</v>
      </c>
      <c r="I44" s="13">
        <f>F44/6*G44</f>
        <v>1578.4921599999998</v>
      </c>
      <c r="J44" s="23"/>
      <c r="L44" s="19"/>
      <c r="M44" s="20"/>
      <c r="N44" s="21"/>
    </row>
    <row r="45" spans="1:14" ht="15" customHeight="1">
      <c r="A45" s="29">
        <v>10</v>
      </c>
      <c r="B45" s="67" t="s">
        <v>129</v>
      </c>
      <c r="C45" s="68" t="s">
        <v>122</v>
      </c>
      <c r="D45" s="67" t="s">
        <v>71</v>
      </c>
      <c r="E45" s="70">
        <v>68</v>
      </c>
      <c r="F45" s="70">
        <f>SUM(E45*45/1000)</f>
        <v>3.06</v>
      </c>
      <c r="G45" s="70">
        <v>428.7</v>
      </c>
      <c r="H45" s="71">
        <f t="shared" si="3"/>
        <v>1.3118219999999998</v>
      </c>
      <c r="I45" s="13">
        <f>F45/7.5*1.5*G45</f>
        <v>262.36440000000005</v>
      </c>
      <c r="J45" s="23"/>
      <c r="L45" s="19"/>
      <c r="M45" s="20"/>
      <c r="N45" s="21"/>
    </row>
    <row r="46" spans="1:14" ht="15" customHeight="1">
      <c r="A46" s="29">
        <v>11</v>
      </c>
      <c r="B46" s="67" t="s">
        <v>72</v>
      </c>
      <c r="C46" s="68" t="s">
        <v>33</v>
      </c>
      <c r="D46" s="67"/>
      <c r="E46" s="69"/>
      <c r="F46" s="70">
        <v>0.9</v>
      </c>
      <c r="G46" s="70">
        <v>798</v>
      </c>
      <c r="H46" s="71">
        <f t="shared" si="3"/>
        <v>0.71820000000000006</v>
      </c>
      <c r="I46" s="13">
        <f>F46/7.5*1.5*G46</f>
        <v>143.64000000000001</v>
      </c>
      <c r="J46" s="23"/>
      <c r="L46" s="19"/>
      <c r="M46" s="20"/>
      <c r="N46" s="21"/>
    </row>
    <row r="47" spans="1:14" ht="15.75" customHeight="1">
      <c r="A47" s="136" t="s">
        <v>153</v>
      </c>
      <c r="B47" s="137"/>
      <c r="C47" s="137"/>
      <c r="D47" s="137"/>
      <c r="E47" s="137"/>
      <c r="F47" s="137"/>
      <c r="G47" s="137"/>
      <c r="H47" s="137"/>
      <c r="I47" s="138"/>
      <c r="J47" s="23"/>
      <c r="L47" s="19"/>
      <c r="M47" s="20"/>
      <c r="N47" s="21"/>
    </row>
    <row r="48" spans="1:14" ht="15" hidden="1" customHeight="1">
      <c r="A48" s="29"/>
      <c r="B48" s="67" t="s">
        <v>147</v>
      </c>
      <c r="C48" s="68" t="s">
        <v>122</v>
      </c>
      <c r="D48" s="67" t="s">
        <v>43</v>
      </c>
      <c r="E48" s="69">
        <v>1061.3</v>
      </c>
      <c r="F48" s="70">
        <f>SUM(E48*2/1000)</f>
        <v>2.1225999999999998</v>
      </c>
      <c r="G48" s="13">
        <v>809.74</v>
      </c>
      <c r="H48" s="71">
        <f t="shared" ref="H48:H57" si="4">SUM(F48*G48/1000)</f>
        <v>1.7187541239999997</v>
      </c>
      <c r="I48" s="13">
        <v>0</v>
      </c>
      <c r="J48" s="23"/>
      <c r="L48" s="19"/>
      <c r="M48" s="20"/>
      <c r="N48" s="21"/>
    </row>
    <row r="49" spans="1:22" ht="15" hidden="1" customHeight="1">
      <c r="A49" s="29"/>
      <c r="B49" s="67" t="s">
        <v>36</v>
      </c>
      <c r="C49" s="68" t="s">
        <v>122</v>
      </c>
      <c r="D49" s="67" t="s">
        <v>43</v>
      </c>
      <c r="E49" s="69">
        <v>52</v>
      </c>
      <c r="F49" s="70">
        <f>SUM(E49*2/1000)</f>
        <v>0.104</v>
      </c>
      <c r="G49" s="13">
        <v>579.48</v>
      </c>
      <c r="H49" s="71">
        <f t="shared" si="4"/>
        <v>6.0265920000000001E-2</v>
      </c>
      <c r="I49" s="13">
        <v>0</v>
      </c>
      <c r="J49" s="23"/>
      <c r="L49" s="19"/>
      <c r="M49" s="20"/>
      <c r="N49" s="21"/>
    </row>
    <row r="50" spans="1:22" ht="15" hidden="1" customHeight="1">
      <c r="A50" s="29"/>
      <c r="B50" s="67" t="s">
        <v>37</v>
      </c>
      <c r="C50" s="68" t="s">
        <v>122</v>
      </c>
      <c r="D50" s="67" t="s">
        <v>43</v>
      </c>
      <c r="E50" s="69">
        <v>1238.8</v>
      </c>
      <c r="F50" s="70">
        <f>SUM(E50*2/1000)</f>
        <v>2.4775999999999998</v>
      </c>
      <c r="G50" s="13">
        <v>579.48</v>
      </c>
      <c r="H50" s="71">
        <f t="shared" si="4"/>
        <v>1.4357196480000001</v>
      </c>
      <c r="I50" s="13">
        <v>0</v>
      </c>
      <c r="J50" s="23"/>
      <c r="L50" s="19"/>
      <c r="M50" s="20"/>
      <c r="N50" s="21"/>
    </row>
    <row r="51" spans="1:22" ht="15" hidden="1" customHeight="1">
      <c r="A51" s="29"/>
      <c r="B51" s="67" t="s">
        <v>38</v>
      </c>
      <c r="C51" s="68" t="s">
        <v>122</v>
      </c>
      <c r="D51" s="67" t="s">
        <v>43</v>
      </c>
      <c r="E51" s="69">
        <v>1794.01</v>
      </c>
      <c r="F51" s="70">
        <f>SUM(E51*2/1000)</f>
        <v>3.5880199999999998</v>
      </c>
      <c r="G51" s="13">
        <v>606.77</v>
      </c>
      <c r="H51" s="71">
        <f t="shared" si="4"/>
        <v>2.1771028954</v>
      </c>
      <c r="I51" s="13">
        <v>0</v>
      </c>
      <c r="J51" s="23"/>
      <c r="L51" s="19"/>
      <c r="M51" s="20"/>
      <c r="N51" s="21"/>
    </row>
    <row r="52" spans="1:22" ht="15" hidden="1" customHeight="1">
      <c r="A52" s="29"/>
      <c r="B52" s="67" t="s">
        <v>34</v>
      </c>
      <c r="C52" s="68" t="s">
        <v>35</v>
      </c>
      <c r="D52" s="67" t="s">
        <v>160</v>
      </c>
      <c r="E52" s="69">
        <v>85.78</v>
      </c>
      <c r="F52" s="70">
        <f>SUM(E52*2/100)</f>
        <v>1.7156</v>
      </c>
      <c r="G52" s="13">
        <v>72.81</v>
      </c>
      <c r="H52" s="71">
        <f t="shared" si="4"/>
        <v>0.124912836</v>
      </c>
      <c r="I52" s="13">
        <v>0</v>
      </c>
      <c r="J52" s="23"/>
      <c r="L52" s="19"/>
      <c r="M52" s="20"/>
      <c r="N52" s="21"/>
    </row>
    <row r="53" spans="1:22" ht="15" customHeight="1">
      <c r="A53" s="29">
        <v>12</v>
      </c>
      <c r="B53" s="67" t="s">
        <v>58</v>
      </c>
      <c r="C53" s="68" t="s">
        <v>122</v>
      </c>
      <c r="D53" s="67" t="s">
        <v>180</v>
      </c>
      <c r="E53" s="69">
        <v>884</v>
      </c>
      <c r="F53" s="70">
        <f>SUM(E53*5/1000)</f>
        <v>4.42</v>
      </c>
      <c r="G53" s="13">
        <v>1213.55</v>
      </c>
      <c r="H53" s="71">
        <f t="shared" si="4"/>
        <v>5.3638909999999997</v>
      </c>
      <c r="I53" s="13">
        <f>F53/5*G53</f>
        <v>1072.7782</v>
      </c>
      <c r="J53" s="23"/>
      <c r="L53" s="19"/>
      <c r="M53" s="20"/>
      <c r="N53" s="21"/>
    </row>
    <row r="54" spans="1:22" ht="31.5" hidden="1" customHeight="1">
      <c r="A54" s="29">
        <v>10</v>
      </c>
      <c r="B54" s="67" t="s">
        <v>130</v>
      </c>
      <c r="C54" s="68" t="s">
        <v>122</v>
      </c>
      <c r="D54" s="67" t="s">
        <v>43</v>
      </c>
      <c r="E54" s="69">
        <v>884</v>
      </c>
      <c r="F54" s="70">
        <f>SUM(E54*2/1000)</f>
        <v>1.768</v>
      </c>
      <c r="G54" s="13">
        <v>1213.55</v>
      </c>
      <c r="H54" s="71">
        <f t="shared" si="4"/>
        <v>2.1455563999999998</v>
      </c>
      <c r="I54" s="13">
        <f>F54/2*G54</f>
        <v>1072.7782</v>
      </c>
      <c r="J54" s="23"/>
      <c r="L54" s="19"/>
      <c r="M54" s="20"/>
      <c r="N54" s="21"/>
    </row>
    <row r="55" spans="1:22" ht="31.5" hidden="1" customHeight="1">
      <c r="A55" s="29">
        <v>11</v>
      </c>
      <c r="B55" s="67" t="s">
        <v>131</v>
      </c>
      <c r="C55" s="68" t="s">
        <v>39</v>
      </c>
      <c r="D55" s="67" t="s">
        <v>43</v>
      </c>
      <c r="E55" s="69">
        <v>20</v>
      </c>
      <c r="F55" s="70">
        <f>SUM(E55*2/100)</f>
        <v>0.4</v>
      </c>
      <c r="G55" s="13">
        <v>2730.49</v>
      </c>
      <c r="H55" s="71">
        <f t="shared" si="4"/>
        <v>1.0921959999999999</v>
      </c>
      <c r="I55" s="13">
        <f t="shared" ref="I55:I56" si="5">F55/2*G55</f>
        <v>546.09799999999996</v>
      </c>
      <c r="J55" s="23"/>
      <c r="L55" s="19"/>
      <c r="M55" s="20"/>
      <c r="N55" s="21"/>
    </row>
    <row r="56" spans="1:22" ht="15" hidden="1" customHeight="1">
      <c r="A56" s="29">
        <v>12</v>
      </c>
      <c r="B56" s="67" t="s">
        <v>40</v>
      </c>
      <c r="C56" s="68" t="s">
        <v>41</v>
      </c>
      <c r="D56" s="67" t="s">
        <v>43</v>
      </c>
      <c r="E56" s="69">
        <v>1</v>
      </c>
      <c r="F56" s="70">
        <v>0.02</v>
      </c>
      <c r="G56" s="13">
        <v>5652.13</v>
      </c>
      <c r="H56" s="71">
        <f t="shared" si="4"/>
        <v>0.11304260000000001</v>
      </c>
      <c r="I56" s="13">
        <f t="shared" si="5"/>
        <v>56.521300000000004</v>
      </c>
      <c r="J56" s="23"/>
      <c r="L56" s="19"/>
      <c r="M56" s="20"/>
      <c r="N56" s="21"/>
    </row>
    <row r="57" spans="1:22" ht="15" hidden="1" customHeight="1">
      <c r="A57" s="29">
        <v>13</v>
      </c>
      <c r="B57" s="67" t="s">
        <v>42</v>
      </c>
      <c r="C57" s="68" t="s">
        <v>30</v>
      </c>
      <c r="D57" s="67" t="s">
        <v>73</v>
      </c>
      <c r="E57" s="69">
        <v>136</v>
      </c>
      <c r="F57" s="70">
        <f>SUM(E57)*3</f>
        <v>408</v>
      </c>
      <c r="G57" s="13">
        <v>65.67</v>
      </c>
      <c r="H57" s="71">
        <f t="shared" si="4"/>
        <v>26.79336</v>
      </c>
      <c r="I57" s="13">
        <f>E57*G57</f>
        <v>8931.1200000000008</v>
      </c>
      <c r="J57" s="23"/>
      <c r="L57" s="19"/>
      <c r="M57" s="20"/>
      <c r="N57" s="21"/>
    </row>
    <row r="58" spans="1:22" ht="15.75" customHeight="1">
      <c r="A58" s="136" t="s">
        <v>154</v>
      </c>
      <c r="B58" s="137"/>
      <c r="C58" s="137"/>
      <c r="D58" s="137"/>
      <c r="E58" s="137"/>
      <c r="F58" s="137"/>
      <c r="G58" s="137"/>
      <c r="H58" s="137"/>
      <c r="I58" s="138"/>
      <c r="J58" s="23"/>
      <c r="L58" s="19"/>
      <c r="M58" s="20"/>
      <c r="N58" s="21"/>
    </row>
    <row r="59" spans="1:22" ht="15" customHeight="1">
      <c r="A59" s="29"/>
      <c r="B59" s="90" t="s">
        <v>44</v>
      </c>
      <c r="C59" s="68"/>
      <c r="D59" s="67"/>
      <c r="E59" s="69"/>
      <c r="F59" s="70"/>
      <c r="G59" s="70"/>
      <c r="H59" s="71"/>
      <c r="I59" s="13"/>
      <c r="J59" s="23"/>
      <c r="L59" s="19"/>
      <c r="M59" s="20"/>
      <c r="N59" s="21"/>
    </row>
    <row r="60" spans="1:22" ht="31.5" customHeight="1">
      <c r="A60" s="29">
        <v>13</v>
      </c>
      <c r="B60" s="67" t="s">
        <v>133</v>
      </c>
      <c r="C60" s="68" t="s">
        <v>104</v>
      </c>
      <c r="D60" s="67" t="s">
        <v>74</v>
      </c>
      <c r="E60" s="69">
        <v>106.13</v>
      </c>
      <c r="F60" s="70">
        <f>E60*6/100</f>
        <v>6.3677999999999999</v>
      </c>
      <c r="G60" s="78">
        <v>1547.28</v>
      </c>
      <c r="H60" s="71">
        <f>F60*G60/1000</f>
        <v>9.8527695839999989</v>
      </c>
      <c r="I60" s="13">
        <f>F60/6*G60</f>
        <v>1642.1282639999999</v>
      </c>
      <c r="J60" s="23"/>
      <c r="L60" s="19"/>
    </row>
    <row r="61" spans="1:22" ht="15" customHeight="1">
      <c r="A61" s="29"/>
      <c r="B61" s="91" t="s">
        <v>45</v>
      </c>
      <c r="C61" s="79"/>
      <c r="D61" s="80"/>
      <c r="E61" s="81"/>
      <c r="F61" s="82"/>
      <c r="G61" s="83"/>
      <c r="H61" s="92"/>
      <c r="I61" s="13"/>
    </row>
    <row r="62" spans="1:22" ht="15" hidden="1" customHeight="1">
      <c r="A62" s="29"/>
      <c r="B62" s="80" t="s">
        <v>46</v>
      </c>
      <c r="C62" s="79" t="s">
        <v>54</v>
      </c>
      <c r="D62" s="80" t="s">
        <v>55</v>
      </c>
      <c r="E62" s="81">
        <v>884</v>
      </c>
      <c r="F62" s="82">
        <f>E62/100</f>
        <v>8.84</v>
      </c>
      <c r="G62" s="70">
        <v>793.61</v>
      </c>
      <c r="H62" s="92">
        <f>G62*F62/1000</f>
        <v>7.0155123999999995</v>
      </c>
      <c r="I62" s="13">
        <v>0</v>
      </c>
    </row>
    <row r="63" spans="1:22" ht="15" customHeight="1">
      <c r="A63" s="29">
        <v>14</v>
      </c>
      <c r="B63" s="80" t="s">
        <v>100</v>
      </c>
      <c r="C63" s="79" t="s">
        <v>25</v>
      </c>
      <c r="D63" s="80"/>
      <c r="E63" s="81">
        <v>176.8</v>
      </c>
      <c r="F63" s="82">
        <v>1200</v>
      </c>
      <c r="G63" s="70">
        <v>1.2</v>
      </c>
      <c r="H63" s="92">
        <f>G63*F63</f>
        <v>1440</v>
      </c>
      <c r="I63" s="13">
        <f>F63/12*G63</f>
        <v>120</v>
      </c>
    </row>
    <row r="64" spans="1:22" ht="15" hidden="1" customHeight="1">
      <c r="A64" s="29"/>
      <c r="B64" s="91" t="s">
        <v>47</v>
      </c>
      <c r="C64" s="79"/>
      <c r="D64" s="80"/>
      <c r="E64" s="81"/>
      <c r="F64" s="82"/>
      <c r="G64" s="70"/>
      <c r="H64" s="92" t="s">
        <v>140</v>
      </c>
      <c r="I64" s="1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9"/>
    </row>
    <row r="65" spans="1:21" ht="15" hidden="1" customHeight="1">
      <c r="A65" s="29">
        <v>16</v>
      </c>
      <c r="B65" s="14" t="s">
        <v>48</v>
      </c>
      <c r="C65" s="16" t="s">
        <v>132</v>
      </c>
      <c r="D65" s="14" t="s">
        <v>69</v>
      </c>
      <c r="E65" s="18">
        <v>20</v>
      </c>
      <c r="F65" s="70">
        <v>20</v>
      </c>
      <c r="G65" s="94">
        <v>222.4</v>
      </c>
      <c r="H65" s="93">
        <f t="shared" ref="H65:H80" si="6">SUM(F65*G65/1000)</f>
        <v>4.4480000000000004</v>
      </c>
      <c r="I65" s="13">
        <f>G65</f>
        <v>222.4</v>
      </c>
      <c r="J65" s="25"/>
      <c r="K65" s="25"/>
      <c r="L65" s="3"/>
      <c r="M65" s="3"/>
      <c r="N65" s="3"/>
      <c r="O65" s="3"/>
      <c r="P65" s="3"/>
      <c r="Q65" s="3"/>
      <c r="R65" s="3"/>
      <c r="S65" s="3"/>
      <c r="T65" s="3"/>
      <c r="U65" s="3"/>
    </row>
    <row r="66" spans="1:21" ht="15" hidden="1" customHeight="1">
      <c r="A66" s="29">
        <v>17</v>
      </c>
      <c r="B66" s="14" t="s">
        <v>49</v>
      </c>
      <c r="C66" s="16" t="s">
        <v>132</v>
      </c>
      <c r="D66" s="14" t="s">
        <v>69</v>
      </c>
      <c r="E66" s="14" t="s">
        <v>69</v>
      </c>
      <c r="F66" s="14" t="s">
        <v>69</v>
      </c>
      <c r="G66" s="13">
        <v>76.25</v>
      </c>
      <c r="H66" s="84" t="e">
        <f t="shared" si="6"/>
        <v>#VALUE!</v>
      </c>
      <c r="I66" s="13">
        <f>G66</f>
        <v>76.25</v>
      </c>
      <c r="J66" s="3"/>
      <c r="K66" s="3"/>
      <c r="L66" s="3"/>
      <c r="M66" s="3"/>
      <c r="N66" s="3"/>
      <c r="O66" s="3"/>
      <c r="P66" s="3"/>
      <c r="Q66" s="3"/>
      <c r="S66" s="3"/>
      <c r="T66" s="3"/>
      <c r="U66" s="3"/>
    </row>
    <row r="67" spans="1:21" ht="15" hidden="1" customHeight="1">
      <c r="A67" s="29"/>
      <c r="B67" s="14" t="s">
        <v>50</v>
      </c>
      <c r="C67" s="16" t="s">
        <v>134</v>
      </c>
      <c r="D67" s="14" t="s">
        <v>55</v>
      </c>
      <c r="E67" s="69">
        <v>12647</v>
      </c>
      <c r="F67" s="13">
        <f>SUM(E67/100)</f>
        <v>126.47</v>
      </c>
      <c r="G67" s="13">
        <v>212.15</v>
      </c>
      <c r="H67" s="84">
        <f t="shared" si="6"/>
        <v>26.830610499999999</v>
      </c>
      <c r="I67" s="13">
        <f>F67*G67</f>
        <v>26830.610499999999</v>
      </c>
      <c r="J67" s="5"/>
      <c r="K67" s="5"/>
      <c r="L67" s="5"/>
      <c r="M67" s="5"/>
      <c r="N67" s="5"/>
      <c r="O67" s="5"/>
      <c r="P67" s="5"/>
      <c r="Q67" s="5"/>
      <c r="R67" s="124"/>
      <c r="S67" s="124"/>
      <c r="T67" s="124"/>
      <c r="U67" s="124"/>
    </row>
    <row r="68" spans="1:21" ht="15" hidden="1" customHeight="1">
      <c r="A68" s="29"/>
      <c r="B68" s="14" t="s">
        <v>51</v>
      </c>
      <c r="C68" s="16" t="s">
        <v>135</v>
      </c>
      <c r="D68" s="14"/>
      <c r="E68" s="69">
        <v>12647</v>
      </c>
      <c r="F68" s="13">
        <f>SUM(E68/1000)</f>
        <v>12.647</v>
      </c>
      <c r="G68" s="13">
        <v>165.21</v>
      </c>
      <c r="H68" s="84">
        <f t="shared" si="6"/>
        <v>2.08941087</v>
      </c>
      <c r="I68" s="13">
        <f t="shared" ref="I68:I72" si="7">F68*G68</f>
        <v>2089.4108700000002</v>
      </c>
    </row>
    <row r="69" spans="1:21" ht="15" hidden="1" customHeight="1">
      <c r="A69" s="29"/>
      <c r="B69" s="14" t="s">
        <v>52</v>
      </c>
      <c r="C69" s="16" t="s">
        <v>80</v>
      </c>
      <c r="D69" s="14" t="s">
        <v>55</v>
      </c>
      <c r="E69" s="69">
        <v>1900</v>
      </c>
      <c r="F69" s="13">
        <f>SUM(E69/100)</f>
        <v>19</v>
      </c>
      <c r="G69" s="13">
        <v>2074.63</v>
      </c>
      <c r="H69" s="84">
        <f t="shared" si="6"/>
        <v>39.417970000000004</v>
      </c>
      <c r="I69" s="13">
        <f t="shared" si="7"/>
        <v>39417.97</v>
      </c>
    </row>
    <row r="70" spans="1:21" ht="15" hidden="1" customHeight="1">
      <c r="A70" s="29"/>
      <c r="B70" s="85" t="s">
        <v>136</v>
      </c>
      <c r="C70" s="16" t="s">
        <v>33</v>
      </c>
      <c r="D70" s="14"/>
      <c r="E70" s="69">
        <v>11.3</v>
      </c>
      <c r="F70" s="13">
        <f>SUM(E70)</f>
        <v>11.3</v>
      </c>
      <c r="G70" s="13">
        <v>42.67</v>
      </c>
      <c r="H70" s="84">
        <f t="shared" si="6"/>
        <v>0.48217100000000007</v>
      </c>
      <c r="I70" s="13">
        <f t="shared" si="7"/>
        <v>482.17100000000005</v>
      </c>
    </row>
    <row r="71" spans="1:21" ht="15" hidden="1" customHeight="1">
      <c r="A71" s="29"/>
      <c r="B71" s="85" t="s">
        <v>137</v>
      </c>
      <c r="C71" s="16" t="s">
        <v>33</v>
      </c>
      <c r="D71" s="14"/>
      <c r="E71" s="69">
        <v>11.3</v>
      </c>
      <c r="F71" s="13">
        <f>SUM(E71)</f>
        <v>11.3</v>
      </c>
      <c r="G71" s="13">
        <v>39.81</v>
      </c>
      <c r="H71" s="84">
        <f t="shared" si="6"/>
        <v>0.44985300000000006</v>
      </c>
      <c r="I71" s="13">
        <f t="shared" si="7"/>
        <v>449.85300000000007</v>
      </c>
    </row>
    <row r="72" spans="1:21" ht="15" hidden="1" customHeight="1">
      <c r="A72" s="29"/>
      <c r="B72" s="14" t="s">
        <v>59</v>
      </c>
      <c r="C72" s="16" t="s">
        <v>60</v>
      </c>
      <c r="D72" s="14" t="s">
        <v>55</v>
      </c>
      <c r="E72" s="18">
        <v>6</v>
      </c>
      <c r="F72" s="70">
        <f>SUM(E72)</f>
        <v>6</v>
      </c>
      <c r="G72" s="13">
        <v>49.88</v>
      </c>
      <c r="H72" s="84">
        <f t="shared" si="6"/>
        <v>0.29928000000000005</v>
      </c>
      <c r="I72" s="13">
        <f t="shared" si="7"/>
        <v>299.28000000000003</v>
      </c>
    </row>
    <row r="73" spans="1:21" ht="15" hidden="1" customHeight="1">
      <c r="A73" s="29"/>
      <c r="B73" s="101" t="s">
        <v>75</v>
      </c>
      <c r="C73" s="16"/>
      <c r="D73" s="14"/>
      <c r="E73" s="18"/>
      <c r="F73" s="13"/>
      <c r="G73" s="13"/>
      <c r="H73" s="84" t="s">
        <v>140</v>
      </c>
      <c r="I73" s="13"/>
    </row>
    <row r="74" spans="1:21" ht="15" hidden="1" customHeight="1">
      <c r="A74" s="29">
        <v>15</v>
      </c>
      <c r="B74" s="14" t="s">
        <v>76</v>
      </c>
      <c r="C74" s="16" t="s">
        <v>31</v>
      </c>
      <c r="D74" s="14"/>
      <c r="E74" s="18">
        <v>5</v>
      </c>
      <c r="F74" s="61">
        <v>0.5</v>
      </c>
      <c r="G74" s="13">
        <v>501.62</v>
      </c>
      <c r="H74" s="84">
        <v>0.251</v>
      </c>
      <c r="I74" s="13">
        <f>G74*0.1</f>
        <v>50.162000000000006</v>
      </c>
    </row>
    <row r="75" spans="1:21" ht="15" hidden="1" customHeight="1">
      <c r="A75" s="29"/>
      <c r="B75" s="14" t="s">
        <v>148</v>
      </c>
      <c r="C75" s="16" t="s">
        <v>30</v>
      </c>
      <c r="D75" s="14"/>
      <c r="E75" s="18">
        <v>2</v>
      </c>
      <c r="F75" s="13">
        <v>2</v>
      </c>
      <c r="G75" s="13">
        <v>99.85</v>
      </c>
      <c r="H75" s="84">
        <v>0.1</v>
      </c>
      <c r="I75" s="13">
        <v>0</v>
      </c>
    </row>
    <row r="76" spans="1:21" ht="15" hidden="1" customHeight="1">
      <c r="A76" s="29"/>
      <c r="B76" s="14" t="s">
        <v>149</v>
      </c>
      <c r="C76" s="16" t="s">
        <v>30</v>
      </c>
      <c r="D76" s="14"/>
      <c r="E76" s="18">
        <v>1</v>
      </c>
      <c r="F76" s="61">
        <v>1</v>
      </c>
      <c r="G76" s="13">
        <v>120.26</v>
      </c>
      <c r="H76" s="84">
        <v>0.12</v>
      </c>
      <c r="I76" s="13">
        <v>0</v>
      </c>
    </row>
    <row r="77" spans="1:21" ht="15" hidden="1" customHeight="1">
      <c r="A77" s="29"/>
      <c r="B77" s="14" t="s">
        <v>91</v>
      </c>
      <c r="C77" s="16" t="s">
        <v>30</v>
      </c>
      <c r="D77" s="14"/>
      <c r="E77" s="18">
        <v>1</v>
      </c>
      <c r="F77" s="70">
        <f>SUM(E77)</f>
        <v>1</v>
      </c>
      <c r="G77" s="13">
        <v>358.51</v>
      </c>
      <c r="H77" s="84">
        <f t="shared" si="6"/>
        <v>0.35851</v>
      </c>
      <c r="I77" s="13">
        <v>0</v>
      </c>
    </row>
    <row r="78" spans="1:21" ht="15" hidden="1" customHeight="1">
      <c r="A78" s="29"/>
      <c r="B78" s="14" t="s">
        <v>77</v>
      </c>
      <c r="C78" s="16" t="s">
        <v>30</v>
      </c>
      <c r="D78" s="14"/>
      <c r="E78" s="18">
        <v>1</v>
      </c>
      <c r="F78" s="13">
        <v>1</v>
      </c>
      <c r="G78" s="13">
        <v>852.99</v>
      </c>
      <c r="H78" s="84">
        <f>F78*G78/1000</f>
        <v>0.85299000000000003</v>
      </c>
      <c r="I78" s="13">
        <v>0</v>
      </c>
    </row>
    <row r="79" spans="1:21" ht="15" hidden="1" customHeight="1">
      <c r="A79" s="29"/>
      <c r="B79" s="86" t="s">
        <v>79</v>
      </c>
      <c r="C79" s="16"/>
      <c r="D79" s="14"/>
      <c r="E79" s="18"/>
      <c r="F79" s="13"/>
      <c r="G79" s="13" t="s">
        <v>140</v>
      </c>
      <c r="H79" s="84" t="s">
        <v>140</v>
      </c>
      <c r="I79" s="13"/>
    </row>
    <row r="80" spans="1:21" ht="15" hidden="1" customHeight="1">
      <c r="A80" s="29"/>
      <c r="B80" s="44" t="s">
        <v>141</v>
      </c>
      <c r="C80" s="16" t="s">
        <v>80</v>
      </c>
      <c r="D80" s="14"/>
      <c r="E80" s="18"/>
      <c r="F80" s="13">
        <v>0.2</v>
      </c>
      <c r="G80" s="13">
        <v>2759.44</v>
      </c>
      <c r="H80" s="84">
        <f t="shared" si="6"/>
        <v>0.55188800000000005</v>
      </c>
      <c r="I80" s="13">
        <v>0</v>
      </c>
    </row>
    <row r="81" spans="1:9" ht="22.5" customHeight="1">
      <c r="A81" s="29"/>
      <c r="B81" s="74" t="s">
        <v>138</v>
      </c>
      <c r="C81" s="86"/>
      <c r="D81" s="31"/>
      <c r="E81" s="32"/>
      <c r="F81" s="75"/>
      <c r="G81" s="75"/>
      <c r="H81" s="87" t="e">
        <f>SUM(H60:H80)</f>
        <v>#VALUE!</v>
      </c>
      <c r="I81" s="75"/>
    </row>
    <row r="82" spans="1:9" ht="20.25" customHeight="1">
      <c r="A82" s="29">
        <v>15</v>
      </c>
      <c r="B82" s="67" t="s">
        <v>139</v>
      </c>
      <c r="C82" s="16"/>
      <c r="D82" s="14"/>
      <c r="E82" s="62"/>
      <c r="F82" s="13">
        <v>1</v>
      </c>
      <c r="G82" s="13">
        <v>5567.8</v>
      </c>
      <c r="H82" s="84">
        <f>G82*F82/1000</f>
        <v>5.5678000000000001</v>
      </c>
      <c r="I82" s="13">
        <f>G82*1</f>
        <v>5567.8</v>
      </c>
    </row>
    <row r="83" spans="1:9" ht="15.75" customHeight="1">
      <c r="A83" s="125" t="s">
        <v>155</v>
      </c>
      <c r="B83" s="126"/>
      <c r="C83" s="126"/>
      <c r="D83" s="126"/>
      <c r="E83" s="126"/>
      <c r="F83" s="126"/>
      <c r="G83" s="126"/>
      <c r="H83" s="126"/>
      <c r="I83" s="127"/>
    </row>
    <row r="84" spans="1:9" ht="15" customHeight="1">
      <c r="A84" s="29">
        <v>16</v>
      </c>
      <c r="B84" s="67" t="s">
        <v>142</v>
      </c>
      <c r="C84" s="16" t="s">
        <v>56</v>
      </c>
      <c r="D84" s="88" t="s">
        <v>57</v>
      </c>
      <c r="E84" s="13">
        <v>3031.3</v>
      </c>
      <c r="F84" s="13">
        <f>SUM(E84*12)</f>
        <v>36375.600000000006</v>
      </c>
      <c r="G84" s="13">
        <v>2.1</v>
      </c>
      <c r="H84" s="84">
        <f>SUM(F84*G84/1000)</f>
        <v>76.388760000000005</v>
      </c>
      <c r="I84" s="13">
        <f>F84/12*G84</f>
        <v>6365.7300000000014</v>
      </c>
    </row>
    <row r="85" spans="1:9" ht="31.5" customHeight="1">
      <c r="A85" s="29">
        <v>17</v>
      </c>
      <c r="B85" s="14" t="s">
        <v>81</v>
      </c>
      <c r="C85" s="16"/>
      <c r="D85" s="88" t="s">
        <v>57</v>
      </c>
      <c r="E85" s="69">
        <f>E84</f>
        <v>3031.3</v>
      </c>
      <c r="F85" s="13">
        <f>E85*12</f>
        <v>36375.600000000006</v>
      </c>
      <c r="G85" s="13">
        <v>1.63</v>
      </c>
      <c r="H85" s="84">
        <f>F85*G85/1000</f>
        <v>59.292228000000001</v>
      </c>
      <c r="I85" s="13">
        <f>F85/12*G85</f>
        <v>4941.0190000000011</v>
      </c>
    </row>
    <row r="86" spans="1:9" ht="15.75" customHeight="1">
      <c r="A86" s="99"/>
      <c r="B86" s="36" t="s">
        <v>83</v>
      </c>
      <c r="C86" s="37"/>
      <c r="D86" s="15"/>
      <c r="E86" s="15"/>
      <c r="F86" s="15"/>
      <c r="G86" s="18"/>
      <c r="H86" s="18"/>
      <c r="I86" s="32">
        <f>I85+I84+I63+I60+I53+I46+I45+I44+I43+I41+I40+I39+I27+I18+I17+I16+I82</f>
        <v>34844.45611133334</v>
      </c>
    </row>
    <row r="87" spans="1:9" ht="15.75" customHeight="1">
      <c r="A87" s="139" t="s">
        <v>62</v>
      </c>
      <c r="B87" s="140"/>
      <c r="C87" s="140"/>
      <c r="D87" s="140"/>
      <c r="E87" s="140"/>
      <c r="F87" s="140"/>
      <c r="G87" s="140"/>
      <c r="H87" s="140"/>
      <c r="I87" s="141"/>
    </row>
    <row r="88" spans="1:9" ht="18" customHeight="1">
      <c r="A88" s="29">
        <v>18</v>
      </c>
      <c r="B88" s="52" t="s">
        <v>280</v>
      </c>
      <c r="C88" s="53" t="s">
        <v>281</v>
      </c>
      <c r="D88" s="44"/>
      <c r="E88" s="34"/>
      <c r="F88" s="34">
        <v>9</v>
      </c>
      <c r="G88" s="123">
        <v>134.12</v>
      </c>
      <c r="H88" s="102">
        <f t="shared" ref="H88:H90" si="8">G88*F88/1000</f>
        <v>1.2070799999999999</v>
      </c>
      <c r="I88" s="13">
        <f>G88*10</f>
        <v>1341.2</v>
      </c>
    </row>
    <row r="89" spans="1:9" ht="16.5" customHeight="1">
      <c r="A89" s="29">
        <v>19</v>
      </c>
      <c r="B89" s="52" t="s">
        <v>282</v>
      </c>
      <c r="C89" s="53" t="s">
        <v>132</v>
      </c>
      <c r="D89" s="104"/>
      <c r="E89" s="34"/>
      <c r="F89" s="34">
        <v>0.06</v>
      </c>
      <c r="G89" s="34">
        <v>19707.150000000001</v>
      </c>
      <c r="H89" s="102">
        <f t="shared" si="8"/>
        <v>1.1824290000000002</v>
      </c>
      <c r="I89" s="13">
        <f>G89*1</f>
        <v>19707.150000000001</v>
      </c>
    </row>
    <row r="90" spans="1:9" ht="29.25" customHeight="1">
      <c r="A90" s="29">
        <v>20</v>
      </c>
      <c r="B90" s="52" t="s">
        <v>275</v>
      </c>
      <c r="C90" s="53" t="s">
        <v>29</v>
      </c>
      <c r="D90" s="48"/>
      <c r="E90" s="34"/>
      <c r="F90" s="34">
        <v>3.5</v>
      </c>
      <c r="G90" s="34">
        <v>18798.34</v>
      </c>
      <c r="H90" s="102">
        <f t="shared" si="8"/>
        <v>65.79419</v>
      </c>
      <c r="I90" s="13">
        <f>G90*((1+0.599*4)/1000)</f>
        <v>63.839162639999998</v>
      </c>
    </row>
    <row r="91" spans="1:9" ht="30.75" customHeight="1">
      <c r="A91" s="29">
        <v>21</v>
      </c>
      <c r="B91" s="105" t="s">
        <v>247</v>
      </c>
      <c r="C91" s="37" t="s">
        <v>116</v>
      </c>
      <c r="D91" s="48"/>
      <c r="E91" s="34"/>
      <c r="F91" s="34"/>
      <c r="G91" s="34">
        <v>42994.68</v>
      </c>
      <c r="H91" s="102"/>
      <c r="I91" s="13">
        <f>G91*0.172</f>
        <v>7395.0849599999992</v>
      </c>
    </row>
    <row r="92" spans="1:9" ht="30.75" customHeight="1">
      <c r="A92" s="29">
        <v>22</v>
      </c>
      <c r="B92" s="52" t="s">
        <v>217</v>
      </c>
      <c r="C92" s="53" t="s">
        <v>101</v>
      </c>
      <c r="D92" s="48"/>
      <c r="E92" s="34"/>
      <c r="F92" s="34"/>
      <c r="G92" s="34">
        <v>7987.62</v>
      </c>
      <c r="H92" s="102"/>
      <c r="I92" s="13">
        <f>G92*0.172</f>
        <v>1373.8706399999999</v>
      </c>
    </row>
    <row r="93" spans="1:9" ht="15" customHeight="1">
      <c r="A93" s="29">
        <v>23</v>
      </c>
      <c r="B93" s="52" t="s">
        <v>283</v>
      </c>
      <c r="C93" s="53" t="s">
        <v>284</v>
      </c>
      <c r="D93" s="48"/>
      <c r="E93" s="34"/>
      <c r="F93" s="34"/>
      <c r="G93" s="34">
        <v>1645</v>
      </c>
      <c r="H93" s="102"/>
      <c r="I93" s="13">
        <f>G93*1</f>
        <v>1645</v>
      </c>
    </row>
    <row r="94" spans="1:9" ht="30" customHeight="1">
      <c r="A94" s="29">
        <v>24</v>
      </c>
      <c r="B94" s="52" t="s">
        <v>290</v>
      </c>
      <c r="C94" s="53" t="s">
        <v>132</v>
      </c>
      <c r="D94" s="48"/>
      <c r="E94" s="34"/>
      <c r="F94" s="34"/>
      <c r="G94" s="34">
        <v>1078.9000000000001</v>
      </c>
      <c r="H94" s="102"/>
      <c r="I94" s="13">
        <f>G94*3</f>
        <v>3236.7000000000003</v>
      </c>
    </row>
    <row r="95" spans="1:9" ht="15" customHeight="1">
      <c r="A95" s="29">
        <v>25</v>
      </c>
      <c r="B95" s="52" t="s">
        <v>285</v>
      </c>
      <c r="C95" s="53" t="s">
        <v>132</v>
      </c>
      <c r="D95" s="48"/>
      <c r="E95" s="34"/>
      <c r="F95" s="34"/>
      <c r="G95" s="34">
        <v>92.74</v>
      </c>
      <c r="H95" s="102"/>
      <c r="I95" s="13">
        <f>G95*1</f>
        <v>92.74</v>
      </c>
    </row>
    <row r="96" spans="1:9" ht="15" customHeight="1">
      <c r="A96" s="29">
        <v>26</v>
      </c>
      <c r="B96" s="52" t="s">
        <v>286</v>
      </c>
      <c r="C96" s="53" t="s">
        <v>132</v>
      </c>
      <c r="D96" s="48"/>
      <c r="E96" s="34"/>
      <c r="F96" s="34"/>
      <c r="G96" s="34">
        <v>48.69</v>
      </c>
      <c r="H96" s="102"/>
      <c r="I96" s="13">
        <f>G96*1</f>
        <v>48.69</v>
      </c>
    </row>
    <row r="97" spans="1:9" ht="15" customHeight="1">
      <c r="A97" s="29">
        <v>27</v>
      </c>
      <c r="B97" s="52" t="s">
        <v>287</v>
      </c>
      <c r="C97" s="53" t="s">
        <v>132</v>
      </c>
      <c r="D97" s="48"/>
      <c r="E97" s="34"/>
      <c r="F97" s="34"/>
      <c r="G97" s="34">
        <v>53.17</v>
      </c>
      <c r="H97" s="102"/>
      <c r="I97" s="13">
        <f>G97*1</f>
        <v>53.17</v>
      </c>
    </row>
    <row r="98" spans="1:9" ht="15" customHeight="1">
      <c r="A98" s="29">
        <v>28</v>
      </c>
      <c r="B98" s="52" t="s">
        <v>288</v>
      </c>
      <c r="C98" s="53" t="s">
        <v>132</v>
      </c>
      <c r="D98" s="48"/>
      <c r="E98" s="34"/>
      <c r="F98" s="34"/>
      <c r="G98" s="34">
        <v>15.58</v>
      </c>
      <c r="H98" s="102"/>
      <c r="I98" s="13">
        <f>G98*1</f>
        <v>15.58</v>
      </c>
    </row>
    <row r="99" spans="1:9" ht="15" customHeight="1">
      <c r="A99" s="29">
        <v>29</v>
      </c>
      <c r="B99" s="52" t="s">
        <v>289</v>
      </c>
      <c r="C99" s="53" t="s">
        <v>132</v>
      </c>
      <c r="D99" s="48"/>
      <c r="E99" s="34"/>
      <c r="F99" s="34"/>
      <c r="G99" s="34">
        <v>62.85</v>
      </c>
      <c r="H99" s="102"/>
      <c r="I99" s="13">
        <f>G99*1</f>
        <v>62.85</v>
      </c>
    </row>
    <row r="100" spans="1:9" ht="15.75" customHeight="1">
      <c r="A100" s="29"/>
      <c r="B100" s="42" t="s">
        <v>53</v>
      </c>
      <c r="C100" s="38"/>
      <c r="D100" s="46"/>
      <c r="E100" s="38">
        <v>1</v>
      </c>
      <c r="F100" s="38"/>
      <c r="G100" s="38"/>
      <c r="H100" s="38"/>
      <c r="I100" s="32">
        <f>SUM(I88:I99)</f>
        <v>35035.87476264</v>
      </c>
    </row>
    <row r="101" spans="1:9" ht="15.75" customHeight="1">
      <c r="A101" s="29"/>
      <c r="B101" s="44" t="s">
        <v>82</v>
      </c>
      <c r="C101" s="15"/>
      <c r="D101" s="15"/>
      <c r="E101" s="39"/>
      <c r="F101" s="39"/>
      <c r="G101" s="40"/>
      <c r="H101" s="40"/>
      <c r="I101" s="17">
        <v>0</v>
      </c>
    </row>
    <row r="102" spans="1:9" ht="15.75" customHeight="1">
      <c r="A102" s="47"/>
      <c r="B102" s="43" t="s">
        <v>192</v>
      </c>
      <c r="C102" s="33"/>
      <c r="D102" s="33"/>
      <c r="E102" s="33"/>
      <c r="F102" s="33"/>
      <c r="G102" s="33"/>
      <c r="H102" s="33"/>
      <c r="I102" s="41">
        <f>I86+I100</f>
        <v>69880.330873973347</v>
      </c>
    </row>
    <row r="103" spans="1:9" ht="15.75">
      <c r="A103" s="142" t="s">
        <v>291</v>
      </c>
      <c r="B103" s="142"/>
      <c r="C103" s="142"/>
      <c r="D103" s="142"/>
      <c r="E103" s="142"/>
      <c r="F103" s="142"/>
      <c r="G103" s="142"/>
      <c r="H103" s="142"/>
      <c r="I103" s="142"/>
    </row>
    <row r="104" spans="1:9" ht="15.75">
      <c r="A104" s="60"/>
      <c r="B104" s="143" t="s">
        <v>292</v>
      </c>
      <c r="C104" s="143"/>
      <c r="D104" s="143"/>
      <c r="E104" s="143"/>
      <c r="F104" s="143"/>
      <c r="G104" s="143"/>
      <c r="H104" s="65"/>
      <c r="I104" s="3"/>
    </row>
    <row r="105" spans="1:9">
      <c r="A105" s="97"/>
      <c r="B105" s="144" t="s">
        <v>6</v>
      </c>
      <c r="C105" s="144"/>
      <c r="D105" s="144"/>
      <c r="E105" s="144"/>
      <c r="F105" s="144"/>
      <c r="G105" s="144"/>
      <c r="H105" s="24"/>
      <c r="I105" s="5"/>
    </row>
    <row r="106" spans="1:9">
      <c r="A106" s="10"/>
      <c r="B106" s="10"/>
      <c r="C106" s="10"/>
      <c r="D106" s="10"/>
      <c r="E106" s="10"/>
      <c r="F106" s="10"/>
      <c r="G106" s="10"/>
      <c r="H106" s="10"/>
      <c r="I106" s="10"/>
    </row>
    <row r="107" spans="1:9" ht="15.75">
      <c r="A107" s="145" t="s">
        <v>7</v>
      </c>
      <c r="B107" s="145"/>
      <c r="C107" s="145"/>
      <c r="D107" s="145"/>
      <c r="E107" s="145"/>
      <c r="F107" s="145"/>
      <c r="G107" s="145"/>
      <c r="H107" s="145"/>
      <c r="I107" s="145"/>
    </row>
    <row r="108" spans="1:9" ht="15.75">
      <c r="A108" s="145" t="s">
        <v>8</v>
      </c>
      <c r="B108" s="145"/>
      <c r="C108" s="145"/>
      <c r="D108" s="145"/>
      <c r="E108" s="145"/>
      <c r="F108" s="145"/>
      <c r="G108" s="145"/>
      <c r="H108" s="145"/>
      <c r="I108" s="145"/>
    </row>
    <row r="109" spans="1:9" ht="15.75">
      <c r="A109" s="134" t="s">
        <v>63</v>
      </c>
      <c r="B109" s="134"/>
      <c r="C109" s="134"/>
      <c r="D109" s="134"/>
      <c r="E109" s="134"/>
      <c r="F109" s="134"/>
      <c r="G109" s="134"/>
      <c r="H109" s="134"/>
      <c r="I109" s="134"/>
    </row>
    <row r="110" spans="1:9" ht="15.75">
      <c r="A110" s="11"/>
    </row>
    <row r="111" spans="1:9" ht="15.75">
      <c r="A111" s="147" t="s">
        <v>9</v>
      </c>
      <c r="B111" s="147"/>
      <c r="C111" s="147"/>
      <c r="D111" s="147"/>
      <c r="E111" s="147"/>
      <c r="F111" s="147"/>
      <c r="G111" s="147"/>
      <c r="H111" s="147"/>
      <c r="I111" s="147"/>
    </row>
    <row r="112" spans="1:9" ht="15.75">
      <c r="A112" s="4"/>
    </row>
    <row r="113" spans="1:9" ht="15.75">
      <c r="B113" s="98" t="s">
        <v>10</v>
      </c>
      <c r="C113" s="148" t="s">
        <v>93</v>
      </c>
      <c r="D113" s="148"/>
      <c r="E113" s="148"/>
      <c r="F113" s="63"/>
      <c r="I113" s="96"/>
    </row>
    <row r="114" spans="1:9">
      <c r="A114" s="97"/>
      <c r="C114" s="144" t="s">
        <v>11</v>
      </c>
      <c r="D114" s="144"/>
      <c r="E114" s="144"/>
      <c r="F114" s="24"/>
      <c r="I114" s="95" t="s">
        <v>12</v>
      </c>
    </row>
    <row r="115" spans="1:9" ht="15.75">
      <c r="A115" s="25"/>
      <c r="C115" s="12"/>
      <c r="D115" s="12"/>
      <c r="G115" s="12"/>
      <c r="H115" s="12"/>
    </row>
    <row r="116" spans="1:9" ht="15.75">
      <c r="B116" s="98" t="s">
        <v>13</v>
      </c>
      <c r="C116" s="149"/>
      <c r="D116" s="149"/>
      <c r="E116" s="149"/>
      <c r="F116" s="64"/>
      <c r="I116" s="96"/>
    </row>
    <row r="117" spans="1:9">
      <c r="A117" s="97"/>
      <c r="C117" s="124" t="s">
        <v>11</v>
      </c>
      <c r="D117" s="124"/>
      <c r="E117" s="124"/>
      <c r="F117" s="97"/>
      <c r="I117" s="95" t="s">
        <v>12</v>
      </c>
    </row>
    <row r="118" spans="1:9" ht="15.75">
      <c r="A118" s="4" t="s">
        <v>14</v>
      </c>
    </row>
    <row r="119" spans="1:9">
      <c r="A119" s="150" t="s">
        <v>15</v>
      </c>
      <c r="B119" s="150"/>
      <c r="C119" s="150"/>
      <c r="D119" s="150"/>
      <c r="E119" s="150"/>
      <c r="F119" s="150"/>
      <c r="G119" s="150"/>
      <c r="H119" s="150"/>
      <c r="I119" s="150"/>
    </row>
    <row r="120" spans="1:9" ht="45" customHeight="1">
      <c r="A120" s="146" t="s">
        <v>16</v>
      </c>
      <c r="B120" s="146"/>
      <c r="C120" s="146"/>
      <c r="D120" s="146"/>
      <c r="E120" s="146"/>
      <c r="F120" s="146"/>
      <c r="G120" s="146"/>
      <c r="H120" s="146"/>
      <c r="I120" s="146"/>
    </row>
    <row r="121" spans="1:9" ht="30" customHeight="1">
      <c r="A121" s="146" t="s">
        <v>17</v>
      </c>
      <c r="B121" s="146"/>
      <c r="C121" s="146"/>
      <c r="D121" s="146"/>
      <c r="E121" s="146"/>
      <c r="F121" s="146"/>
      <c r="G121" s="146"/>
      <c r="H121" s="146"/>
      <c r="I121" s="146"/>
    </row>
    <row r="122" spans="1:9" ht="30" customHeight="1">
      <c r="A122" s="146" t="s">
        <v>21</v>
      </c>
      <c r="B122" s="146"/>
      <c r="C122" s="146"/>
      <c r="D122" s="146"/>
      <c r="E122" s="146"/>
      <c r="F122" s="146"/>
      <c r="G122" s="146"/>
      <c r="H122" s="146"/>
      <c r="I122" s="146"/>
    </row>
    <row r="123" spans="1:9" ht="15.75">
      <c r="A123" s="146" t="s">
        <v>20</v>
      </c>
      <c r="B123" s="146"/>
      <c r="C123" s="146"/>
      <c r="D123" s="146"/>
      <c r="E123" s="146"/>
      <c r="F123" s="146"/>
      <c r="G123" s="146"/>
      <c r="H123" s="146"/>
      <c r="I123" s="146"/>
    </row>
  </sheetData>
  <autoFilter ref="I12:I62"/>
  <mergeCells count="29">
    <mergeCell ref="A119:I119"/>
    <mergeCell ref="A120:I120"/>
    <mergeCell ref="A121:I121"/>
    <mergeCell ref="A122:I122"/>
    <mergeCell ref="A123:I123"/>
    <mergeCell ref="R67:U67"/>
    <mergeCell ref="C117:E117"/>
    <mergeCell ref="A87:I87"/>
    <mergeCell ref="A103:I103"/>
    <mergeCell ref="B104:G104"/>
    <mergeCell ref="B105:G105"/>
    <mergeCell ref="A107:I107"/>
    <mergeCell ref="A108:I108"/>
    <mergeCell ref="A109:I109"/>
    <mergeCell ref="A111:I111"/>
    <mergeCell ref="C113:E113"/>
    <mergeCell ref="C114:E114"/>
    <mergeCell ref="C116:E116"/>
    <mergeCell ref="A83:I83"/>
    <mergeCell ref="A3:I3"/>
    <mergeCell ref="A4:I4"/>
    <mergeCell ref="A5:I5"/>
    <mergeCell ref="A8:I8"/>
    <mergeCell ref="A10:I10"/>
    <mergeCell ref="A14:I14"/>
    <mergeCell ref="A15:I15"/>
    <mergeCell ref="A29:I29"/>
    <mergeCell ref="A47:I47"/>
    <mergeCell ref="A58:I58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V129"/>
  <sheetViews>
    <sheetView topLeftCell="A47" workbookViewId="0">
      <selection activeCell="B110" sqref="B110:G110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7" t="s">
        <v>89</v>
      </c>
      <c r="I1" s="26"/>
      <c r="J1" s="1"/>
      <c r="K1" s="1"/>
      <c r="L1" s="1"/>
      <c r="M1" s="1"/>
    </row>
    <row r="2" spans="1:13" ht="15.75" customHeight="1">
      <c r="A2" s="28" t="s">
        <v>64</v>
      </c>
      <c r="J2" s="2"/>
      <c r="K2" s="2"/>
      <c r="L2" s="2"/>
      <c r="M2" s="2"/>
    </row>
    <row r="3" spans="1:13" ht="15.75" customHeight="1">
      <c r="A3" s="128" t="s">
        <v>181</v>
      </c>
      <c r="B3" s="128"/>
      <c r="C3" s="128"/>
      <c r="D3" s="128"/>
      <c r="E3" s="128"/>
      <c r="F3" s="128"/>
      <c r="G3" s="128"/>
      <c r="H3" s="128"/>
      <c r="I3" s="128"/>
      <c r="J3" s="3"/>
      <c r="K3" s="3"/>
      <c r="L3" s="3"/>
    </row>
    <row r="4" spans="1:13" ht="31.5" customHeight="1">
      <c r="A4" s="129" t="s">
        <v>143</v>
      </c>
      <c r="B4" s="129"/>
      <c r="C4" s="129"/>
      <c r="D4" s="129"/>
      <c r="E4" s="129"/>
      <c r="F4" s="129"/>
      <c r="G4" s="129"/>
      <c r="H4" s="129"/>
      <c r="I4" s="129"/>
    </row>
    <row r="5" spans="1:13" ht="15.75" customHeight="1">
      <c r="A5" s="128" t="s">
        <v>198</v>
      </c>
      <c r="B5" s="130"/>
      <c r="C5" s="130"/>
      <c r="D5" s="130"/>
      <c r="E5" s="130"/>
      <c r="F5" s="130"/>
      <c r="G5" s="130"/>
      <c r="H5" s="130"/>
      <c r="I5" s="130"/>
      <c r="J5" s="2"/>
      <c r="K5" s="2"/>
      <c r="L5" s="2"/>
      <c r="M5" s="2"/>
    </row>
    <row r="6" spans="1:13" ht="15.75" customHeight="1">
      <c r="A6" s="2"/>
      <c r="B6" s="58"/>
      <c r="C6" s="58"/>
      <c r="D6" s="58"/>
      <c r="E6" s="58"/>
      <c r="F6" s="58"/>
      <c r="G6" s="58"/>
      <c r="H6" s="58"/>
      <c r="I6" s="30">
        <v>43159</v>
      </c>
      <c r="J6" s="2"/>
      <c r="K6" s="2"/>
      <c r="L6" s="2"/>
      <c r="M6" s="2"/>
    </row>
    <row r="7" spans="1:13" ht="15.75" customHeight="1">
      <c r="B7" s="59"/>
      <c r="C7" s="59"/>
      <c r="D7" s="59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131" t="s">
        <v>152</v>
      </c>
      <c r="B8" s="131"/>
      <c r="C8" s="131"/>
      <c r="D8" s="131"/>
      <c r="E8" s="131"/>
      <c r="F8" s="131"/>
      <c r="G8" s="131"/>
      <c r="H8" s="131"/>
      <c r="I8" s="131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32" t="s">
        <v>193</v>
      </c>
      <c r="B10" s="132"/>
      <c r="C10" s="132"/>
      <c r="D10" s="132"/>
      <c r="E10" s="132"/>
      <c r="F10" s="132"/>
      <c r="G10" s="132"/>
      <c r="H10" s="132"/>
      <c r="I10" s="132"/>
      <c r="J10" s="2"/>
      <c r="K10" s="2"/>
      <c r="L10" s="2"/>
      <c r="M10" s="2"/>
    </row>
    <row r="11" spans="1:13" ht="15.75">
      <c r="A11" s="4"/>
    </row>
    <row r="12" spans="1:13" ht="5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133" t="s">
        <v>61</v>
      </c>
      <c r="B14" s="133"/>
      <c r="C14" s="133"/>
      <c r="D14" s="133"/>
      <c r="E14" s="133"/>
      <c r="F14" s="133"/>
      <c r="G14" s="133"/>
      <c r="H14" s="133"/>
      <c r="I14" s="133"/>
      <c r="J14" s="8"/>
      <c r="K14" s="8"/>
      <c r="L14" s="8"/>
      <c r="M14" s="8"/>
    </row>
    <row r="15" spans="1:13" ht="15.75" customHeight="1">
      <c r="A15" s="135" t="s">
        <v>4</v>
      </c>
      <c r="B15" s="135"/>
      <c r="C15" s="135"/>
      <c r="D15" s="135"/>
      <c r="E15" s="135"/>
      <c r="F15" s="135"/>
      <c r="G15" s="135"/>
      <c r="H15" s="135"/>
      <c r="I15" s="135"/>
      <c r="J15" s="8"/>
      <c r="K15" s="8"/>
      <c r="L15" s="8"/>
      <c r="M15" s="8"/>
    </row>
    <row r="16" spans="1:13" ht="15" customHeight="1">
      <c r="A16" s="29">
        <v>1</v>
      </c>
      <c r="B16" s="67" t="s">
        <v>90</v>
      </c>
      <c r="C16" s="68" t="s">
        <v>111</v>
      </c>
      <c r="D16" s="67" t="s">
        <v>112</v>
      </c>
      <c r="E16" s="69">
        <v>59.96</v>
      </c>
      <c r="F16" s="70">
        <f>SUM(E16*156/100)</f>
        <v>93.537599999999998</v>
      </c>
      <c r="G16" s="70">
        <v>175.38</v>
      </c>
      <c r="H16" s="71">
        <f t="shared" ref="H16:H26" si="0">SUM(F16*G16/1000)</f>
        <v>16.404624288000001</v>
      </c>
      <c r="I16" s="13">
        <f>F16/12*G16</f>
        <v>1367.0520239999998</v>
      </c>
      <c r="J16" s="8"/>
      <c r="K16" s="8"/>
      <c r="L16" s="8"/>
      <c r="M16" s="8"/>
    </row>
    <row r="17" spans="1:13" ht="15" customHeight="1">
      <c r="A17" s="29">
        <v>2</v>
      </c>
      <c r="B17" s="67" t="s">
        <v>97</v>
      </c>
      <c r="C17" s="68" t="s">
        <v>111</v>
      </c>
      <c r="D17" s="67" t="s">
        <v>113</v>
      </c>
      <c r="E17" s="69">
        <v>239.84</v>
      </c>
      <c r="F17" s="70">
        <f>SUM(E17*104/100)</f>
        <v>249.43360000000001</v>
      </c>
      <c r="G17" s="70">
        <v>175.38</v>
      </c>
      <c r="H17" s="71">
        <f t="shared" si="0"/>
        <v>43.745664768000005</v>
      </c>
      <c r="I17" s="13">
        <f>F17/12*G17</f>
        <v>3645.4720640000005</v>
      </c>
      <c r="J17" s="22"/>
      <c r="K17" s="8"/>
      <c r="L17" s="8"/>
      <c r="M17" s="8"/>
    </row>
    <row r="18" spans="1:13" ht="15" customHeight="1">
      <c r="A18" s="29">
        <v>3</v>
      </c>
      <c r="B18" s="67" t="s">
        <v>98</v>
      </c>
      <c r="C18" s="68" t="s">
        <v>111</v>
      </c>
      <c r="D18" s="67" t="s">
        <v>114</v>
      </c>
      <c r="E18" s="69">
        <f>SUM(E16+E17)</f>
        <v>299.8</v>
      </c>
      <c r="F18" s="70">
        <f>SUM(E18*24/100)</f>
        <v>71.952000000000012</v>
      </c>
      <c r="G18" s="70">
        <v>504.5</v>
      </c>
      <c r="H18" s="71">
        <f t="shared" si="0"/>
        <v>36.29978400000001</v>
      </c>
      <c r="I18" s="13">
        <f>F18/12*G18</f>
        <v>3024.9820000000009</v>
      </c>
      <c r="J18" s="22"/>
      <c r="K18" s="8"/>
      <c r="L18" s="8"/>
      <c r="M18" s="8"/>
    </row>
    <row r="19" spans="1:13" ht="15" hidden="1" customHeight="1">
      <c r="A19" s="29"/>
      <c r="B19" s="67" t="s">
        <v>115</v>
      </c>
      <c r="C19" s="68" t="s">
        <v>116</v>
      </c>
      <c r="D19" s="67" t="s">
        <v>117</v>
      </c>
      <c r="E19" s="69">
        <v>40.799999999999997</v>
      </c>
      <c r="F19" s="70">
        <f>SUM(E19/10)</f>
        <v>4.08</v>
      </c>
      <c r="G19" s="70">
        <v>170.16</v>
      </c>
      <c r="H19" s="71">
        <f t="shared" si="0"/>
        <v>0.6942528</v>
      </c>
      <c r="I19" s="13">
        <v>0</v>
      </c>
      <c r="J19" s="22"/>
      <c r="K19" s="8"/>
      <c r="L19" s="8"/>
      <c r="M19" s="8"/>
    </row>
    <row r="20" spans="1:13" ht="15" hidden="1" customHeight="1">
      <c r="A20" s="29"/>
      <c r="B20" s="67" t="s">
        <v>102</v>
      </c>
      <c r="C20" s="68" t="s">
        <v>111</v>
      </c>
      <c r="D20" s="67" t="s">
        <v>55</v>
      </c>
      <c r="E20" s="69">
        <v>43.2</v>
      </c>
      <c r="F20" s="70">
        <f>SUM(E20/100)</f>
        <v>0.43200000000000005</v>
      </c>
      <c r="G20" s="70">
        <v>217.88</v>
      </c>
      <c r="H20" s="71">
        <f t="shared" si="0"/>
        <v>9.4124159999999998E-2</v>
      </c>
      <c r="I20" s="13">
        <v>0</v>
      </c>
      <c r="J20" s="22"/>
      <c r="K20" s="8"/>
      <c r="L20" s="8"/>
      <c r="M20" s="8"/>
    </row>
    <row r="21" spans="1:13" ht="15" hidden="1" customHeight="1">
      <c r="A21" s="29"/>
      <c r="B21" s="67" t="s">
        <v>103</v>
      </c>
      <c r="C21" s="68" t="s">
        <v>111</v>
      </c>
      <c r="D21" s="67" t="s">
        <v>55</v>
      </c>
      <c r="E21" s="69">
        <v>10.08</v>
      </c>
      <c r="F21" s="70">
        <f>E21/100</f>
        <v>0.1008</v>
      </c>
      <c r="G21" s="70">
        <v>216.12</v>
      </c>
      <c r="H21" s="71">
        <f>SUM(F21*G21)/1000</f>
        <v>2.1784896000000002E-2</v>
      </c>
      <c r="I21" s="13">
        <v>0</v>
      </c>
      <c r="J21" s="22"/>
      <c r="K21" s="8"/>
      <c r="L21" s="8"/>
      <c r="M21" s="8"/>
    </row>
    <row r="22" spans="1:13" ht="15" hidden="1" customHeight="1">
      <c r="A22" s="29"/>
      <c r="B22" s="67" t="s">
        <v>118</v>
      </c>
      <c r="C22" s="68" t="s">
        <v>54</v>
      </c>
      <c r="D22" s="67" t="s">
        <v>117</v>
      </c>
      <c r="E22" s="69">
        <v>403.84</v>
      </c>
      <c r="F22" s="70">
        <f>SUM(E22/100)</f>
        <v>4.0383999999999993</v>
      </c>
      <c r="G22" s="70">
        <v>269.26</v>
      </c>
      <c r="H22" s="71">
        <f t="shared" si="0"/>
        <v>1.0873795839999998</v>
      </c>
      <c r="I22" s="13">
        <v>0</v>
      </c>
      <c r="J22" s="22"/>
      <c r="K22" s="8"/>
      <c r="L22" s="8"/>
      <c r="M22" s="8"/>
    </row>
    <row r="23" spans="1:13" ht="15" hidden="1" customHeight="1">
      <c r="A23" s="29"/>
      <c r="B23" s="67" t="s">
        <v>119</v>
      </c>
      <c r="C23" s="68" t="s">
        <v>54</v>
      </c>
      <c r="D23" s="67" t="s">
        <v>117</v>
      </c>
      <c r="E23" s="72">
        <v>70.56</v>
      </c>
      <c r="F23" s="70">
        <f>SUM(E23/100)</f>
        <v>0.7056</v>
      </c>
      <c r="G23" s="70">
        <v>44.29</v>
      </c>
      <c r="H23" s="71">
        <f t="shared" si="0"/>
        <v>3.1251024000000002E-2</v>
      </c>
      <c r="I23" s="13">
        <v>0</v>
      </c>
      <c r="J23" s="22"/>
      <c r="K23" s="8"/>
      <c r="L23" s="8"/>
      <c r="M23" s="8"/>
    </row>
    <row r="24" spans="1:13" ht="15" hidden="1" customHeight="1">
      <c r="A24" s="29"/>
      <c r="B24" s="67" t="s">
        <v>105</v>
      </c>
      <c r="C24" s="68" t="s">
        <v>54</v>
      </c>
      <c r="D24" s="67" t="s">
        <v>117</v>
      </c>
      <c r="E24" s="18">
        <v>14.4</v>
      </c>
      <c r="F24" s="73">
        <v>0.14000000000000001</v>
      </c>
      <c r="G24" s="70">
        <v>398.72</v>
      </c>
      <c r="H24" s="71">
        <f>F24*G24/1000</f>
        <v>5.5820800000000011E-2</v>
      </c>
      <c r="I24" s="13">
        <v>0</v>
      </c>
      <c r="J24" s="22"/>
      <c r="K24" s="8"/>
      <c r="L24" s="8"/>
      <c r="M24" s="8"/>
    </row>
    <row r="25" spans="1:13" ht="15" hidden="1" customHeight="1">
      <c r="A25" s="29"/>
      <c r="B25" s="67" t="s">
        <v>120</v>
      </c>
      <c r="C25" s="68" t="s">
        <v>54</v>
      </c>
      <c r="D25" s="67" t="s">
        <v>117</v>
      </c>
      <c r="E25" s="72">
        <v>31.5</v>
      </c>
      <c r="F25" s="70">
        <v>0.32</v>
      </c>
      <c r="G25" s="70">
        <v>216.12</v>
      </c>
      <c r="H25" s="71">
        <f>F25*G25/1000</f>
        <v>6.9158399999999995E-2</v>
      </c>
      <c r="I25" s="13">
        <v>0</v>
      </c>
      <c r="J25" s="22"/>
      <c r="K25" s="8"/>
      <c r="L25" s="8"/>
      <c r="M25" s="8"/>
    </row>
    <row r="26" spans="1:13" ht="15" hidden="1" customHeight="1">
      <c r="A26" s="29"/>
      <c r="B26" s="67" t="s">
        <v>106</v>
      </c>
      <c r="C26" s="68" t="s">
        <v>54</v>
      </c>
      <c r="D26" s="67" t="s">
        <v>117</v>
      </c>
      <c r="E26" s="69">
        <v>28.22</v>
      </c>
      <c r="F26" s="70">
        <f>SUM(E26/100)</f>
        <v>0.28220000000000001</v>
      </c>
      <c r="G26" s="70">
        <v>520.79999999999995</v>
      </c>
      <c r="H26" s="71">
        <f t="shared" si="0"/>
        <v>0.14696975999999998</v>
      </c>
      <c r="I26" s="13">
        <v>0</v>
      </c>
      <c r="J26" s="22"/>
      <c r="K26" s="8"/>
      <c r="L26" s="8"/>
      <c r="M26" s="8"/>
    </row>
    <row r="27" spans="1:13" ht="15" customHeight="1">
      <c r="A27" s="29">
        <v>4</v>
      </c>
      <c r="B27" s="67" t="s">
        <v>66</v>
      </c>
      <c r="C27" s="68" t="s">
        <v>33</v>
      </c>
      <c r="D27" s="67"/>
      <c r="E27" s="69">
        <v>0.1</v>
      </c>
      <c r="F27" s="70">
        <f>SUM(E27*365)</f>
        <v>36.5</v>
      </c>
      <c r="G27" s="70">
        <v>147.03</v>
      </c>
      <c r="H27" s="71">
        <f>SUM(F27*G27/1000)</f>
        <v>5.3665950000000002</v>
      </c>
      <c r="I27" s="13">
        <f>F27/12*G27</f>
        <v>447.21625</v>
      </c>
      <c r="J27" s="23"/>
    </row>
    <row r="28" spans="1:13" ht="15" customHeight="1">
      <c r="A28" s="29">
        <v>5</v>
      </c>
      <c r="B28" s="77" t="s">
        <v>23</v>
      </c>
      <c r="C28" s="68" t="s">
        <v>24</v>
      </c>
      <c r="D28" s="67"/>
      <c r="E28" s="69">
        <v>3031.3</v>
      </c>
      <c r="F28" s="70">
        <f>SUM(E28*12)</f>
        <v>36375.600000000006</v>
      </c>
      <c r="G28" s="70">
        <v>5.47</v>
      </c>
      <c r="H28" s="71">
        <f>SUM(F28*G28/1000)</f>
        <v>198.97453200000004</v>
      </c>
      <c r="I28" s="13">
        <f>F28/12*G28</f>
        <v>16581.211000000003</v>
      </c>
      <c r="J28" s="23"/>
    </row>
    <row r="29" spans="1:13" ht="15.75" customHeight="1">
      <c r="A29" s="135" t="s">
        <v>88</v>
      </c>
      <c r="B29" s="135"/>
      <c r="C29" s="135"/>
      <c r="D29" s="135"/>
      <c r="E29" s="135"/>
      <c r="F29" s="135"/>
      <c r="G29" s="135"/>
      <c r="H29" s="135"/>
      <c r="I29" s="135"/>
      <c r="J29" s="22"/>
      <c r="K29" s="8"/>
      <c r="L29" s="8"/>
      <c r="M29" s="8"/>
    </row>
    <row r="30" spans="1:13" ht="15" hidden="1" customHeight="1">
      <c r="A30" s="29"/>
      <c r="B30" s="90" t="s">
        <v>28</v>
      </c>
      <c r="C30" s="68"/>
      <c r="D30" s="67"/>
      <c r="E30" s="69"/>
      <c r="F30" s="70"/>
      <c r="G30" s="70"/>
      <c r="H30" s="71"/>
      <c r="I30" s="13"/>
      <c r="J30" s="22"/>
      <c r="K30" s="8"/>
      <c r="L30" s="8"/>
      <c r="M30" s="8"/>
    </row>
    <row r="31" spans="1:13" ht="15" hidden="1" customHeight="1">
      <c r="A31" s="29">
        <v>6</v>
      </c>
      <c r="B31" s="67" t="s">
        <v>121</v>
      </c>
      <c r="C31" s="68" t="s">
        <v>122</v>
      </c>
      <c r="D31" s="67" t="s">
        <v>123</v>
      </c>
      <c r="E31" s="70">
        <v>709.53</v>
      </c>
      <c r="F31" s="70">
        <f>SUM(E31*52/1000)</f>
        <v>36.895559999999996</v>
      </c>
      <c r="G31" s="70">
        <v>155.88999999999999</v>
      </c>
      <c r="H31" s="71">
        <f t="shared" ref="H31:H37" si="1">SUM(F31*G31/1000)</f>
        <v>5.7516488483999995</v>
      </c>
      <c r="I31" s="13">
        <f>F31/6*G31</f>
        <v>958.60814139999979</v>
      </c>
      <c r="J31" s="22"/>
      <c r="K31" s="8"/>
      <c r="L31" s="8"/>
      <c r="M31" s="8"/>
    </row>
    <row r="32" spans="1:13" ht="31.5" hidden="1" customHeight="1">
      <c r="A32" s="29">
        <v>7</v>
      </c>
      <c r="B32" s="67" t="s">
        <v>179</v>
      </c>
      <c r="C32" s="68" t="s">
        <v>122</v>
      </c>
      <c r="D32" s="67" t="s">
        <v>124</v>
      </c>
      <c r="E32" s="70">
        <v>68</v>
      </c>
      <c r="F32" s="70">
        <f>SUM(E32*78/1000)</f>
        <v>5.3040000000000003</v>
      </c>
      <c r="G32" s="70">
        <v>258.63</v>
      </c>
      <c r="H32" s="71">
        <f t="shared" si="1"/>
        <v>1.3717735199999999</v>
      </c>
      <c r="I32" s="13">
        <f t="shared" ref="I32:I35" si="2">F32/6*G32</f>
        <v>228.62891999999999</v>
      </c>
      <c r="J32" s="22"/>
      <c r="K32" s="8"/>
      <c r="L32" s="8"/>
      <c r="M32" s="8"/>
    </row>
    <row r="33" spans="1:14" ht="15" hidden="1" customHeight="1">
      <c r="A33" s="29">
        <v>16</v>
      </c>
      <c r="B33" s="67" t="s">
        <v>27</v>
      </c>
      <c r="C33" s="68" t="s">
        <v>122</v>
      </c>
      <c r="D33" s="67" t="s">
        <v>55</v>
      </c>
      <c r="E33" s="70">
        <v>709.53</v>
      </c>
      <c r="F33" s="70">
        <f>SUM(E33/1000)</f>
        <v>0.70952999999999999</v>
      </c>
      <c r="G33" s="70">
        <v>3020.33</v>
      </c>
      <c r="H33" s="71">
        <f t="shared" si="1"/>
        <v>2.1430147448999999</v>
      </c>
      <c r="I33" s="13">
        <f>F33*G33</f>
        <v>2143.0147449000001</v>
      </c>
      <c r="J33" s="22"/>
      <c r="K33" s="8"/>
      <c r="L33" s="8"/>
      <c r="M33" s="8"/>
    </row>
    <row r="34" spans="1:14" ht="15" hidden="1" customHeight="1">
      <c r="A34" s="29">
        <v>8</v>
      </c>
      <c r="B34" s="67" t="s">
        <v>157</v>
      </c>
      <c r="C34" s="68" t="s">
        <v>41</v>
      </c>
      <c r="D34" s="67" t="s">
        <v>65</v>
      </c>
      <c r="E34" s="70">
        <v>4</v>
      </c>
      <c r="F34" s="70">
        <v>6.2</v>
      </c>
      <c r="G34" s="70">
        <v>1302.02</v>
      </c>
      <c r="H34" s="71">
        <v>8.0730000000000004</v>
      </c>
      <c r="I34" s="13">
        <f t="shared" si="2"/>
        <v>1345.4206666666669</v>
      </c>
      <c r="J34" s="22"/>
      <c r="K34" s="8"/>
      <c r="L34" s="8"/>
      <c r="M34" s="8"/>
    </row>
    <row r="35" spans="1:14" ht="15" hidden="1" customHeight="1">
      <c r="A35" s="29">
        <v>9</v>
      </c>
      <c r="B35" s="67" t="s">
        <v>158</v>
      </c>
      <c r="C35" s="68" t="s">
        <v>30</v>
      </c>
      <c r="D35" s="67" t="s">
        <v>65</v>
      </c>
      <c r="E35" s="76">
        <v>0.33333333333333331</v>
      </c>
      <c r="F35" s="70">
        <f>155/3</f>
        <v>51.666666666666664</v>
      </c>
      <c r="G35" s="70">
        <v>56.69</v>
      </c>
      <c r="H35" s="71">
        <f>SUM(G35*155/3/1000)</f>
        <v>2.9289833333333331</v>
      </c>
      <c r="I35" s="13">
        <f t="shared" si="2"/>
        <v>488.16388888888883</v>
      </c>
      <c r="J35" s="22"/>
      <c r="K35" s="8"/>
    </row>
    <row r="36" spans="1:14" ht="15" hidden="1" customHeight="1">
      <c r="A36" s="29"/>
      <c r="B36" s="67" t="s">
        <v>67</v>
      </c>
      <c r="C36" s="68" t="s">
        <v>33</v>
      </c>
      <c r="D36" s="67" t="s">
        <v>69</v>
      </c>
      <c r="E36" s="69"/>
      <c r="F36" s="70">
        <v>3</v>
      </c>
      <c r="G36" s="70">
        <v>191.32</v>
      </c>
      <c r="H36" s="71">
        <f t="shared" si="1"/>
        <v>0.57396000000000003</v>
      </c>
      <c r="I36" s="13">
        <v>0</v>
      </c>
      <c r="J36" s="23"/>
    </row>
    <row r="37" spans="1:14" ht="15" hidden="1" customHeight="1">
      <c r="A37" s="29"/>
      <c r="B37" s="67" t="s">
        <v>68</v>
      </c>
      <c r="C37" s="68" t="s">
        <v>32</v>
      </c>
      <c r="D37" s="67" t="s">
        <v>69</v>
      </c>
      <c r="E37" s="69"/>
      <c r="F37" s="70">
        <v>2</v>
      </c>
      <c r="G37" s="70">
        <v>1136.32</v>
      </c>
      <c r="H37" s="71">
        <f t="shared" si="1"/>
        <v>2.27264</v>
      </c>
      <c r="I37" s="13">
        <v>0</v>
      </c>
      <c r="J37" s="23"/>
    </row>
    <row r="38" spans="1:14" ht="15" customHeight="1">
      <c r="A38" s="29"/>
      <c r="B38" s="90" t="s">
        <v>5</v>
      </c>
      <c r="C38" s="68"/>
      <c r="D38" s="67"/>
      <c r="E38" s="69"/>
      <c r="F38" s="70"/>
      <c r="G38" s="70"/>
      <c r="H38" s="71" t="s">
        <v>140</v>
      </c>
      <c r="I38" s="13"/>
      <c r="J38" s="23"/>
    </row>
    <row r="39" spans="1:14" ht="15" customHeight="1">
      <c r="A39" s="29">
        <v>6</v>
      </c>
      <c r="B39" s="67" t="s">
        <v>26</v>
      </c>
      <c r="C39" s="68" t="s">
        <v>32</v>
      </c>
      <c r="D39" s="67"/>
      <c r="E39" s="69"/>
      <c r="F39" s="70">
        <v>6</v>
      </c>
      <c r="G39" s="70">
        <v>1527.22</v>
      </c>
      <c r="H39" s="71">
        <f t="shared" ref="H39:H46" si="3">SUM(F39*G39/1000)</f>
        <v>9.1633200000000006</v>
      </c>
      <c r="I39" s="13">
        <f>F39/6*G39</f>
        <v>1527.22</v>
      </c>
      <c r="J39" s="23"/>
    </row>
    <row r="40" spans="1:14" ht="15" customHeight="1">
      <c r="A40" s="29">
        <v>7</v>
      </c>
      <c r="B40" s="67" t="s">
        <v>109</v>
      </c>
      <c r="C40" s="68" t="s">
        <v>29</v>
      </c>
      <c r="D40" s="67" t="s">
        <v>144</v>
      </c>
      <c r="E40" s="70">
        <v>429.8</v>
      </c>
      <c r="F40" s="70">
        <f>SUM(E40*12/1000)</f>
        <v>5.1576000000000004</v>
      </c>
      <c r="G40" s="70">
        <v>2102.71</v>
      </c>
      <c r="H40" s="71">
        <f t="shared" si="3"/>
        <v>10.844937096000001</v>
      </c>
      <c r="I40" s="13">
        <f>F40/6*G40</f>
        <v>1807.4895160000001</v>
      </c>
      <c r="J40" s="23"/>
      <c r="L40" s="19"/>
      <c r="M40" s="20"/>
      <c r="N40" s="21"/>
    </row>
    <row r="41" spans="1:14" ht="15" customHeight="1">
      <c r="A41" s="29">
        <v>8</v>
      </c>
      <c r="B41" s="67" t="s">
        <v>145</v>
      </c>
      <c r="C41" s="68" t="s">
        <v>29</v>
      </c>
      <c r="D41" s="67" t="s">
        <v>126</v>
      </c>
      <c r="E41" s="70">
        <v>68</v>
      </c>
      <c r="F41" s="70">
        <f>SUM(E41*30/1000)</f>
        <v>2.04</v>
      </c>
      <c r="G41" s="70">
        <v>2102.71</v>
      </c>
      <c r="H41" s="71">
        <f>SUM(F41*G41/1000)</f>
        <v>4.2895284</v>
      </c>
      <c r="I41" s="13">
        <f>F41/6*G41</f>
        <v>714.92140000000006</v>
      </c>
      <c r="J41" s="23"/>
      <c r="L41" s="19"/>
      <c r="M41" s="20"/>
      <c r="N41" s="21"/>
    </row>
    <row r="42" spans="1:14" ht="15" hidden="1" customHeight="1">
      <c r="A42" s="29"/>
      <c r="B42" s="67" t="s">
        <v>99</v>
      </c>
      <c r="C42" s="68" t="s">
        <v>127</v>
      </c>
      <c r="D42" s="67" t="s">
        <v>159</v>
      </c>
      <c r="E42" s="69"/>
      <c r="F42" s="70">
        <v>50</v>
      </c>
      <c r="G42" s="70">
        <v>199.44</v>
      </c>
      <c r="H42" s="71">
        <f>SUM(F42*G42/1000)</f>
        <v>9.9719999999999995</v>
      </c>
      <c r="I42" s="13">
        <v>0</v>
      </c>
      <c r="J42" s="23"/>
      <c r="L42" s="19"/>
      <c r="M42" s="20"/>
      <c r="N42" s="21"/>
    </row>
    <row r="43" spans="1:14" ht="15" customHeight="1">
      <c r="A43" s="29">
        <v>9</v>
      </c>
      <c r="B43" s="67" t="s">
        <v>70</v>
      </c>
      <c r="C43" s="68" t="s">
        <v>29</v>
      </c>
      <c r="D43" s="67" t="s">
        <v>128</v>
      </c>
      <c r="E43" s="70">
        <v>68</v>
      </c>
      <c r="F43" s="70">
        <f>SUM(E43*155/1000)</f>
        <v>10.54</v>
      </c>
      <c r="G43" s="70">
        <v>350.75</v>
      </c>
      <c r="H43" s="71">
        <f t="shared" si="3"/>
        <v>3.6969049999999997</v>
      </c>
      <c r="I43" s="13">
        <f>F43/6*G43</f>
        <v>616.15083333333325</v>
      </c>
      <c r="J43" s="23"/>
      <c r="L43" s="19"/>
      <c r="M43" s="20"/>
      <c r="N43" s="21"/>
    </row>
    <row r="44" spans="1:14" ht="47.25" customHeight="1">
      <c r="A44" s="29">
        <v>10</v>
      </c>
      <c r="B44" s="67" t="s">
        <v>86</v>
      </c>
      <c r="C44" s="68" t="s">
        <v>122</v>
      </c>
      <c r="D44" s="67" t="s">
        <v>146</v>
      </c>
      <c r="E44" s="70">
        <v>68</v>
      </c>
      <c r="F44" s="70">
        <f>SUM(E44*24/1000)</f>
        <v>1.6319999999999999</v>
      </c>
      <c r="G44" s="70">
        <v>5803.28</v>
      </c>
      <c r="H44" s="71">
        <f t="shared" si="3"/>
        <v>9.4709529599999982</v>
      </c>
      <c r="I44" s="13">
        <f>F44/6*G44</f>
        <v>1578.4921599999998</v>
      </c>
      <c r="J44" s="23"/>
      <c r="L44" s="19"/>
      <c r="M44" s="20"/>
      <c r="N44" s="21"/>
    </row>
    <row r="45" spans="1:14" ht="15" customHeight="1">
      <c r="A45" s="29">
        <v>11</v>
      </c>
      <c r="B45" s="67" t="s">
        <v>129</v>
      </c>
      <c r="C45" s="68" t="s">
        <v>122</v>
      </c>
      <c r="D45" s="67" t="s">
        <v>71</v>
      </c>
      <c r="E45" s="70">
        <v>68</v>
      </c>
      <c r="F45" s="70">
        <f>SUM(E45*45/1000)</f>
        <v>3.06</v>
      </c>
      <c r="G45" s="70">
        <v>428.7</v>
      </c>
      <c r="H45" s="71">
        <f t="shared" si="3"/>
        <v>1.3118219999999998</v>
      </c>
      <c r="I45" s="13">
        <f>F45/7.5*G45</f>
        <v>174.90960000000001</v>
      </c>
      <c r="J45" s="23"/>
      <c r="L45" s="19"/>
      <c r="M45" s="20"/>
      <c r="N45" s="21"/>
    </row>
    <row r="46" spans="1:14" ht="15" customHeight="1">
      <c r="A46" s="29">
        <v>12</v>
      </c>
      <c r="B46" s="67" t="s">
        <v>72</v>
      </c>
      <c r="C46" s="68" t="s">
        <v>33</v>
      </c>
      <c r="D46" s="67"/>
      <c r="E46" s="69"/>
      <c r="F46" s="70">
        <v>0.9</v>
      </c>
      <c r="G46" s="70">
        <v>798</v>
      </c>
      <c r="H46" s="71">
        <f t="shared" si="3"/>
        <v>0.71820000000000006</v>
      </c>
      <c r="I46" s="13">
        <f>F46/7.5*G46</f>
        <v>95.76</v>
      </c>
      <c r="J46" s="23"/>
      <c r="L46" s="19"/>
      <c r="M46" s="20"/>
      <c r="N46" s="21"/>
    </row>
    <row r="47" spans="1:14" ht="15.75" customHeight="1">
      <c r="A47" s="136" t="s">
        <v>153</v>
      </c>
      <c r="B47" s="137"/>
      <c r="C47" s="137"/>
      <c r="D47" s="137"/>
      <c r="E47" s="137"/>
      <c r="F47" s="137"/>
      <c r="G47" s="137"/>
      <c r="H47" s="137"/>
      <c r="I47" s="138"/>
      <c r="J47" s="23"/>
      <c r="L47" s="19"/>
      <c r="M47" s="20"/>
      <c r="N47" s="21"/>
    </row>
    <row r="48" spans="1:14" ht="15" hidden="1" customHeight="1">
      <c r="A48" s="29"/>
      <c r="B48" s="67" t="s">
        <v>147</v>
      </c>
      <c r="C48" s="68" t="s">
        <v>122</v>
      </c>
      <c r="D48" s="67" t="s">
        <v>43</v>
      </c>
      <c r="E48" s="69">
        <v>1061.3</v>
      </c>
      <c r="F48" s="70">
        <f>SUM(E48*2/1000)</f>
        <v>2.1225999999999998</v>
      </c>
      <c r="G48" s="13">
        <v>809.74</v>
      </c>
      <c r="H48" s="71">
        <f t="shared" ref="H48:H57" si="4">SUM(F48*G48/1000)</f>
        <v>1.7187541239999997</v>
      </c>
      <c r="I48" s="13">
        <v>0</v>
      </c>
      <c r="J48" s="23"/>
      <c r="L48" s="19"/>
      <c r="M48" s="20"/>
      <c r="N48" s="21"/>
    </row>
    <row r="49" spans="1:22" ht="15" hidden="1" customHeight="1">
      <c r="A49" s="29"/>
      <c r="B49" s="67" t="s">
        <v>36</v>
      </c>
      <c r="C49" s="68" t="s">
        <v>122</v>
      </c>
      <c r="D49" s="67" t="s">
        <v>43</v>
      </c>
      <c r="E49" s="69">
        <v>52</v>
      </c>
      <c r="F49" s="70">
        <f>SUM(E49*2/1000)</f>
        <v>0.104</v>
      </c>
      <c r="G49" s="13">
        <v>579.48</v>
      </c>
      <c r="H49" s="71">
        <f t="shared" si="4"/>
        <v>6.0265920000000001E-2</v>
      </c>
      <c r="I49" s="13">
        <v>0</v>
      </c>
      <c r="J49" s="23"/>
      <c r="L49" s="19"/>
      <c r="M49" s="20"/>
      <c r="N49" s="21"/>
    </row>
    <row r="50" spans="1:22" ht="15" hidden="1" customHeight="1">
      <c r="A50" s="29"/>
      <c r="B50" s="67" t="s">
        <v>37</v>
      </c>
      <c r="C50" s="68" t="s">
        <v>122</v>
      </c>
      <c r="D50" s="67" t="s">
        <v>43</v>
      </c>
      <c r="E50" s="69">
        <v>1238.8</v>
      </c>
      <c r="F50" s="70">
        <f>SUM(E50*2/1000)</f>
        <v>2.4775999999999998</v>
      </c>
      <c r="G50" s="13">
        <v>579.48</v>
      </c>
      <c r="H50" s="71">
        <f t="shared" si="4"/>
        <v>1.4357196480000001</v>
      </c>
      <c r="I50" s="13">
        <v>0</v>
      </c>
      <c r="J50" s="23"/>
      <c r="L50" s="19"/>
      <c r="M50" s="20"/>
      <c r="N50" s="21"/>
    </row>
    <row r="51" spans="1:22" ht="15" hidden="1" customHeight="1">
      <c r="A51" s="29"/>
      <c r="B51" s="67" t="s">
        <v>38</v>
      </c>
      <c r="C51" s="68" t="s">
        <v>122</v>
      </c>
      <c r="D51" s="67" t="s">
        <v>43</v>
      </c>
      <c r="E51" s="69">
        <v>1794.01</v>
      </c>
      <c r="F51" s="70">
        <f>SUM(E51*2/1000)</f>
        <v>3.5880199999999998</v>
      </c>
      <c r="G51" s="13">
        <v>606.77</v>
      </c>
      <c r="H51" s="71">
        <f t="shared" si="4"/>
        <v>2.1771028954</v>
      </c>
      <c r="I51" s="13">
        <v>0</v>
      </c>
      <c r="J51" s="23"/>
      <c r="L51" s="19"/>
      <c r="M51" s="20"/>
      <c r="N51" s="21"/>
    </row>
    <row r="52" spans="1:22" ht="15" hidden="1" customHeight="1">
      <c r="A52" s="29"/>
      <c r="B52" s="67" t="s">
        <v>34</v>
      </c>
      <c r="C52" s="68" t="s">
        <v>35</v>
      </c>
      <c r="D52" s="67" t="s">
        <v>160</v>
      </c>
      <c r="E52" s="69">
        <v>85.78</v>
      </c>
      <c r="F52" s="70">
        <f>SUM(E52*2/100)</f>
        <v>1.7156</v>
      </c>
      <c r="G52" s="13">
        <v>72.81</v>
      </c>
      <c r="H52" s="71">
        <f t="shared" si="4"/>
        <v>0.124912836</v>
      </c>
      <c r="I52" s="13">
        <v>0</v>
      </c>
      <c r="J52" s="23"/>
      <c r="L52" s="19"/>
      <c r="M52" s="20"/>
      <c r="N52" s="21"/>
    </row>
    <row r="53" spans="1:22" ht="15" customHeight="1">
      <c r="A53" s="29">
        <v>13</v>
      </c>
      <c r="B53" s="67" t="s">
        <v>58</v>
      </c>
      <c r="C53" s="68" t="s">
        <v>122</v>
      </c>
      <c r="D53" s="67" t="s">
        <v>180</v>
      </c>
      <c r="E53" s="69">
        <v>884</v>
      </c>
      <c r="F53" s="70">
        <f>SUM(E53*5/1000)</f>
        <v>4.42</v>
      </c>
      <c r="G53" s="13">
        <v>1213.55</v>
      </c>
      <c r="H53" s="71">
        <f t="shared" si="4"/>
        <v>5.3638909999999997</v>
      </c>
      <c r="I53" s="13">
        <f>F53/5*G53</f>
        <v>1072.7782</v>
      </c>
      <c r="J53" s="23"/>
      <c r="L53" s="19"/>
      <c r="M53" s="20"/>
      <c r="N53" s="21"/>
    </row>
    <row r="54" spans="1:22" ht="31.5" hidden="1" customHeight="1">
      <c r="A54" s="29"/>
      <c r="B54" s="67" t="s">
        <v>130</v>
      </c>
      <c r="C54" s="68" t="s">
        <v>122</v>
      </c>
      <c r="D54" s="67" t="s">
        <v>43</v>
      </c>
      <c r="E54" s="69">
        <v>884</v>
      </c>
      <c r="F54" s="70">
        <f>SUM(E54*2/1000)</f>
        <v>1.768</v>
      </c>
      <c r="G54" s="13">
        <v>1213.55</v>
      </c>
      <c r="H54" s="71">
        <f t="shared" si="4"/>
        <v>2.1455563999999998</v>
      </c>
      <c r="I54" s="13">
        <v>0</v>
      </c>
      <c r="J54" s="23"/>
      <c r="L54" s="19"/>
      <c r="M54" s="20"/>
      <c r="N54" s="21"/>
    </row>
    <row r="55" spans="1:22" ht="31.5" hidden="1" customHeight="1">
      <c r="A55" s="29"/>
      <c r="B55" s="67" t="s">
        <v>131</v>
      </c>
      <c r="C55" s="68" t="s">
        <v>39</v>
      </c>
      <c r="D55" s="67" t="s">
        <v>43</v>
      </c>
      <c r="E55" s="69">
        <v>20</v>
      </c>
      <c r="F55" s="70">
        <f>SUM(E55*2/100)</f>
        <v>0.4</v>
      </c>
      <c r="G55" s="13">
        <v>2730.49</v>
      </c>
      <c r="H55" s="71">
        <f t="shared" si="4"/>
        <v>1.0921959999999999</v>
      </c>
      <c r="I55" s="13">
        <v>0</v>
      </c>
      <c r="J55" s="23"/>
      <c r="L55" s="19"/>
      <c r="M55" s="20"/>
      <c r="N55" s="21"/>
    </row>
    <row r="56" spans="1:22" ht="15" hidden="1" customHeight="1">
      <c r="A56" s="29"/>
      <c r="B56" s="67" t="s">
        <v>40</v>
      </c>
      <c r="C56" s="68" t="s">
        <v>41</v>
      </c>
      <c r="D56" s="67" t="s">
        <v>43</v>
      </c>
      <c r="E56" s="69">
        <v>1</v>
      </c>
      <c r="F56" s="70">
        <v>0.02</v>
      </c>
      <c r="G56" s="13">
        <v>5652.13</v>
      </c>
      <c r="H56" s="71">
        <f t="shared" si="4"/>
        <v>0.11304260000000001</v>
      </c>
      <c r="I56" s="13">
        <v>0</v>
      </c>
      <c r="J56" s="23"/>
      <c r="L56" s="19"/>
      <c r="M56" s="20"/>
      <c r="N56" s="21"/>
    </row>
    <row r="57" spans="1:22" ht="15" hidden="1" customHeight="1">
      <c r="A57" s="29">
        <v>14</v>
      </c>
      <c r="B57" s="67" t="s">
        <v>42</v>
      </c>
      <c r="C57" s="68" t="s">
        <v>30</v>
      </c>
      <c r="D57" s="67" t="s">
        <v>73</v>
      </c>
      <c r="E57" s="69">
        <v>136</v>
      </c>
      <c r="F57" s="70">
        <f>SUM(E57)*3</f>
        <v>408</v>
      </c>
      <c r="G57" s="13">
        <v>65.67</v>
      </c>
      <c r="H57" s="71">
        <f t="shared" si="4"/>
        <v>26.79336</v>
      </c>
      <c r="I57" s="13">
        <f>E57*G57</f>
        <v>8931.1200000000008</v>
      </c>
      <c r="J57" s="23"/>
      <c r="L57" s="19"/>
      <c r="M57" s="20"/>
      <c r="N57" s="21"/>
    </row>
    <row r="58" spans="1:22" ht="15.75" customHeight="1">
      <c r="A58" s="136" t="s">
        <v>154</v>
      </c>
      <c r="B58" s="137"/>
      <c r="C58" s="137"/>
      <c r="D58" s="137"/>
      <c r="E58" s="137"/>
      <c r="F58" s="137"/>
      <c r="G58" s="137"/>
      <c r="H58" s="137"/>
      <c r="I58" s="138"/>
      <c r="J58" s="23"/>
      <c r="L58" s="19"/>
      <c r="M58" s="20"/>
      <c r="N58" s="21"/>
    </row>
    <row r="59" spans="1:22" ht="15" hidden="1" customHeight="1">
      <c r="A59" s="29"/>
      <c r="B59" s="90" t="s">
        <v>44</v>
      </c>
      <c r="C59" s="68"/>
      <c r="D59" s="67"/>
      <c r="E59" s="69"/>
      <c r="F59" s="70"/>
      <c r="G59" s="70"/>
      <c r="H59" s="71"/>
      <c r="I59" s="13"/>
      <c r="J59" s="23"/>
      <c r="L59" s="19"/>
      <c r="M59" s="20"/>
      <c r="N59" s="21"/>
    </row>
    <row r="60" spans="1:22" ht="31.5" hidden="1" customHeight="1">
      <c r="A60" s="29">
        <v>14</v>
      </c>
      <c r="B60" s="67" t="s">
        <v>133</v>
      </c>
      <c r="C60" s="68" t="s">
        <v>104</v>
      </c>
      <c r="D60" s="67" t="s">
        <v>74</v>
      </c>
      <c r="E60" s="69">
        <v>106.13</v>
      </c>
      <c r="F60" s="70">
        <f>E60*6/100</f>
        <v>6.3677999999999999</v>
      </c>
      <c r="G60" s="78">
        <v>1547.28</v>
      </c>
      <c r="H60" s="71">
        <f>F60*G60/1000</f>
        <v>9.8527695839999989</v>
      </c>
      <c r="I60" s="13">
        <f>F60/6*G60</f>
        <v>1642.1282639999999</v>
      </c>
      <c r="J60" s="23"/>
      <c r="L60" s="19"/>
    </row>
    <row r="61" spans="1:22" ht="15" customHeight="1">
      <c r="A61" s="29"/>
      <c r="B61" s="91" t="s">
        <v>45</v>
      </c>
      <c r="C61" s="79"/>
      <c r="D61" s="80"/>
      <c r="E61" s="81"/>
      <c r="F61" s="82"/>
      <c r="G61" s="83"/>
      <c r="H61" s="92"/>
      <c r="I61" s="13"/>
    </row>
    <row r="62" spans="1:22" ht="15" hidden="1" customHeight="1">
      <c r="A62" s="29"/>
      <c r="B62" s="80" t="s">
        <v>46</v>
      </c>
      <c r="C62" s="79" t="s">
        <v>54</v>
      </c>
      <c r="D62" s="80" t="s">
        <v>55</v>
      </c>
      <c r="E62" s="81">
        <v>884</v>
      </c>
      <c r="F62" s="82">
        <f>E62/100</f>
        <v>8.84</v>
      </c>
      <c r="G62" s="70">
        <v>793.61</v>
      </c>
      <c r="H62" s="92">
        <f>G62*F62/1000</f>
        <v>7.0155123999999995</v>
      </c>
      <c r="I62" s="13">
        <v>0</v>
      </c>
    </row>
    <row r="63" spans="1:22" ht="15" customHeight="1">
      <c r="A63" s="29">
        <v>14</v>
      </c>
      <c r="B63" s="109" t="s">
        <v>100</v>
      </c>
      <c r="C63" s="110" t="s">
        <v>25</v>
      </c>
      <c r="D63" s="109"/>
      <c r="E63" s="111">
        <v>100</v>
      </c>
      <c r="F63" s="112">
        <f>E63*12</f>
        <v>1200</v>
      </c>
      <c r="G63" s="113">
        <v>1.2</v>
      </c>
      <c r="H63" s="92">
        <f>G63*F63</f>
        <v>1440</v>
      </c>
      <c r="I63" s="13">
        <f>F63/12*G63</f>
        <v>120</v>
      </c>
    </row>
    <row r="64" spans="1:22" ht="15" hidden="1" customHeight="1">
      <c r="A64" s="29"/>
      <c r="B64" s="91" t="s">
        <v>47</v>
      </c>
      <c r="C64" s="79"/>
      <c r="D64" s="80"/>
      <c r="E64" s="81"/>
      <c r="F64" s="82"/>
      <c r="G64" s="70"/>
      <c r="H64" s="92" t="s">
        <v>140</v>
      </c>
      <c r="I64" s="1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9"/>
    </row>
    <row r="65" spans="1:21" ht="15" hidden="1" customHeight="1">
      <c r="A65" s="29">
        <v>16</v>
      </c>
      <c r="B65" s="14" t="s">
        <v>48</v>
      </c>
      <c r="C65" s="16" t="s">
        <v>132</v>
      </c>
      <c r="D65" s="14" t="s">
        <v>69</v>
      </c>
      <c r="E65" s="18">
        <v>20</v>
      </c>
      <c r="F65" s="70">
        <v>20</v>
      </c>
      <c r="G65" s="94">
        <v>222.4</v>
      </c>
      <c r="H65" s="93">
        <f t="shared" ref="H65:H80" si="5">SUM(F65*G65/1000)</f>
        <v>4.4480000000000004</v>
      </c>
      <c r="I65" s="13">
        <f>G65*3</f>
        <v>667.2</v>
      </c>
      <c r="J65" s="25"/>
      <c r="K65" s="25"/>
      <c r="L65" s="3"/>
      <c r="M65" s="3"/>
      <c r="N65" s="3"/>
      <c r="O65" s="3"/>
      <c r="P65" s="3"/>
      <c r="Q65" s="3"/>
      <c r="R65" s="3"/>
      <c r="S65" s="3"/>
      <c r="T65" s="3"/>
      <c r="U65" s="3"/>
    </row>
    <row r="66" spans="1:21" ht="15" hidden="1" customHeight="1">
      <c r="A66" s="29">
        <v>17</v>
      </c>
      <c r="B66" s="14" t="s">
        <v>49</v>
      </c>
      <c r="C66" s="16" t="s">
        <v>132</v>
      </c>
      <c r="D66" s="14" t="s">
        <v>69</v>
      </c>
      <c r="E66" s="14" t="s">
        <v>69</v>
      </c>
      <c r="F66" s="14" t="s">
        <v>69</v>
      </c>
      <c r="G66" s="13">
        <v>76.25</v>
      </c>
      <c r="H66" s="84" t="e">
        <f t="shared" si="5"/>
        <v>#VALUE!</v>
      </c>
      <c r="I66" s="13">
        <f>G66</f>
        <v>76.25</v>
      </c>
      <c r="J66" s="3"/>
      <c r="K66" s="3"/>
      <c r="L66" s="3"/>
      <c r="M66" s="3"/>
      <c r="N66" s="3"/>
      <c r="O66" s="3"/>
      <c r="P66" s="3"/>
      <c r="Q66" s="3"/>
      <c r="S66" s="3"/>
      <c r="T66" s="3"/>
      <c r="U66" s="3"/>
    </row>
    <row r="67" spans="1:21" ht="15" hidden="1" customHeight="1">
      <c r="A67" s="29"/>
      <c r="B67" s="14" t="s">
        <v>50</v>
      </c>
      <c r="C67" s="16" t="s">
        <v>134</v>
      </c>
      <c r="D67" s="14" t="s">
        <v>55</v>
      </c>
      <c r="E67" s="69">
        <v>12647</v>
      </c>
      <c r="F67" s="13">
        <f>SUM(E67/100)</f>
        <v>126.47</v>
      </c>
      <c r="G67" s="13">
        <v>212.15</v>
      </c>
      <c r="H67" s="84">
        <f t="shared" si="5"/>
        <v>26.830610499999999</v>
      </c>
      <c r="I67" s="13">
        <f>F67*G67</f>
        <v>26830.610499999999</v>
      </c>
      <c r="J67" s="5"/>
      <c r="K67" s="5"/>
      <c r="L67" s="5"/>
      <c r="M67" s="5"/>
      <c r="N67" s="5"/>
      <c r="O67" s="5"/>
      <c r="P67" s="5"/>
      <c r="Q67" s="5"/>
      <c r="R67" s="124"/>
      <c r="S67" s="124"/>
      <c r="T67" s="124"/>
      <c r="U67" s="124"/>
    </row>
    <row r="68" spans="1:21" ht="15" hidden="1" customHeight="1">
      <c r="A68" s="29"/>
      <c r="B68" s="14" t="s">
        <v>51</v>
      </c>
      <c r="C68" s="16" t="s">
        <v>135</v>
      </c>
      <c r="D68" s="14"/>
      <c r="E68" s="69">
        <v>12647</v>
      </c>
      <c r="F68" s="13">
        <f>SUM(E68/1000)</f>
        <v>12.647</v>
      </c>
      <c r="G68" s="13">
        <v>165.21</v>
      </c>
      <c r="H68" s="84">
        <f t="shared" si="5"/>
        <v>2.08941087</v>
      </c>
      <c r="I68" s="13">
        <f t="shared" ref="I68:I72" si="6">F68*G68</f>
        <v>2089.4108700000002</v>
      </c>
    </row>
    <row r="69" spans="1:21" ht="15" hidden="1" customHeight="1">
      <c r="A69" s="29"/>
      <c r="B69" s="14" t="s">
        <v>52</v>
      </c>
      <c r="C69" s="16" t="s">
        <v>80</v>
      </c>
      <c r="D69" s="14" t="s">
        <v>55</v>
      </c>
      <c r="E69" s="69">
        <v>1900</v>
      </c>
      <c r="F69" s="13">
        <f>SUM(E69/100)</f>
        <v>19</v>
      </c>
      <c r="G69" s="13">
        <v>2074.63</v>
      </c>
      <c r="H69" s="84">
        <f t="shared" si="5"/>
        <v>39.417970000000004</v>
      </c>
      <c r="I69" s="13">
        <f t="shared" si="6"/>
        <v>39417.97</v>
      </c>
    </row>
    <row r="70" spans="1:21" ht="15" hidden="1" customHeight="1">
      <c r="A70" s="29"/>
      <c r="B70" s="85" t="s">
        <v>136</v>
      </c>
      <c r="C70" s="16" t="s">
        <v>33</v>
      </c>
      <c r="D70" s="14"/>
      <c r="E70" s="69">
        <v>11.3</v>
      </c>
      <c r="F70" s="13">
        <f>SUM(E70)</f>
        <v>11.3</v>
      </c>
      <c r="G70" s="13">
        <v>42.67</v>
      </c>
      <c r="H70" s="84">
        <f t="shared" si="5"/>
        <v>0.48217100000000007</v>
      </c>
      <c r="I70" s="13">
        <f t="shared" si="6"/>
        <v>482.17100000000005</v>
      </c>
    </row>
    <row r="71" spans="1:21" ht="15" hidden="1" customHeight="1">
      <c r="A71" s="29"/>
      <c r="B71" s="85" t="s">
        <v>137</v>
      </c>
      <c r="C71" s="16" t="s">
        <v>33</v>
      </c>
      <c r="D71" s="14"/>
      <c r="E71" s="69">
        <v>11.3</v>
      </c>
      <c r="F71" s="13">
        <f>SUM(E71)</f>
        <v>11.3</v>
      </c>
      <c r="G71" s="13">
        <v>39.81</v>
      </c>
      <c r="H71" s="84">
        <f t="shared" si="5"/>
        <v>0.44985300000000006</v>
      </c>
      <c r="I71" s="13">
        <f t="shared" si="6"/>
        <v>449.85300000000007</v>
      </c>
    </row>
    <row r="72" spans="1:21" ht="15" hidden="1" customHeight="1">
      <c r="A72" s="29"/>
      <c r="B72" s="14" t="s">
        <v>59</v>
      </c>
      <c r="C72" s="16" t="s">
        <v>60</v>
      </c>
      <c r="D72" s="14" t="s">
        <v>55</v>
      </c>
      <c r="E72" s="18">
        <v>6</v>
      </c>
      <c r="F72" s="70">
        <f>SUM(E72)</f>
        <v>6</v>
      </c>
      <c r="G72" s="13">
        <v>49.88</v>
      </c>
      <c r="H72" s="84">
        <f t="shared" si="5"/>
        <v>0.29928000000000005</v>
      </c>
      <c r="I72" s="13">
        <f t="shared" si="6"/>
        <v>299.28000000000003</v>
      </c>
    </row>
    <row r="73" spans="1:21" ht="15" hidden="1" customHeight="1">
      <c r="A73" s="29"/>
      <c r="B73" s="57" t="s">
        <v>75</v>
      </c>
      <c r="C73" s="16"/>
      <c r="D73" s="14"/>
      <c r="E73" s="18"/>
      <c r="F73" s="13"/>
      <c r="G73" s="13"/>
      <c r="H73" s="84" t="s">
        <v>140</v>
      </c>
      <c r="I73" s="13"/>
    </row>
    <row r="74" spans="1:21" ht="15" hidden="1" customHeight="1">
      <c r="A74" s="29"/>
      <c r="B74" s="14" t="s">
        <v>76</v>
      </c>
      <c r="C74" s="16" t="s">
        <v>31</v>
      </c>
      <c r="D74" s="14"/>
      <c r="E74" s="18">
        <v>5</v>
      </c>
      <c r="F74" s="61">
        <v>0.5</v>
      </c>
      <c r="G74" s="13">
        <v>501.62</v>
      </c>
      <c r="H74" s="84">
        <v>0.251</v>
      </c>
      <c r="I74" s="13">
        <v>0</v>
      </c>
    </row>
    <row r="75" spans="1:21" ht="15" hidden="1" customHeight="1">
      <c r="A75" s="29"/>
      <c r="B75" s="14" t="s">
        <v>148</v>
      </c>
      <c r="C75" s="16" t="s">
        <v>30</v>
      </c>
      <c r="D75" s="14"/>
      <c r="E75" s="18">
        <v>2</v>
      </c>
      <c r="F75" s="13">
        <v>2</v>
      </c>
      <c r="G75" s="13">
        <v>99.85</v>
      </c>
      <c r="H75" s="84">
        <v>0.1</v>
      </c>
      <c r="I75" s="13">
        <v>0</v>
      </c>
    </row>
    <row r="76" spans="1:21" ht="15" hidden="1" customHeight="1">
      <c r="A76" s="29"/>
      <c r="B76" s="14" t="s">
        <v>149</v>
      </c>
      <c r="C76" s="16" t="s">
        <v>30</v>
      </c>
      <c r="D76" s="14"/>
      <c r="E76" s="18">
        <v>1</v>
      </c>
      <c r="F76" s="61">
        <v>1</v>
      </c>
      <c r="G76" s="13">
        <v>120.26</v>
      </c>
      <c r="H76" s="84">
        <v>0.12</v>
      </c>
      <c r="I76" s="13">
        <v>0</v>
      </c>
    </row>
    <row r="77" spans="1:21" ht="15" hidden="1" customHeight="1">
      <c r="A77" s="29"/>
      <c r="B77" s="14" t="s">
        <v>91</v>
      </c>
      <c r="C77" s="16" t="s">
        <v>30</v>
      </c>
      <c r="D77" s="14"/>
      <c r="E77" s="18">
        <v>1</v>
      </c>
      <c r="F77" s="70">
        <f>SUM(E77)</f>
        <v>1</v>
      </c>
      <c r="G77" s="13">
        <v>358.51</v>
      </c>
      <c r="H77" s="84">
        <f t="shared" si="5"/>
        <v>0.35851</v>
      </c>
      <c r="I77" s="13">
        <v>0</v>
      </c>
    </row>
    <row r="78" spans="1:21" ht="15" hidden="1" customHeight="1">
      <c r="A78" s="29"/>
      <c r="B78" s="14" t="s">
        <v>77</v>
      </c>
      <c r="C78" s="16" t="s">
        <v>30</v>
      </c>
      <c r="D78" s="14"/>
      <c r="E78" s="18">
        <v>1</v>
      </c>
      <c r="F78" s="13">
        <v>1</v>
      </c>
      <c r="G78" s="13">
        <v>852.99</v>
      </c>
      <c r="H78" s="84">
        <f>F78*G78/1000</f>
        <v>0.85299000000000003</v>
      </c>
      <c r="I78" s="13">
        <v>0</v>
      </c>
    </row>
    <row r="79" spans="1:21" ht="15" hidden="1" customHeight="1">
      <c r="A79" s="29"/>
      <c r="B79" s="86" t="s">
        <v>79</v>
      </c>
      <c r="C79" s="16"/>
      <c r="D79" s="14"/>
      <c r="E79" s="18"/>
      <c r="F79" s="13"/>
      <c r="G79" s="13" t="s">
        <v>140</v>
      </c>
      <c r="H79" s="84" t="s">
        <v>140</v>
      </c>
      <c r="I79" s="13"/>
    </row>
    <row r="80" spans="1:21" ht="15" hidden="1" customHeight="1">
      <c r="A80" s="29"/>
      <c r="B80" s="44" t="s">
        <v>141</v>
      </c>
      <c r="C80" s="16" t="s">
        <v>80</v>
      </c>
      <c r="D80" s="14"/>
      <c r="E80" s="18"/>
      <c r="F80" s="13">
        <v>0.2</v>
      </c>
      <c r="G80" s="13">
        <v>2759.44</v>
      </c>
      <c r="H80" s="84">
        <f t="shared" si="5"/>
        <v>0.55188800000000005</v>
      </c>
      <c r="I80" s="13">
        <v>0</v>
      </c>
    </row>
    <row r="81" spans="1:9" ht="15" hidden="1" customHeight="1">
      <c r="A81" s="29"/>
      <c r="B81" s="74" t="s">
        <v>138</v>
      </c>
      <c r="C81" s="86"/>
      <c r="D81" s="31"/>
      <c r="E81" s="32"/>
      <c r="F81" s="75"/>
      <c r="G81" s="75"/>
      <c r="H81" s="87" t="e">
        <f>SUM(H60:H80)</f>
        <v>#VALUE!</v>
      </c>
      <c r="I81" s="75"/>
    </row>
    <row r="82" spans="1:9" ht="15" hidden="1" customHeight="1">
      <c r="A82" s="29"/>
      <c r="B82" s="67" t="s">
        <v>139</v>
      </c>
      <c r="C82" s="16"/>
      <c r="D82" s="14"/>
      <c r="E82" s="62"/>
      <c r="F82" s="13">
        <v>1</v>
      </c>
      <c r="G82" s="13">
        <v>13437.4</v>
      </c>
      <c r="H82" s="84">
        <f>G82*F82/1000</f>
        <v>13.4374</v>
      </c>
      <c r="I82" s="13">
        <v>0</v>
      </c>
    </row>
    <row r="83" spans="1:9" ht="15.75" customHeight="1">
      <c r="A83" s="125" t="s">
        <v>155</v>
      </c>
      <c r="B83" s="126"/>
      <c r="C83" s="126"/>
      <c r="D83" s="126"/>
      <c r="E83" s="126"/>
      <c r="F83" s="126"/>
      <c r="G83" s="126"/>
      <c r="H83" s="126"/>
      <c r="I83" s="127"/>
    </row>
    <row r="84" spans="1:9" ht="15" customHeight="1">
      <c r="A84" s="29">
        <v>15</v>
      </c>
      <c r="B84" s="67" t="s">
        <v>142</v>
      </c>
      <c r="C84" s="16" t="s">
        <v>56</v>
      </c>
      <c r="D84" s="88" t="s">
        <v>57</v>
      </c>
      <c r="E84" s="13">
        <v>3031.3</v>
      </c>
      <c r="F84" s="13">
        <f>SUM(E84*12)</f>
        <v>36375.600000000006</v>
      </c>
      <c r="G84" s="13">
        <v>2.1</v>
      </c>
      <c r="H84" s="84">
        <f>SUM(F84*G84/1000)</f>
        <v>76.388760000000005</v>
      </c>
      <c r="I84" s="13">
        <f>F84/12*G84</f>
        <v>6365.7300000000014</v>
      </c>
    </row>
    <row r="85" spans="1:9" ht="31.5" customHeight="1">
      <c r="A85" s="29">
        <v>16</v>
      </c>
      <c r="B85" s="14" t="s">
        <v>81</v>
      </c>
      <c r="C85" s="16"/>
      <c r="D85" s="88" t="s">
        <v>57</v>
      </c>
      <c r="E85" s="69">
        <f>E84</f>
        <v>3031.3</v>
      </c>
      <c r="F85" s="13">
        <f>E85*12</f>
        <v>36375.600000000006</v>
      </c>
      <c r="G85" s="13">
        <v>1.63</v>
      </c>
      <c r="H85" s="84">
        <f>F85*G85/1000</f>
        <v>59.292228000000001</v>
      </c>
      <c r="I85" s="13">
        <f>F85/12*G85</f>
        <v>4941.0190000000011</v>
      </c>
    </row>
    <row r="86" spans="1:9" ht="15.75" customHeight="1">
      <c r="A86" s="45"/>
      <c r="B86" s="36" t="s">
        <v>83</v>
      </c>
      <c r="C86" s="37"/>
      <c r="D86" s="15"/>
      <c r="E86" s="15"/>
      <c r="F86" s="15"/>
      <c r="G86" s="18"/>
      <c r="H86" s="18"/>
      <c r="I86" s="32">
        <f>I85+I84+I63+I53+I46+I45+I44+I43+I41+I40+I39+I28+I27+I18+I17+I16</f>
        <v>44080.404047333337</v>
      </c>
    </row>
    <row r="87" spans="1:9" ht="15.75" customHeight="1">
      <c r="A87" s="139" t="s">
        <v>62</v>
      </c>
      <c r="B87" s="140"/>
      <c r="C87" s="140"/>
      <c r="D87" s="140"/>
      <c r="E87" s="140"/>
      <c r="F87" s="140"/>
      <c r="G87" s="140"/>
      <c r="H87" s="140"/>
      <c r="I87" s="141"/>
    </row>
    <row r="88" spans="1:9" ht="15" hidden="1" customHeight="1">
      <c r="A88" s="29"/>
      <c r="B88" s="89" t="s">
        <v>161</v>
      </c>
      <c r="C88" s="51" t="s">
        <v>162</v>
      </c>
      <c r="D88" s="44"/>
      <c r="E88" s="13"/>
      <c r="F88" s="13">
        <v>1</v>
      </c>
      <c r="G88" s="13">
        <v>3651</v>
      </c>
      <c r="H88" s="84">
        <f t="shared" ref="H88:H104" si="7">G88*F88/1000</f>
        <v>3.6509999999999998</v>
      </c>
      <c r="I88" s="13">
        <v>0</v>
      </c>
    </row>
    <row r="89" spans="1:9" ht="31.5" hidden="1" customHeight="1">
      <c r="A89" s="29"/>
      <c r="B89" s="49" t="s">
        <v>163</v>
      </c>
      <c r="C89" s="51" t="s">
        <v>107</v>
      </c>
      <c r="D89" s="44"/>
      <c r="E89" s="13"/>
      <c r="F89" s="13">
        <v>1</v>
      </c>
      <c r="G89" s="13">
        <v>51.39</v>
      </c>
      <c r="H89" s="84">
        <f t="shared" si="7"/>
        <v>5.1389999999999998E-2</v>
      </c>
      <c r="I89" s="13">
        <v>0</v>
      </c>
    </row>
    <row r="90" spans="1:9" ht="15" hidden="1" customHeight="1">
      <c r="A90" s="29"/>
      <c r="B90" s="49" t="s">
        <v>164</v>
      </c>
      <c r="C90" s="66" t="s">
        <v>84</v>
      </c>
      <c r="D90" s="44"/>
      <c r="E90" s="13"/>
      <c r="F90" s="13">
        <v>1</v>
      </c>
      <c r="G90" s="13">
        <v>18</v>
      </c>
      <c r="H90" s="84">
        <f t="shared" si="7"/>
        <v>1.7999999999999999E-2</v>
      </c>
      <c r="I90" s="13">
        <v>0</v>
      </c>
    </row>
    <row r="91" spans="1:9" ht="31.5" hidden="1" customHeight="1">
      <c r="A91" s="29"/>
      <c r="B91" s="50" t="s">
        <v>165</v>
      </c>
      <c r="C91" s="29" t="s">
        <v>150</v>
      </c>
      <c r="D91" s="44"/>
      <c r="E91" s="13"/>
      <c r="F91" s="13">
        <v>1</v>
      </c>
      <c r="G91" s="13">
        <v>383.01</v>
      </c>
      <c r="H91" s="84">
        <f t="shared" si="7"/>
        <v>0.38301000000000002</v>
      </c>
      <c r="I91" s="13">
        <v>0</v>
      </c>
    </row>
    <row r="92" spans="1:9" ht="15" hidden="1" customHeight="1">
      <c r="A92" s="29"/>
      <c r="B92" s="49" t="s">
        <v>166</v>
      </c>
      <c r="C92" s="51" t="s">
        <v>162</v>
      </c>
      <c r="D92" s="44"/>
      <c r="E92" s="13"/>
      <c r="F92" s="13">
        <v>2</v>
      </c>
      <c r="G92" s="13">
        <v>4879</v>
      </c>
      <c r="H92" s="84">
        <f t="shared" si="7"/>
        <v>9.7579999999999991</v>
      </c>
      <c r="I92" s="13">
        <v>0</v>
      </c>
    </row>
    <row r="93" spans="1:9" ht="15" hidden="1" customHeight="1">
      <c r="A93" s="29"/>
      <c r="B93" s="49" t="s">
        <v>167</v>
      </c>
      <c r="C93" s="51" t="s">
        <v>87</v>
      </c>
      <c r="D93" s="44"/>
      <c r="E93" s="13"/>
      <c r="F93" s="13">
        <v>4</v>
      </c>
      <c r="G93" s="13">
        <v>185.81</v>
      </c>
      <c r="H93" s="84">
        <f t="shared" si="7"/>
        <v>0.74324000000000001</v>
      </c>
      <c r="I93" s="13">
        <v>0</v>
      </c>
    </row>
    <row r="94" spans="1:9" ht="15" hidden="1" customHeight="1">
      <c r="A94" s="29"/>
      <c r="B94" s="49" t="s">
        <v>85</v>
      </c>
      <c r="C94" s="51" t="s">
        <v>132</v>
      </c>
      <c r="D94" s="44"/>
      <c r="E94" s="13"/>
      <c r="F94" s="13">
        <v>3</v>
      </c>
      <c r="G94" s="13">
        <v>180.15</v>
      </c>
      <c r="H94" s="84">
        <f t="shared" si="7"/>
        <v>0.5404500000000001</v>
      </c>
      <c r="I94" s="13">
        <v>0</v>
      </c>
    </row>
    <row r="95" spans="1:9" ht="31.5" hidden="1" customHeight="1">
      <c r="A95" s="29"/>
      <c r="B95" s="49" t="s">
        <v>168</v>
      </c>
      <c r="C95" s="51" t="s">
        <v>101</v>
      </c>
      <c r="D95" s="44"/>
      <c r="E95" s="13"/>
      <c r="F95" s="13">
        <f>3.11/10</f>
        <v>0.311</v>
      </c>
      <c r="G95" s="13">
        <v>5641.28</v>
      </c>
      <c r="H95" s="84">
        <f t="shared" si="7"/>
        <v>1.7544380799999999</v>
      </c>
      <c r="I95" s="13">
        <v>0</v>
      </c>
    </row>
    <row r="96" spans="1:9" ht="15" hidden="1" customHeight="1">
      <c r="A96" s="29"/>
      <c r="B96" s="49" t="s">
        <v>169</v>
      </c>
      <c r="C96" s="51" t="s">
        <v>170</v>
      </c>
      <c r="D96" s="44"/>
      <c r="E96" s="13"/>
      <c r="F96" s="13">
        <v>1</v>
      </c>
      <c r="G96" s="13">
        <v>755</v>
      </c>
      <c r="H96" s="84">
        <f t="shared" si="7"/>
        <v>0.755</v>
      </c>
      <c r="I96" s="13">
        <v>0</v>
      </c>
    </row>
    <row r="97" spans="1:9" ht="47.25" hidden="1" customHeight="1">
      <c r="A97" s="29"/>
      <c r="B97" s="50" t="s">
        <v>171</v>
      </c>
      <c r="C97" s="29" t="s">
        <v>101</v>
      </c>
      <c r="D97" s="44"/>
      <c r="E97" s="13"/>
      <c r="F97" s="13">
        <f>2/10</f>
        <v>0.2</v>
      </c>
      <c r="G97" s="13">
        <v>18308.990000000002</v>
      </c>
      <c r="H97" s="84">
        <f t="shared" si="7"/>
        <v>3.6617980000000006</v>
      </c>
      <c r="I97" s="13">
        <v>0</v>
      </c>
    </row>
    <row r="98" spans="1:9" ht="47.25" hidden="1" customHeight="1">
      <c r="A98" s="29"/>
      <c r="B98" s="49" t="s">
        <v>172</v>
      </c>
      <c r="C98" s="51" t="s">
        <v>101</v>
      </c>
      <c r="D98" s="44"/>
      <c r="E98" s="13"/>
      <c r="F98" s="13">
        <f>6/10</f>
        <v>0.6</v>
      </c>
      <c r="G98" s="13">
        <v>9068.24</v>
      </c>
      <c r="H98" s="84">
        <f t="shared" si="7"/>
        <v>5.4409439999999991</v>
      </c>
      <c r="I98" s="13">
        <v>0</v>
      </c>
    </row>
    <row r="99" spans="1:9" ht="15" hidden="1" customHeight="1">
      <c r="A99" s="29"/>
      <c r="B99" s="49" t="s">
        <v>173</v>
      </c>
      <c r="C99" s="51" t="s">
        <v>174</v>
      </c>
      <c r="D99" s="44"/>
      <c r="E99" s="13"/>
      <c r="F99" s="13">
        <v>1</v>
      </c>
      <c r="G99" s="13">
        <v>195.95</v>
      </c>
      <c r="H99" s="84">
        <f t="shared" si="7"/>
        <v>0.19594999999999999</v>
      </c>
      <c r="I99" s="13">
        <v>0</v>
      </c>
    </row>
    <row r="100" spans="1:9" ht="31.5" hidden="1" customHeight="1">
      <c r="A100" s="29"/>
      <c r="B100" s="49" t="s">
        <v>175</v>
      </c>
      <c r="C100" s="51" t="s">
        <v>107</v>
      </c>
      <c r="D100" s="44"/>
      <c r="E100" s="13"/>
      <c r="F100" s="13">
        <v>1</v>
      </c>
      <c r="G100" s="13">
        <v>122.55</v>
      </c>
      <c r="H100" s="84">
        <f t="shared" si="7"/>
        <v>0.12254999999999999</v>
      </c>
      <c r="I100" s="13">
        <v>0</v>
      </c>
    </row>
    <row r="101" spans="1:9" ht="15" hidden="1" customHeight="1">
      <c r="A101" s="29"/>
      <c r="B101" s="49" t="s">
        <v>94</v>
      </c>
      <c r="C101" s="51" t="s">
        <v>95</v>
      </c>
      <c r="D101" s="44"/>
      <c r="E101" s="13"/>
      <c r="F101" s="13">
        <f>45/3</f>
        <v>15</v>
      </c>
      <c r="G101" s="13">
        <v>1063.47</v>
      </c>
      <c r="H101" s="84">
        <f>G101*F101/1000</f>
        <v>15.952050000000002</v>
      </c>
      <c r="I101" s="13">
        <v>0</v>
      </c>
    </row>
    <row r="102" spans="1:9" ht="15" hidden="1" customHeight="1">
      <c r="A102" s="29"/>
      <c r="B102" s="49" t="s">
        <v>176</v>
      </c>
      <c r="C102" s="51" t="s">
        <v>177</v>
      </c>
      <c r="D102" s="44"/>
      <c r="E102" s="13"/>
      <c r="F102" s="13">
        <v>1</v>
      </c>
      <c r="G102" s="13">
        <v>4627.21</v>
      </c>
      <c r="H102" s="84">
        <f>G102*F102/1000</f>
        <v>4.6272099999999998</v>
      </c>
      <c r="I102" s="13">
        <v>0</v>
      </c>
    </row>
    <row r="103" spans="1:9" ht="15" hidden="1" customHeight="1">
      <c r="A103" s="29"/>
      <c r="B103" s="50" t="s">
        <v>110</v>
      </c>
      <c r="C103" s="29" t="s">
        <v>132</v>
      </c>
      <c r="D103" s="44"/>
      <c r="E103" s="13"/>
      <c r="F103" s="13">
        <v>2</v>
      </c>
      <c r="G103" s="13">
        <v>470</v>
      </c>
      <c r="H103" s="84">
        <f t="shared" ref="H103" si="8">G103*F103/1000</f>
        <v>0.94</v>
      </c>
      <c r="I103" s="13">
        <v>0</v>
      </c>
    </row>
    <row r="104" spans="1:9" ht="15" hidden="1" customHeight="1">
      <c r="A104" s="29"/>
      <c r="B104" s="49" t="s">
        <v>108</v>
      </c>
      <c r="C104" s="51" t="s">
        <v>132</v>
      </c>
      <c r="D104" s="44"/>
      <c r="E104" s="13"/>
      <c r="F104" s="13">
        <v>1</v>
      </c>
      <c r="G104" s="13">
        <v>81.73</v>
      </c>
      <c r="H104" s="84">
        <f t="shared" si="7"/>
        <v>8.1729999999999997E-2</v>
      </c>
      <c r="I104" s="13">
        <v>0</v>
      </c>
    </row>
    <row r="105" spans="1:9" ht="15" hidden="1" customHeight="1">
      <c r="A105" s="29"/>
      <c r="B105" s="89" t="s">
        <v>178</v>
      </c>
      <c r="C105" s="66" t="s">
        <v>78</v>
      </c>
      <c r="D105" s="44"/>
      <c r="E105" s="13"/>
      <c r="F105" s="13">
        <f>1/10</f>
        <v>0.1</v>
      </c>
      <c r="G105" s="13">
        <v>9767.5</v>
      </c>
      <c r="H105" s="84">
        <f>G105*F105/1000</f>
        <v>0.97675000000000001</v>
      </c>
      <c r="I105" s="13">
        <v>0</v>
      </c>
    </row>
    <row r="106" spans="1:9" ht="15.75" customHeight="1">
      <c r="A106" s="29"/>
      <c r="B106" s="42" t="s">
        <v>53</v>
      </c>
      <c r="C106" s="38"/>
      <c r="D106" s="46"/>
      <c r="E106" s="38">
        <v>1</v>
      </c>
      <c r="F106" s="38"/>
      <c r="G106" s="38"/>
      <c r="H106" s="38"/>
      <c r="I106" s="32">
        <f>SUM(I88:I105)</f>
        <v>0</v>
      </c>
    </row>
    <row r="107" spans="1:9" ht="15.75" customHeight="1">
      <c r="A107" s="29"/>
      <c r="B107" s="44" t="s">
        <v>82</v>
      </c>
      <c r="C107" s="15"/>
      <c r="D107" s="15"/>
      <c r="E107" s="39"/>
      <c r="F107" s="39"/>
      <c r="G107" s="40"/>
      <c r="H107" s="40"/>
      <c r="I107" s="17">
        <v>0</v>
      </c>
    </row>
    <row r="108" spans="1:9" ht="15.75" customHeight="1">
      <c r="A108" s="47"/>
      <c r="B108" s="43" t="s">
        <v>192</v>
      </c>
      <c r="C108" s="33"/>
      <c r="D108" s="33"/>
      <c r="E108" s="33"/>
      <c r="F108" s="33"/>
      <c r="G108" s="33"/>
      <c r="H108" s="33"/>
      <c r="I108" s="41">
        <f>I86+I106</f>
        <v>44080.404047333337</v>
      </c>
    </row>
    <row r="109" spans="1:9" ht="15.75">
      <c r="A109" s="142" t="s">
        <v>240</v>
      </c>
      <c r="B109" s="142"/>
      <c r="C109" s="142"/>
      <c r="D109" s="142"/>
      <c r="E109" s="142"/>
      <c r="F109" s="142"/>
      <c r="G109" s="142"/>
      <c r="H109" s="142"/>
      <c r="I109" s="142"/>
    </row>
    <row r="110" spans="1:9" ht="15.75">
      <c r="A110" s="60"/>
      <c r="B110" s="143" t="s">
        <v>241</v>
      </c>
      <c r="C110" s="143"/>
      <c r="D110" s="143"/>
      <c r="E110" s="143"/>
      <c r="F110" s="143"/>
      <c r="G110" s="143"/>
      <c r="H110" s="65"/>
      <c r="I110" s="3"/>
    </row>
    <row r="111" spans="1:9">
      <c r="A111" s="56"/>
      <c r="B111" s="144" t="s">
        <v>6</v>
      </c>
      <c r="C111" s="144"/>
      <c r="D111" s="144"/>
      <c r="E111" s="144"/>
      <c r="F111" s="144"/>
      <c r="G111" s="144"/>
      <c r="H111" s="24"/>
      <c r="I111" s="5"/>
    </row>
    <row r="112" spans="1:9">
      <c r="A112" s="10"/>
      <c r="B112" s="10"/>
      <c r="C112" s="10"/>
      <c r="D112" s="10"/>
      <c r="E112" s="10"/>
      <c r="F112" s="10"/>
      <c r="G112" s="10"/>
      <c r="H112" s="10"/>
      <c r="I112" s="10"/>
    </row>
    <row r="113" spans="1:9" ht="15.75">
      <c r="A113" s="145" t="s">
        <v>7</v>
      </c>
      <c r="B113" s="145"/>
      <c r="C113" s="145"/>
      <c r="D113" s="145"/>
      <c r="E113" s="145"/>
      <c r="F113" s="145"/>
      <c r="G113" s="145"/>
      <c r="H113" s="145"/>
      <c r="I113" s="145"/>
    </row>
    <row r="114" spans="1:9" ht="15.75">
      <c r="A114" s="145" t="s">
        <v>8</v>
      </c>
      <c r="B114" s="145"/>
      <c r="C114" s="145"/>
      <c r="D114" s="145"/>
      <c r="E114" s="145"/>
      <c r="F114" s="145"/>
      <c r="G114" s="145"/>
      <c r="H114" s="145"/>
      <c r="I114" s="145"/>
    </row>
    <row r="115" spans="1:9" ht="15.75">
      <c r="A115" s="134" t="s">
        <v>63</v>
      </c>
      <c r="B115" s="134"/>
      <c r="C115" s="134"/>
      <c r="D115" s="134"/>
      <c r="E115" s="134"/>
      <c r="F115" s="134"/>
      <c r="G115" s="134"/>
      <c r="H115" s="134"/>
      <c r="I115" s="134"/>
    </row>
    <row r="116" spans="1:9" ht="15.75">
      <c r="A116" s="11"/>
    </row>
    <row r="117" spans="1:9" ht="15.75">
      <c r="A117" s="147" t="s">
        <v>9</v>
      </c>
      <c r="B117" s="147"/>
      <c r="C117" s="147"/>
      <c r="D117" s="147"/>
      <c r="E117" s="147"/>
      <c r="F117" s="147"/>
      <c r="G117" s="147"/>
      <c r="H117" s="147"/>
      <c r="I117" s="147"/>
    </row>
    <row r="118" spans="1:9" ht="15.75">
      <c r="A118" s="4"/>
    </row>
    <row r="119" spans="1:9" ht="15.75">
      <c r="B119" s="59" t="s">
        <v>10</v>
      </c>
      <c r="C119" s="148" t="s">
        <v>93</v>
      </c>
      <c r="D119" s="148"/>
      <c r="E119" s="148"/>
      <c r="F119" s="63"/>
      <c r="I119" s="55"/>
    </row>
    <row r="120" spans="1:9">
      <c r="A120" s="56"/>
      <c r="C120" s="144" t="s">
        <v>11</v>
      </c>
      <c r="D120" s="144"/>
      <c r="E120" s="144"/>
      <c r="F120" s="24"/>
      <c r="I120" s="54" t="s">
        <v>12</v>
      </c>
    </row>
    <row r="121" spans="1:9" ht="15.75">
      <c r="A121" s="25"/>
      <c r="C121" s="12"/>
      <c r="D121" s="12"/>
      <c r="G121" s="12"/>
      <c r="H121" s="12"/>
    </row>
    <row r="122" spans="1:9" ht="15.75">
      <c r="B122" s="59" t="s">
        <v>13</v>
      </c>
      <c r="C122" s="149"/>
      <c r="D122" s="149"/>
      <c r="E122" s="149"/>
      <c r="F122" s="64"/>
      <c r="I122" s="55"/>
    </row>
    <row r="123" spans="1:9">
      <c r="A123" s="56"/>
      <c r="C123" s="124" t="s">
        <v>11</v>
      </c>
      <c r="D123" s="124"/>
      <c r="E123" s="124"/>
      <c r="F123" s="56"/>
      <c r="I123" s="54" t="s">
        <v>12</v>
      </c>
    </row>
    <row r="124" spans="1:9" ht="15.75">
      <c r="A124" s="4" t="s">
        <v>14</v>
      </c>
    </row>
    <row r="125" spans="1:9">
      <c r="A125" s="150" t="s">
        <v>15</v>
      </c>
      <c r="B125" s="150"/>
      <c r="C125" s="150"/>
      <c r="D125" s="150"/>
      <c r="E125" s="150"/>
      <c r="F125" s="150"/>
      <c r="G125" s="150"/>
      <c r="H125" s="150"/>
      <c r="I125" s="150"/>
    </row>
    <row r="126" spans="1:9" ht="45" customHeight="1">
      <c r="A126" s="146" t="s">
        <v>16</v>
      </c>
      <c r="B126" s="146"/>
      <c r="C126" s="146"/>
      <c r="D126" s="146"/>
      <c r="E126" s="146"/>
      <c r="F126" s="146"/>
      <c r="G126" s="146"/>
      <c r="H126" s="146"/>
      <c r="I126" s="146"/>
    </row>
    <row r="127" spans="1:9" ht="30" customHeight="1">
      <c r="A127" s="146" t="s">
        <v>17</v>
      </c>
      <c r="B127" s="146"/>
      <c r="C127" s="146"/>
      <c r="D127" s="146"/>
      <c r="E127" s="146"/>
      <c r="F127" s="146"/>
      <c r="G127" s="146"/>
      <c r="H127" s="146"/>
      <c r="I127" s="146"/>
    </row>
    <row r="128" spans="1:9" ht="30" customHeight="1">
      <c r="A128" s="146" t="s">
        <v>21</v>
      </c>
      <c r="B128" s="146"/>
      <c r="C128" s="146"/>
      <c r="D128" s="146"/>
      <c r="E128" s="146"/>
      <c r="F128" s="146"/>
      <c r="G128" s="146"/>
      <c r="H128" s="146"/>
      <c r="I128" s="146"/>
    </row>
    <row r="129" spans="1:9" ht="15.75">
      <c r="A129" s="146" t="s">
        <v>20</v>
      </c>
      <c r="B129" s="146"/>
      <c r="C129" s="146"/>
      <c r="D129" s="146"/>
      <c r="E129" s="146"/>
      <c r="F129" s="146"/>
      <c r="G129" s="146"/>
      <c r="H129" s="146"/>
      <c r="I129" s="146"/>
    </row>
  </sheetData>
  <autoFilter ref="I12:I62"/>
  <mergeCells count="29">
    <mergeCell ref="A126:I126"/>
    <mergeCell ref="A127:I127"/>
    <mergeCell ref="A128:I128"/>
    <mergeCell ref="A129:I129"/>
    <mergeCell ref="A117:I117"/>
    <mergeCell ref="C119:E119"/>
    <mergeCell ref="C120:E120"/>
    <mergeCell ref="C122:E122"/>
    <mergeCell ref="C123:E123"/>
    <mergeCell ref="A125:I125"/>
    <mergeCell ref="A115:I115"/>
    <mergeCell ref="A15:I15"/>
    <mergeCell ref="A29:I29"/>
    <mergeCell ref="A47:I47"/>
    <mergeCell ref="A58:I58"/>
    <mergeCell ref="A87:I87"/>
    <mergeCell ref="A109:I109"/>
    <mergeCell ref="B110:G110"/>
    <mergeCell ref="B111:G111"/>
    <mergeCell ref="A113:I113"/>
    <mergeCell ref="A114:I114"/>
    <mergeCell ref="R67:U67"/>
    <mergeCell ref="A83:I83"/>
    <mergeCell ref="A3:I3"/>
    <mergeCell ref="A4:I4"/>
    <mergeCell ref="A5:I5"/>
    <mergeCell ref="A8:I8"/>
    <mergeCell ref="A10:I10"/>
    <mergeCell ref="A14:I14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V113"/>
  <sheetViews>
    <sheetView topLeftCell="A83" workbookViewId="0">
      <selection activeCell="I96" sqref="I96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7" t="s">
        <v>89</v>
      </c>
      <c r="I1" s="26"/>
      <c r="J1" s="1"/>
      <c r="K1" s="1"/>
      <c r="L1" s="1"/>
      <c r="M1" s="1"/>
    </row>
    <row r="2" spans="1:13" ht="15.75" customHeight="1">
      <c r="A2" s="28" t="s">
        <v>64</v>
      </c>
      <c r="J2" s="2"/>
      <c r="K2" s="2"/>
      <c r="L2" s="2"/>
      <c r="M2" s="2"/>
    </row>
    <row r="3" spans="1:13" ht="15.75" customHeight="1">
      <c r="A3" s="128" t="s">
        <v>182</v>
      </c>
      <c r="B3" s="128"/>
      <c r="C3" s="128"/>
      <c r="D3" s="128"/>
      <c r="E3" s="128"/>
      <c r="F3" s="128"/>
      <c r="G3" s="128"/>
      <c r="H3" s="128"/>
      <c r="I3" s="128"/>
      <c r="J3" s="3"/>
      <c r="K3" s="3"/>
      <c r="L3" s="3"/>
    </row>
    <row r="4" spans="1:13" ht="31.5" customHeight="1">
      <c r="A4" s="129" t="s">
        <v>143</v>
      </c>
      <c r="B4" s="129"/>
      <c r="C4" s="129"/>
      <c r="D4" s="129"/>
      <c r="E4" s="129"/>
      <c r="F4" s="129"/>
      <c r="G4" s="129"/>
      <c r="H4" s="129"/>
      <c r="I4" s="129"/>
    </row>
    <row r="5" spans="1:13" ht="15.75" customHeight="1">
      <c r="A5" s="128" t="s">
        <v>199</v>
      </c>
      <c r="B5" s="130"/>
      <c r="C5" s="130"/>
      <c r="D5" s="130"/>
      <c r="E5" s="130"/>
      <c r="F5" s="130"/>
      <c r="G5" s="130"/>
      <c r="H5" s="130"/>
      <c r="I5" s="130"/>
      <c r="J5" s="2"/>
      <c r="K5" s="2"/>
      <c r="L5" s="2"/>
      <c r="M5" s="2"/>
    </row>
    <row r="6" spans="1:13" ht="15.75" customHeight="1">
      <c r="A6" s="2"/>
      <c r="B6" s="58"/>
      <c r="C6" s="58"/>
      <c r="D6" s="58"/>
      <c r="E6" s="58"/>
      <c r="F6" s="58"/>
      <c r="G6" s="58"/>
      <c r="H6" s="58"/>
      <c r="I6" s="30">
        <v>43190</v>
      </c>
      <c r="J6" s="2"/>
      <c r="K6" s="2"/>
      <c r="L6" s="2"/>
      <c r="M6" s="2"/>
    </row>
    <row r="7" spans="1:13" ht="15.75" customHeight="1">
      <c r="B7" s="59"/>
      <c r="C7" s="59"/>
      <c r="D7" s="59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131" t="s">
        <v>152</v>
      </c>
      <c r="B8" s="131"/>
      <c r="C8" s="131"/>
      <c r="D8" s="131"/>
      <c r="E8" s="131"/>
      <c r="F8" s="131"/>
      <c r="G8" s="131"/>
      <c r="H8" s="131"/>
      <c r="I8" s="131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32" t="s">
        <v>193</v>
      </c>
      <c r="B10" s="132"/>
      <c r="C10" s="132"/>
      <c r="D10" s="132"/>
      <c r="E10" s="132"/>
      <c r="F10" s="132"/>
      <c r="G10" s="132"/>
      <c r="H10" s="132"/>
      <c r="I10" s="132"/>
      <c r="J10" s="2"/>
      <c r="K10" s="2"/>
      <c r="L10" s="2"/>
      <c r="M10" s="2"/>
    </row>
    <row r="11" spans="1:13" ht="15.75">
      <c r="A11" s="4"/>
    </row>
    <row r="12" spans="1:13" ht="5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133" t="s">
        <v>61</v>
      </c>
      <c r="B14" s="133"/>
      <c r="C14" s="133"/>
      <c r="D14" s="133"/>
      <c r="E14" s="133"/>
      <c r="F14" s="133"/>
      <c r="G14" s="133"/>
      <c r="H14" s="133"/>
      <c r="I14" s="133"/>
      <c r="J14" s="8"/>
      <c r="K14" s="8"/>
      <c r="L14" s="8"/>
      <c r="M14" s="8"/>
    </row>
    <row r="15" spans="1:13" ht="15.75" customHeight="1">
      <c r="A15" s="135" t="s">
        <v>4</v>
      </c>
      <c r="B15" s="135"/>
      <c r="C15" s="135"/>
      <c r="D15" s="135"/>
      <c r="E15" s="135"/>
      <c r="F15" s="135"/>
      <c r="G15" s="135"/>
      <c r="H15" s="135"/>
      <c r="I15" s="135"/>
      <c r="J15" s="8"/>
      <c r="K15" s="8"/>
      <c r="L15" s="8"/>
      <c r="M15" s="8"/>
    </row>
    <row r="16" spans="1:13" ht="15" customHeight="1">
      <c r="A16" s="29">
        <v>1</v>
      </c>
      <c r="B16" s="67" t="s">
        <v>90</v>
      </c>
      <c r="C16" s="68" t="s">
        <v>111</v>
      </c>
      <c r="D16" s="67" t="s">
        <v>112</v>
      </c>
      <c r="E16" s="69">
        <v>59.96</v>
      </c>
      <c r="F16" s="70">
        <f>SUM(E16*156/100)</f>
        <v>93.537599999999998</v>
      </c>
      <c r="G16" s="70">
        <v>175.38</v>
      </c>
      <c r="H16" s="71">
        <f t="shared" ref="H16:H26" si="0">SUM(F16*G16/1000)</f>
        <v>16.404624288000001</v>
      </c>
      <c r="I16" s="13">
        <f>F16/12*G16</f>
        <v>1367.0520239999998</v>
      </c>
      <c r="J16" s="8"/>
      <c r="K16" s="8"/>
      <c r="L16" s="8"/>
      <c r="M16" s="8"/>
    </row>
    <row r="17" spans="1:13" ht="15" customHeight="1">
      <c r="A17" s="29">
        <v>2</v>
      </c>
      <c r="B17" s="67" t="s">
        <v>97</v>
      </c>
      <c r="C17" s="68" t="s">
        <v>111</v>
      </c>
      <c r="D17" s="67" t="s">
        <v>113</v>
      </c>
      <c r="E17" s="69">
        <v>239.84</v>
      </c>
      <c r="F17" s="70">
        <f>SUM(E17*104/100)</f>
        <v>249.43360000000001</v>
      </c>
      <c r="G17" s="70">
        <v>175.38</v>
      </c>
      <c r="H17" s="71">
        <f t="shared" si="0"/>
        <v>43.745664768000005</v>
      </c>
      <c r="I17" s="13">
        <f>F17/12*G17</f>
        <v>3645.4720640000005</v>
      </c>
      <c r="J17" s="22"/>
      <c r="K17" s="8"/>
      <c r="L17" s="8"/>
      <c r="M17" s="8"/>
    </row>
    <row r="18" spans="1:13" ht="15" customHeight="1">
      <c r="A18" s="29">
        <v>3</v>
      </c>
      <c r="B18" s="67" t="s">
        <v>98</v>
      </c>
      <c r="C18" s="68" t="s">
        <v>111</v>
      </c>
      <c r="D18" s="67" t="s">
        <v>114</v>
      </c>
      <c r="E18" s="69">
        <f>SUM(E16+E17)</f>
        <v>299.8</v>
      </c>
      <c r="F18" s="70">
        <f>SUM(E18*24/100)</f>
        <v>71.952000000000012</v>
      </c>
      <c r="G18" s="70">
        <v>504.5</v>
      </c>
      <c r="H18" s="71">
        <f t="shared" si="0"/>
        <v>36.29978400000001</v>
      </c>
      <c r="I18" s="13">
        <f>F18/12*G18</f>
        <v>3024.9820000000009</v>
      </c>
      <c r="J18" s="22"/>
      <c r="K18" s="8"/>
      <c r="L18" s="8"/>
      <c r="M18" s="8"/>
    </row>
    <row r="19" spans="1:13" ht="15" hidden="1" customHeight="1">
      <c r="A19" s="29"/>
      <c r="B19" s="67" t="s">
        <v>115</v>
      </c>
      <c r="C19" s="68" t="s">
        <v>116</v>
      </c>
      <c r="D19" s="67" t="s">
        <v>117</v>
      </c>
      <c r="E19" s="69">
        <v>40.799999999999997</v>
      </c>
      <c r="F19" s="70">
        <f>SUM(E19/10)</f>
        <v>4.08</v>
      </c>
      <c r="G19" s="70">
        <v>170.16</v>
      </c>
      <c r="H19" s="71">
        <f t="shared" si="0"/>
        <v>0.6942528</v>
      </c>
      <c r="I19" s="13">
        <v>0</v>
      </c>
      <c r="J19" s="22"/>
      <c r="K19" s="8"/>
      <c r="L19" s="8"/>
      <c r="M19" s="8"/>
    </row>
    <row r="20" spans="1:13" ht="15" hidden="1" customHeight="1">
      <c r="A20" s="29"/>
      <c r="B20" s="67" t="s">
        <v>102</v>
      </c>
      <c r="C20" s="68" t="s">
        <v>111</v>
      </c>
      <c r="D20" s="67" t="s">
        <v>55</v>
      </c>
      <c r="E20" s="69">
        <v>43.2</v>
      </c>
      <c r="F20" s="70">
        <f>SUM(E20/100)</f>
        <v>0.43200000000000005</v>
      </c>
      <c r="G20" s="70">
        <v>217.88</v>
      </c>
      <c r="H20" s="71">
        <f t="shared" si="0"/>
        <v>9.4124159999999998E-2</v>
      </c>
      <c r="I20" s="13">
        <v>0</v>
      </c>
      <c r="J20" s="22"/>
      <c r="K20" s="8"/>
      <c r="L20" s="8"/>
      <c r="M20" s="8"/>
    </row>
    <row r="21" spans="1:13" ht="15" hidden="1" customHeight="1">
      <c r="A21" s="29"/>
      <c r="B21" s="67" t="s">
        <v>103</v>
      </c>
      <c r="C21" s="68" t="s">
        <v>111</v>
      </c>
      <c r="D21" s="67" t="s">
        <v>55</v>
      </c>
      <c r="E21" s="69">
        <v>10.08</v>
      </c>
      <c r="F21" s="70">
        <f>E21/100</f>
        <v>0.1008</v>
      </c>
      <c r="G21" s="70">
        <v>216.12</v>
      </c>
      <c r="H21" s="71">
        <f>SUM(F21*G21)/1000</f>
        <v>2.1784896000000002E-2</v>
      </c>
      <c r="I21" s="13">
        <v>0</v>
      </c>
      <c r="J21" s="22"/>
      <c r="K21" s="8"/>
      <c r="L21" s="8"/>
      <c r="M21" s="8"/>
    </row>
    <row r="22" spans="1:13" ht="15" hidden="1" customHeight="1">
      <c r="A22" s="29"/>
      <c r="B22" s="67" t="s">
        <v>118</v>
      </c>
      <c r="C22" s="68" t="s">
        <v>54</v>
      </c>
      <c r="D22" s="67" t="s">
        <v>117</v>
      </c>
      <c r="E22" s="69">
        <v>403.84</v>
      </c>
      <c r="F22" s="70">
        <f>SUM(E22/100)</f>
        <v>4.0383999999999993</v>
      </c>
      <c r="G22" s="70">
        <v>269.26</v>
      </c>
      <c r="H22" s="71">
        <f t="shared" si="0"/>
        <v>1.0873795839999998</v>
      </c>
      <c r="I22" s="13">
        <v>0</v>
      </c>
      <c r="J22" s="22"/>
      <c r="K22" s="8"/>
      <c r="L22" s="8"/>
      <c r="M22" s="8"/>
    </row>
    <row r="23" spans="1:13" ht="15" hidden="1" customHeight="1">
      <c r="A23" s="29"/>
      <c r="B23" s="67" t="s">
        <v>119</v>
      </c>
      <c r="C23" s="68" t="s">
        <v>54</v>
      </c>
      <c r="D23" s="67" t="s">
        <v>117</v>
      </c>
      <c r="E23" s="72">
        <v>70.56</v>
      </c>
      <c r="F23" s="70">
        <f>SUM(E23/100)</f>
        <v>0.7056</v>
      </c>
      <c r="G23" s="70">
        <v>44.29</v>
      </c>
      <c r="H23" s="71">
        <f t="shared" si="0"/>
        <v>3.1251024000000002E-2</v>
      </c>
      <c r="I23" s="13">
        <v>0</v>
      </c>
      <c r="J23" s="22"/>
      <c r="K23" s="8"/>
      <c r="L23" s="8"/>
      <c r="M23" s="8"/>
    </row>
    <row r="24" spans="1:13" ht="15" hidden="1" customHeight="1">
      <c r="A24" s="29"/>
      <c r="B24" s="67" t="s">
        <v>105</v>
      </c>
      <c r="C24" s="68" t="s">
        <v>54</v>
      </c>
      <c r="D24" s="67" t="s">
        <v>117</v>
      </c>
      <c r="E24" s="18">
        <v>14.4</v>
      </c>
      <c r="F24" s="73">
        <v>0.14000000000000001</v>
      </c>
      <c r="G24" s="70">
        <v>398.72</v>
      </c>
      <c r="H24" s="71">
        <f>F24*G24/1000</f>
        <v>5.5820800000000011E-2</v>
      </c>
      <c r="I24" s="13">
        <v>0</v>
      </c>
      <c r="J24" s="22"/>
      <c r="K24" s="8"/>
      <c r="L24" s="8"/>
      <c r="M24" s="8"/>
    </row>
    <row r="25" spans="1:13" ht="15" hidden="1" customHeight="1">
      <c r="A25" s="29"/>
      <c r="B25" s="67" t="s">
        <v>120</v>
      </c>
      <c r="C25" s="68" t="s">
        <v>54</v>
      </c>
      <c r="D25" s="67" t="s">
        <v>117</v>
      </c>
      <c r="E25" s="72">
        <v>31.5</v>
      </c>
      <c r="F25" s="70">
        <v>0.32</v>
      </c>
      <c r="G25" s="70">
        <v>216.12</v>
      </c>
      <c r="H25" s="71">
        <f>F25*G25/1000</f>
        <v>6.9158399999999995E-2</v>
      </c>
      <c r="I25" s="13">
        <v>0</v>
      </c>
      <c r="J25" s="22"/>
      <c r="K25" s="8"/>
      <c r="L25" s="8"/>
      <c r="M25" s="8"/>
    </row>
    <row r="26" spans="1:13" ht="15" hidden="1" customHeight="1">
      <c r="A26" s="29"/>
      <c r="B26" s="67" t="s">
        <v>106</v>
      </c>
      <c r="C26" s="68" t="s">
        <v>54</v>
      </c>
      <c r="D26" s="67" t="s">
        <v>117</v>
      </c>
      <c r="E26" s="69">
        <v>28.22</v>
      </c>
      <c r="F26" s="70">
        <f>SUM(E26/100)</f>
        <v>0.28220000000000001</v>
      </c>
      <c r="G26" s="70">
        <v>520.79999999999995</v>
      </c>
      <c r="H26" s="71">
        <f t="shared" si="0"/>
        <v>0.14696975999999998</v>
      </c>
      <c r="I26" s="13">
        <v>0</v>
      </c>
      <c r="J26" s="22"/>
      <c r="K26" s="8"/>
      <c r="L26" s="8"/>
      <c r="M26" s="8"/>
    </row>
    <row r="27" spans="1:13" ht="15" customHeight="1">
      <c r="A27" s="29">
        <v>4</v>
      </c>
      <c r="B27" s="67" t="s">
        <v>66</v>
      </c>
      <c r="C27" s="68" t="s">
        <v>33</v>
      </c>
      <c r="D27" s="67"/>
      <c r="E27" s="69">
        <v>0.1</v>
      </c>
      <c r="F27" s="70">
        <f>SUM(E27*365)</f>
        <v>36.5</v>
      </c>
      <c r="G27" s="70">
        <v>147.03</v>
      </c>
      <c r="H27" s="71">
        <f>SUM(F27*G27/1000)</f>
        <v>5.3665950000000002</v>
      </c>
      <c r="I27" s="13">
        <f>F27/12*G27</f>
        <v>447.21625</v>
      </c>
      <c r="J27" s="23"/>
    </row>
    <row r="28" spans="1:13" ht="15" customHeight="1">
      <c r="A28" s="29">
        <v>5</v>
      </c>
      <c r="B28" s="77" t="s">
        <v>23</v>
      </c>
      <c r="C28" s="68" t="s">
        <v>24</v>
      </c>
      <c r="D28" s="67"/>
      <c r="E28" s="69">
        <v>3031.3</v>
      </c>
      <c r="F28" s="70">
        <f>SUM(E28*12)</f>
        <v>36375.600000000006</v>
      </c>
      <c r="G28" s="70">
        <v>5.47</v>
      </c>
      <c r="H28" s="71">
        <f>SUM(F28*G28/1000)</f>
        <v>198.97453200000004</v>
      </c>
      <c r="I28" s="13">
        <f>F28/12*G28</f>
        <v>16581.211000000003</v>
      </c>
      <c r="J28" s="23"/>
    </row>
    <row r="29" spans="1:13" ht="15.75" customHeight="1">
      <c r="A29" s="135" t="s">
        <v>88</v>
      </c>
      <c r="B29" s="135"/>
      <c r="C29" s="135"/>
      <c r="D29" s="135"/>
      <c r="E29" s="135"/>
      <c r="F29" s="135"/>
      <c r="G29" s="135"/>
      <c r="H29" s="135"/>
      <c r="I29" s="135"/>
      <c r="J29" s="22"/>
      <c r="K29" s="8"/>
      <c r="L29" s="8"/>
      <c r="M29" s="8"/>
    </row>
    <row r="30" spans="1:13" ht="15" hidden="1" customHeight="1">
      <c r="A30" s="29"/>
      <c r="B30" s="90" t="s">
        <v>28</v>
      </c>
      <c r="C30" s="68"/>
      <c r="D30" s="67"/>
      <c r="E30" s="69"/>
      <c r="F30" s="70"/>
      <c r="G30" s="70"/>
      <c r="H30" s="71"/>
      <c r="I30" s="13"/>
      <c r="J30" s="22"/>
      <c r="K30" s="8"/>
      <c r="L30" s="8"/>
      <c r="M30" s="8"/>
    </row>
    <row r="31" spans="1:13" ht="15" hidden="1" customHeight="1">
      <c r="A31" s="29">
        <v>6</v>
      </c>
      <c r="B31" s="67" t="s">
        <v>121</v>
      </c>
      <c r="C31" s="68" t="s">
        <v>122</v>
      </c>
      <c r="D31" s="67" t="s">
        <v>123</v>
      </c>
      <c r="E31" s="70">
        <v>709.53</v>
      </c>
      <c r="F31" s="70">
        <f>SUM(E31*52/1000)</f>
        <v>36.895559999999996</v>
      </c>
      <c r="G31" s="70">
        <v>155.88999999999999</v>
      </c>
      <c r="H31" s="71">
        <f t="shared" ref="H31:H37" si="1">SUM(F31*G31/1000)</f>
        <v>5.7516488483999995</v>
      </c>
      <c r="I31" s="13">
        <f>F31/6*G31</f>
        <v>958.60814139999979</v>
      </c>
      <c r="J31" s="22"/>
      <c r="K31" s="8"/>
      <c r="L31" s="8"/>
      <c r="M31" s="8"/>
    </row>
    <row r="32" spans="1:13" ht="31.5" hidden="1" customHeight="1">
      <c r="A32" s="29">
        <v>7</v>
      </c>
      <c r="B32" s="67" t="s">
        <v>179</v>
      </c>
      <c r="C32" s="68" t="s">
        <v>122</v>
      </c>
      <c r="D32" s="67" t="s">
        <v>124</v>
      </c>
      <c r="E32" s="70">
        <v>68</v>
      </c>
      <c r="F32" s="70">
        <f>SUM(E32*78/1000)</f>
        <v>5.3040000000000003</v>
      </c>
      <c r="G32" s="70">
        <v>258.63</v>
      </c>
      <c r="H32" s="71">
        <f t="shared" si="1"/>
        <v>1.3717735199999999</v>
      </c>
      <c r="I32" s="13">
        <f t="shared" ref="I32:I35" si="2">F32/6*G32</f>
        <v>228.62891999999999</v>
      </c>
      <c r="J32" s="22"/>
      <c r="K32" s="8"/>
      <c r="L32" s="8"/>
      <c r="M32" s="8"/>
    </row>
    <row r="33" spans="1:14" ht="15" hidden="1" customHeight="1">
      <c r="A33" s="29">
        <v>16</v>
      </c>
      <c r="B33" s="67" t="s">
        <v>27</v>
      </c>
      <c r="C33" s="68" t="s">
        <v>122</v>
      </c>
      <c r="D33" s="67" t="s">
        <v>55</v>
      </c>
      <c r="E33" s="70">
        <v>709.53</v>
      </c>
      <c r="F33" s="70">
        <f>SUM(E33/1000)</f>
        <v>0.70952999999999999</v>
      </c>
      <c r="G33" s="70">
        <v>3020.33</v>
      </c>
      <c r="H33" s="71">
        <f t="shared" si="1"/>
        <v>2.1430147448999999</v>
      </c>
      <c r="I33" s="13">
        <f>F33*G33</f>
        <v>2143.0147449000001</v>
      </c>
      <c r="J33" s="22"/>
      <c r="K33" s="8"/>
      <c r="L33" s="8"/>
      <c r="M33" s="8"/>
    </row>
    <row r="34" spans="1:14" ht="15" hidden="1" customHeight="1">
      <c r="A34" s="29">
        <v>8</v>
      </c>
      <c r="B34" s="67" t="s">
        <v>157</v>
      </c>
      <c r="C34" s="68" t="s">
        <v>41</v>
      </c>
      <c r="D34" s="67" t="s">
        <v>65</v>
      </c>
      <c r="E34" s="70">
        <v>4</v>
      </c>
      <c r="F34" s="70">
        <v>6.2</v>
      </c>
      <c r="G34" s="70">
        <v>1302.02</v>
      </c>
      <c r="H34" s="71">
        <v>8.0730000000000004</v>
      </c>
      <c r="I34" s="13">
        <f t="shared" si="2"/>
        <v>1345.4206666666669</v>
      </c>
      <c r="J34" s="22"/>
      <c r="K34" s="8"/>
      <c r="L34" s="8"/>
      <c r="M34" s="8"/>
    </row>
    <row r="35" spans="1:14" ht="15" hidden="1" customHeight="1">
      <c r="A35" s="29">
        <v>9</v>
      </c>
      <c r="B35" s="67" t="s">
        <v>158</v>
      </c>
      <c r="C35" s="68" t="s">
        <v>30</v>
      </c>
      <c r="D35" s="67" t="s">
        <v>65</v>
      </c>
      <c r="E35" s="76">
        <v>0.33333333333333331</v>
      </c>
      <c r="F35" s="70">
        <f>155/3</f>
        <v>51.666666666666664</v>
      </c>
      <c r="G35" s="70">
        <v>56.69</v>
      </c>
      <c r="H35" s="71">
        <f>SUM(G35*155/3/1000)</f>
        <v>2.9289833333333331</v>
      </c>
      <c r="I35" s="13">
        <f t="shared" si="2"/>
        <v>488.16388888888883</v>
      </c>
      <c r="J35" s="22"/>
      <c r="K35" s="8"/>
    </row>
    <row r="36" spans="1:14" ht="15" hidden="1" customHeight="1">
      <c r="A36" s="29"/>
      <c r="B36" s="67" t="s">
        <v>67</v>
      </c>
      <c r="C36" s="68" t="s">
        <v>33</v>
      </c>
      <c r="D36" s="67" t="s">
        <v>69</v>
      </c>
      <c r="E36" s="69"/>
      <c r="F36" s="70">
        <v>3</v>
      </c>
      <c r="G36" s="70">
        <v>191.32</v>
      </c>
      <c r="H36" s="71">
        <f t="shared" si="1"/>
        <v>0.57396000000000003</v>
      </c>
      <c r="I36" s="13">
        <v>0</v>
      </c>
      <c r="J36" s="23"/>
    </row>
    <row r="37" spans="1:14" ht="15" hidden="1" customHeight="1">
      <c r="A37" s="29"/>
      <c r="B37" s="67" t="s">
        <v>68</v>
      </c>
      <c r="C37" s="68" t="s">
        <v>32</v>
      </c>
      <c r="D37" s="67" t="s">
        <v>69</v>
      </c>
      <c r="E37" s="69"/>
      <c r="F37" s="70">
        <v>2</v>
      </c>
      <c r="G37" s="70">
        <v>1136.32</v>
      </c>
      <c r="H37" s="71">
        <f t="shared" si="1"/>
        <v>2.27264</v>
      </c>
      <c r="I37" s="13">
        <v>0</v>
      </c>
      <c r="J37" s="23"/>
    </row>
    <row r="38" spans="1:14" ht="15" customHeight="1">
      <c r="A38" s="29"/>
      <c r="B38" s="90" t="s">
        <v>5</v>
      </c>
      <c r="C38" s="68"/>
      <c r="D38" s="67"/>
      <c r="E38" s="69"/>
      <c r="F38" s="70"/>
      <c r="G38" s="70"/>
      <c r="H38" s="71" t="s">
        <v>140</v>
      </c>
      <c r="I38" s="13"/>
      <c r="J38" s="23"/>
    </row>
    <row r="39" spans="1:14" ht="15" customHeight="1">
      <c r="A39" s="29">
        <v>6</v>
      </c>
      <c r="B39" s="67" t="s">
        <v>26</v>
      </c>
      <c r="C39" s="68" t="s">
        <v>32</v>
      </c>
      <c r="D39" s="67"/>
      <c r="E39" s="69"/>
      <c r="F39" s="70">
        <v>6</v>
      </c>
      <c r="G39" s="70">
        <v>1527.22</v>
      </c>
      <c r="H39" s="71">
        <f t="shared" ref="H39:H46" si="3">SUM(F39*G39/1000)</f>
        <v>9.1633200000000006</v>
      </c>
      <c r="I39" s="13">
        <f>F39/6*G39</f>
        <v>1527.22</v>
      </c>
      <c r="J39" s="23"/>
    </row>
    <row r="40" spans="1:14" ht="15" customHeight="1">
      <c r="A40" s="29">
        <v>7</v>
      </c>
      <c r="B40" s="67" t="s">
        <v>109</v>
      </c>
      <c r="C40" s="68" t="s">
        <v>29</v>
      </c>
      <c r="D40" s="67" t="s">
        <v>144</v>
      </c>
      <c r="E40" s="70">
        <v>429.8</v>
      </c>
      <c r="F40" s="70">
        <f>SUM(E40*12/1000)</f>
        <v>5.1576000000000004</v>
      </c>
      <c r="G40" s="70">
        <v>2102.71</v>
      </c>
      <c r="H40" s="71">
        <f t="shared" si="3"/>
        <v>10.844937096000001</v>
      </c>
      <c r="I40" s="13">
        <f>F40/6*G40</f>
        <v>1807.4895160000001</v>
      </c>
      <c r="J40" s="23"/>
      <c r="L40" s="19"/>
      <c r="M40" s="20"/>
      <c r="N40" s="21"/>
    </row>
    <row r="41" spans="1:14" ht="15" customHeight="1">
      <c r="A41" s="29">
        <v>8</v>
      </c>
      <c r="B41" s="67" t="s">
        <v>145</v>
      </c>
      <c r="C41" s="68" t="s">
        <v>29</v>
      </c>
      <c r="D41" s="67" t="s">
        <v>126</v>
      </c>
      <c r="E41" s="70">
        <v>68</v>
      </c>
      <c r="F41" s="70">
        <f>SUM(E41*30/1000)</f>
        <v>2.04</v>
      </c>
      <c r="G41" s="70">
        <v>2102.71</v>
      </c>
      <c r="H41" s="71">
        <f>SUM(F41*G41/1000)</f>
        <v>4.2895284</v>
      </c>
      <c r="I41" s="13">
        <f>F41/6*G41</f>
        <v>714.92140000000006</v>
      </c>
      <c r="J41" s="23"/>
      <c r="L41" s="19"/>
      <c r="M41" s="20"/>
      <c r="N41" s="21"/>
    </row>
    <row r="42" spans="1:14" ht="15" hidden="1" customHeight="1">
      <c r="A42" s="29"/>
      <c r="B42" s="67" t="s">
        <v>99</v>
      </c>
      <c r="C42" s="68" t="s">
        <v>127</v>
      </c>
      <c r="D42" s="67" t="s">
        <v>159</v>
      </c>
      <c r="E42" s="69"/>
      <c r="F42" s="70">
        <v>50</v>
      </c>
      <c r="G42" s="70">
        <v>199.44</v>
      </c>
      <c r="H42" s="71">
        <f>SUM(F42*G42/1000)</f>
        <v>9.9719999999999995</v>
      </c>
      <c r="I42" s="13">
        <v>0</v>
      </c>
      <c r="J42" s="23"/>
      <c r="L42" s="19"/>
      <c r="M42" s="20"/>
      <c r="N42" s="21"/>
    </row>
    <row r="43" spans="1:14" ht="15" customHeight="1">
      <c r="A43" s="29">
        <v>9</v>
      </c>
      <c r="B43" s="67" t="s">
        <v>70</v>
      </c>
      <c r="C43" s="68" t="s">
        <v>29</v>
      </c>
      <c r="D43" s="67" t="s">
        <v>128</v>
      </c>
      <c r="E43" s="70">
        <v>68</v>
      </c>
      <c r="F43" s="70">
        <f>SUM(E43*155/1000)</f>
        <v>10.54</v>
      </c>
      <c r="G43" s="70">
        <v>350.75</v>
      </c>
      <c r="H43" s="71">
        <f t="shared" si="3"/>
        <v>3.6969049999999997</v>
      </c>
      <c r="I43" s="13">
        <f>F43/6*G43</f>
        <v>616.15083333333325</v>
      </c>
      <c r="J43" s="23"/>
      <c r="L43" s="19"/>
      <c r="M43" s="20"/>
      <c r="N43" s="21"/>
    </row>
    <row r="44" spans="1:14" ht="47.25" customHeight="1">
      <c r="A44" s="29">
        <v>10</v>
      </c>
      <c r="B44" s="67" t="s">
        <v>86</v>
      </c>
      <c r="C44" s="68" t="s">
        <v>122</v>
      </c>
      <c r="D44" s="67" t="s">
        <v>146</v>
      </c>
      <c r="E44" s="70">
        <v>68</v>
      </c>
      <c r="F44" s="70">
        <f>SUM(E44*24/1000)</f>
        <v>1.6319999999999999</v>
      </c>
      <c r="G44" s="70">
        <v>5803.28</v>
      </c>
      <c r="H44" s="71">
        <f t="shared" si="3"/>
        <v>9.4709529599999982</v>
      </c>
      <c r="I44" s="13">
        <f>F44/6*G44</f>
        <v>1578.4921599999998</v>
      </c>
      <c r="J44" s="23"/>
      <c r="L44" s="19"/>
      <c r="M44" s="20"/>
      <c r="N44" s="21"/>
    </row>
    <row r="45" spans="1:14" ht="15" customHeight="1">
      <c r="A45" s="29">
        <v>11</v>
      </c>
      <c r="B45" s="67" t="s">
        <v>129</v>
      </c>
      <c r="C45" s="68" t="s">
        <v>122</v>
      </c>
      <c r="D45" s="67" t="s">
        <v>71</v>
      </c>
      <c r="E45" s="70">
        <v>68</v>
      </c>
      <c r="F45" s="70">
        <f>SUM(E45*45/1000)</f>
        <v>3.06</v>
      </c>
      <c r="G45" s="70">
        <v>428.7</v>
      </c>
      <c r="H45" s="71">
        <f t="shared" si="3"/>
        <v>1.3118219999999998</v>
      </c>
      <c r="I45" s="13">
        <f>(F45/7.5*1.5)*G45</f>
        <v>262.36440000000005</v>
      </c>
      <c r="J45" s="23"/>
      <c r="L45" s="19"/>
      <c r="M45" s="20"/>
      <c r="N45" s="21"/>
    </row>
    <row r="46" spans="1:14" ht="15" customHeight="1">
      <c r="A46" s="29">
        <v>12</v>
      </c>
      <c r="B46" s="67" t="s">
        <v>72</v>
      </c>
      <c r="C46" s="68" t="s">
        <v>33</v>
      </c>
      <c r="D46" s="67"/>
      <c r="E46" s="69"/>
      <c r="F46" s="70">
        <v>0.9</v>
      </c>
      <c r="G46" s="70">
        <v>798</v>
      </c>
      <c r="H46" s="71">
        <f t="shared" si="3"/>
        <v>0.71820000000000006</v>
      </c>
      <c r="I46" s="13">
        <f>(F46/7.5*1.5)*G46</f>
        <v>143.64000000000001</v>
      </c>
      <c r="J46" s="23"/>
      <c r="L46" s="19"/>
      <c r="M46" s="20"/>
      <c r="N46" s="21"/>
    </row>
    <row r="47" spans="1:14" ht="15.75" hidden="1" customHeight="1">
      <c r="A47" s="136" t="s">
        <v>153</v>
      </c>
      <c r="B47" s="137"/>
      <c r="C47" s="137"/>
      <c r="D47" s="137"/>
      <c r="E47" s="137"/>
      <c r="F47" s="137"/>
      <c r="G47" s="137"/>
      <c r="H47" s="137"/>
      <c r="I47" s="138"/>
      <c r="J47" s="23"/>
      <c r="L47" s="19"/>
      <c r="M47" s="20"/>
      <c r="N47" s="21"/>
    </row>
    <row r="48" spans="1:14" ht="15" hidden="1" customHeight="1">
      <c r="A48" s="29"/>
      <c r="B48" s="67" t="s">
        <v>147</v>
      </c>
      <c r="C48" s="68" t="s">
        <v>122</v>
      </c>
      <c r="D48" s="67" t="s">
        <v>43</v>
      </c>
      <c r="E48" s="69">
        <v>1061.3</v>
      </c>
      <c r="F48" s="70">
        <f>SUM(E48*2/1000)</f>
        <v>2.1225999999999998</v>
      </c>
      <c r="G48" s="13">
        <v>809.74</v>
      </c>
      <c r="H48" s="71">
        <f t="shared" ref="H48:H57" si="4">SUM(F48*G48/1000)</f>
        <v>1.7187541239999997</v>
      </c>
      <c r="I48" s="13">
        <v>0</v>
      </c>
      <c r="J48" s="23"/>
      <c r="L48" s="19"/>
      <c r="M48" s="20"/>
      <c r="N48" s="21"/>
    </row>
    <row r="49" spans="1:22" ht="15" hidden="1" customHeight="1">
      <c r="A49" s="29"/>
      <c r="B49" s="67" t="s">
        <v>36</v>
      </c>
      <c r="C49" s="68" t="s">
        <v>122</v>
      </c>
      <c r="D49" s="67" t="s">
        <v>43</v>
      </c>
      <c r="E49" s="69">
        <v>52</v>
      </c>
      <c r="F49" s="70">
        <f>SUM(E49*2/1000)</f>
        <v>0.104</v>
      </c>
      <c r="G49" s="13">
        <v>579.48</v>
      </c>
      <c r="H49" s="71">
        <f t="shared" si="4"/>
        <v>6.0265920000000001E-2</v>
      </c>
      <c r="I49" s="13">
        <v>0</v>
      </c>
      <c r="J49" s="23"/>
      <c r="L49" s="19"/>
      <c r="M49" s="20"/>
      <c r="N49" s="21"/>
    </row>
    <row r="50" spans="1:22" ht="15" hidden="1" customHeight="1">
      <c r="A50" s="29"/>
      <c r="B50" s="67" t="s">
        <v>37</v>
      </c>
      <c r="C50" s="68" t="s">
        <v>122</v>
      </c>
      <c r="D50" s="67" t="s">
        <v>43</v>
      </c>
      <c r="E50" s="69">
        <v>1238.8</v>
      </c>
      <c r="F50" s="70">
        <f>SUM(E50*2/1000)</f>
        <v>2.4775999999999998</v>
      </c>
      <c r="G50" s="13">
        <v>579.48</v>
      </c>
      <c r="H50" s="71">
        <f t="shared" si="4"/>
        <v>1.4357196480000001</v>
      </c>
      <c r="I50" s="13">
        <v>0</v>
      </c>
      <c r="J50" s="23"/>
      <c r="L50" s="19"/>
      <c r="M50" s="20"/>
      <c r="N50" s="21"/>
    </row>
    <row r="51" spans="1:22" ht="15" hidden="1" customHeight="1">
      <c r="A51" s="29"/>
      <c r="B51" s="67" t="s">
        <v>38</v>
      </c>
      <c r="C51" s="68" t="s">
        <v>122</v>
      </c>
      <c r="D51" s="67" t="s">
        <v>43</v>
      </c>
      <c r="E51" s="69">
        <v>1794.01</v>
      </c>
      <c r="F51" s="70">
        <f>SUM(E51*2/1000)</f>
        <v>3.5880199999999998</v>
      </c>
      <c r="G51" s="13">
        <v>606.77</v>
      </c>
      <c r="H51" s="71">
        <f t="shared" si="4"/>
        <v>2.1771028954</v>
      </c>
      <c r="I51" s="13">
        <v>0</v>
      </c>
      <c r="J51" s="23"/>
      <c r="L51" s="19"/>
      <c r="M51" s="20"/>
      <c r="N51" s="21"/>
    </row>
    <row r="52" spans="1:22" ht="15" hidden="1" customHeight="1">
      <c r="A52" s="29"/>
      <c r="B52" s="67" t="s">
        <v>34</v>
      </c>
      <c r="C52" s="68" t="s">
        <v>35</v>
      </c>
      <c r="D52" s="67" t="s">
        <v>160</v>
      </c>
      <c r="E52" s="69">
        <v>85.78</v>
      </c>
      <c r="F52" s="70">
        <f>SUM(E52*2/100)</f>
        <v>1.7156</v>
      </c>
      <c r="G52" s="13">
        <v>72.81</v>
      </c>
      <c r="H52" s="71">
        <f t="shared" si="4"/>
        <v>0.124912836</v>
      </c>
      <c r="I52" s="13">
        <v>0</v>
      </c>
      <c r="J52" s="23"/>
      <c r="L52" s="19"/>
      <c r="M52" s="20"/>
      <c r="N52" s="21"/>
    </row>
    <row r="53" spans="1:22" ht="15" hidden="1" customHeight="1">
      <c r="A53" s="29">
        <v>13</v>
      </c>
      <c r="B53" s="67" t="s">
        <v>58</v>
      </c>
      <c r="C53" s="68" t="s">
        <v>122</v>
      </c>
      <c r="D53" s="67" t="s">
        <v>180</v>
      </c>
      <c r="E53" s="69">
        <v>884</v>
      </c>
      <c r="F53" s="70">
        <f>SUM(E53*5/1000)</f>
        <v>4.42</v>
      </c>
      <c r="G53" s="13">
        <v>1213.55</v>
      </c>
      <c r="H53" s="71">
        <f t="shared" si="4"/>
        <v>5.3638909999999997</v>
      </c>
      <c r="I53" s="13">
        <f>F53/5*G53</f>
        <v>1072.7782</v>
      </c>
      <c r="J53" s="23"/>
      <c r="L53" s="19"/>
      <c r="M53" s="20"/>
      <c r="N53" s="21"/>
    </row>
    <row r="54" spans="1:22" ht="31.5" hidden="1" customHeight="1">
      <c r="A54" s="29"/>
      <c r="B54" s="67" t="s">
        <v>130</v>
      </c>
      <c r="C54" s="68" t="s">
        <v>122</v>
      </c>
      <c r="D54" s="67" t="s">
        <v>43</v>
      </c>
      <c r="E54" s="69">
        <v>884</v>
      </c>
      <c r="F54" s="70">
        <f>SUM(E54*2/1000)</f>
        <v>1.768</v>
      </c>
      <c r="G54" s="13">
        <v>1213.55</v>
      </c>
      <c r="H54" s="71">
        <f t="shared" si="4"/>
        <v>2.1455563999999998</v>
      </c>
      <c r="I54" s="13">
        <v>0</v>
      </c>
      <c r="J54" s="23"/>
      <c r="L54" s="19"/>
      <c r="M54" s="20"/>
      <c r="N54" s="21"/>
    </row>
    <row r="55" spans="1:22" ht="31.5" hidden="1" customHeight="1">
      <c r="A55" s="29"/>
      <c r="B55" s="67" t="s">
        <v>131</v>
      </c>
      <c r="C55" s="68" t="s">
        <v>39</v>
      </c>
      <c r="D55" s="67" t="s">
        <v>43</v>
      </c>
      <c r="E55" s="69">
        <v>20</v>
      </c>
      <c r="F55" s="70">
        <f>SUM(E55*2/100)</f>
        <v>0.4</v>
      </c>
      <c r="G55" s="13">
        <v>2730.49</v>
      </c>
      <c r="H55" s="71">
        <f t="shared" si="4"/>
        <v>1.0921959999999999</v>
      </c>
      <c r="I55" s="13">
        <v>0</v>
      </c>
      <c r="J55" s="23"/>
      <c r="L55" s="19"/>
      <c r="M55" s="20"/>
      <c r="N55" s="21"/>
    </row>
    <row r="56" spans="1:22" ht="15" hidden="1" customHeight="1">
      <c r="A56" s="29"/>
      <c r="B56" s="67" t="s">
        <v>40</v>
      </c>
      <c r="C56" s="68" t="s">
        <v>41</v>
      </c>
      <c r="D56" s="67" t="s">
        <v>43</v>
      </c>
      <c r="E56" s="69">
        <v>1</v>
      </c>
      <c r="F56" s="70">
        <v>0.02</v>
      </c>
      <c r="G56" s="13">
        <v>5652.13</v>
      </c>
      <c r="H56" s="71">
        <f t="shared" si="4"/>
        <v>0.11304260000000001</v>
      </c>
      <c r="I56" s="13">
        <v>0</v>
      </c>
      <c r="J56" s="23"/>
      <c r="L56" s="19"/>
      <c r="M56" s="20"/>
      <c r="N56" s="21"/>
    </row>
    <row r="57" spans="1:22" ht="15" hidden="1" customHeight="1">
      <c r="A57" s="29">
        <v>14</v>
      </c>
      <c r="B57" s="67" t="s">
        <v>42</v>
      </c>
      <c r="C57" s="68" t="s">
        <v>30</v>
      </c>
      <c r="D57" s="67" t="s">
        <v>73</v>
      </c>
      <c r="E57" s="69">
        <v>136</v>
      </c>
      <c r="F57" s="70">
        <f>SUM(E57)*3</f>
        <v>408</v>
      </c>
      <c r="G57" s="13">
        <v>65.67</v>
      </c>
      <c r="H57" s="71">
        <f t="shared" si="4"/>
        <v>26.79336</v>
      </c>
      <c r="I57" s="13">
        <f>E57*G57</f>
        <v>8931.1200000000008</v>
      </c>
      <c r="J57" s="23"/>
      <c r="L57" s="19"/>
      <c r="M57" s="20"/>
      <c r="N57" s="21"/>
    </row>
    <row r="58" spans="1:22" ht="15.75" customHeight="1">
      <c r="A58" s="136" t="s">
        <v>183</v>
      </c>
      <c r="B58" s="137"/>
      <c r="C58" s="137"/>
      <c r="D58" s="137"/>
      <c r="E58" s="137"/>
      <c r="F58" s="137"/>
      <c r="G58" s="137"/>
      <c r="H58" s="137"/>
      <c r="I58" s="138"/>
      <c r="J58" s="23"/>
      <c r="L58" s="19"/>
      <c r="M58" s="20"/>
      <c r="N58" s="21"/>
    </row>
    <row r="59" spans="1:22" ht="15" customHeight="1">
      <c r="A59" s="29"/>
      <c r="B59" s="90" t="s">
        <v>44</v>
      </c>
      <c r="C59" s="68"/>
      <c r="D59" s="67"/>
      <c r="E59" s="69"/>
      <c r="F59" s="70"/>
      <c r="G59" s="70"/>
      <c r="H59" s="71"/>
      <c r="I59" s="13"/>
      <c r="J59" s="23"/>
      <c r="L59" s="19"/>
      <c r="M59" s="20"/>
      <c r="N59" s="21"/>
    </row>
    <row r="60" spans="1:22" ht="31.5" customHeight="1">
      <c r="A60" s="29">
        <v>13</v>
      </c>
      <c r="B60" s="67" t="s">
        <v>133</v>
      </c>
      <c r="C60" s="68" t="s">
        <v>104</v>
      </c>
      <c r="D60" s="67" t="s">
        <v>242</v>
      </c>
      <c r="E60" s="69">
        <v>106.13</v>
      </c>
      <c r="F60" s="70">
        <f>E60*6/100</f>
        <v>6.3677999999999999</v>
      </c>
      <c r="G60" s="78">
        <v>1547.28</v>
      </c>
      <c r="H60" s="71">
        <f>F60*G60/1000</f>
        <v>9.8527695839999989</v>
      </c>
      <c r="I60" s="13">
        <f>G60*0.12</f>
        <v>185.67359999999999</v>
      </c>
      <c r="J60" s="23"/>
      <c r="L60" s="19"/>
    </row>
    <row r="61" spans="1:22" ht="15" customHeight="1">
      <c r="A61" s="29"/>
      <c r="B61" s="91" t="s">
        <v>45</v>
      </c>
      <c r="C61" s="79"/>
      <c r="D61" s="80"/>
      <c r="E61" s="81"/>
      <c r="F61" s="82"/>
      <c r="G61" s="83"/>
      <c r="H61" s="92"/>
      <c r="I61" s="13"/>
    </row>
    <row r="62" spans="1:22" ht="15" hidden="1" customHeight="1">
      <c r="A62" s="29"/>
      <c r="B62" s="80" t="s">
        <v>46</v>
      </c>
      <c r="C62" s="79" t="s">
        <v>54</v>
      </c>
      <c r="D62" s="80" t="s">
        <v>55</v>
      </c>
      <c r="E62" s="81">
        <v>884</v>
      </c>
      <c r="F62" s="82">
        <f>E62/100</f>
        <v>8.84</v>
      </c>
      <c r="G62" s="70">
        <v>793.61</v>
      </c>
      <c r="H62" s="92">
        <f>G62*F62/1000</f>
        <v>7.0155123999999995</v>
      </c>
      <c r="I62" s="13">
        <v>0</v>
      </c>
    </row>
    <row r="63" spans="1:22" ht="15" customHeight="1">
      <c r="A63" s="29">
        <v>14</v>
      </c>
      <c r="B63" s="80" t="s">
        <v>100</v>
      </c>
      <c r="C63" s="79" t="s">
        <v>25</v>
      </c>
      <c r="D63" s="109"/>
      <c r="E63" s="111">
        <v>100</v>
      </c>
      <c r="F63" s="112">
        <f>E63*12</f>
        <v>1200</v>
      </c>
      <c r="G63" s="113">
        <v>1.2</v>
      </c>
      <c r="H63" s="92">
        <f>G63*F63</f>
        <v>1440</v>
      </c>
      <c r="I63" s="13">
        <f>F63/12*G63</f>
        <v>120</v>
      </c>
    </row>
    <row r="64" spans="1:22" ht="15" hidden="1" customHeight="1">
      <c r="A64" s="29"/>
      <c r="B64" s="91" t="s">
        <v>47</v>
      </c>
      <c r="C64" s="79"/>
      <c r="D64" s="80"/>
      <c r="E64" s="81"/>
      <c r="F64" s="82"/>
      <c r="G64" s="70"/>
      <c r="H64" s="92" t="s">
        <v>140</v>
      </c>
      <c r="I64" s="1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9"/>
    </row>
    <row r="65" spans="1:21" ht="15" hidden="1" customHeight="1">
      <c r="A65" s="29">
        <v>15</v>
      </c>
      <c r="B65" s="14" t="s">
        <v>48</v>
      </c>
      <c r="C65" s="16" t="s">
        <v>132</v>
      </c>
      <c r="D65" s="14" t="s">
        <v>69</v>
      </c>
      <c r="E65" s="18">
        <v>20</v>
      </c>
      <c r="F65" s="70">
        <v>20</v>
      </c>
      <c r="G65" s="94">
        <v>222.4</v>
      </c>
      <c r="H65" s="93">
        <f t="shared" ref="H65:H80" si="5">SUM(F65*G65/1000)</f>
        <v>4.4480000000000004</v>
      </c>
      <c r="I65" s="13">
        <f>G65</f>
        <v>222.4</v>
      </c>
      <c r="J65" s="25"/>
      <c r="K65" s="25"/>
      <c r="L65" s="3"/>
      <c r="M65" s="3"/>
      <c r="N65" s="3"/>
      <c r="O65" s="3"/>
      <c r="P65" s="3"/>
      <c r="Q65" s="3"/>
      <c r="R65" s="3"/>
      <c r="S65" s="3"/>
      <c r="T65" s="3"/>
      <c r="U65" s="3"/>
    </row>
    <row r="66" spans="1:21" ht="15" hidden="1" customHeight="1">
      <c r="A66" s="29">
        <v>16</v>
      </c>
      <c r="B66" s="14" t="s">
        <v>49</v>
      </c>
      <c r="C66" s="16" t="s">
        <v>132</v>
      </c>
      <c r="D66" s="14" t="s">
        <v>69</v>
      </c>
      <c r="E66" s="14" t="s">
        <v>69</v>
      </c>
      <c r="F66" s="14" t="s">
        <v>69</v>
      </c>
      <c r="G66" s="13">
        <v>76.25</v>
      </c>
      <c r="H66" s="84" t="e">
        <f t="shared" si="5"/>
        <v>#VALUE!</v>
      </c>
      <c r="I66" s="13">
        <f>G66</f>
        <v>76.25</v>
      </c>
      <c r="J66" s="3"/>
      <c r="K66" s="3"/>
      <c r="L66" s="3"/>
      <c r="M66" s="3"/>
      <c r="N66" s="3"/>
      <c r="O66" s="3"/>
      <c r="P66" s="3"/>
      <c r="Q66" s="3"/>
      <c r="S66" s="3"/>
      <c r="T66" s="3"/>
      <c r="U66" s="3"/>
    </row>
    <row r="67" spans="1:21" ht="15" hidden="1" customHeight="1">
      <c r="A67" s="29"/>
      <c r="B67" s="14" t="s">
        <v>50</v>
      </c>
      <c r="C67" s="16" t="s">
        <v>134</v>
      </c>
      <c r="D67" s="14" t="s">
        <v>55</v>
      </c>
      <c r="E67" s="69">
        <v>12647</v>
      </c>
      <c r="F67" s="13">
        <f>SUM(E67/100)</f>
        <v>126.47</v>
      </c>
      <c r="G67" s="13">
        <v>212.15</v>
      </c>
      <c r="H67" s="84">
        <f t="shared" si="5"/>
        <v>26.830610499999999</v>
      </c>
      <c r="I67" s="13">
        <f>F67*G67</f>
        <v>26830.610499999999</v>
      </c>
      <c r="J67" s="5"/>
      <c r="K67" s="5"/>
      <c r="L67" s="5"/>
      <c r="M67" s="5"/>
      <c r="N67" s="5"/>
      <c r="O67" s="5"/>
      <c r="P67" s="5"/>
      <c r="Q67" s="5"/>
      <c r="R67" s="124"/>
      <c r="S67" s="124"/>
      <c r="T67" s="124"/>
      <c r="U67" s="124"/>
    </row>
    <row r="68" spans="1:21" ht="15" hidden="1" customHeight="1">
      <c r="A68" s="29"/>
      <c r="B68" s="14" t="s">
        <v>51</v>
      </c>
      <c r="C68" s="16" t="s">
        <v>135</v>
      </c>
      <c r="D68" s="14"/>
      <c r="E68" s="69">
        <v>12647</v>
      </c>
      <c r="F68" s="13">
        <f>SUM(E68/1000)</f>
        <v>12.647</v>
      </c>
      <c r="G68" s="13">
        <v>165.21</v>
      </c>
      <c r="H68" s="84">
        <f t="shared" si="5"/>
        <v>2.08941087</v>
      </c>
      <c r="I68" s="13">
        <f t="shared" ref="I68:I72" si="6">F68*G68</f>
        <v>2089.4108700000002</v>
      </c>
    </row>
    <row r="69" spans="1:21" ht="15" hidden="1" customHeight="1">
      <c r="A69" s="29"/>
      <c r="B69" s="14" t="s">
        <v>52</v>
      </c>
      <c r="C69" s="16" t="s">
        <v>80</v>
      </c>
      <c r="D69" s="14" t="s">
        <v>55</v>
      </c>
      <c r="E69" s="69">
        <v>1900</v>
      </c>
      <c r="F69" s="13">
        <f>SUM(E69/100)</f>
        <v>19</v>
      </c>
      <c r="G69" s="13">
        <v>2074.63</v>
      </c>
      <c r="H69" s="84">
        <f t="shared" si="5"/>
        <v>39.417970000000004</v>
      </c>
      <c r="I69" s="13">
        <f t="shared" si="6"/>
        <v>39417.97</v>
      </c>
    </row>
    <row r="70" spans="1:21" ht="15" hidden="1" customHeight="1">
      <c r="A70" s="29"/>
      <c r="B70" s="85" t="s">
        <v>136</v>
      </c>
      <c r="C70" s="16" t="s">
        <v>33</v>
      </c>
      <c r="D70" s="14"/>
      <c r="E70" s="69">
        <v>11.3</v>
      </c>
      <c r="F70" s="13">
        <f>SUM(E70)</f>
        <v>11.3</v>
      </c>
      <c r="G70" s="13">
        <v>42.67</v>
      </c>
      <c r="H70" s="84">
        <f t="shared" si="5"/>
        <v>0.48217100000000007</v>
      </c>
      <c r="I70" s="13">
        <f t="shared" si="6"/>
        <v>482.17100000000005</v>
      </c>
    </row>
    <row r="71" spans="1:21" ht="15" hidden="1" customHeight="1">
      <c r="A71" s="29"/>
      <c r="B71" s="85" t="s">
        <v>137</v>
      </c>
      <c r="C71" s="16" t="s">
        <v>33</v>
      </c>
      <c r="D71" s="14"/>
      <c r="E71" s="69">
        <v>11.3</v>
      </c>
      <c r="F71" s="13">
        <f>SUM(E71)</f>
        <v>11.3</v>
      </c>
      <c r="G71" s="13">
        <v>39.81</v>
      </c>
      <c r="H71" s="84">
        <f t="shared" si="5"/>
        <v>0.44985300000000006</v>
      </c>
      <c r="I71" s="13">
        <f t="shared" si="6"/>
        <v>449.85300000000007</v>
      </c>
    </row>
    <row r="72" spans="1:21" ht="15" hidden="1" customHeight="1">
      <c r="A72" s="29"/>
      <c r="B72" s="14" t="s">
        <v>59</v>
      </c>
      <c r="C72" s="16" t="s">
        <v>60</v>
      </c>
      <c r="D72" s="14" t="s">
        <v>55</v>
      </c>
      <c r="E72" s="18">
        <v>6</v>
      </c>
      <c r="F72" s="70">
        <f>SUM(E72)</f>
        <v>6</v>
      </c>
      <c r="G72" s="13">
        <v>49.88</v>
      </c>
      <c r="H72" s="84">
        <f t="shared" si="5"/>
        <v>0.29928000000000005</v>
      </c>
      <c r="I72" s="13">
        <f t="shared" si="6"/>
        <v>299.28000000000003</v>
      </c>
    </row>
    <row r="73" spans="1:21" ht="15" hidden="1" customHeight="1">
      <c r="A73" s="29"/>
      <c r="B73" s="57" t="s">
        <v>75</v>
      </c>
      <c r="C73" s="16"/>
      <c r="D73" s="14"/>
      <c r="E73" s="18"/>
      <c r="F73" s="13"/>
      <c r="G73" s="13"/>
      <c r="H73" s="84" t="s">
        <v>140</v>
      </c>
      <c r="I73" s="13"/>
    </row>
    <row r="74" spans="1:21" ht="15" hidden="1" customHeight="1">
      <c r="A74" s="29"/>
      <c r="B74" s="14" t="s">
        <v>76</v>
      </c>
      <c r="C74" s="16" t="s">
        <v>31</v>
      </c>
      <c r="D74" s="14"/>
      <c r="E74" s="18">
        <v>5</v>
      </c>
      <c r="F74" s="61">
        <v>0.5</v>
      </c>
      <c r="G74" s="13">
        <v>501.62</v>
      </c>
      <c r="H74" s="84">
        <v>0.251</v>
      </c>
      <c r="I74" s="13">
        <v>0</v>
      </c>
    </row>
    <row r="75" spans="1:21" ht="15" hidden="1" customHeight="1">
      <c r="A75" s="29"/>
      <c r="B75" s="14" t="s">
        <v>148</v>
      </c>
      <c r="C75" s="16" t="s">
        <v>30</v>
      </c>
      <c r="D75" s="14"/>
      <c r="E75" s="18">
        <v>2</v>
      </c>
      <c r="F75" s="13">
        <v>2</v>
      </c>
      <c r="G75" s="13">
        <v>99.85</v>
      </c>
      <c r="H75" s="84">
        <v>0.1</v>
      </c>
      <c r="I75" s="13">
        <v>0</v>
      </c>
    </row>
    <row r="76" spans="1:21" ht="15" hidden="1" customHeight="1">
      <c r="A76" s="29"/>
      <c r="B76" s="14" t="s">
        <v>149</v>
      </c>
      <c r="C76" s="16" t="s">
        <v>30</v>
      </c>
      <c r="D76" s="14"/>
      <c r="E76" s="18">
        <v>1</v>
      </c>
      <c r="F76" s="61">
        <v>1</v>
      </c>
      <c r="G76" s="13">
        <v>120.26</v>
      </c>
      <c r="H76" s="84">
        <v>0.12</v>
      </c>
      <c r="I76" s="13">
        <v>0</v>
      </c>
    </row>
    <row r="77" spans="1:21" ht="15" hidden="1" customHeight="1">
      <c r="A77" s="29"/>
      <c r="B77" s="14" t="s">
        <v>91</v>
      </c>
      <c r="C77" s="16" t="s">
        <v>30</v>
      </c>
      <c r="D77" s="14"/>
      <c r="E77" s="18">
        <v>1</v>
      </c>
      <c r="F77" s="70">
        <f>SUM(E77)</f>
        <v>1</v>
      </c>
      <c r="G77" s="13">
        <v>358.51</v>
      </c>
      <c r="H77" s="84">
        <f t="shared" si="5"/>
        <v>0.35851</v>
      </c>
      <c r="I77" s="13">
        <v>0</v>
      </c>
    </row>
    <row r="78" spans="1:21" ht="15" hidden="1" customHeight="1">
      <c r="A78" s="29"/>
      <c r="B78" s="14" t="s">
        <v>77</v>
      </c>
      <c r="C78" s="16" t="s">
        <v>30</v>
      </c>
      <c r="D78" s="14"/>
      <c r="E78" s="18">
        <v>1</v>
      </c>
      <c r="F78" s="13">
        <v>1</v>
      </c>
      <c r="G78" s="13">
        <v>852.99</v>
      </c>
      <c r="H78" s="84">
        <f>F78*G78/1000</f>
        <v>0.85299000000000003</v>
      </c>
      <c r="I78" s="13">
        <v>0</v>
      </c>
    </row>
    <row r="79" spans="1:21" ht="15" hidden="1" customHeight="1">
      <c r="A79" s="29"/>
      <c r="B79" s="86" t="s">
        <v>79</v>
      </c>
      <c r="C79" s="16"/>
      <c r="D79" s="14"/>
      <c r="E79" s="18"/>
      <c r="F79" s="13"/>
      <c r="G79" s="13" t="s">
        <v>140</v>
      </c>
      <c r="H79" s="84" t="s">
        <v>140</v>
      </c>
      <c r="I79" s="13"/>
    </row>
    <row r="80" spans="1:21" ht="15" hidden="1" customHeight="1">
      <c r="A80" s="29"/>
      <c r="B80" s="44" t="s">
        <v>141</v>
      </c>
      <c r="C80" s="16" t="s">
        <v>80</v>
      </c>
      <c r="D80" s="14"/>
      <c r="E80" s="18"/>
      <c r="F80" s="13">
        <v>0.2</v>
      </c>
      <c r="G80" s="13">
        <v>2759.44</v>
      </c>
      <c r="H80" s="84">
        <f t="shared" si="5"/>
        <v>0.55188800000000005</v>
      </c>
      <c r="I80" s="13">
        <v>0</v>
      </c>
    </row>
    <row r="81" spans="1:9" ht="15" hidden="1" customHeight="1">
      <c r="A81" s="29"/>
      <c r="B81" s="74" t="s">
        <v>138</v>
      </c>
      <c r="C81" s="86"/>
      <c r="D81" s="31"/>
      <c r="E81" s="32"/>
      <c r="F81" s="75"/>
      <c r="G81" s="75"/>
      <c r="H81" s="87" t="e">
        <f>SUM(H60:H80)</f>
        <v>#VALUE!</v>
      </c>
      <c r="I81" s="75"/>
    </row>
    <row r="82" spans="1:9" ht="15" hidden="1" customHeight="1">
      <c r="A82" s="29">
        <v>15</v>
      </c>
      <c r="B82" s="67" t="s">
        <v>139</v>
      </c>
      <c r="C82" s="16"/>
      <c r="D82" s="14"/>
      <c r="E82" s="62"/>
      <c r="F82" s="13">
        <v>1</v>
      </c>
      <c r="G82" s="35">
        <v>14621.4</v>
      </c>
      <c r="H82" s="84">
        <f>G82*F82/1000</f>
        <v>14.6214</v>
      </c>
      <c r="I82" s="13">
        <f>G82</f>
        <v>14621.4</v>
      </c>
    </row>
    <row r="83" spans="1:9" ht="15.75" customHeight="1">
      <c r="A83" s="125" t="s">
        <v>187</v>
      </c>
      <c r="B83" s="126"/>
      <c r="C83" s="126"/>
      <c r="D83" s="126"/>
      <c r="E83" s="126"/>
      <c r="F83" s="126"/>
      <c r="G83" s="126"/>
      <c r="H83" s="126"/>
      <c r="I83" s="127"/>
    </row>
    <row r="84" spans="1:9" ht="15" customHeight="1">
      <c r="A84" s="29">
        <v>15</v>
      </c>
      <c r="B84" s="67" t="s">
        <v>142</v>
      </c>
      <c r="C84" s="16" t="s">
        <v>56</v>
      </c>
      <c r="D84" s="88" t="s">
        <v>57</v>
      </c>
      <c r="E84" s="13">
        <v>3031.3</v>
      </c>
      <c r="F84" s="13">
        <f>SUM(E84*12)</f>
        <v>36375.600000000006</v>
      </c>
      <c r="G84" s="13">
        <v>2.1</v>
      </c>
      <c r="H84" s="84">
        <f>SUM(F84*G84/1000)</f>
        <v>76.388760000000005</v>
      </c>
      <c r="I84" s="13">
        <f>F84/12*G84</f>
        <v>6365.7300000000014</v>
      </c>
    </row>
    <row r="85" spans="1:9" ht="31.5" customHeight="1">
      <c r="A85" s="29">
        <v>16</v>
      </c>
      <c r="B85" s="14" t="s">
        <v>81</v>
      </c>
      <c r="C85" s="16"/>
      <c r="D85" s="88" t="s">
        <v>57</v>
      </c>
      <c r="E85" s="69">
        <f>E84</f>
        <v>3031.3</v>
      </c>
      <c r="F85" s="13">
        <f>E85*12</f>
        <v>36375.600000000006</v>
      </c>
      <c r="G85" s="13">
        <v>1.63</v>
      </c>
      <c r="H85" s="84">
        <f>F85*G85/1000</f>
        <v>59.292228000000001</v>
      </c>
      <c r="I85" s="13">
        <f>F85/12*G85</f>
        <v>4941.0190000000011</v>
      </c>
    </row>
    <row r="86" spans="1:9" ht="15.75" customHeight="1">
      <c r="A86" s="45"/>
      <c r="B86" s="36" t="s">
        <v>83</v>
      </c>
      <c r="C86" s="37"/>
      <c r="D86" s="15"/>
      <c r="E86" s="15"/>
      <c r="F86" s="15"/>
      <c r="G86" s="18"/>
      <c r="H86" s="18"/>
      <c r="I86" s="32">
        <f>I16+I17+I18+I27+I28+I39+I40+I41+I43+I44+I45+I46+I60+I63+I84+I85</f>
        <v>43328.634247333335</v>
      </c>
    </row>
    <row r="87" spans="1:9" ht="15.75" customHeight="1">
      <c r="A87" s="139" t="s">
        <v>62</v>
      </c>
      <c r="B87" s="140"/>
      <c r="C87" s="140"/>
      <c r="D87" s="140"/>
      <c r="E87" s="140"/>
      <c r="F87" s="140"/>
      <c r="G87" s="140"/>
      <c r="H87" s="140"/>
      <c r="I87" s="141"/>
    </row>
    <row r="88" spans="1:9" ht="31.5" customHeight="1">
      <c r="A88" s="29">
        <v>18</v>
      </c>
      <c r="B88" s="49" t="s">
        <v>151</v>
      </c>
      <c r="C88" s="51" t="s">
        <v>39</v>
      </c>
      <c r="D88" s="48"/>
      <c r="E88" s="34"/>
      <c r="F88" s="34">
        <v>0.02</v>
      </c>
      <c r="G88" s="34">
        <v>3724.37</v>
      </c>
      <c r="H88" s="102">
        <f t="shared" ref="H88" si="7">G88*F88/1000</f>
        <v>7.4487399999999995E-2</v>
      </c>
      <c r="I88" s="103">
        <f>G88*0.01</f>
        <v>37.243699999999997</v>
      </c>
    </row>
    <row r="89" spans="1:9" ht="15.75" customHeight="1">
      <c r="A89" s="29">
        <v>19</v>
      </c>
      <c r="B89" s="49" t="s">
        <v>167</v>
      </c>
      <c r="C89" s="51" t="s">
        <v>87</v>
      </c>
      <c r="D89" s="48"/>
      <c r="E89" s="34"/>
      <c r="F89" s="34">
        <v>1</v>
      </c>
      <c r="G89" s="34">
        <v>203.68</v>
      </c>
      <c r="H89" s="102">
        <f>G89*F89/1000</f>
        <v>0.20368</v>
      </c>
      <c r="I89" s="13">
        <f>G89</f>
        <v>203.68</v>
      </c>
    </row>
    <row r="90" spans="1:9" ht="15.75" customHeight="1">
      <c r="A90" s="29"/>
      <c r="B90" s="42" t="s">
        <v>53</v>
      </c>
      <c r="C90" s="38"/>
      <c r="D90" s="46"/>
      <c r="E90" s="38">
        <v>1</v>
      </c>
      <c r="F90" s="38"/>
      <c r="G90" s="38"/>
      <c r="H90" s="38"/>
      <c r="I90" s="32">
        <f>SUM(I88:I89)</f>
        <v>240.9237</v>
      </c>
    </row>
    <row r="91" spans="1:9" ht="15.75" customHeight="1">
      <c r="A91" s="29"/>
      <c r="B91" s="44" t="s">
        <v>82</v>
      </c>
      <c r="C91" s="15"/>
      <c r="D91" s="15"/>
      <c r="E91" s="39"/>
      <c r="F91" s="39"/>
      <c r="G91" s="40"/>
      <c r="H91" s="40"/>
      <c r="I91" s="17">
        <v>0</v>
      </c>
    </row>
    <row r="92" spans="1:9" ht="15.75" customHeight="1">
      <c r="A92" s="47"/>
      <c r="B92" s="43" t="s">
        <v>192</v>
      </c>
      <c r="C92" s="33"/>
      <c r="D92" s="33"/>
      <c r="E92" s="33"/>
      <c r="F92" s="33"/>
      <c r="G92" s="33"/>
      <c r="H92" s="33"/>
      <c r="I92" s="41">
        <f>I86+I90</f>
        <v>43569.557947333335</v>
      </c>
    </row>
    <row r="93" spans="1:9" ht="15.75">
      <c r="A93" s="142" t="s">
        <v>243</v>
      </c>
      <c r="B93" s="142"/>
      <c r="C93" s="142"/>
      <c r="D93" s="142"/>
      <c r="E93" s="142"/>
      <c r="F93" s="142"/>
      <c r="G93" s="142"/>
      <c r="H93" s="142"/>
      <c r="I93" s="142"/>
    </row>
    <row r="94" spans="1:9" ht="15.75">
      <c r="A94" s="60"/>
      <c r="B94" s="143" t="s">
        <v>244</v>
      </c>
      <c r="C94" s="143"/>
      <c r="D94" s="143"/>
      <c r="E94" s="143"/>
      <c r="F94" s="143"/>
      <c r="G94" s="143"/>
      <c r="H94" s="65"/>
      <c r="I94" s="3"/>
    </row>
    <row r="95" spans="1:9">
      <c r="A95" s="56"/>
      <c r="B95" s="144" t="s">
        <v>6</v>
      </c>
      <c r="C95" s="144"/>
      <c r="D95" s="144"/>
      <c r="E95" s="144"/>
      <c r="F95" s="144"/>
      <c r="G95" s="144"/>
      <c r="H95" s="24"/>
      <c r="I95" s="5"/>
    </row>
    <row r="96" spans="1:9">
      <c r="A96" s="10"/>
      <c r="B96" s="10"/>
      <c r="C96" s="10"/>
      <c r="D96" s="10"/>
      <c r="E96" s="10"/>
      <c r="F96" s="10"/>
      <c r="G96" s="10"/>
      <c r="H96" s="10"/>
      <c r="I96" s="10"/>
    </row>
    <row r="97" spans="1:9" ht="15.75">
      <c r="A97" s="145" t="s">
        <v>7</v>
      </c>
      <c r="B97" s="145"/>
      <c r="C97" s="145"/>
      <c r="D97" s="145"/>
      <c r="E97" s="145"/>
      <c r="F97" s="145"/>
      <c r="G97" s="145"/>
      <c r="H97" s="145"/>
      <c r="I97" s="145"/>
    </row>
    <row r="98" spans="1:9" ht="15.75">
      <c r="A98" s="145" t="s">
        <v>8</v>
      </c>
      <c r="B98" s="145"/>
      <c r="C98" s="145"/>
      <c r="D98" s="145"/>
      <c r="E98" s="145"/>
      <c r="F98" s="145"/>
      <c r="G98" s="145"/>
      <c r="H98" s="145"/>
      <c r="I98" s="145"/>
    </row>
    <row r="99" spans="1:9" ht="15.75">
      <c r="A99" s="134" t="s">
        <v>63</v>
      </c>
      <c r="B99" s="134"/>
      <c r="C99" s="134"/>
      <c r="D99" s="134"/>
      <c r="E99" s="134"/>
      <c r="F99" s="134"/>
      <c r="G99" s="134"/>
      <c r="H99" s="134"/>
      <c r="I99" s="134"/>
    </row>
    <row r="100" spans="1:9" ht="15.75">
      <c r="A100" s="11"/>
    </row>
    <row r="101" spans="1:9" ht="15.75">
      <c r="A101" s="147" t="s">
        <v>9</v>
      </c>
      <c r="B101" s="147"/>
      <c r="C101" s="147"/>
      <c r="D101" s="147"/>
      <c r="E101" s="147"/>
      <c r="F101" s="147"/>
      <c r="G101" s="147"/>
      <c r="H101" s="147"/>
      <c r="I101" s="147"/>
    </row>
    <row r="102" spans="1:9" ht="15.75">
      <c r="A102" s="4"/>
    </row>
    <row r="103" spans="1:9" ht="15.75">
      <c r="B103" s="59" t="s">
        <v>10</v>
      </c>
      <c r="C103" s="148" t="s">
        <v>93</v>
      </c>
      <c r="D103" s="148"/>
      <c r="E103" s="148"/>
      <c r="F103" s="63"/>
      <c r="I103" s="55"/>
    </row>
    <row r="104" spans="1:9">
      <c r="A104" s="56"/>
      <c r="C104" s="144" t="s">
        <v>11</v>
      </c>
      <c r="D104" s="144"/>
      <c r="E104" s="144"/>
      <c r="F104" s="24"/>
      <c r="I104" s="54" t="s">
        <v>12</v>
      </c>
    </row>
    <row r="105" spans="1:9" ht="15.75">
      <c r="A105" s="25"/>
      <c r="C105" s="12"/>
      <c r="D105" s="12"/>
      <c r="G105" s="12"/>
      <c r="H105" s="12"/>
    </row>
    <row r="106" spans="1:9" ht="15.75">
      <c r="B106" s="59" t="s">
        <v>13</v>
      </c>
      <c r="C106" s="149"/>
      <c r="D106" s="149"/>
      <c r="E106" s="149"/>
      <c r="F106" s="64"/>
      <c r="I106" s="55"/>
    </row>
    <row r="107" spans="1:9">
      <c r="A107" s="56"/>
      <c r="C107" s="124" t="s">
        <v>11</v>
      </c>
      <c r="D107" s="124"/>
      <c r="E107" s="124"/>
      <c r="F107" s="56"/>
      <c r="I107" s="54" t="s">
        <v>12</v>
      </c>
    </row>
    <row r="108" spans="1:9" ht="15.75">
      <c r="A108" s="4" t="s">
        <v>14</v>
      </c>
    </row>
    <row r="109" spans="1:9">
      <c r="A109" s="150" t="s">
        <v>15</v>
      </c>
      <c r="B109" s="150"/>
      <c r="C109" s="150"/>
      <c r="D109" s="150"/>
      <c r="E109" s="150"/>
      <c r="F109" s="150"/>
      <c r="G109" s="150"/>
      <c r="H109" s="150"/>
      <c r="I109" s="150"/>
    </row>
    <row r="110" spans="1:9" ht="45" customHeight="1">
      <c r="A110" s="146" t="s">
        <v>16</v>
      </c>
      <c r="B110" s="146"/>
      <c r="C110" s="146"/>
      <c r="D110" s="146"/>
      <c r="E110" s="146"/>
      <c r="F110" s="146"/>
      <c r="G110" s="146"/>
      <c r="H110" s="146"/>
      <c r="I110" s="146"/>
    </row>
    <row r="111" spans="1:9" ht="30" customHeight="1">
      <c r="A111" s="146" t="s">
        <v>17</v>
      </c>
      <c r="B111" s="146"/>
      <c r="C111" s="146"/>
      <c r="D111" s="146"/>
      <c r="E111" s="146"/>
      <c r="F111" s="146"/>
      <c r="G111" s="146"/>
      <c r="H111" s="146"/>
      <c r="I111" s="146"/>
    </row>
    <row r="112" spans="1:9" ht="30" customHeight="1">
      <c r="A112" s="146" t="s">
        <v>21</v>
      </c>
      <c r="B112" s="146"/>
      <c r="C112" s="146"/>
      <c r="D112" s="146"/>
      <c r="E112" s="146"/>
      <c r="F112" s="146"/>
      <c r="G112" s="146"/>
      <c r="H112" s="146"/>
      <c r="I112" s="146"/>
    </row>
    <row r="113" spans="1:9" ht="15.75">
      <c r="A113" s="146" t="s">
        <v>20</v>
      </c>
      <c r="B113" s="146"/>
      <c r="C113" s="146"/>
      <c r="D113" s="146"/>
      <c r="E113" s="146"/>
      <c r="F113" s="146"/>
      <c r="G113" s="146"/>
      <c r="H113" s="146"/>
      <c r="I113" s="146"/>
    </row>
  </sheetData>
  <autoFilter ref="I12:I62"/>
  <mergeCells count="29">
    <mergeCell ref="A110:I110"/>
    <mergeCell ref="A111:I111"/>
    <mergeCell ref="A112:I112"/>
    <mergeCell ref="A113:I113"/>
    <mergeCell ref="A101:I101"/>
    <mergeCell ref="C103:E103"/>
    <mergeCell ref="C104:E104"/>
    <mergeCell ref="C106:E106"/>
    <mergeCell ref="C107:E107"/>
    <mergeCell ref="A109:I109"/>
    <mergeCell ref="A99:I99"/>
    <mergeCell ref="A15:I15"/>
    <mergeCell ref="A29:I29"/>
    <mergeCell ref="A47:I47"/>
    <mergeCell ref="A58:I58"/>
    <mergeCell ref="A87:I87"/>
    <mergeCell ref="A93:I93"/>
    <mergeCell ref="B94:G94"/>
    <mergeCell ref="B95:G95"/>
    <mergeCell ref="A97:I97"/>
    <mergeCell ref="A98:I98"/>
    <mergeCell ref="R67:U67"/>
    <mergeCell ref="A83:I83"/>
    <mergeCell ref="A3:I3"/>
    <mergeCell ref="A4:I4"/>
    <mergeCell ref="A5:I5"/>
    <mergeCell ref="A8:I8"/>
    <mergeCell ref="A10:I10"/>
    <mergeCell ref="A14:I14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V106"/>
  <sheetViews>
    <sheetView topLeftCell="A58" workbookViewId="0">
      <selection activeCell="J88" sqref="J88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85546875" hidden="1" customWidth="1"/>
    <col min="6" max="6" width="9.14062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7" t="s">
        <v>89</v>
      </c>
      <c r="I1" s="26"/>
      <c r="J1" s="1"/>
      <c r="K1" s="1"/>
      <c r="L1" s="1"/>
      <c r="M1" s="1"/>
    </row>
    <row r="2" spans="1:13" ht="15.75" customHeight="1">
      <c r="A2" s="28" t="s">
        <v>64</v>
      </c>
      <c r="J2" s="2"/>
      <c r="K2" s="2"/>
      <c r="L2" s="2"/>
      <c r="M2" s="2"/>
    </row>
    <row r="3" spans="1:13" ht="15.75" customHeight="1">
      <c r="A3" s="128" t="s">
        <v>184</v>
      </c>
      <c r="B3" s="128"/>
      <c r="C3" s="128"/>
      <c r="D3" s="128"/>
      <c r="E3" s="128"/>
      <c r="F3" s="128"/>
      <c r="G3" s="128"/>
      <c r="H3" s="128"/>
      <c r="I3" s="128"/>
      <c r="J3" s="3"/>
      <c r="K3" s="3"/>
      <c r="L3" s="3"/>
    </row>
    <row r="4" spans="1:13" ht="31.5" customHeight="1">
      <c r="A4" s="129" t="s">
        <v>143</v>
      </c>
      <c r="B4" s="129"/>
      <c r="C4" s="129"/>
      <c r="D4" s="129"/>
      <c r="E4" s="129"/>
      <c r="F4" s="129"/>
      <c r="G4" s="129"/>
      <c r="H4" s="129"/>
      <c r="I4" s="129"/>
    </row>
    <row r="5" spans="1:13" ht="15.75" customHeight="1">
      <c r="A5" s="128" t="s">
        <v>200</v>
      </c>
      <c r="B5" s="130"/>
      <c r="C5" s="130"/>
      <c r="D5" s="130"/>
      <c r="E5" s="130"/>
      <c r="F5" s="130"/>
      <c r="G5" s="130"/>
      <c r="H5" s="130"/>
      <c r="I5" s="130"/>
      <c r="J5" s="2"/>
      <c r="K5" s="2"/>
      <c r="L5" s="2"/>
      <c r="M5" s="2"/>
    </row>
    <row r="6" spans="1:13" ht="15.75" customHeight="1">
      <c r="A6" s="2"/>
      <c r="B6" s="58"/>
      <c r="C6" s="58"/>
      <c r="D6" s="58"/>
      <c r="E6" s="58"/>
      <c r="F6" s="58"/>
      <c r="G6" s="58"/>
      <c r="H6" s="58"/>
      <c r="I6" s="30">
        <v>43220</v>
      </c>
      <c r="J6" s="2"/>
      <c r="K6" s="2"/>
      <c r="L6" s="2"/>
      <c r="M6" s="2"/>
    </row>
    <row r="7" spans="1:13" ht="15.75" customHeight="1">
      <c r="B7" s="59"/>
      <c r="C7" s="59"/>
      <c r="D7" s="59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131" t="s">
        <v>152</v>
      </c>
      <c r="B8" s="131"/>
      <c r="C8" s="131"/>
      <c r="D8" s="131"/>
      <c r="E8" s="131"/>
      <c r="F8" s="131"/>
      <c r="G8" s="131"/>
      <c r="H8" s="131"/>
      <c r="I8" s="131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32" t="s">
        <v>193</v>
      </c>
      <c r="B10" s="132"/>
      <c r="C10" s="132"/>
      <c r="D10" s="132"/>
      <c r="E10" s="132"/>
      <c r="F10" s="132"/>
      <c r="G10" s="132"/>
      <c r="H10" s="132"/>
      <c r="I10" s="132"/>
      <c r="J10" s="2"/>
      <c r="K10" s="2"/>
      <c r="L10" s="2"/>
      <c r="M10" s="2"/>
    </row>
    <row r="11" spans="1:13" ht="15.75">
      <c r="A11" s="4"/>
    </row>
    <row r="12" spans="1:13" ht="5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133" t="s">
        <v>61</v>
      </c>
      <c r="B14" s="133"/>
      <c r="C14" s="133"/>
      <c r="D14" s="133"/>
      <c r="E14" s="133"/>
      <c r="F14" s="133"/>
      <c r="G14" s="133"/>
      <c r="H14" s="133"/>
      <c r="I14" s="133"/>
      <c r="J14" s="8"/>
      <c r="K14" s="8"/>
      <c r="L14" s="8"/>
      <c r="M14" s="8"/>
    </row>
    <row r="15" spans="1:13" ht="15.75" customHeight="1">
      <c r="A15" s="135" t="s">
        <v>4</v>
      </c>
      <c r="B15" s="135"/>
      <c r="C15" s="135"/>
      <c r="D15" s="135"/>
      <c r="E15" s="135"/>
      <c r="F15" s="135"/>
      <c r="G15" s="135"/>
      <c r="H15" s="135"/>
      <c r="I15" s="135"/>
      <c r="J15" s="8"/>
      <c r="K15" s="8"/>
      <c r="L15" s="8"/>
      <c r="M15" s="8"/>
    </row>
    <row r="16" spans="1:13" ht="15" customHeight="1">
      <c r="A16" s="29">
        <v>1</v>
      </c>
      <c r="B16" s="67" t="s">
        <v>90</v>
      </c>
      <c r="C16" s="68" t="s">
        <v>111</v>
      </c>
      <c r="D16" s="67" t="s">
        <v>112</v>
      </c>
      <c r="E16" s="69">
        <v>59.96</v>
      </c>
      <c r="F16" s="70">
        <f>SUM(E16*156/100)</f>
        <v>93.537599999999998</v>
      </c>
      <c r="G16" s="70">
        <v>175.38</v>
      </c>
      <c r="H16" s="71">
        <f t="shared" ref="H16:H26" si="0">SUM(F16*G16/1000)</f>
        <v>16.404624288000001</v>
      </c>
      <c r="I16" s="13">
        <f>F16/12*G16</f>
        <v>1367.0520239999998</v>
      </c>
      <c r="J16" s="8"/>
      <c r="K16" s="8"/>
      <c r="L16" s="8"/>
      <c r="M16" s="8"/>
    </row>
    <row r="17" spans="1:13" ht="15" customHeight="1">
      <c r="A17" s="29">
        <v>2</v>
      </c>
      <c r="B17" s="67" t="s">
        <v>97</v>
      </c>
      <c r="C17" s="68" t="s">
        <v>111</v>
      </c>
      <c r="D17" s="67" t="s">
        <v>113</v>
      </c>
      <c r="E17" s="69">
        <v>239.84</v>
      </c>
      <c r="F17" s="70">
        <f>SUM(E17*104/100)</f>
        <v>249.43360000000001</v>
      </c>
      <c r="G17" s="70">
        <v>175.38</v>
      </c>
      <c r="H17" s="71">
        <f t="shared" si="0"/>
        <v>43.745664768000005</v>
      </c>
      <c r="I17" s="13">
        <f>F17/12*G17</f>
        <v>3645.4720640000005</v>
      </c>
      <c r="J17" s="22"/>
      <c r="K17" s="8"/>
      <c r="L17" s="8"/>
      <c r="M17" s="8"/>
    </row>
    <row r="18" spans="1:13" ht="15" customHeight="1">
      <c r="A18" s="29">
        <v>3</v>
      </c>
      <c r="B18" s="67" t="s">
        <v>98</v>
      </c>
      <c r="C18" s="68" t="s">
        <v>111</v>
      </c>
      <c r="D18" s="67" t="s">
        <v>114</v>
      </c>
      <c r="E18" s="69">
        <f>SUM(E16+E17)</f>
        <v>299.8</v>
      </c>
      <c r="F18" s="70">
        <f>SUM(E18*24/100)</f>
        <v>71.952000000000012</v>
      </c>
      <c r="G18" s="70">
        <v>504.5</v>
      </c>
      <c r="H18" s="71">
        <f t="shared" si="0"/>
        <v>36.29978400000001</v>
      </c>
      <c r="I18" s="13">
        <f>F18/12*G18</f>
        <v>3024.9820000000009</v>
      </c>
      <c r="J18" s="22"/>
      <c r="K18" s="8"/>
      <c r="L18" s="8"/>
      <c r="M18" s="8"/>
    </row>
    <row r="19" spans="1:13" ht="15" hidden="1" customHeight="1">
      <c r="A19" s="29"/>
      <c r="B19" s="67" t="s">
        <v>115</v>
      </c>
      <c r="C19" s="68" t="s">
        <v>116</v>
      </c>
      <c r="D19" s="67" t="s">
        <v>117</v>
      </c>
      <c r="E19" s="69">
        <v>40.799999999999997</v>
      </c>
      <c r="F19" s="70">
        <f>SUM(E19/10)</f>
        <v>4.08</v>
      </c>
      <c r="G19" s="70">
        <v>170.16</v>
      </c>
      <c r="H19" s="71">
        <f t="shared" si="0"/>
        <v>0.6942528</v>
      </c>
      <c r="I19" s="13">
        <v>0</v>
      </c>
      <c r="J19" s="22"/>
      <c r="K19" s="8"/>
      <c r="L19" s="8"/>
      <c r="M19" s="8"/>
    </row>
    <row r="20" spans="1:13" ht="15" hidden="1" customHeight="1">
      <c r="A20" s="29"/>
      <c r="B20" s="67" t="s">
        <v>102</v>
      </c>
      <c r="C20" s="68" t="s">
        <v>111</v>
      </c>
      <c r="D20" s="67" t="s">
        <v>55</v>
      </c>
      <c r="E20" s="69">
        <v>43.2</v>
      </c>
      <c r="F20" s="70">
        <f>SUM(E20/100)</f>
        <v>0.43200000000000005</v>
      </c>
      <c r="G20" s="70">
        <v>217.88</v>
      </c>
      <c r="H20" s="71">
        <f t="shared" si="0"/>
        <v>9.4124159999999998E-2</v>
      </c>
      <c r="I20" s="13">
        <v>0</v>
      </c>
      <c r="J20" s="22"/>
      <c r="K20" s="8"/>
      <c r="L20" s="8"/>
      <c r="M20" s="8"/>
    </row>
    <row r="21" spans="1:13" ht="15" hidden="1" customHeight="1">
      <c r="A21" s="29"/>
      <c r="B21" s="67" t="s">
        <v>103</v>
      </c>
      <c r="C21" s="68" t="s">
        <v>111</v>
      </c>
      <c r="D21" s="67" t="s">
        <v>55</v>
      </c>
      <c r="E21" s="69">
        <v>10.08</v>
      </c>
      <c r="F21" s="70">
        <f>E21/100</f>
        <v>0.1008</v>
      </c>
      <c r="G21" s="70">
        <v>216.12</v>
      </c>
      <c r="H21" s="71">
        <f>SUM(F21*G21)/1000</f>
        <v>2.1784896000000002E-2</v>
      </c>
      <c r="I21" s="13">
        <v>0</v>
      </c>
      <c r="J21" s="22"/>
      <c r="K21" s="8"/>
      <c r="L21" s="8"/>
      <c r="M21" s="8"/>
    </row>
    <row r="22" spans="1:13" ht="15" hidden="1" customHeight="1">
      <c r="A22" s="29"/>
      <c r="B22" s="67" t="s">
        <v>118</v>
      </c>
      <c r="C22" s="68" t="s">
        <v>54</v>
      </c>
      <c r="D22" s="67" t="s">
        <v>117</v>
      </c>
      <c r="E22" s="69">
        <v>403.84</v>
      </c>
      <c r="F22" s="70">
        <f>SUM(E22/100)</f>
        <v>4.0383999999999993</v>
      </c>
      <c r="G22" s="70">
        <v>269.26</v>
      </c>
      <c r="H22" s="71">
        <f t="shared" si="0"/>
        <v>1.0873795839999998</v>
      </c>
      <c r="I22" s="13">
        <v>0</v>
      </c>
      <c r="J22" s="22"/>
      <c r="K22" s="8"/>
      <c r="L22" s="8"/>
      <c r="M22" s="8"/>
    </row>
    <row r="23" spans="1:13" ht="15" hidden="1" customHeight="1">
      <c r="A23" s="29"/>
      <c r="B23" s="67" t="s">
        <v>119</v>
      </c>
      <c r="C23" s="68" t="s">
        <v>54</v>
      </c>
      <c r="D23" s="67" t="s">
        <v>117</v>
      </c>
      <c r="E23" s="72">
        <v>70.56</v>
      </c>
      <c r="F23" s="70">
        <f>SUM(E23/100)</f>
        <v>0.7056</v>
      </c>
      <c r="G23" s="70">
        <v>44.29</v>
      </c>
      <c r="H23" s="71">
        <f t="shared" si="0"/>
        <v>3.1251024000000002E-2</v>
      </c>
      <c r="I23" s="13">
        <v>0</v>
      </c>
      <c r="J23" s="22"/>
      <c r="K23" s="8"/>
      <c r="L23" s="8"/>
      <c r="M23" s="8"/>
    </row>
    <row r="24" spans="1:13" ht="15" hidden="1" customHeight="1">
      <c r="A24" s="29"/>
      <c r="B24" s="67" t="s">
        <v>105</v>
      </c>
      <c r="C24" s="68" t="s">
        <v>54</v>
      </c>
      <c r="D24" s="67" t="s">
        <v>117</v>
      </c>
      <c r="E24" s="18">
        <v>14.4</v>
      </c>
      <c r="F24" s="73">
        <v>0.14000000000000001</v>
      </c>
      <c r="G24" s="70">
        <v>398.72</v>
      </c>
      <c r="H24" s="71">
        <f>F24*G24/1000</f>
        <v>5.5820800000000011E-2</v>
      </c>
      <c r="I24" s="13">
        <v>0</v>
      </c>
      <c r="J24" s="22"/>
      <c r="K24" s="8"/>
      <c r="L24" s="8"/>
      <c r="M24" s="8"/>
    </row>
    <row r="25" spans="1:13" ht="15" hidden="1" customHeight="1">
      <c r="A25" s="29"/>
      <c r="B25" s="67" t="s">
        <v>120</v>
      </c>
      <c r="C25" s="68" t="s">
        <v>54</v>
      </c>
      <c r="D25" s="67" t="s">
        <v>117</v>
      </c>
      <c r="E25" s="72">
        <v>31.5</v>
      </c>
      <c r="F25" s="70">
        <v>0.32</v>
      </c>
      <c r="G25" s="70">
        <v>216.12</v>
      </c>
      <c r="H25" s="71">
        <f>F25*G25/1000</f>
        <v>6.9158399999999995E-2</v>
      </c>
      <c r="I25" s="13">
        <v>0</v>
      </c>
      <c r="J25" s="22"/>
      <c r="K25" s="8"/>
      <c r="L25" s="8"/>
      <c r="M25" s="8"/>
    </row>
    <row r="26" spans="1:13" ht="15" hidden="1" customHeight="1">
      <c r="A26" s="29"/>
      <c r="B26" s="67" t="s">
        <v>106</v>
      </c>
      <c r="C26" s="68" t="s">
        <v>54</v>
      </c>
      <c r="D26" s="67" t="s">
        <v>117</v>
      </c>
      <c r="E26" s="69">
        <v>28.22</v>
      </c>
      <c r="F26" s="70">
        <f>SUM(E26/100)</f>
        <v>0.28220000000000001</v>
      </c>
      <c r="G26" s="70">
        <v>520.79999999999995</v>
      </c>
      <c r="H26" s="71">
        <f t="shared" si="0"/>
        <v>0.14696975999999998</v>
      </c>
      <c r="I26" s="13">
        <v>0</v>
      </c>
      <c r="J26" s="22"/>
      <c r="K26" s="8"/>
      <c r="L26" s="8"/>
      <c r="M26" s="8"/>
    </row>
    <row r="27" spans="1:13" ht="15" customHeight="1">
      <c r="A27" s="29">
        <v>4</v>
      </c>
      <c r="B27" s="67" t="s">
        <v>66</v>
      </c>
      <c r="C27" s="68" t="s">
        <v>33</v>
      </c>
      <c r="D27" s="67"/>
      <c r="E27" s="69">
        <v>0.1</v>
      </c>
      <c r="F27" s="70">
        <f>SUM(E27*365)</f>
        <v>36.5</v>
      </c>
      <c r="G27" s="70">
        <v>147.03</v>
      </c>
      <c r="H27" s="71">
        <f>SUM(F27*G27/1000)</f>
        <v>5.3665950000000002</v>
      </c>
      <c r="I27" s="13">
        <f>F27/12*G27</f>
        <v>447.21625</v>
      </c>
      <c r="J27" s="23"/>
    </row>
    <row r="28" spans="1:13" ht="15" customHeight="1">
      <c r="A28" s="29">
        <v>5</v>
      </c>
      <c r="B28" s="77" t="s">
        <v>23</v>
      </c>
      <c r="C28" s="68" t="s">
        <v>24</v>
      </c>
      <c r="D28" s="67"/>
      <c r="E28" s="69">
        <v>3031.3</v>
      </c>
      <c r="F28" s="70">
        <f>SUM(E28*12)</f>
        <v>36375.600000000006</v>
      </c>
      <c r="G28" s="70">
        <v>5.47</v>
      </c>
      <c r="H28" s="71">
        <f>SUM(F28*G28/1000)</f>
        <v>198.97453200000004</v>
      </c>
      <c r="I28" s="13">
        <f>F28/12*G28</f>
        <v>16581.211000000003</v>
      </c>
      <c r="J28" s="23"/>
    </row>
    <row r="29" spans="1:13" ht="15.75" customHeight="1">
      <c r="A29" s="135" t="s">
        <v>88</v>
      </c>
      <c r="B29" s="135"/>
      <c r="C29" s="135"/>
      <c r="D29" s="135"/>
      <c r="E29" s="135"/>
      <c r="F29" s="135"/>
      <c r="G29" s="135"/>
      <c r="H29" s="135"/>
      <c r="I29" s="135"/>
      <c r="J29" s="22"/>
      <c r="K29" s="8"/>
      <c r="L29" s="8"/>
      <c r="M29" s="8"/>
    </row>
    <row r="30" spans="1:13" ht="15" hidden="1" customHeight="1">
      <c r="A30" s="29"/>
      <c r="B30" s="90" t="s">
        <v>28</v>
      </c>
      <c r="C30" s="68"/>
      <c r="D30" s="67"/>
      <c r="E30" s="69"/>
      <c r="F30" s="70"/>
      <c r="G30" s="70"/>
      <c r="H30" s="71"/>
      <c r="I30" s="13"/>
      <c r="J30" s="22"/>
      <c r="K30" s="8"/>
      <c r="L30" s="8"/>
      <c r="M30" s="8"/>
    </row>
    <row r="31" spans="1:13" ht="15" hidden="1" customHeight="1">
      <c r="A31" s="29">
        <v>6</v>
      </c>
      <c r="B31" s="67" t="s">
        <v>121</v>
      </c>
      <c r="C31" s="68" t="s">
        <v>122</v>
      </c>
      <c r="D31" s="67" t="s">
        <v>123</v>
      </c>
      <c r="E31" s="70">
        <v>709.53</v>
      </c>
      <c r="F31" s="70">
        <f>SUM(E31*52/1000)</f>
        <v>36.895559999999996</v>
      </c>
      <c r="G31" s="70">
        <v>155.88999999999999</v>
      </c>
      <c r="H31" s="71">
        <f t="shared" ref="H31:H37" si="1">SUM(F31*G31/1000)</f>
        <v>5.7516488483999995</v>
      </c>
      <c r="I31" s="13">
        <f>F31/6*G31</f>
        <v>958.60814139999979</v>
      </c>
      <c r="J31" s="22"/>
      <c r="K31" s="8"/>
      <c r="L31" s="8"/>
      <c r="M31" s="8"/>
    </row>
    <row r="32" spans="1:13" ht="31.5" hidden="1" customHeight="1">
      <c r="A32" s="29">
        <v>7</v>
      </c>
      <c r="B32" s="67" t="s">
        <v>179</v>
      </c>
      <c r="C32" s="68" t="s">
        <v>122</v>
      </c>
      <c r="D32" s="67" t="s">
        <v>124</v>
      </c>
      <c r="E32" s="70">
        <v>68</v>
      </c>
      <c r="F32" s="70">
        <f>SUM(E32*78/1000)</f>
        <v>5.3040000000000003</v>
      </c>
      <c r="G32" s="70">
        <v>258.63</v>
      </c>
      <c r="H32" s="71">
        <f t="shared" si="1"/>
        <v>1.3717735199999999</v>
      </c>
      <c r="I32" s="13">
        <f t="shared" ref="I32:I35" si="2">F32/6*G32</f>
        <v>228.62891999999999</v>
      </c>
      <c r="J32" s="22"/>
      <c r="K32" s="8"/>
      <c r="L32" s="8"/>
      <c r="M32" s="8"/>
    </row>
    <row r="33" spans="1:14" ht="15" hidden="1" customHeight="1">
      <c r="A33" s="29">
        <v>16</v>
      </c>
      <c r="B33" s="67" t="s">
        <v>27</v>
      </c>
      <c r="C33" s="68" t="s">
        <v>122</v>
      </c>
      <c r="D33" s="67" t="s">
        <v>55</v>
      </c>
      <c r="E33" s="70">
        <v>709.53</v>
      </c>
      <c r="F33" s="70">
        <f>SUM(E33/1000)</f>
        <v>0.70952999999999999</v>
      </c>
      <c r="G33" s="70">
        <v>3020.33</v>
      </c>
      <c r="H33" s="71">
        <f t="shared" si="1"/>
        <v>2.1430147448999999</v>
      </c>
      <c r="I33" s="13">
        <f>F33*G33</f>
        <v>2143.0147449000001</v>
      </c>
      <c r="J33" s="22"/>
      <c r="K33" s="8"/>
      <c r="L33" s="8"/>
      <c r="M33" s="8"/>
    </row>
    <row r="34" spans="1:14" ht="15" hidden="1" customHeight="1">
      <c r="A34" s="29">
        <v>8</v>
      </c>
      <c r="B34" s="67" t="s">
        <v>157</v>
      </c>
      <c r="C34" s="68" t="s">
        <v>41</v>
      </c>
      <c r="D34" s="67" t="s">
        <v>65</v>
      </c>
      <c r="E34" s="70">
        <v>4</v>
      </c>
      <c r="F34" s="70">
        <v>6.2</v>
      </c>
      <c r="G34" s="70">
        <v>1302.02</v>
      </c>
      <c r="H34" s="71">
        <v>8.0730000000000004</v>
      </c>
      <c r="I34" s="13">
        <f t="shared" si="2"/>
        <v>1345.4206666666669</v>
      </c>
      <c r="J34" s="22"/>
      <c r="K34" s="8"/>
      <c r="L34" s="8"/>
      <c r="M34" s="8"/>
    </row>
    <row r="35" spans="1:14" ht="15" hidden="1" customHeight="1">
      <c r="A35" s="29">
        <v>9</v>
      </c>
      <c r="B35" s="67" t="s">
        <v>158</v>
      </c>
      <c r="C35" s="68" t="s">
        <v>30</v>
      </c>
      <c r="D35" s="67" t="s">
        <v>65</v>
      </c>
      <c r="E35" s="76">
        <v>0.33333333333333331</v>
      </c>
      <c r="F35" s="70">
        <f>155/3</f>
        <v>51.666666666666664</v>
      </c>
      <c r="G35" s="70">
        <v>56.69</v>
      </c>
      <c r="H35" s="71">
        <f>SUM(G35*155/3/1000)</f>
        <v>2.9289833333333331</v>
      </c>
      <c r="I35" s="13">
        <f t="shared" si="2"/>
        <v>488.16388888888883</v>
      </c>
      <c r="J35" s="22"/>
      <c r="K35" s="8"/>
    </row>
    <row r="36" spans="1:14" ht="15" hidden="1" customHeight="1">
      <c r="A36" s="29"/>
      <c r="B36" s="67" t="s">
        <v>67</v>
      </c>
      <c r="C36" s="68" t="s">
        <v>33</v>
      </c>
      <c r="D36" s="67" t="s">
        <v>69</v>
      </c>
      <c r="E36" s="69"/>
      <c r="F36" s="70">
        <v>3</v>
      </c>
      <c r="G36" s="70">
        <v>191.32</v>
      </c>
      <c r="H36" s="71">
        <f t="shared" si="1"/>
        <v>0.57396000000000003</v>
      </c>
      <c r="I36" s="13">
        <v>0</v>
      </c>
      <c r="J36" s="23"/>
    </row>
    <row r="37" spans="1:14" ht="15" hidden="1" customHeight="1">
      <c r="A37" s="29"/>
      <c r="B37" s="67" t="s">
        <v>68</v>
      </c>
      <c r="C37" s="68" t="s">
        <v>32</v>
      </c>
      <c r="D37" s="67" t="s">
        <v>69</v>
      </c>
      <c r="E37" s="69"/>
      <c r="F37" s="70">
        <v>2</v>
      </c>
      <c r="G37" s="70">
        <v>1136.32</v>
      </c>
      <c r="H37" s="71">
        <f t="shared" si="1"/>
        <v>2.27264</v>
      </c>
      <c r="I37" s="13">
        <v>0</v>
      </c>
      <c r="J37" s="23"/>
    </row>
    <row r="38" spans="1:14" ht="15" customHeight="1">
      <c r="A38" s="29"/>
      <c r="B38" s="90" t="s">
        <v>5</v>
      </c>
      <c r="C38" s="68"/>
      <c r="D38" s="67"/>
      <c r="E38" s="69"/>
      <c r="F38" s="70"/>
      <c r="G38" s="70"/>
      <c r="H38" s="71" t="s">
        <v>140</v>
      </c>
      <c r="I38" s="13"/>
      <c r="J38" s="23"/>
    </row>
    <row r="39" spans="1:14" ht="15" customHeight="1">
      <c r="A39" s="29">
        <v>6</v>
      </c>
      <c r="B39" s="67" t="s">
        <v>26</v>
      </c>
      <c r="C39" s="68" t="s">
        <v>32</v>
      </c>
      <c r="D39" s="67"/>
      <c r="E39" s="69"/>
      <c r="F39" s="70">
        <v>6</v>
      </c>
      <c r="G39" s="70">
        <v>1527.22</v>
      </c>
      <c r="H39" s="71">
        <f t="shared" ref="H39:H46" si="3">SUM(F39*G39/1000)</f>
        <v>9.1633200000000006</v>
      </c>
      <c r="I39" s="13">
        <f>F39/6*G39</f>
        <v>1527.22</v>
      </c>
      <c r="J39" s="23"/>
    </row>
    <row r="40" spans="1:14" ht="15" customHeight="1">
      <c r="A40" s="29">
        <v>7</v>
      </c>
      <c r="B40" s="67" t="s">
        <v>109</v>
      </c>
      <c r="C40" s="68" t="s">
        <v>29</v>
      </c>
      <c r="D40" s="67" t="s">
        <v>144</v>
      </c>
      <c r="E40" s="70">
        <v>429.8</v>
      </c>
      <c r="F40" s="70">
        <f>SUM(E40*12/1000)</f>
        <v>5.1576000000000004</v>
      </c>
      <c r="G40" s="70">
        <v>2102.71</v>
      </c>
      <c r="H40" s="71">
        <f t="shared" si="3"/>
        <v>10.844937096000001</v>
      </c>
      <c r="I40" s="13">
        <f>F40/6*G40</f>
        <v>1807.4895160000001</v>
      </c>
      <c r="J40" s="23"/>
      <c r="L40" s="19"/>
      <c r="M40" s="20"/>
      <c r="N40" s="21"/>
    </row>
    <row r="41" spans="1:14" ht="15" customHeight="1">
      <c r="A41" s="29">
        <v>8</v>
      </c>
      <c r="B41" s="67" t="s">
        <v>145</v>
      </c>
      <c r="C41" s="68" t="s">
        <v>29</v>
      </c>
      <c r="D41" s="67" t="s">
        <v>126</v>
      </c>
      <c r="E41" s="70">
        <v>68</v>
      </c>
      <c r="F41" s="70">
        <f>SUM(E41*30/1000)</f>
        <v>2.04</v>
      </c>
      <c r="G41" s="70">
        <v>2102.71</v>
      </c>
      <c r="H41" s="71">
        <f>SUM(F41*G41/1000)</f>
        <v>4.2895284</v>
      </c>
      <c r="I41" s="13">
        <f>F41/6*G41</f>
        <v>714.92140000000006</v>
      </c>
      <c r="J41" s="23"/>
      <c r="L41" s="19"/>
      <c r="M41" s="20"/>
      <c r="N41" s="21"/>
    </row>
    <row r="42" spans="1:14" ht="15" hidden="1" customHeight="1">
      <c r="A42" s="29"/>
      <c r="B42" s="67" t="s">
        <v>99</v>
      </c>
      <c r="C42" s="68" t="s">
        <v>127</v>
      </c>
      <c r="D42" s="67" t="s">
        <v>159</v>
      </c>
      <c r="E42" s="69"/>
      <c r="F42" s="70">
        <v>50</v>
      </c>
      <c r="G42" s="70">
        <v>199.44</v>
      </c>
      <c r="H42" s="71">
        <f>SUM(F42*G42/1000)</f>
        <v>9.9719999999999995</v>
      </c>
      <c r="I42" s="13">
        <v>0</v>
      </c>
      <c r="J42" s="23"/>
      <c r="L42" s="19"/>
      <c r="M42" s="20"/>
      <c r="N42" s="21"/>
    </row>
    <row r="43" spans="1:14" ht="15" customHeight="1">
      <c r="A43" s="29">
        <v>9</v>
      </c>
      <c r="B43" s="67" t="s">
        <v>70</v>
      </c>
      <c r="C43" s="68" t="s">
        <v>29</v>
      </c>
      <c r="D43" s="67" t="s">
        <v>128</v>
      </c>
      <c r="E43" s="70">
        <v>68</v>
      </c>
      <c r="F43" s="70">
        <f>SUM(E43*155/1000)</f>
        <v>10.54</v>
      </c>
      <c r="G43" s="70">
        <v>350.75</v>
      </c>
      <c r="H43" s="71">
        <f t="shared" si="3"/>
        <v>3.6969049999999997</v>
      </c>
      <c r="I43" s="13">
        <f>F43/6*G43</f>
        <v>616.15083333333325</v>
      </c>
      <c r="J43" s="23"/>
      <c r="L43" s="19"/>
      <c r="M43" s="20"/>
      <c r="N43" s="21"/>
    </row>
    <row r="44" spans="1:14" ht="47.25" customHeight="1">
      <c r="A44" s="29">
        <v>10</v>
      </c>
      <c r="B44" s="67" t="s">
        <v>86</v>
      </c>
      <c r="C44" s="68" t="s">
        <v>122</v>
      </c>
      <c r="D44" s="67" t="s">
        <v>146</v>
      </c>
      <c r="E44" s="70">
        <v>68</v>
      </c>
      <c r="F44" s="70">
        <f>SUM(E44*24/1000)</f>
        <v>1.6319999999999999</v>
      </c>
      <c r="G44" s="70">
        <v>5803.28</v>
      </c>
      <c r="H44" s="71">
        <f t="shared" si="3"/>
        <v>9.4709529599999982</v>
      </c>
      <c r="I44" s="13">
        <f>F44/6*G44</f>
        <v>1578.4921599999998</v>
      </c>
      <c r="J44" s="23"/>
      <c r="L44" s="19"/>
      <c r="M44" s="20"/>
      <c r="N44" s="21"/>
    </row>
    <row r="45" spans="1:14" ht="15" customHeight="1">
      <c r="A45" s="29">
        <v>11</v>
      </c>
      <c r="B45" s="67" t="s">
        <v>129</v>
      </c>
      <c r="C45" s="68" t="s">
        <v>122</v>
      </c>
      <c r="D45" s="67" t="s">
        <v>71</v>
      </c>
      <c r="E45" s="70">
        <v>68</v>
      </c>
      <c r="F45" s="70">
        <f>SUM(E45*45/1000)</f>
        <v>3.06</v>
      </c>
      <c r="G45" s="70">
        <v>428.7</v>
      </c>
      <c r="H45" s="71">
        <f t="shared" si="3"/>
        <v>1.3118219999999998</v>
      </c>
      <c r="I45" s="13">
        <f>F45/7.5*1.5*G45</f>
        <v>262.36440000000005</v>
      </c>
      <c r="J45" s="23"/>
      <c r="L45" s="19"/>
      <c r="M45" s="20"/>
      <c r="N45" s="21"/>
    </row>
    <row r="46" spans="1:14" ht="15" customHeight="1">
      <c r="A46" s="29">
        <v>12</v>
      </c>
      <c r="B46" s="67" t="s">
        <v>72</v>
      </c>
      <c r="C46" s="68" t="s">
        <v>33</v>
      </c>
      <c r="D46" s="67"/>
      <c r="E46" s="69"/>
      <c r="F46" s="70">
        <v>0.9</v>
      </c>
      <c r="G46" s="70">
        <v>798</v>
      </c>
      <c r="H46" s="71">
        <f t="shared" si="3"/>
        <v>0.71820000000000006</v>
      </c>
      <c r="I46" s="13">
        <f>F46/7.5*1.5*G46</f>
        <v>143.64000000000001</v>
      </c>
      <c r="J46" s="23"/>
      <c r="L46" s="19"/>
      <c r="M46" s="20"/>
      <c r="N46" s="21"/>
    </row>
    <row r="47" spans="1:14" ht="20.25" customHeight="1">
      <c r="A47" s="136" t="s">
        <v>153</v>
      </c>
      <c r="B47" s="137"/>
      <c r="C47" s="137"/>
      <c r="D47" s="137"/>
      <c r="E47" s="137"/>
      <c r="F47" s="137"/>
      <c r="G47" s="137"/>
      <c r="H47" s="137"/>
      <c r="I47" s="138"/>
      <c r="J47" s="23"/>
      <c r="L47" s="19"/>
      <c r="M47" s="20"/>
      <c r="N47" s="21"/>
    </row>
    <row r="48" spans="1:14" ht="32.25" hidden="1" customHeight="1">
      <c r="A48" s="29"/>
      <c r="B48" s="67" t="s">
        <v>147</v>
      </c>
      <c r="C48" s="68" t="s">
        <v>122</v>
      </c>
      <c r="D48" s="67" t="s">
        <v>43</v>
      </c>
      <c r="E48" s="69">
        <v>1061.3</v>
      </c>
      <c r="F48" s="70">
        <f>SUM(E48*2/1000)</f>
        <v>2.1225999999999998</v>
      </c>
      <c r="G48" s="13">
        <v>809.74</v>
      </c>
      <c r="H48" s="71">
        <f t="shared" ref="H48:H57" si="4">SUM(F48*G48/1000)</f>
        <v>1.7187541239999997</v>
      </c>
      <c r="I48" s="13">
        <v>0</v>
      </c>
      <c r="J48" s="23"/>
      <c r="L48" s="19"/>
      <c r="M48" s="20"/>
      <c r="N48" s="21"/>
    </row>
    <row r="49" spans="1:22" ht="32.25" hidden="1" customHeight="1">
      <c r="A49" s="29"/>
      <c r="B49" s="67" t="s">
        <v>36</v>
      </c>
      <c r="C49" s="68" t="s">
        <v>122</v>
      </c>
      <c r="D49" s="67" t="s">
        <v>43</v>
      </c>
      <c r="E49" s="69">
        <v>52</v>
      </c>
      <c r="F49" s="70">
        <f>SUM(E49*2/1000)</f>
        <v>0.104</v>
      </c>
      <c r="G49" s="13">
        <v>579.48</v>
      </c>
      <c r="H49" s="71">
        <f t="shared" si="4"/>
        <v>6.0265920000000001E-2</v>
      </c>
      <c r="I49" s="13">
        <v>0</v>
      </c>
      <c r="J49" s="23"/>
      <c r="L49" s="19"/>
      <c r="M49" s="20"/>
      <c r="N49" s="21"/>
    </row>
    <row r="50" spans="1:22" ht="30" hidden="1" customHeight="1">
      <c r="A50" s="29"/>
      <c r="B50" s="67" t="s">
        <v>37</v>
      </c>
      <c r="C50" s="68" t="s">
        <v>122</v>
      </c>
      <c r="D50" s="67" t="s">
        <v>43</v>
      </c>
      <c r="E50" s="69">
        <v>1238.8</v>
      </c>
      <c r="F50" s="70">
        <f>SUM(E50*2/1000)</f>
        <v>2.4775999999999998</v>
      </c>
      <c r="G50" s="13">
        <v>579.48</v>
      </c>
      <c r="H50" s="71">
        <f t="shared" si="4"/>
        <v>1.4357196480000001</v>
      </c>
      <c r="I50" s="13">
        <v>0</v>
      </c>
      <c r="J50" s="23"/>
      <c r="L50" s="19"/>
      <c r="M50" s="20"/>
      <c r="N50" s="21"/>
    </row>
    <row r="51" spans="1:22" ht="39" hidden="1" customHeight="1">
      <c r="A51" s="29"/>
      <c r="B51" s="67" t="s">
        <v>38</v>
      </c>
      <c r="C51" s="68" t="s">
        <v>122</v>
      </c>
      <c r="D51" s="67" t="s">
        <v>43</v>
      </c>
      <c r="E51" s="69">
        <v>1794.01</v>
      </c>
      <c r="F51" s="70">
        <f>SUM(E51*2/1000)</f>
        <v>3.5880199999999998</v>
      </c>
      <c r="G51" s="13">
        <v>606.77</v>
      </c>
      <c r="H51" s="71">
        <f t="shared" si="4"/>
        <v>2.1771028954</v>
      </c>
      <c r="I51" s="13">
        <v>0</v>
      </c>
      <c r="J51" s="23"/>
      <c r="L51" s="19"/>
      <c r="M51" s="20"/>
      <c r="N51" s="21"/>
    </row>
    <row r="52" spans="1:22" ht="44.25" hidden="1" customHeight="1">
      <c r="A52" s="29"/>
      <c r="B52" s="67" t="s">
        <v>34</v>
      </c>
      <c r="C52" s="68" t="s">
        <v>35</v>
      </c>
      <c r="D52" s="67" t="s">
        <v>160</v>
      </c>
      <c r="E52" s="69">
        <v>85.78</v>
      </c>
      <c r="F52" s="70">
        <f>SUM(E52*2/100)</f>
        <v>1.7156</v>
      </c>
      <c r="G52" s="13">
        <v>72.81</v>
      </c>
      <c r="H52" s="71">
        <f t="shared" si="4"/>
        <v>0.124912836</v>
      </c>
      <c r="I52" s="13">
        <v>0</v>
      </c>
      <c r="J52" s="23"/>
      <c r="L52" s="19"/>
      <c r="M52" s="20"/>
      <c r="N52" s="21"/>
    </row>
    <row r="53" spans="1:22" ht="45" hidden="1" customHeight="1">
      <c r="A53" s="29">
        <v>13</v>
      </c>
      <c r="B53" s="67" t="s">
        <v>58</v>
      </c>
      <c r="C53" s="68" t="s">
        <v>122</v>
      </c>
      <c r="D53" s="67" t="s">
        <v>180</v>
      </c>
      <c r="E53" s="69">
        <v>884</v>
      </c>
      <c r="F53" s="70">
        <f>SUM(E53*5/1000)</f>
        <v>4.42</v>
      </c>
      <c r="G53" s="13">
        <v>1213.55</v>
      </c>
      <c r="H53" s="71">
        <f t="shared" si="4"/>
        <v>5.3638909999999997</v>
      </c>
      <c r="I53" s="13">
        <f>F53/5*G53</f>
        <v>1072.7782</v>
      </c>
      <c r="J53" s="23"/>
      <c r="L53" s="19"/>
      <c r="M53" s="20"/>
      <c r="N53" s="21"/>
    </row>
    <row r="54" spans="1:22" ht="39" customHeight="1">
      <c r="A54" s="29">
        <v>13</v>
      </c>
      <c r="B54" s="67" t="s">
        <v>130</v>
      </c>
      <c r="C54" s="68" t="s">
        <v>122</v>
      </c>
      <c r="D54" s="67" t="s">
        <v>43</v>
      </c>
      <c r="E54" s="69">
        <v>884</v>
      </c>
      <c r="F54" s="70">
        <f>SUM(E54*2/1000)</f>
        <v>1.768</v>
      </c>
      <c r="G54" s="13">
        <v>1213.55</v>
      </c>
      <c r="H54" s="71">
        <f t="shared" si="4"/>
        <v>2.1455563999999998</v>
      </c>
      <c r="I54" s="13">
        <f>F54/2*G54</f>
        <v>1072.7782</v>
      </c>
      <c r="J54" s="23"/>
      <c r="L54" s="19"/>
      <c r="M54" s="20"/>
      <c r="N54" s="21"/>
    </row>
    <row r="55" spans="1:22" ht="32.25" customHeight="1">
      <c r="A55" s="29">
        <v>14</v>
      </c>
      <c r="B55" s="67" t="s">
        <v>131</v>
      </c>
      <c r="C55" s="68" t="s">
        <v>39</v>
      </c>
      <c r="D55" s="67" t="s">
        <v>43</v>
      </c>
      <c r="E55" s="69">
        <v>20</v>
      </c>
      <c r="F55" s="70">
        <f>SUM(E55*2/100)</f>
        <v>0.4</v>
      </c>
      <c r="G55" s="13">
        <v>2730.49</v>
      </c>
      <c r="H55" s="71">
        <f t="shared" si="4"/>
        <v>1.0921959999999999</v>
      </c>
      <c r="I55" s="13">
        <f>F55/2*G55</f>
        <v>546.09799999999996</v>
      </c>
      <c r="J55" s="23"/>
      <c r="L55" s="19"/>
      <c r="M55" s="20"/>
      <c r="N55" s="21"/>
    </row>
    <row r="56" spans="1:22" ht="18.75" customHeight="1">
      <c r="A56" s="29">
        <v>15</v>
      </c>
      <c r="B56" s="67" t="s">
        <v>40</v>
      </c>
      <c r="C56" s="68" t="s">
        <v>41</v>
      </c>
      <c r="D56" s="67" t="s">
        <v>43</v>
      </c>
      <c r="E56" s="69">
        <v>1</v>
      </c>
      <c r="F56" s="70">
        <v>0.02</v>
      </c>
      <c r="G56" s="13">
        <v>5652.13</v>
      </c>
      <c r="H56" s="71">
        <f t="shared" si="4"/>
        <v>0.11304260000000001</v>
      </c>
      <c r="I56" s="13">
        <f>F56/2*G56</f>
        <v>56.521300000000004</v>
      </c>
      <c r="J56" s="23"/>
      <c r="L56" s="19"/>
      <c r="M56" s="20"/>
      <c r="N56" s="21"/>
    </row>
    <row r="57" spans="1:22" ht="25.5" hidden="1" customHeight="1">
      <c r="A57" s="29">
        <v>13</v>
      </c>
      <c r="B57" s="67" t="s">
        <v>42</v>
      </c>
      <c r="C57" s="68" t="s">
        <v>30</v>
      </c>
      <c r="D57" s="67" t="s">
        <v>73</v>
      </c>
      <c r="E57" s="69">
        <v>136</v>
      </c>
      <c r="F57" s="70">
        <f>SUM(E57)*3</f>
        <v>408</v>
      </c>
      <c r="G57" s="13">
        <v>65.67</v>
      </c>
      <c r="H57" s="71">
        <f t="shared" si="4"/>
        <v>26.79336</v>
      </c>
      <c r="I57" s="13">
        <f>E57*G57</f>
        <v>8931.1200000000008</v>
      </c>
      <c r="J57" s="23"/>
      <c r="L57" s="19"/>
      <c r="M57" s="20"/>
      <c r="N57" s="21"/>
    </row>
    <row r="58" spans="1:22" ht="15.75" customHeight="1">
      <c r="A58" s="136" t="s">
        <v>183</v>
      </c>
      <c r="B58" s="137"/>
      <c r="C58" s="137"/>
      <c r="D58" s="137"/>
      <c r="E58" s="137"/>
      <c r="F58" s="137"/>
      <c r="G58" s="137"/>
      <c r="H58" s="137"/>
      <c r="I58" s="138"/>
      <c r="J58" s="23"/>
      <c r="L58" s="19"/>
      <c r="M58" s="20"/>
      <c r="N58" s="21"/>
    </row>
    <row r="59" spans="1:22" ht="15" hidden="1" customHeight="1">
      <c r="A59" s="29"/>
      <c r="B59" s="90" t="s">
        <v>44</v>
      </c>
      <c r="C59" s="68"/>
      <c r="D59" s="67"/>
      <c r="E59" s="69"/>
      <c r="F59" s="70"/>
      <c r="G59" s="70"/>
      <c r="H59" s="71"/>
      <c r="I59" s="13"/>
      <c r="J59" s="23"/>
      <c r="L59" s="19"/>
      <c r="M59" s="20"/>
      <c r="N59" s="21"/>
    </row>
    <row r="60" spans="1:22" ht="31.5" hidden="1" customHeight="1">
      <c r="A60" s="29">
        <v>16</v>
      </c>
      <c r="B60" s="67" t="s">
        <v>133</v>
      </c>
      <c r="C60" s="68" t="s">
        <v>104</v>
      </c>
      <c r="D60" s="67" t="s">
        <v>74</v>
      </c>
      <c r="E60" s="69">
        <v>106.13</v>
      </c>
      <c r="F60" s="70">
        <f>E60*6/100</f>
        <v>6.3677999999999999</v>
      </c>
      <c r="G60" s="78">
        <v>1547.28</v>
      </c>
      <c r="H60" s="71">
        <f>F60*G60/1000</f>
        <v>9.8527695839999989</v>
      </c>
      <c r="I60" s="13">
        <f>F60/6*G60</f>
        <v>1642.1282639999999</v>
      </c>
      <c r="J60" s="23"/>
      <c r="L60" s="19"/>
    </row>
    <row r="61" spans="1:22" ht="15" customHeight="1">
      <c r="A61" s="29"/>
      <c r="B61" s="91" t="s">
        <v>45</v>
      </c>
      <c r="C61" s="79"/>
      <c r="D61" s="80"/>
      <c r="E61" s="81"/>
      <c r="F61" s="82"/>
      <c r="G61" s="83"/>
      <c r="H61" s="92"/>
      <c r="I61" s="13"/>
    </row>
    <row r="62" spans="1:22" ht="15" hidden="1" customHeight="1">
      <c r="A62" s="29"/>
      <c r="B62" s="80" t="s">
        <v>46</v>
      </c>
      <c r="C62" s="79" t="s">
        <v>54</v>
      </c>
      <c r="D62" s="80" t="s">
        <v>55</v>
      </c>
      <c r="E62" s="81">
        <v>884</v>
      </c>
      <c r="F62" s="82">
        <f>E62/100</f>
        <v>8.84</v>
      </c>
      <c r="G62" s="70">
        <v>793.61</v>
      </c>
      <c r="H62" s="92">
        <f>G62*F62/1000</f>
        <v>7.0155123999999995</v>
      </c>
      <c r="I62" s="13">
        <v>0</v>
      </c>
    </row>
    <row r="63" spans="1:22" ht="15" customHeight="1">
      <c r="A63" s="29">
        <v>16</v>
      </c>
      <c r="B63" s="80" t="s">
        <v>100</v>
      </c>
      <c r="C63" s="79" t="s">
        <v>25</v>
      </c>
      <c r="D63" s="80"/>
      <c r="E63" s="81">
        <v>176.8</v>
      </c>
      <c r="F63" s="82">
        <f>E63*12</f>
        <v>2121.6000000000004</v>
      </c>
      <c r="G63" s="70">
        <v>1.2</v>
      </c>
      <c r="H63" s="92">
        <f>G63*F63</f>
        <v>2545.9200000000005</v>
      </c>
      <c r="I63" s="13">
        <f>1200/12*G63</f>
        <v>120</v>
      </c>
    </row>
    <row r="64" spans="1:22" ht="15" hidden="1" customHeight="1">
      <c r="A64" s="29"/>
      <c r="B64" s="91" t="s">
        <v>47</v>
      </c>
      <c r="C64" s="79"/>
      <c r="D64" s="80"/>
      <c r="E64" s="81"/>
      <c r="F64" s="82"/>
      <c r="G64" s="70"/>
      <c r="H64" s="92" t="s">
        <v>140</v>
      </c>
      <c r="I64" s="1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9"/>
    </row>
    <row r="65" spans="1:21" ht="15" hidden="1" customHeight="1">
      <c r="A65" s="29">
        <v>16</v>
      </c>
      <c r="B65" s="14" t="s">
        <v>48</v>
      </c>
      <c r="C65" s="16" t="s">
        <v>132</v>
      </c>
      <c r="D65" s="14" t="s">
        <v>69</v>
      </c>
      <c r="E65" s="18">
        <v>20</v>
      </c>
      <c r="F65" s="70">
        <v>20</v>
      </c>
      <c r="G65" s="94">
        <v>222.4</v>
      </c>
      <c r="H65" s="93">
        <f t="shared" ref="H65:H72" si="5">SUM(F65*G65/1000)</f>
        <v>4.4480000000000004</v>
      </c>
      <c r="I65" s="13">
        <f>G65</f>
        <v>222.4</v>
      </c>
      <c r="J65" s="25"/>
      <c r="K65" s="25"/>
      <c r="L65" s="3"/>
      <c r="M65" s="3"/>
      <c r="N65" s="3"/>
      <c r="O65" s="3"/>
      <c r="P65" s="3"/>
      <c r="Q65" s="3"/>
      <c r="R65" s="3"/>
      <c r="S65" s="3"/>
      <c r="T65" s="3"/>
      <c r="U65" s="3"/>
    </row>
    <row r="66" spans="1:21" ht="15" hidden="1" customHeight="1">
      <c r="A66" s="29">
        <v>17</v>
      </c>
      <c r="B66" s="14" t="s">
        <v>49</v>
      </c>
      <c r="C66" s="16" t="s">
        <v>132</v>
      </c>
      <c r="D66" s="14" t="s">
        <v>69</v>
      </c>
      <c r="E66" s="14" t="s">
        <v>69</v>
      </c>
      <c r="F66" s="14" t="s">
        <v>69</v>
      </c>
      <c r="G66" s="13">
        <v>76.25</v>
      </c>
      <c r="H66" s="84" t="e">
        <f t="shared" si="5"/>
        <v>#VALUE!</v>
      </c>
      <c r="I66" s="13">
        <f>G66*7</f>
        <v>533.75</v>
      </c>
      <c r="J66" s="3"/>
      <c r="K66" s="3"/>
      <c r="L66" s="3"/>
      <c r="M66" s="3"/>
      <c r="N66" s="3"/>
      <c r="O66" s="3"/>
      <c r="P66" s="3"/>
      <c r="Q66" s="3"/>
      <c r="S66" s="3"/>
      <c r="T66" s="3"/>
      <c r="U66" s="3"/>
    </row>
    <row r="67" spans="1:21" ht="15" hidden="1" customHeight="1">
      <c r="A67" s="29"/>
      <c r="B67" s="14" t="s">
        <v>50</v>
      </c>
      <c r="C67" s="16" t="s">
        <v>134</v>
      </c>
      <c r="D67" s="14" t="s">
        <v>55</v>
      </c>
      <c r="E67" s="69">
        <v>12647</v>
      </c>
      <c r="F67" s="13">
        <f>SUM(E67/100)</f>
        <v>126.47</v>
      </c>
      <c r="G67" s="13">
        <v>212.15</v>
      </c>
      <c r="H67" s="84">
        <f t="shared" si="5"/>
        <v>26.830610499999999</v>
      </c>
      <c r="I67" s="13">
        <f>F67*G67</f>
        <v>26830.610499999999</v>
      </c>
      <c r="J67" s="5"/>
      <c r="K67" s="5"/>
      <c r="L67" s="5"/>
      <c r="M67" s="5"/>
      <c r="N67" s="5"/>
      <c r="O67" s="5"/>
      <c r="P67" s="5"/>
      <c r="Q67" s="5"/>
      <c r="R67" s="124"/>
      <c r="S67" s="124"/>
      <c r="T67" s="124"/>
      <c r="U67" s="124"/>
    </row>
    <row r="68" spans="1:21" ht="15" hidden="1" customHeight="1">
      <c r="A68" s="29"/>
      <c r="B68" s="14" t="s">
        <v>51</v>
      </c>
      <c r="C68" s="16" t="s">
        <v>135</v>
      </c>
      <c r="D68" s="14"/>
      <c r="E68" s="69">
        <v>12647</v>
      </c>
      <c r="F68" s="13">
        <f>SUM(E68/1000)</f>
        <v>12.647</v>
      </c>
      <c r="G68" s="13">
        <v>165.21</v>
      </c>
      <c r="H68" s="84">
        <f t="shared" si="5"/>
        <v>2.08941087</v>
      </c>
      <c r="I68" s="13">
        <f t="shared" ref="I68:I72" si="6">F68*G68</f>
        <v>2089.4108700000002</v>
      </c>
    </row>
    <row r="69" spans="1:21" ht="15" hidden="1" customHeight="1">
      <c r="A69" s="29"/>
      <c r="B69" s="14" t="s">
        <v>52</v>
      </c>
      <c r="C69" s="16" t="s">
        <v>80</v>
      </c>
      <c r="D69" s="14" t="s">
        <v>55</v>
      </c>
      <c r="E69" s="69">
        <v>1900</v>
      </c>
      <c r="F69" s="13">
        <f>SUM(E69/100)</f>
        <v>19</v>
      </c>
      <c r="G69" s="13">
        <v>2074.63</v>
      </c>
      <c r="H69" s="84">
        <f t="shared" si="5"/>
        <v>39.417970000000004</v>
      </c>
      <c r="I69" s="13">
        <f t="shared" si="6"/>
        <v>39417.97</v>
      </c>
    </row>
    <row r="70" spans="1:21" ht="15" hidden="1" customHeight="1">
      <c r="A70" s="29"/>
      <c r="B70" s="85" t="s">
        <v>136</v>
      </c>
      <c r="C70" s="16" t="s">
        <v>33</v>
      </c>
      <c r="D70" s="14"/>
      <c r="E70" s="69">
        <v>11.3</v>
      </c>
      <c r="F70" s="13">
        <f>SUM(E70)</f>
        <v>11.3</v>
      </c>
      <c r="G70" s="13">
        <v>42.67</v>
      </c>
      <c r="H70" s="84">
        <f t="shared" si="5"/>
        <v>0.48217100000000007</v>
      </c>
      <c r="I70" s="13">
        <f t="shared" si="6"/>
        <v>482.17100000000005</v>
      </c>
    </row>
    <row r="71" spans="1:21" ht="15" hidden="1" customHeight="1">
      <c r="A71" s="29"/>
      <c r="B71" s="85" t="s">
        <v>137</v>
      </c>
      <c r="C71" s="16" t="s">
        <v>33</v>
      </c>
      <c r="D71" s="14"/>
      <c r="E71" s="69">
        <v>11.3</v>
      </c>
      <c r="F71" s="13">
        <f>SUM(E71)</f>
        <v>11.3</v>
      </c>
      <c r="G71" s="13">
        <v>39.81</v>
      </c>
      <c r="H71" s="84">
        <f t="shared" si="5"/>
        <v>0.44985300000000006</v>
      </c>
      <c r="I71" s="13">
        <f t="shared" si="6"/>
        <v>449.85300000000007</v>
      </c>
    </row>
    <row r="72" spans="1:21" ht="15" hidden="1" customHeight="1">
      <c r="A72" s="29"/>
      <c r="B72" s="14" t="s">
        <v>59</v>
      </c>
      <c r="C72" s="16" t="s">
        <v>60</v>
      </c>
      <c r="D72" s="14" t="s">
        <v>55</v>
      </c>
      <c r="E72" s="18">
        <v>6</v>
      </c>
      <c r="F72" s="70">
        <f>SUM(E72)</f>
        <v>6</v>
      </c>
      <c r="G72" s="13">
        <v>49.88</v>
      </c>
      <c r="H72" s="84">
        <f t="shared" si="5"/>
        <v>0.29928000000000005</v>
      </c>
      <c r="I72" s="13">
        <f t="shared" si="6"/>
        <v>299.28000000000003</v>
      </c>
    </row>
    <row r="73" spans="1:21" ht="15" hidden="1" customHeight="1">
      <c r="A73" s="29"/>
      <c r="B73" s="57" t="s">
        <v>75</v>
      </c>
      <c r="C73" s="16"/>
      <c r="D73" s="14"/>
      <c r="E73" s="18"/>
      <c r="F73" s="13"/>
      <c r="G73" s="13"/>
      <c r="H73" s="84" t="s">
        <v>140</v>
      </c>
      <c r="I73" s="13"/>
    </row>
    <row r="74" spans="1:21" ht="15" hidden="1" customHeight="1">
      <c r="A74" s="29">
        <v>15</v>
      </c>
      <c r="B74" s="14" t="s">
        <v>76</v>
      </c>
      <c r="C74" s="16" t="s">
        <v>31</v>
      </c>
      <c r="D74" s="14"/>
      <c r="E74" s="18">
        <v>5</v>
      </c>
      <c r="F74" s="61">
        <v>0.5</v>
      </c>
      <c r="G74" s="13">
        <v>501.62</v>
      </c>
      <c r="H74" s="84">
        <v>0.251</v>
      </c>
      <c r="I74" s="13">
        <f>G74*0.1</f>
        <v>50.162000000000006</v>
      </c>
    </row>
    <row r="75" spans="1:21" ht="15.75" customHeight="1">
      <c r="A75" s="125" t="s">
        <v>187</v>
      </c>
      <c r="B75" s="126"/>
      <c r="C75" s="126"/>
      <c r="D75" s="126"/>
      <c r="E75" s="126"/>
      <c r="F75" s="126"/>
      <c r="G75" s="126"/>
      <c r="H75" s="126"/>
      <c r="I75" s="127"/>
    </row>
    <row r="76" spans="1:21" ht="15" customHeight="1">
      <c r="A76" s="29">
        <v>17</v>
      </c>
      <c r="B76" s="67" t="s">
        <v>142</v>
      </c>
      <c r="C76" s="16" t="s">
        <v>56</v>
      </c>
      <c r="D76" s="88" t="s">
        <v>57</v>
      </c>
      <c r="E76" s="13">
        <v>3031.3</v>
      </c>
      <c r="F76" s="13">
        <f>SUM(E76*12)</f>
        <v>36375.600000000006</v>
      </c>
      <c r="G76" s="13">
        <v>2.1</v>
      </c>
      <c r="H76" s="84">
        <f>SUM(F76*G76/1000)</f>
        <v>76.388760000000005</v>
      </c>
      <c r="I76" s="13">
        <f>F76/12*G76</f>
        <v>6365.7300000000014</v>
      </c>
    </row>
    <row r="77" spans="1:21" ht="31.5" customHeight="1">
      <c r="A77" s="29">
        <v>18</v>
      </c>
      <c r="B77" s="14" t="s">
        <v>81</v>
      </c>
      <c r="C77" s="16"/>
      <c r="D77" s="88" t="s">
        <v>57</v>
      </c>
      <c r="E77" s="69">
        <f>E76</f>
        <v>3031.3</v>
      </c>
      <c r="F77" s="13">
        <f>E77*12</f>
        <v>36375.600000000006</v>
      </c>
      <c r="G77" s="13">
        <v>1.63</v>
      </c>
      <c r="H77" s="84">
        <f>F77*G77/1000</f>
        <v>59.292228000000001</v>
      </c>
      <c r="I77" s="13">
        <f>F77/12*G77</f>
        <v>4941.0190000000011</v>
      </c>
    </row>
    <row r="78" spans="1:21" ht="15.75" customHeight="1">
      <c r="A78" s="45"/>
      <c r="B78" s="36" t="s">
        <v>83</v>
      </c>
      <c r="C78" s="37"/>
      <c r="D78" s="15"/>
      <c r="E78" s="15"/>
      <c r="F78" s="15"/>
      <c r="G78" s="18"/>
      <c r="H78" s="18"/>
      <c r="I78" s="32">
        <f>I77+I76+I63+I56+I55+I54+I46+I45+I44+I43+I41+I40+I39+I28+I27+I18+I17+I16</f>
        <v>44818.35814733334</v>
      </c>
    </row>
    <row r="79" spans="1:21" ht="15.75" customHeight="1">
      <c r="A79" s="139" t="s">
        <v>62</v>
      </c>
      <c r="B79" s="140"/>
      <c r="C79" s="140"/>
      <c r="D79" s="140"/>
      <c r="E79" s="140"/>
      <c r="F79" s="140"/>
      <c r="G79" s="140"/>
      <c r="H79" s="140"/>
      <c r="I79" s="141"/>
    </row>
    <row r="80" spans="1:21" ht="31.5" customHeight="1">
      <c r="A80" s="29">
        <v>19</v>
      </c>
      <c r="B80" s="49" t="s">
        <v>151</v>
      </c>
      <c r="C80" s="51" t="s">
        <v>39</v>
      </c>
      <c r="D80" s="44"/>
      <c r="E80" s="34"/>
      <c r="F80" s="34">
        <v>6</v>
      </c>
      <c r="G80" s="34">
        <v>3724.37</v>
      </c>
      <c r="H80" s="102">
        <f t="shared" ref="H80:H82" si="7">G80*F80/1000</f>
        <v>22.346220000000002</v>
      </c>
      <c r="I80" s="13">
        <f>G80*0.01</f>
        <v>37.243699999999997</v>
      </c>
    </row>
    <row r="81" spans="1:9" ht="31.5" customHeight="1">
      <c r="A81" s="29">
        <v>20</v>
      </c>
      <c r="B81" s="116" t="s">
        <v>194</v>
      </c>
      <c r="C81" s="117" t="s">
        <v>41</v>
      </c>
      <c r="D81" s="104"/>
      <c r="E81" s="34"/>
      <c r="F81" s="34">
        <f>0.5/10</f>
        <v>0.05</v>
      </c>
      <c r="G81" s="34">
        <v>5652.13</v>
      </c>
      <c r="H81" s="102">
        <f t="shared" si="7"/>
        <v>0.28260650000000004</v>
      </c>
      <c r="I81" s="13">
        <f>G81*0.01</f>
        <v>56.521300000000004</v>
      </c>
    </row>
    <row r="82" spans="1:9" ht="15" customHeight="1">
      <c r="A82" s="29">
        <v>21</v>
      </c>
      <c r="B82" s="49" t="s">
        <v>201</v>
      </c>
      <c r="C82" s="51" t="s">
        <v>87</v>
      </c>
      <c r="D82" s="48"/>
      <c r="E82" s="34"/>
      <c r="F82" s="34">
        <v>1.5</v>
      </c>
      <c r="G82" s="34">
        <v>209.11</v>
      </c>
      <c r="H82" s="102">
        <f t="shared" si="7"/>
        <v>0.31366500000000003</v>
      </c>
      <c r="I82" s="13">
        <f>G82*1</f>
        <v>209.11</v>
      </c>
    </row>
    <row r="83" spans="1:9" ht="15.75" customHeight="1">
      <c r="A83" s="29"/>
      <c r="B83" s="42" t="s">
        <v>53</v>
      </c>
      <c r="C83" s="38"/>
      <c r="D83" s="46"/>
      <c r="E83" s="38">
        <v>1</v>
      </c>
      <c r="F83" s="38"/>
      <c r="G83" s="38"/>
      <c r="H83" s="38"/>
      <c r="I83" s="32">
        <f>SUM(I80:I82)</f>
        <v>302.875</v>
      </c>
    </row>
    <row r="84" spans="1:9" ht="15.75" customHeight="1">
      <c r="A84" s="29"/>
      <c r="B84" s="44" t="s">
        <v>82</v>
      </c>
      <c r="C84" s="15"/>
      <c r="D84" s="15"/>
      <c r="E84" s="39"/>
      <c r="F84" s="39"/>
      <c r="G84" s="40"/>
      <c r="H84" s="40"/>
      <c r="I84" s="17">
        <v>0</v>
      </c>
    </row>
    <row r="85" spans="1:9" ht="15.75" customHeight="1">
      <c r="A85" s="47"/>
      <c r="B85" s="43" t="s">
        <v>192</v>
      </c>
      <c r="C85" s="33"/>
      <c r="D85" s="33"/>
      <c r="E85" s="33"/>
      <c r="F85" s="33"/>
      <c r="G85" s="33"/>
      <c r="H85" s="33"/>
      <c r="I85" s="41">
        <f>I78+I83</f>
        <v>45121.23314733334</v>
      </c>
    </row>
    <row r="86" spans="1:9" ht="15.75">
      <c r="A86" s="142" t="s">
        <v>245</v>
      </c>
      <c r="B86" s="142"/>
      <c r="C86" s="142"/>
      <c r="D86" s="142"/>
      <c r="E86" s="142"/>
      <c r="F86" s="142"/>
      <c r="G86" s="142"/>
      <c r="H86" s="142"/>
      <c r="I86" s="142"/>
    </row>
    <row r="87" spans="1:9" ht="15.75">
      <c r="A87" s="60"/>
      <c r="B87" s="143" t="s">
        <v>246</v>
      </c>
      <c r="C87" s="143"/>
      <c r="D87" s="143"/>
      <c r="E87" s="143"/>
      <c r="F87" s="143"/>
      <c r="G87" s="143"/>
      <c r="H87" s="65"/>
      <c r="I87" s="3"/>
    </row>
    <row r="88" spans="1:9">
      <c r="A88" s="56"/>
      <c r="B88" s="144" t="s">
        <v>6</v>
      </c>
      <c r="C88" s="144"/>
      <c r="D88" s="144"/>
      <c r="E88" s="144"/>
      <c r="F88" s="144"/>
      <c r="G88" s="144"/>
      <c r="H88" s="24"/>
      <c r="I88" s="5"/>
    </row>
    <row r="89" spans="1:9">
      <c r="A89" s="10"/>
      <c r="B89" s="10"/>
      <c r="C89" s="10"/>
      <c r="D89" s="10"/>
      <c r="E89" s="10"/>
      <c r="F89" s="10"/>
      <c r="G89" s="10"/>
      <c r="H89" s="10"/>
      <c r="I89" s="10"/>
    </row>
    <row r="90" spans="1:9" ht="15.75">
      <c r="A90" s="145" t="s">
        <v>7</v>
      </c>
      <c r="B90" s="145"/>
      <c r="C90" s="145"/>
      <c r="D90" s="145"/>
      <c r="E90" s="145"/>
      <c r="F90" s="145"/>
      <c r="G90" s="145"/>
      <c r="H90" s="145"/>
      <c r="I90" s="145"/>
    </row>
    <row r="91" spans="1:9" ht="15.75">
      <c r="A91" s="145" t="s">
        <v>8</v>
      </c>
      <c r="B91" s="145"/>
      <c r="C91" s="145"/>
      <c r="D91" s="145"/>
      <c r="E91" s="145"/>
      <c r="F91" s="145"/>
      <c r="G91" s="145"/>
      <c r="H91" s="145"/>
      <c r="I91" s="145"/>
    </row>
    <row r="92" spans="1:9" ht="15.75">
      <c r="A92" s="134" t="s">
        <v>63</v>
      </c>
      <c r="B92" s="134"/>
      <c r="C92" s="134"/>
      <c r="D92" s="134"/>
      <c r="E92" s="134"/>
      <c r="F92" s="134"/>
      <c r="G92" s="134"/>
      <c r="H92" s="134"/>
      <c r="I92" s="134"/>
    </row>
    <row r="93" spans="1:9" ht="15.75">
      <c r="A93" s="11"/>
    </row>
    <row r="94" spans="1:9" ht="15.75">
      <c r="A94" s="147" t="s">
        <v>9</v>
      </c>
      <c r="B94" s="147"/>
      <c r="C94" s="147"/>
      <c r="D94" s="147"/>
      <c r="E94" s="147"/>
      <c r="F94" s="147"/>
      <c r="G94" s="147"/>
      <c r="H94" s="147"/>
      <c r="I94" s="147"/>
    </row>
    <row r="95" spans="1:9" ht="15.75">
      <c r="A95" s="4"/>
    </row>
    <row r="96" spans="1:9" ht="15.75">
      <c r="B96" s="59" t="s">
        <v>10</v>
      </c>
      <c r="C96" s="148" t="s">
        <v>93</v>
      </c>
      <c r="D96" s="148"/>
      <c r="E96" s="148"/>
      <c r="F96" s="63"/>
      <c r="I96" s="55"/>
    </row>
    <row r="97" spans="1:9">
      <c r="A97" s="56"/>
      <c r="C97" s="144" t="s">
        <v>11</v>
      </c>
      <c r="D97" s="144"/>
      <c r="E97" s="144"/>
      <c r="F97" s="24"/>
      <c r="I97" s="54" t="s">
        <v>12</v>
      </c>
    </row>
    <row r="98" spans="1:9" ht="15.75">
      <c r="A98" s="25"/>
      <c r="C98" s="12"/>
      <c r="D98" s="12"/>
      <c r="G98" s="12"/>
      <c r="H98" s="12"/>
    </row>
    <row r="99" spans="1:9" ht="15.75">
      <c r="B99" s="59" t="s">
        <v>13</v>
      </c>
      <c r="C99" s="149"/>
      <c r="D99" s="149"/>
      <c r="E99" s="149"/>
      <c r="F99" s="64"/>
      <c r="I99" s="55"/>
    </row>
    <row r="100" spans="1:9">
      <c r="A100" s="56"/>
      <c r="C100" s="124" t="s">
        <v>11</v>
      </c>
      <c r="D100" s="124"/>
      <c r="E100" s="124"/>
      <c r="F100" s="56"/>
      <c r="I100" s="54" t="s">
        <v>12</v>
      </c>
    </row>
    <row r="101" spans="1:9" ht="15.75">
      <c r="A101" s="4" t="s">
        <v>14</v>
      </c>
    </row>
    <row r="102" spans="1:9">
      <c r="A102" s="150" t="s">
        <v>15</v>
      </c>
      <c r="B102" s="150"/>
      <c r="C102" s="150"/>
      <c r="D102" s="150"/>
      <c r="E102" s="150"/>
      <c r="F102" s="150"/>
      <c r="G102" s="150"/>
      <c r="H102" s="150"/>
      <c r="I102" s="150"/>
    </row>
    <row r="103" spans="1:9" ht="45" customHeight="1">
      <c r="A103" s="146" t="s">
        <v>16</v>
      </c>
      <c r="B103" s="146"/>
      <c r="C103" s="146"/>
      <c r="D103" s="146"/>
      <c r="E103" s="146"/>
      <c r="F103" s="146"/>
      <c r="G103" s="146"/>
      <c r="H103" s="146"/>
      <c r="I103" s="146"/>
    </row>
    <row r="104" spans="1:9" ht="30" customHeight="1">
      <c r="A104" s="146" t="s">
        <v>17</v>
      </c>
      <c r="B104" s="146"/>
      <c r="C104" s="146"/>
      <c r="D104" s="146"/>
      <c r="E104" s="146"/>
      <c r="F104" s="146"/>
      <c r="G104" s="146"/>
      <c r="H104" s="146"/>
      <c r="I104" s="146"/>
    </row>
    <row r="105" spans="1:9" ht="30" customHeight="1">
      <c r="A105" s="146" t="s">
        <v>21</v>
      </c>
      <c r="B105" s="146"/>
      <c r="C105" s="146"/>
      <c r="D105" s="146"/>
      <c r="E105" s="146"/>
      <c r="F105" s="146"/>
      <c r="G105" s="146"/>
      <c r="H105" s="146"/>
      <c r="I105" s="146"/>
    </row>
    <row r="106" spans="1:9" ht="15.75">
      <c r="A106" s="146" t="s">
        <v>20</v>
      </c>
      <c r="B106" s="146"/>
      <c r="C106" s="146"/>
      <c r="D106" s="146"/>
      <c r="E106" s="146"/>
      <c r="F106" s="146"/>
      <c r="G106" s="146"/>
      <c r="H106" s="146"/>
      <c r="I106" s="146"/>
    </row>
  </sheetData>
  <autoFilter ref="I12:I62"/>
  <mergeCells count="29">
    <mergeCell ref="A103:I103"/>
    <mergeCell ref="A104:I104"/>
    <mergeCell ref="A105:I105"/>
    <mergeCell ref="A106:I106"/>
    <mergeCell ref="A94:I94"/>
    <mergeCell ref="C96:E96"/>
    <mergeCell ref="C97:E97"/>
    <mergeCell ref="C99:E99"/>
    <mergeCell ref="C100:E100"/>
    <mergeCell ref="A102:I102"/>
    <mergeCell ref="A92:I92"/>
    <mergeCell ref="A15:I15"/>
    <mergeCell ref="A29:I29"/>
    <mergeCell ref="A47:I47"/>
    <mergeCell ref="A58:I58"/>
    <mergeCell ref="A79:I79"/>
    <mergeCell ref="A86:I86"/>
    <mergeCell ref="B87:G87"/>
    <mergeCell ref="B88:G88"/>
    <mergeCell ref="A90:I90"/>
    <mergeCell ref="A91:I91"/>
    <mergeCell ref="R67:U67"/>
    <mergeCell ref="A75:I75"/>
    <mergeCell ref="A3:I3"/>
    <mergeCell ref="A4:I4"/>
    <mergeCell ref="A5:I5"/>
    <mergeCell ref="A8:I8"/>
    <mergeCell ref="A10:I10"/>
    <mergeCell ref="A14:I14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:V127"/>
  <sheetViews>
    <sheetView topLeftCell="A95" workbookViewId="0">
      <selection activeCell="J108" sqref="J108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7" t="s">
        <v>89</v>
      </c>
      <c r="I1" s="26"/>
      <c r="J1" s="1"/>
      <c r="K1" s="1"/>
      <c r="L1" s="1"/>
      <c r="M1" s="1"/>
    </row>
    <row r="2" spans="1:13" ht="15.75" customHeight="1">
      <c r="A2" s="28" t="s">
        <v>64</v>
      </c>
      <c r="J2" s="2"/>
      <c r="K2" s="2"/>
      <c r="L2" s="2"/>
      <c r="M2" s="2"/>
    </row>
    <row r="3" spans="1:13" ht="15.75" customHeight="1">
      <c r="A3" s="128" t="s">
        <v>185</v>
      </c>
      <c r="B3" s="128"/>
      <c r="C3" s="128"/>
      <c r="D3" s="128"/>
      <c r="E3" s="128"/>
      <c r="F3" s="128"/>
      <c r="G3" s="128"/>
      <c r="H3" s="128"/>
      <c r="I3" s="128"/>
      <c r="J3" s="3"/>
      <c r="K3" s="3"/>
      <c r="L3" s="3"/>
    </row>
    <row r="4" spans="1:13" ht="31.5" customHeight="1">
      <c r="A4" s="129" t="s">
        <v>143</v>
      </c>
      <c r="B4" s="129"/>
      <c r="C4" s="129"/>
      <c r="D4" s="129"/>
      <c r="E4" s="129"/>
      <c r="F4" s="129"/>
      <c r="G4" s="129"/>
      <c r="H4" s="129"/>
      <c r="I4" s="129"/>
    </row>
    <row r="5" spans="1:13" ht="15.75" customHeight="1">
      <c r="A5" s="128" t="s">
        <v>202</v>
      </c>
      <c r="B5" s="130"/>
      <c r="C5" s="130"/>
      <c r="D5" s="130"/>
      <c r="E5" s="130"/>
      <c r="F5" s="130"/>
      <c r="G5" s="130"/>
      <c r="H5" s="130"/>
      <c r="I5" s="130"/>
      <c r="J5" s="2"/>
      <c r="K5" s="2"/>
      <c r="L5" s="2"/>
      <c r="M5" s="2"/>
    </row>
    <row r="6" spans="1:13" ht="15.75" customHeight="1">
      <c r="A6" s="2"/>
      <c r="B6" s="58"/>
      <c r="C6" s="58"/>
      <c r="D6" s="58"/>
      <c r="E6" s="58"/>
      <c r="F6" s="58"/>
      <c r="G6" s="58"/>
      <c r="H6" s="58"/>
      <c r="I6" s="30">
        <v>43251</v>
      </c>
      <c r="J6" s="2"/>
      <c r="K6" s="2"/>
      <c r="L6" s="2"/>
      <c r="M6" s="2"/>
    </row>
    <row r="7" spans="1:13" ht="15.75" customHeight="1">
      <c r="B7" s="59"/>
      <c r="C7" s="59"/>
      <c r="D7" s="59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131" t="s">
        <v>152</v>
      </c>
      <c r="B8" s="131"/>
      <c r="C8" s="131"/>
      <c r="D8" s="131"/>
      <c r="E8" s="131"/>
      <c r="F8" s="131"/>
      <c r="G8" s="131"/>
      <c r="H8" s="131"/>
      <c r="I8" s="131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32" t="s">
        <v>193</v>
      </c>
      <c r="B10" s="132"/>
      <c r="C10" s="132"/>
      <c r="D10" s="132"/>
      <c r="E10" s="132"/>
      <c r="F10" s="132"/>
      <c r="G10" s="132"/>
      <c r="H10" s="132"/>
      <c r="I10" s="132"/>
      <c r="J10" s="2"/>
      <c r="K10" s="2"/>
      <c r="L10" s="2"/>
      <c r="M10" s="2"/>
    </row>
    <row r="11" spans="1:13" ht="15.75" customHeight="1">
      <c r="A11" s="4"/>
    </row>
    <row r="12" spans="1:13" ht="5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133" t="s">
        <v>61</v>
      </c>
      <c r="B14" s="133"/>
      <c r="C14" s="133"/>
      <c r="D14" s="133"/>
      <c r="E14" s="133"/>
      <c r="F14" s="133"/>
      <c r="G14" s="133"/>
      <c r="H14" s="133"/>
      <c r="I14" s="133"/>
      <c r="J14" s="8"/>
      <c r="K14" s="8"/>
      <c r="L14" s="8"/>
      <c r="M14" s="8"/>
    </row>
    <row r="15" spans="1:13" ht="15.75" customHeight="1">
      <c r="A15" s="135" t="s">
        <v>4</v>
      </c>
      <c r="B15" s="135"/>
      <c r="C15" s="135"/>
      <c r="D15" s="135"/>
      <c r="E15" s="135"/>
      <c r="F15" s="135"/>
      <c r="G15" s="135"/>
      <c r="H15" s="135"/>
      <c r="I15" s="135"/>
      <c r="J15" s="8"/>
      <c r="K15" s="8"/>
      <c r="L15" s="8"/>
      <c r="M15" s="8"/>
    </row>
    <row r="16" spans="1:13" ht="15" customHeight="1">
      <c r="A16" s="29">
        <v>1</v>
      </c>
      <c r="B16" s="67" t="s">
        <v>90</v>
      </c>
      <c r="C16" s="68" t="s">
        <v>111</v>
      </c>
      <c r="D16" s="67" t="s">
        <v>112</v>
      </c>
      <c r="E16" s="69">
        <v>59.96</v>
      </c>
      <c r="F16" s="70">
        <f>SUM(E16*156/100)</f>
        <v>93.537599999999998</v>
      </c>
      <c r="G16" s="70">
        <v>175.38</v>
      </c>
      <c r="H16" s="71">
        <f t="shared" ref="H16:H26" si="0">SUM(F16*G16/1000)</f>
        <v>16.404624288000001</v>
      </c>
      <c r="I16" s="13">
        <f>F16/12*G16</f>
        <v>1367.0520239999998</v>
      </c>
      <c r="J16" s="8"/>
      <c r="K16" s="8"/>
      <c r="L16" s="8"/>
      <c r="M16" s="8"/>
    </row>
    <row r="17" spans="1:13" ht="15" customHeight="1">
      <c r="A17" s="29">
        <v>2</v>
      </c>
      <c r="B17" s="67" t="s">
        <v>97</v>
      </c>
      <c r="C17" s="68" t="s">
        <v>111</v>
      </c>
      <c r="D17" s="67" t="s">
        <v>113</v>
      </c>
      <c r="E17" s="69">
        <v>239.84</v>
      </c>
      <c r="F17" s="70">
        <f>SUM(E17*104/100)</f>
        <v>249.43360000000001</v>
      </c>
      <c r="G17" s="70">
        <v>175.38</v>
      </c>
      <c r="H17" s="71">
        <f t="shared" si="0"/>
        <v>43.745664768000005</v>
      </c>
      <c r="I17" s="13">
        <f>F17/12*G17</f>
        <v>3645.4720640000005</v>
      </c>
      <c r="J17" s="22"/>
      <c r="K17" s="8"/>
      <c r="L17" s="8"/>
      <c r="M17" s="8"/>
    </row>
    <row r="18" spans="1:13" ht="15" customHeight="1">
      <c r="A18" s="29">
        <v>3</v>
      </c>
      <c r="B18" s="67" t="s">
        <v>98</v>
      </c>
      <c r="C18" s="68" t="s">
        <v>111</v>
      </c>
      <c r="D18" s="67" t="s">
        <v>114</v>
      </c>
      <c r="E18" s="69">
        <f>SUM(E16+E17)</f>
        <v>299.8</v>
      </c>
      <c r="F18" s="70">
        <f>SUM(E18*24/100)</f>
        <v>71.952000000000012</v>
      </c>
      <c r="G18" s="70">
        <v>504.5</v>
      </c>
      <c r="H18" s="71">
        <f t="shared" si="0"/>
        <v>36.29978400000001</v>
      </c>
      <c r="I18" s="13">
        <f>F18/12*G18</f>
        <v>3024.9820000000009</v>
      </c>
      <c r="J18" s="22"/>
      <c r="K18" s="8"/>
      <c r="L18" s="8"/>
      <c r="M18" s="8"/>
    </row>
    <row r="19" spans="1:13" ht="15" customHeight="1">
      <c r="A19" s="29">
        <v>4</v>
      </c>
      <c r="B19" s="67" t="s">
        <v>115</v>
      </c>
      <c r="C19" s="68" t="s">
        <v>116</v>
      </c>
      <c r="D19" s="67" t="s">
        <v>117</v>
      </c>
      <c r="E19" s="69">
        <v>40.799999999999997</v>
      </c>
      <c r="F19" s="70">
        <f>SUM(E19/10)</f>
        <v>4.08</v>
      </c>
      <c r="G19" s="70">
        <v>170.16</v>
      </c>
      <c r="H19" s="71">
        <f t="shared" si="0"/>
        <v>0.6942528</v>
      </c>
      <c r="I19" s="13">
        <f>F19*G19</f>
        <v>694.25279999999998</v>
      </c>
      <c r="J19" s="22"/>
      <c r="K19" s="8"/>
      <c r="L19" s="8"/>
      <c r="M19" s="8"/>
    </row>
    <row r="20" spans="1:13" ht="15" customHeight="1">
      <c r="A20" s="29">
        <v>5</v>
      </c>
      <c r="B20" s="67" t="s">
        <v>102</v>
      </c>
      <c r="C20" s="68" t="s">
        <v>111</v>
      </c>
      <c r="D20" s="67" t="s">
        <v>55</v>
      </c>
      <c r="E20" s="69">
        <v>43.2</v>
      </c>
      <c r="F20" s="70">
        <f>SUM(E20/100)</f>
        <v>0.43200000000000005</v>
      </c>
      <c r="G20" s="70">
        <v>217.88</v>
      </c>
      <c r="H20" s="71">
        <f t="shared" si="0"/>
        <v>9.4124159999999998E-2</v>
      </c>
      <c r="I20" s="13">
        <f>F20*G20</f>
        <v>94.124160000000003</v>
      </c>
      <c r="J20" s="22"/>
      <c r="K20" s="8"/>
      <c r="L20" s="8"/>
      <c r="M20" s="8"/>
    </row>
    <row r="21" spans="1:13" ht="15" customHeight="1">
      <c r="A21" s="29">
        <v>6</v>
      </c>
      <c r="B21" s="67" t="s">
        <v>103</v>
      </c>
      <c r="C21" s="68" t="s">
        <v>111</v>
      </c>
      <c r="D21" s="67" t="s">
        <v>55</v>
      </c>
      <c r="E21" s="69">
        <v>10.08</v>
      </c>
      <c r="F21" s="70">
        <f>E21/100</f>
        <v>0.1008</v>
      </c>
      <c r="G21" s="70">
        <v>216.12</v>
      </c>
      <c r="H21" s="71">
        <f>SUM(F21*G21)/1000</f>
        <v>2.1784896000000002E-2</v>
      </c>
      <c r="I21" s="13">
        <f t="shared" ref="I21:I26" si="1">F21*G21</f>
        <v>21.784896</v>
      </c>
      <c r="J21" s="22"/>
      <c r="K21" s="8"/>
      <c r="L21" s="8"/>
      <c r="M21" s="8"/>
    </row>
    <row r="22" spans="1:13" ht="15" customHeight="1">
      <c r="A22" s="29">
        <v>7</v>
      </c>
      <c r="B22" s="67" t="s">
        <v>118</v>
      </c>
      <c r="C22" s="68" t="s">
        <v>54</v>
      </c>
      <c r="D22" s="67" t="s">
        <v>117</v>
      </c>
      <c r="E22" s="69">
        <v>403.84</v>
      </c>
      <c r="F22" s="70">
        <f>SUM(E22/100)</f>
        <v>4.0383999999999993</v>
      </c>
      <c r="G22" s="70">
        <v>269.26</v>
      </c>
      <c r="H22" s="71">
        <f t="shared" si="0"/>
        <v>1.0873795839999998</v>
      </c>
      <c r="I22" s="13">
        <f t="shared" si="1"/>
        <v>1087.3795839999998</v>
      </c>
      <c r="J22" s="22"/>
      <c r="K22" s="8"/>
      <c r="L22" s="8"/>
      <c r="M22" s="8"/>
    </row>
    <row r="23" spans="1:13" ht="15" customHeight="1">
      <c r="A23" s="29">
        <v>8</v>
      </c>
      <c r="B23" s="67" t="s">
        <v>119</v>
      </c>
      <c r="C23" s="68" t="s">
        <v>54</v>
      </c>
      <c r="D23" s="67" t="s">
        <v>117</v>
      </c>
      <c r="E23" s="72">
        <v>70.56</v>
      </c>
      <c r="F23" s="70">
        <f>SUM(E23/100)</f>
        <v>0.7056</v>
      </c>
      <c r="G23" s="70">
        <v>44.29</v>
      </c>
      <c r="H23" s="71">
        <f t="shared" si="0"/>
        <v>3.1251024000000002E-2</v>
      </c>
      <c r="I23" s="13">
        <f t="shared" si="1"/>
        <v>31.251024000000001</v>
      </c>
      <c r="J23" s="22"/>
      <c r="K23" s="8"/>
      <c r="L23" s="8"/>
      <c r="M23" s="8"/>
    </row>
    <row r="24" spans="1:13" ht="15" customHeight="1">
      <c r="A24" s="29">
        <v>9</v>
      </c>
      <c r="B24" s="67" t="s">
        <v>105</v>
      </c>
      <c r="C24" s="68" t="s">
        <v>54</v>
      </c>
      <c r="D24" s="67" t="s">
        <v>117</v>
      </c>
      <c r="E24" s="18">
        <v>14.4</v>
      </c>
      <c r="F24" s="73">
        <v>0.14000000000000001</v>
      </c>
      <c r="G24" s="70">
        <v>398.72</v>
      </c>
      <c r="H24" s="71">
        <f>F24*G24/1000</f>
        <v>5.5820800000000011E-2</v>
      </c>
      <c r="I24" s="13">
        <f t="shared" si="1"/>
        <v>55.820800000000013</v>
      </c>
      <c r="J24" s="22"/>
      <c r="K24" s="8"/>
      <c r="L24" s="8"/>
      <c r="M24" s="8"/>
    </row>
    <row r="25" spans="1:13" ht="15" customHeight="1">
      <c r="A25" s="29">
        <v>10</v>
      </c>
      <c r="B25" s="67" t="s">
        <v>120</v>
      </c>
      <c r="C25" s="68" t="s">
        <v>54</v>
      </c>
      <c r="D25" s="67" t="s">
        <v>117</v>
      </c>
      <c r="E25" s="72">
        <v>31.5</v>
      </c>
      <c r="F25" s="70">
        <v>0.32</v>
      </c>
      <c r="G25" s="70">
        <v>216.12</v>
      </c>
      <c r="H25" s="71">
        <f>F25*G25/1000</f>
        <v>6.9158399999999995E-2</v>
      </c>
      <c r="I25" s="13">
        <f t="shared" si="1"/>
        <v>69.1584</v>
      </c>
      <c r="J25" s="22"/>
      <c r="K25" s="8"/>
      <c r="L25" s="8"/>
      <c r="M25" s="8"/>
    </row>
    <row r="26" spans="1:13" ht="15" customHeight="1">
      <c r="A26" s="29">
        <v>11</v>
      </c>
      <c r="B26" s="67" t="s">
        <v>106</v>
      </c>
      <c r="C26" s="68" t="s">
        <v>54</v>
      </c>
      <c r="D26" s="67" t="s">
        <v>117</v>
      </c>
      <c r="E26" s="69">
        <v>28.22</v>
      </c>
      <c r="F26" s="70">
        <f>SUM(E26/100)</f>
        <v>0.28220000000000001</v>
      </c>
      <c r="G26" s="70">
        <v>520.79999999999995</v>
      </c>
      <c r="H26" s="71">
        <f t="shared" si="0"/>
        <v>0.14696975999999998</v>
      </c>
      <c r="I26" s="13">
        <f t="shared" si="1"/>
        <v>146.96975999999998</v>
      </c>
      <c r="J26" s="22"/>
      <c r="K26" s="8"/>
      <c r="L26" s="8"/>
      <c r="M26" s="8"/>
    </row>
    <row r="27" spans="1:13" ht="15" customHeight="1">
      <c r="A27" s="29">
        <v>12</v>
      </c>
      <c r="B27" s="67" t="s">
        <v>66</v>
      </c>
      <c r="C27" s="68" t="s">
        <v>33</v>
      </c>
      <c r="D27" s="67"/>
      <c r="E27" s="69">
        <v>0.1</v>
      </c>
      <c r="F27" s="70">
        <f>SUM(E27*365)</f>
        <v>36.5</v>
      </c>
      <c r="G27" s="70">
        <v>147.03</v>
      </c>
      <c r="H27" s="71">
        <f>SUM(F27*G27/1000)</f>
        <v>5.3665950000000002</v>
      </c>
      <c r="I27" s="13">
        <f>F27/12*G27</f>
        <v>447.21625</v>
      </c>
      <c r="J27" s="23"/>
    </row>
    <row r="28" spans="1:13" ht="15" customHeight="1">
      <c r="A28" s="29">
        <v>13</v>
      </c>
      <c r="B28" s="77" t="s">
        <v>23</v>
      </c>
      <c r="C28" s="68" t="s">
        <v>24</v>
      </c>
      <c r="D28" s="67"/>
      <c r="E28" s="69">
        <v>3031.3</v>
      </c>
      <c r="F28" s="70">
        <f>SUM(E28*12)</f>
        <v>36375.600000000006</v>
      </c>
      <c r="G28" s="70">
        <v>5.47</v>
      </c>
      <c r="H28" s="71">
        <f>SUM(F28*G28/1000)</f>
        <v>198.97453200000004</v>
      </c>
      <c r="I28" s="13">
        <f>F28/12*G28</f>
        <v>16581.211000000003</v>
      </c>
      <c r="J28" s="23"/>
    </row>
    <row r="29" spans="1:13" ht="15.75" customHeight="1">
      <c r="A29" s="135" t="s">
        <v>88</v>
      </c>
      <c r="B29" s="135"/>
      <c r="C29" s="135"/>
      <c r="D29" s="135"/>
      <c r="E29" s="135"/>
      <c r="F29" s="135"/>
      <c r="G29" s="135"/>
      <c r="H29" s="135"/>
      <c r="I29" s="135"/>
      <c r="J29" s="22"/>
      <c r="K29" s="8"/>
      <c r="L29" s="8"/>
      <c r="M29" s="8"/>
    </row>
    <row r="30" spans="1:13" ht="15" customHeight="1">
      <c r="A30" s="29"/>
      <c r="B30" s="90" t="s">
        <v>28</v>
      </c>
      <c r="C30" s="68"/>
      <c r="D30" s="67"/>
      <c r="E30" s="69"/>
      <c r="F30" s="70"/>
      <c r="G30" s="70"/>
      <c r="H30" s="71"/>
      <c r="I30" s="13"/>
      <c r="J30" s="22"/>
      <c r="K30" s="8"/>
      <c r="L30" s="8"/>
      <c r="M30" s="8"/>
    </row>
    <row r="31" spans="1:13" ht="15" customHeight="1">
      <c r="A31" s="29">
        <v>14</v>
      </c>
      <c r="B31" s="67" t="s">
        <v>121</v>
      </c>
      <c r="C31" s="68" t="s">
        <v>122</v>
      </c>
      <c r="D31" s="67" t="s">
        <v>123</v>
      </c>
      <c r="E31" s="70">
        <v>709.53</v>
      </c>
      <c r="F31" s="70">
        <f>SUM(E31*52/1000)</f>
        <v>36.895559999999996</v>
      </c>
      <c r="G31" s="70">
        <v>155.88999999999999</v>
      </c>
      <c r="H31" s="71">
        <f t="shared" ref="H31:H37" si="2">SUM(F31*G31/1000)</f>
        <v>5.7516488483999995</v>
      </c>
      <c r="I31" s="13">
        <f>F31/6*G31</f>
        <v>958.60814139999979</v>
      </c>
      <c r="J31" s="22"/>
      <c r="K31" s="8"/>
      <c r="L31" s="8"/>
      <c r="M31" s="8"/>
    </row>
    <row r="32" spans="1:13" ht="31.5" customHeight="1">
      <c r="A32" s="29">
        <v>15</v>
      </c>
      <c r="B32" s="67" t="s">
        <v>179</v>
      </c>
      <c r="C32" s="68" t="s">
        <v>122</v>
      </c>
      <c r="D32" s="67" t="s">
        <v>124</v>
      </c>
      <c r="E32" s="70">
        <v>68</v>
      </c>
      <c r="F32" s="70">
        <f>SUM(E32*78/1000)</f>
        <v>5.3040000000000003</v>
      </c>
      <c r="G32" s="70">
        <v>258.63</v>
      </c>
      <c r="H32" s="71">
        <f t="shared" si="2"/>
        <v>1.3717735199999999</v>
      </c>
      <c r="I32" s="13">
        <f t="shared" ref="I32:I35" si="3">F32/6*G32</f>
        <v>228.62891999999999</v>
      </c>
      <c r="J32" s="22"/>
      <c r="K32" s="8"/>
      <c r="L32" s="8"/>
      <c r="M32" s="8"/>
    </row>
    <row r="33" spans="1:14" ht="15" customHeight="1">
      <c r="A33" s="29">
        <v>16</v>
      </c>
      <c r="B33" s="67" t="s">
        <v>27</v>
      </c>
      <c r="C33" s="68" t="s">
        <v>122</v>
      </c>
      <c r="D33" s="67" t="s">
        <v>55</v>
      </c>
      <c r="E33" s="70">
        <v>709.53</v>
      </c>
      <c r="F33" s="70">
        <f>SUM(E33/1000)</f>
        <v>0.70952999999999999</v>
      </c>
      <c r="G33" s="70">
        <v>3020.33</v>
      </c>
      <c r="H33" s="71">
        <f t="shared" si="2"/>
        <v>2.1430147448999999</v>
      </c>
      <c r="I33" s="13">
        <f>F33*G33</f>
        <v>2143.0147449000001</v>
      </c>
      <c r="J33" s="22"/>
      <c r="K33" s="8"/>
      <c r="L33" s="8"/>
      <c r="M33" s="8"/>
    </row>
    <row r="34" spans="1:14" ht="15" customHeight="1">
      <c r="A34" s="29">
        <v>17</v>
      </c>
      <c r="B34" s="67" t="s">
        <v>157</v>
      </c>
      <c r="C34" s="68" t="s">
        <v>41</v>
      </c>
      <c r="D34" s="67" t="s">
        <v>65</v>
      </c>
      <c r="E34" s="70">
        <v>4</v>
      </c>
      <c r="F34" s="70">
        <v>6.2</v>
      </c>
      <c r="G34" s="70">
        <v>1302.02</v>
      </c>
      <c r="H34" s="71">
        <v>8.0730000000000004</v>
      </c>
      <c r="I34" s="13">
        <f t="shared" si="3"/>
        <v>1345.4206666666669</v>
      </c>
      <c r="J34" s="22"/>
      <c r="K34" s="8"/>
      <c r="L34" s="8"/>
      <c r="M34" s="8"/>
    </row>
    <row r="35" spans="1:14" ht="15" customHeight="1">
      <c r="A35" s="29">
        <v>18</v>
      </c>
      <c r="B35" s="67" t="s">
        <v>125</v>
      </c>
      <c r="C35" s="68" t="s">
        <v>30</v>
      </c>
      <c r="D35" s="67" t="s">
        <v>65</v>
      </c>
      <c r="E35" s="76">
        <v>0.33333333333333331</v>
      </c>
      <c r="F35" s="70">
        <f>155/3</f>
        <v>51.666666666666664</v>
      </c>
      <c r="G35" s="70">
        <v>56.69</v>
      </c>
      <c r="H35" s="71">
        <f>SUM(G35*155/3/1000)</f>
        <v>2.9289833333333331</v>
      </c>
      <c r="I35" s="13">
        <f t="shared" si="3"/>
        <v>488.16388888888883</v>
      </c>
      <c r="J35" s="22"/>
      <c r="K35" s="8"/>
    </row>
    <row r="36" spans="1:14" ht="15" hidden="1" customHeight="1">
      <c r="A36" s="29"/>
      <c r="B36" s="67" t="s">
        <v>67</v>
      </c>
      <c r="C36" s="68" t="s">
        <v>33</v>
      </c>
      <c r="D36" s="67" t="s">
        <v>69</v>
      </c>
      <c r="E36" s="69"/>
      <c r="F36" s="70">
        <v>3</v>
      </c>
      <c r="G36" s="70">
        <v>191.32</v>
      </c>
      <c r="H36" s="71">
        <f t="shared" si="2"/>
        <v>0.57396000000000003</v>
      </c>
      <c r="I36" s="13">
        <v>0</v>
      </c>
      <c r="J36" s="23"/>
    </row>
    <row r="37" spans="1:14" ht="15" hidden="1" customHeight="1">
      <c r="A37" s="29"/>
      <c r="B37" s="67" t="s">
        <v>68</v>
      </c>
      <c r="C37" s="68" t="s">
        <v>32</v>
      </c>
      <c r="D37" s="67" t="s">
        <v>69</v>
      </c>
      <c r="E37" s="69"/>
      <c r="F37" s="70">
        <v>2</v>
      </c>
      <c r="G37" s="70">
        <v>1136.32</v>
      </c>
      <c r="H37" s="71">
        <f t="shared" si="2"/>
        <v>2.27264</v>
      </c>
      <c r="I37" s="13">
        <v>0</v>
      </c>
      <c r="J37" s="23"/>
    </row>
    <row r="38" spans="1:14" ht="20.25" customHeight="1">
      <c r="A38" s="29"/>
      <c r="B38" s="90" t="s">
        <v>5</v>
      </c>
      <c r="C38" s="68"/>
      <c r="D38" s="67"/>
      <c r="E38" s="69"/>
      <c r="F38" s="70"/>
      <c r="G38" s="70"/>
      <c r="H38" s="71" t="s">
        <v>140</v>
      </c>
      <c r="I38" s="13"/>
      <c r="J38" s="23"/>
    </row>
    <row r="39" spans="1:14" ht="26.25" hidden="1" customHeight="1">
      <c r="A39" s="29">
        <v>6</v>
      </c>
      <c r="B39" s="67" t="s">
        <v>26</v>
      </c>
      <c r="C39" s="68" t="s">
        <v>32</v>
      </c>
      <c r="D39" s="67"/>
      <c r="E39" s="69"/>
      <c r="F39" s="70">
        <v>6</v>
      </c>
      <c r="G39" s="70">
        <v>1527.22</v>
      </c>
      <c r="H39" s="71">
        <f t="shared" ref="H39:H46" si="4">SUM(F39*G39/1000)</f>
        <v>9.1633200000000006</v>
      </c>
      <c r="I39" s="13">
        <f>F39/6*G39</f>
        <v>1527.22</v>
      </c>
      <c r="J39" s="23"/>
    </row>
    <row r="40" spans="1:14" ht="23.25" hidden="1" customHeight="1">
      <c r="A40" s="29">
        <v>7</v>
      </c>
      <c r="B40" s="67" t="s">
        <v>109</v>
      </c>
      <c r="C40" s="68" t="s">
        <v>29</v>
      </c>
      <c r="D40" s="67" t="s">
        <v>144</v>
      </c>
      <c r="E40" s="70">
        <v>429.8</v>
      </c>
      <c r="F40" s="70">
        <f>SUM(E40*12/1000)</f>
        <v>5.1576000000000004</v>
      </c>
      <c r="G40" s="70">
        <v>2102.71</v>
      </c>
      <c r="H40" s="71">
        <f t="shared" si="4"/>
        <v>10.844937096000001</v>
      </c>
      <c r="I40" s="13">
        <f>F40/6*G40</f>
        <v>1807.4895160000001</v>
      </c>
      <c r="J40" s="23"/>
      <c r="L40" s="19"/>
      <c r="M40" s="20"/>
      <c r="N40" s="21"/>
    </row>
    <row r="41" spans="1:14" ht="24.75" hidden="1" customHeight="1">
      <c r="A41" s="29">
        <v>8</v>
      </c>
      <c r="B41" s="67" t="s">
        <v>145</v>
      </c>
      <c r="C41" s="68" t="s">
        <v>29</v>
      </c>
      <c r="D41" s="67" t="s">
        <v>126</v>
      </c>
      <c r="E41" s="70">
        <v>68</v>
      </c>
      <c r="F41" s="70">
        <f>SUM(E41*30/1000)</f>
        <v>2.04</v>
      </c>
      <c r="G41" s="70">
        <v>2102.71</v>
      </c>
      <c r="H41" s="71">
        <f>SUM(F41*G41/1000)</f>
        <v>4.2895284</v>
      </c>
      <c r="I41" s="13">
        <f>F41/6*G41</f>
        <v>714.92140000000006</v>
      </c>
      <c r="J41" s="23"/>
      <c r="L41" s="19"/>
      <c r="M41" s="20"/>
      <c r="N41" s="21"/>
    </row>
    <row r="42" spans="1:14" ht="34.5" customHeight="1">
      <c r="A42" s="29">
        <v>19</v>
      </c>
      <c r="B42" s="67" t="s">
        <v>99</v>
      </c>
      <c r="C42" s="68" t="s">
        <v>127</v>
      </c>
      <c r="D42" s="67" t="s">
        <v>159</v>
      </c>
      <c r="E42" s="69"/>
      <c r="F42" s="70">
        <v>50</v>
      </c>
      <c r="G42" s="70">
        <v>199.44</v>
      </c>
      <c r="H42" s="71">
        <f>SUM(F42*G42/1000)</f>
        <v>9.9719999999999995</v>
      </c>
      <c r="I42" s="13">
        <f>G42*6</f>
        <v>1196.6399999999999</v>
      </c>
      <c r="J42" s="23"/>
      <c r="L42" s="19"/>
      <c r="M42" s="20"/>
      <c r="N42" s="21"/>
    </row>
    <row r="43" spans="1:14" ht="30" hidden="1" customHeight="1">
      <c r="A43" s="29">
        <v>9</v>
      </c>
      <c r="B43" s="67" t="s">
        <v>70</v>
      </c>
      <c r="C43" s="68" t="s">
        <v>29</v>
      </c>
      <c r="D43" s="67" t="s">
        <v>128</v>
      </c>
      <c r="E43" s="70">
        <v>68</v>
      </c>
      <c r="F43" s="70">
        <f>SUM(E43*155/1000)</f>
        <v>10.54</v>
      </c>
      <c r="G43" s="70">
        <v>350.75</v>
      </c>
      <c r="H43" s="71">
        <f t="shared" si="4"/>
        <v>3.6969049999999997</v>
      </c>
      <c r="I43" s="13">
        <f>F43/6*G43</f>
        <v>616.15083333333325</v>
      </c>
      <c r="J43" s="23"/>
      <c r="L43" s="19"/>
      <c r="M43" s="20"/>
      <c r="N43" s="21"/>
    </row>
    <row r="44" spans="1:14" ht="21.75" hidden="1" customHeight="1">
      <c r="A44" s="29">
        <v>10</v>
      </c>
      <c r="B44" s="67" t="s">
        <v>86</v>
      </c>
      <c r="C44" s="68" t="s">
        <v>122</v>
      </c>
      <c r="D44" s="67" t="s">
        <v>146</v>
      </c>
      <c r="E44" s="70">
        <v>68</v>
      </c>
      <c r="F44" s="70">
        <f>SUM(E44*24/1000)</f>
        <v>1.6319999999999999</v>
      </c>
      <c r="G44" s="70">
        <v>5803.28</v>
      </c>
      <c r="H44" s="71">
        <f t="shared" si="4"/>
        <v>9.4709529599999982</v>
      </c>
      <c r="I44" s="13">
        <f>F44/6*G44</f>
        <v>1578.4921599999998</v>
      </c>
      <c r="J44" s="23"/>
      <c r="L44" s="19"/>
      <c r="M44" s="20"/>
      <c r="N44" s="21"/>
    </row>
    <row r="45" spans="1:14" ht="23.25" hidden="1" customHeight="1">
      <c r="A45" s="29">
        <v>11</v>
      </c>
      <c r="B45" s="67" t="s">
        <v>129</v>
      </c>
      <c r="C45" s="68" t="s">
        <v>122</v>
      </c>
      <c r="D45" s="67" t="s">
        <v>71</v>
      </c>
      <c r="E45" s="70">
        <v>68</v>
      </c>
      <c r="F45" s="70">
        <f>SUM(E45*45/1000)</f>
        <v>3.06</v>
      </c>
      <c r="G45" s="70">
        <v>428.7</v>
      </c>
      <c r="H45" s="71">
        <f t="shared" si="4"/>
        <v>1.3118219999999998</v>
      </c>
      <c r="I45" s="13">
        <f>F45/6*G45</f>
        <v>218.637</v>
      </c>
      <c r="J45" s="23"/>
      <c r="L45" s="19"/>
      <c r="M45" s="20"/>
      <c r="N45" s="21"/>
    </row>
    <row r="46" spans="1:14" ht="20.25" hidden="1" customHeight="1">
      <c r="A46" s="29">
        <v>12</v>
      </c>
      <c r="B46" s="67" t="s">
        <v>72</v>
      </c>
      <c r="C46" s="68" t="s">
        <v>33</v>
      </c>
      <c r="D46" s="67"/>
      <c r="E46" s="69"/>
      <c r="F46" s="70">
        <v>0.9</v>
      </c>
      <c r="G46" s="70">
        <v>798</v>
      </c>
      <c r="H46" s="71">
        <f t="shared" si="4"/>
        <v>0.71820000000000006</v>
      </c>
      <c r="I46" s="13">
        <f>F46/6*G46</f>
        <v>119.69999999999999</v>
      </c>
      <c r="J46" s="23"/>
      <c r="L46" s="19"/>
      <c r="M46" s="20"/>
      <c r="N46" s="21"/>
    </row>
    <row r="47" spans="1:14" ht="15.75" customHeight="1">
      <c r="A47" s="136" t="s">
        <v>153</v>
      </c>
      <c r="B47" s="137"/>
      <c r="C47" s="137"/>
      <c r="D47" s="137"/>
      <c r="E47" s="137"/>
      <c r="F47" s="137"/>
      <c r="G47" s="137"/>
      <c r="H47" s="137"/>
      <c r="I47" s="138"/>
      <c r="J47" s="23"/>
      <c r="L47" s="19"/>
      <c r="M47" s="20"/>
      <c r="N47" s="21"/>
    </row>
    <row r="48" spans="1:14" ht="15" customHeight="1">
      <c r="A48" s="29">
        <v>20</v>
      </c>
      <c r="B48" s="67" t="s">
        <v>147</v>
      </c>
      <c r="C48" s="68" t="s">
        <v>122</v>
      </c>
      <c r="D48" s="67" t="s">
        <v>43</v>
      </c>
      <c r="E48" s="69">
        <v>1061.3</v>
      </c>
      <c r="F48" s="70">
        <f>SUM(E48*2/1000)</f>
        <v>2.1225999999999998</v>
      </c>
      <c r="G48" s="13">
        <v>809.74</v>
      </c>
      <c r="H48" s="71">
        <f t="shared" ref="H48:H57" si="5">SUM(F48*G48/1000)</f>
        <v>1.7187541239999997</v>
      </c>
      <c r="I48" s="13">
        <f t="shared" ref="I48:I51" si="6">F48/2*G48</f>
        <v>859.37706199999991</v>
      </c>
      <c r="J48" s="23"/>
      <c r="L48" s="19"/>
      <c r="M48" s="20"/>
      <c r="N48" s="21"/>
    </row>
    <row r="49" spans="1:22" ht="15" customHeight="1">
      <c r="A49" s="29">
        <v>21</v>
      </c>
      <c r="B49" s="67" t="s">
        <v>36</v>
      </c>
      <c r="C49" s="68" t="s">
        <v>122</v>
      </c>
      <c r="D49" s="67" t="s">
        <v>43</v>
      </c>
      <c r="E49" s="69">
        <v>52</v>
      </c>
      <c r="F49" s="70">
        <f>SUM(E49*2/1000)</f>
        <v>0.104</v>
      </c>
      <c r="G49" s="13">
        <v>579.48</v>
      </c>
      <c r="H49" s="71">
        <f t="shared" si="5"/>
        <v>6.0265920000000001E-2</v>
      </c>
      <c r="I49" s="13">
        <f t="shared" si="6"/>
        <v>30.132960000000001</v>
      </c>
      <c r="J49" s="23"/>
      <c r="L49" s="19"/>
      <c r="M49" s="20"/>
      <c r="N49" s="21"/>
    </row>
    <row r="50" spans="1:22" ht="15" customHeight="1">
      <c r="A50" s="29">
        <v>22</v>
      </c>
      <c r="B50" s="67" t="s">
        <v>37</v>
      </c>
      <c r="C50" s="68" t="s">
        <v>122</v>
      </c>
      <c r="D50" s="67" t="s">
        <v>43</v>
      </c>
      <c r="E50" s="69">
        <v>1238.8</v>
      </c>
      <c r="F50" s="70">
        <f>SUM(E50*2/1000)</f>
        <v>2.4775999999999998</v>
      </c>
      <c r="G50" s="13">
        <v>579.48</v>
      </c>
      <c r="H50" s="71">
        <f t="shared" si="5"/>
        <v>1.4357196480000001</v>
      </c>
      <c r="I50" s="13">
        <f t="shared" si="6"/>
        <v>717.859824</v>
      </c>
      <c r="J50" s="23"/>
      <c r="L50" s="19"/>
      <c r="M50" s="20"/>
      <c r="N50" s="21"/>
    </row>
    <row r="51" spans="1:22" ht="15" customHeight="1">
      <c r="A51" s="29">
        <v>23</v>
      </c>
      <c r="B51" s="67" t="s">
        <v>38</v>
      </c>
      <c r="C51" s="68" t="s">
        <v>122</v>
      </c>
      <c r="D51" s="67" t="s">
        <v>43</v>
      </c>
      <c r="E51" s="69">
        <v>1794.01</v>
      </c>
      <c r="F51" s="70">
        <f>SUM(E51*2/1000)</f>
        <v>3.5880199999999998</v>
      </c>
      <c r="G51" s="13">
        <v>606.77</v>
      </c>
      <c r="H51" s="71">
        <f t="shared" si="5"/>
        <v>2.1771028954</v>
      </c>
      <c r="I51" s="13">
        <f t="shared" si="6"/>
        <v>1088.5514476999999</v>
      </c>
      <c r="J51" s="23"/>
      <c r="L51" s="19"/>
      <c r="M51" s="20"/>
      <c r="N51" s="21"/>
    </row>
    <row r="52" spans="1:22" ht="15" customHeight="1">
      <c r="A52" s="29">
        <v>24</v>
      </c>
      <c r="B52" s="67" t="s">
        <v>34</v>
      </c>
      <c r="C52" s="68" t="s">
        <v>35</v>
      </c>
      <c r="D52" s="67" t="s">
        <v>160</v>
      </c>
      <c r="E52" s="69">
        <v>85.78</v>
      </c>
      <c r="F52" s="70">
        <f>SUM(E52*2/100)</f>
        <v>1.7156</v>
      </c>
      <c r="G52" s="13">
        <v>72.81</v>
      </c>
      <c r="H52" s="71">
        <f t="shared" si="5"/>
        <v>0.124912836</v>
      </c>
      <c r="I52" s="13">
        <f>F52/2*G52</f>
        <v>62.456417999999999</v>
      </c>
      <c r="J52" s="23"/>
      <c r="L52" s="19"/>
      <c r="M52" s="20"/>
      <c r="N52" s="21"/>
    </row>
    <row r="53" spans="1:22" ht="15" customHeight="1">
      <c r="A53" s="29">
        <v>25</v>
      </c>
      <c r="B53" s="67" t="s">
        <v>58</v>
      </c>
      <c r="C53" s="68" t="s">
        <v>122</v>
      </c>
      <c r="D53" s="67" t="s">
        <v>180</v>
      </c>
      <c r="E53" s="69">
        <v>884</v>
      </c>
      <c r="F53" s="70">
        <f>SUM(E53*5/1000)</f>
        <v>4.42</v>
      </c>
      <c r="G53" s="13">
        <v>1213.55</v>
      </c>
      <c r="H53" s="71">
        <f t="shared" si="5"/>
        <v>5.3638909999999997</v>
      </c>
      <c r="I53" s="13">
        <f>F53/5*G53</f>
        <v>1072.7782</v>
      </c>
      <c r="J53" s="23"/>
      <c r="L53" s="19"/>
      <c r="M53" s="20"/>
      <c r="N53" s="21"/>
    </row>
    <row r="54" spans="1:22" ht="31.5" hidden="1" customHeight="1">
      <c r="A54" s="29">
        <v>25</v>
      </c>
      <c r="B54" s="67" t="s">
        <v>130</v>
      </c>
      <c r="C54" s="68" t="s">
        <v>122</v>
      </c>
      <c r="D54" s="67" t="s">
        <v>43</v>
      </c>
      <c r="E54" s="69">
        <v>884</v>
      </c>
      <c r="F54" s="70">
        <f>SUM(E54*2/1000)</f>
        <v>1.768</v>
      </c>
      <c r="G54" s="13">
        <v>1213.55</v>
      </c>
      <c r="H54" s="71">
        <f t="shared" si="5"/>
        <v>2.1455563999999998</v>
      </c>
      <c r="I54" s="13">
        <f>F54/2*G54</f>
        <v>1072.7782</v>
      </c>
      <c r="J54" s="23"/>
      <c r="L54" s="19"/>
      <c r="M54" s="20"/>
      <c r="N54" s="21"/>
    </row>
    <row r="55" spans="1:22" ht="31.5" hidden="1" customHeight="1">
      <c r="A55" s="29">
        <v>26</v>
      </c>
      <c r="B55" s="67" t="s">
        <v>131</v>
      </c>
      <c r="C55" s="68" t="s">
        <v>39</v>
      </c>
      <c r="D55" s="67" t="s">
        <v>43</v>
      </c>
      <c r="E55" s="69">
        <v>20</v>
      </c>
      <c r="F55" s="70">
        <f>SUM(E55*2/100)</f>
        <v>0.4</v>
      </c>
      <c r="G55" s="13">
        <v>2730.49</v>
      </c>
      <c r="H55" s="71">
        <f t="shared" si="5"/>
        <v>1.0921959999999999</v>
      </c>
      <c r="I55" s="13">
        <f t="shared" ref="I55:I56" si="7">F55/2*G55</f>
        <v>546.09799999999996</v>
      </c>
      <c r="J55" s="23"/>
      <c r="L55" s="19"/>
      <c r="M55" s="20"/>
      <c r="N55" s="21"/>
    </row>
    <row r="56" spans="1:22" ht="15" hidden="1" customHeight="1">
      <c r="A56" s="29">
        <v>27</v>
      </c>
      <c r="B56" s="67" t="s">
        <v>40</v>
      </c>
      <c r="C56" s="68" t="s">
        <v>41</v>
      </c>
      <c r="D56" s="67" t="s">
        <v>43</v>
      </c>
      <c r="E56" s="69">
        <v>1</v>
      </c>
      <c r="F56" s="70">
        <v>0.02</v>
      </c>
      <c r="G56" s="13">
        <v>5652.13</v>
      </c>
      <c r="H56" s="71">
        <f t="shared" si="5"/>
        <v>0.11304260000000001</v>
      </c>
      <c r="I56" s="13">
        <f t="shared" si="7"/>
        <v>56.521300000000004</v>
      </c>
      <c r="J56" s="23"/>
      <c r="L56" s="19"/>
      <c r="M56" s="20"/>
      <c r="N56" s="21"/>
    </row>
    <row r="57" spans="1:22" ht="15" hidden="1" customHeight="1">
      <c r="A57" s="29">
        <v>14</v>
      </c>
      <c r="B57" s="67" t="s">
        <v>42</v>
      </c>
      <c r="C57" s="68" t="s">
        <v>30</v>
      </c>
      <c r="D57" s="67" t="s">
        <v>73</v>
      </c>
      <c r="E57" s="69">
        <v>136</v>
      </c>
      <c r="F57" s="70">
        <f>SUM(E57)*3</f>
        <v>408</v>
      </c>
      <c r="G57" s="13">
        <v>65.67</v>
      </c>
      <c r="H57" s="71">
        <f t="shared" si="5"/>
        <v>26.79336</v>
      </c>
      <c r="I57" s="13">
        <f>E57*G57</f>
        <v>8931.1200000000008</v>
      </c>
      <c r="J57" s="23"/>
      <c r="L57" s="19"/>
      <c r="M57" s="20"/>
      <c r="N57" s="21"/>
    </row>
    <row r="58" spans="1:22" ht="15.75" customHeight="1">
      <c r="A58" s="136" t="s">
        <v>154</v>
      </c>
      <c r="B58" s="137"/>
      <c r="C58" s="137"/>
      <c r="D58" s="137"/>
      <c r="E58" s="137"/>
      <c r="F58" s="137"/>
      <c r="G58" s="137"/>
      <c r="H58" s="137"/>
      <c r="I58" s="138"/>
      <c r="J58" s="23"/>
      <c r="L58" s="19"/>
      <c r="M58" s="20"/>
      <c r="N58" s="21"/>
    </row>
    <row r="59" spans="1:22" ht="15" hidden="1" customHeight="1">
      <c r="A59" s="29"/>
      <c r="B59" s="90" t="s">
        <v>44</v>
      </c>
      <c r="C59" s="68"/>
      <c r="D59" s="67"/>
      <c r="E59" s="69"/>
      <c r="F59" s="70"/>
      <c r="G59" s="70"/>
      <c r="H59" s="71"/>
      <c r="I59" s="13"/>
      <c r="J59" s="23"/>
      <c r="L59" s="19"/>
      <c r="M59" s="20"/>
      <c r="N59" s="21"/>
    </row>
    <row r="60" spans="1:22" ht="31.5" hidden="1" customHeight="1">
      <c r="A60" s="29">
        <v>15</v>
      </c>
      <c r="B60" s="67" t="s">
        <v>133</v>
      </c>
      <c r="C60" s="68" t="s">
        <v>104</v>
      </c>
      <c r="D60" s="67" t="s">
        <v>74</v>
      </c>
      <c r="E60" s="69">
        <v>106.13</v>
      </c>
      <c r="F60" s="70">
        <f>E60*6/100</f>
        <v>6.3677999999999999</v>
      </c>
      <c r="G60" s="78">
        <v>1547.28</v>
      </c>
      <c r="H60" s="71">
        <f>F60*G60/1000</f>
        <v>9.8527695839999989</v>
      </c>
      <c r="I60" s="13">
        <f>F60/6*G60</f>
        <v>1642.1282639999999</v>
      </c>
      <c r="J60" s="23"/>
      <c r="L60" s="19"/>
    </row>
    <row r="61" spans="1:22" ht="15" customHeight="1">
      <c r="A61" s="29"/>
      <c r="B61" s="91" t="s">
        <v>45</v>
      </c>
      <c r="C61" s="79"/>
      <c r="D61" s="80"/>
      <c r="E61" s="81"/>
      <c r="F61" s="82"/>
      <c r="G61" s="83"/>
      <c r="H61" s="92"/>
      <c r="I61" s="13"/>
    </row>
    <row r="62" spans="1:22" ht="15" hidden="1" customHeight="1">
      <c r="A62" s="29"/>
      <c r="B62" s="80" t="s">
        <v>46</v>
      </c>
      <c r="C62" s="79" t="s">
        <v>54</v>
      </c>
      <c r="D62" s="80" t="s">
        <v>55</v>
      </c>
      <c r="E62" s="81">
        <v>884</v>
      </c>
      <c r="F62" s="82">
        <f>E62/100</f>
        <v>8.84</v>
      </c>
      <c r="G62" s="70">
        <v>793.61</v>
      </c>
      <c r="H62" s="92">
        <f>G62*F62/1000</f>
        <v>7.0155123999999995</v>
      </c>
      <c r="I62" s="13">
        <v>0</v>
      </c>
    </row>
    <row r="63" spans="1:22" ht="15" customHeight="1">
      <c r="A63" s="29">
        <v>26</v>
      </c>
      <c r="B63" s="80" t="s">
        <v>100</v>
      </c>
      <c r="C63" s="79" t="s">
        <v>25</v>
      </c>
      <c r="D63" s="80"/>
      <c r="E63" s="81">
        <v>176.8</v>
      </c>
      <c r="F63" s="82">
        <f>E63*12</f>
        <v>2121.6000000000004</v>
      </c>
      <c r="G63" s="70">
        <v>1.2</v>
      </c>
      <c r="H63" s="92">
        <f>G63*F63</f>
        <v>2545.9200000000005</v>
      </c>
      <c r="I63" s="13">
        <f>G63*100</f>
        <v>120</v>
      </c>
    </row>
    <row r="64" spans="1:22" ht="15" customHeight="1">
      <c r="A64" s="29"/>
      <c r="B64" s="91" t="s">
        <v>47</v>
      </c>
      <c r="C64" s="79"/>
      <c r="D64" s="80"/>
      <c r="E64" s="81"/>
      <c r="F64" s="82"/>
      <c r="G64" s="70"/>
      <c r="H64" s="92" t="s">
        <v>140</v>
      </c>
      <c r="I64" s="1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9"/>
    </row>
    <row r="65" spans="1:21" ht="15" hidden="1" customHeight="1">
      <c r="A65" s="29">
        <v>29</v>
      </c>
      <c r="B65" s="14" t="s">
        <v>48</v>
      </c>
      <c r="C65" s="16" t="s">
        <v>132</v>
      </c>
      <c r="D65" s="14" t="s">
        <v>69</v>
      </c>
      <c r="E65" s="18">
        <v>20</v>
      </c>
      <c r="F65" s="70">
        <v>20</v>
      </c>
      <c r="G65" s="94">
        <v>222.4</v>
      </c>
      <c r="H65" s="93">
        <f t="shared" ref="H65:H80" si="8">SUM(F65*G65/1000)</f>
        <v>4.4480000000000004</v>
      </c>
      <c r="I65" s="13">
        <f>G65</f>
        <v>222.4</v>
      </c>
      <c r="J65" s="25"/>
      <c r="K65" s="25"/>
      <c r="L65" s="3"/>
      <c r="M65" s="3"/>
      <c r="N65" s="3"/>
      <c r="O65" s="3"/>
      <c r="P65" s="3"/>
      <c r="Q65" s="3"/>
      <c r="R65" s="3"/>
      <c r="S65" s="3"/>
      <c r="T65" s="3"/>
      <c r="U65" s="3"/>
    </row>
    <row r="66" spans="1:21" ht="15" hidden="1" customHeight="1">
      <c r="A66" s="29">
        <v>17</v>
      </c>
      <c r="B66" s="14" t="s">
        <v>49</v>
      </c>
      <c r="C66" s="16" t="s">
        <v>132</v>
      </c>
      <c r="D66" s="14" t="s">
        <v>69</v>
      </c>
      <c r="E66" s="14" t="s">
        <v>69</v>
      </c>
      <c r="F66" s="14" t="s">
        <v>69</v>
      </c>
      <c r="G66" s="13">
        <v>76.25</v>
      </c>
      <c r="H66" s="84" t="e">
        <f t="shared" si="8"/>
        <v>#VALUE!</v>
      </c>
      <c r="I66" s="13">
        <f>G66</f>
        <v>76.25</v>
      </c>
      <c r="J66" s="3"/>
      <c r="K66" s="3"/>
      <c r="L66" s="3"/>
      <c r="M66" s="3"/>
      <c r="N66" s="3"/>
      <c r="O66" s="3"/>
      <c r="P66" s="3"/>
      <c r="Q66" s="3"/>
      <c r="S66" s="3"/>
      <c r="T66" s="3"/>
      <c r="U66" s="3"/>
    </row>
    <row r="67" spans="1:21" ht="15" customHeight="1">
      <c r="A67" s="29">
        <v>27</v>
      </c>
      <c r="B67" s="14" t="s">
        <v>50</v>
      </c>
      <c r="C67" s="16" t="s">
        <v>134</v>
      </c>
      <c r="D67" s="14" t="s">
        <v>55</v>
      </c>
      <c r="E67" s="69">
        <v>12647</v>
      </c>
      <c r="F67" s="13">
        <f>SUM(E67/100)</f>
        <v>126.47</v>
      </c>
      <c r="G67" s="13">
        <v>212.15</v>
      </c>
      <c r="H67" s="84">
        <f t="shared" si="8"/>
        <v>26.830610499999999</v>
      </c>
      <c r="I67" s="13">
        <f>F67*G67</f>
        <v>26830.610499999999</v>
      </c>
      <c r="J67" s="5"/>
      <c r="K67" s="5"/>
      <c r="L67" s="5"/>
      <c r="M67" s="5"/>
      <c r="N67" s="5"/>
      <c r="O67" s="5"/>
      <c r="P67" s="5"/>
      <c r="Q67" s="5"/>
      <c r="R67" s="124"/>
      <c r="S67" s="124"/>
      <c r="T67" s="124"/>
      <c r="U67" s="124"/>
    </row>
    <row r="68" spans="1:21" ht="15" customHeight="1">
      <c r="A68" s="29">
        <v>28</v>
      </c>
      <c r="B68" s="14" t="s">
        <v>51</v>
      </c>
      <c r="C68" s="16" t="s">
        <v>135</v>
      </c>
      <c r="D68" s="14"/>
      <c r="E68" s="69">
        <v>12647</v>
      </c>
      <c r="F68" s="13">
        <f>SUM(E68/1000)</f>
        <v>12.647</v>
      </c>
      <c r="G68" s="13">
        <v>165.21</v>
      </c>
      <c r="H68" s="84">
        <f t="shared" si="8"/>
        <v>2.08941087</v>
      </c>
      <c r="I68" s="13">
        <f t="shared" ref="I68:I72" si="9">F68*G68</f>
        <v>2089.4108700000002</v>
      </c>
    </row>
    <row r="69" spans="1:21" ht="15" customHeight="1">
      <c r="A69" s="29">
        <v>29</v>
      </c>
      <c r="B69" s="14" t="s">
        <v>52</v>
      </c>
      <c r="C69" s="16" t="s">
        <v>80</v>
      </c>
      <c r="D69" s="14" t="s">
        <v>55</v>
      </c>
      <c r="E69" s="69">
        <v>1900</v>
      </c>
      <c r="F69" s="13">
        <f>SUM(E69/100)</f>
        <v>19</v>
      </c>
      <c r="G69" s="13">
        <v>2074.63</v>
      </c>
      <c r="H69" s="84">
        <f t="shared" si="8"/>
        <v>39.417970000000004</v>
      </c>
      <c r="I69" s="13">
        <f t="shared" si="9"/>
        <v>39417.97</v>
      </c>
    </row>
    <row r="70" spans="1:21" ht="15" customHeight="1">
      <c r="A70" s="29">
        <v>30</v>
      </c>
      <c r="B70" s="85" t="s">
        <v>136</v>
      </c>
      <c r="C70" s="16" t="s">
        <v>33</v>
      </c>
      <c r="D70" s="14"/>
      <c r="E70" s="69">
        <v>11.3</v>
      </c>
      <c r="F70" s="13">
        <f>SUM(E70)</f>
        <v>11.3</v>
      </c>
      <c r="G70" s="13">
        <v>42.67</v>
      </c>
      <c r="H70" s="84">
        <f t="shared" si="8"/>
        <v>0.48217100000000007</v>
      </c>
      <c r="I70" s="13">
        <f t="shared" si="9"/>
        <v>482.17100000000005</v>
      </c>
    </row>
    <row r="71" spans="1:21" ht="25.5" customHeight="1">
      <c r="A71" s="29">
        <v>31</v>
      </c>
      <c r="B71" s="85" t="s">
        <v>137</v>
      </c>
      <c r="C71" s="16" t="s">
        <v>33</v>
      </c>
      <c r="D71" s="14"/>
      <c r="E71" s="69">
        <v>11.3</v>
      </c>
      <c r="F71" s="13">
        <f>SUM(E71)</f>
        <v>11.3</v>
      </c>
      <c r="G71" s="13">
        <v>39.81</v>
      </c>
      <c r="H71" s="84">
        <f t="shared" si="8"/>
        <v>0.44985300000000006</v>
      </c>
      <c r="I71" s="13">
        <f t="shared" si="9"/>
        <v>449.85300000000007</v>
      </c>
    </row>
    <row r="72" spans="1:21" ht="15" hidden="1" customHeight="1">
      <c r="A72" s="29"/>
      <c r="B72" s="14" t="s">
        <v>59</v>
      </c>
      <c r="C72" s="16" t="s">
        <v>60</v>
      </c>
      <c r="D72" s="14" t="s">
        <v>55</v>
      </c>
      <c r="E72" s="18">
        <v>6</v>
      </c>
      <c r="F72" s="70">
        <f>SUM(E72)</f>
        <v>6</v>
      </c>
      <c r="G72" s="13">
        <v>49.88</v>
      </c>
      <c r="H72" s="84">
        <f t="shared" si="8"/>
        <v>0.29928000000000005</v>
      </c>
      <c r="I72" s="13">
        <f t="shared" si="9"/>
        <v>299.28000000000003</v>
      </c>
    </row>
    <row r="73" spans="1:21" ht="18.75" customHeight="1">
      <c r="A73" s="29"/>
      <c r="B73" s="57" t="s">
        <v>75</v>
      </c>
      <c r="C73" s="16"/>
      <c r="D73" s="14"/>
      <c r="E73" s="18"/>
      <c r="F73" s="13"/>
      <c r="G73" s="13"/>
      <c r="H73" s="84" t="s">
        <v>140</v>
      </c>
      <c r="I73" s="13"/>
    </row>
    <row r="74" spans="1:21" ht="21" customHeight="1">
      <c r="A74" s="29">
        <v>32</v>
      </c>
      <c r="B74" s="14" t="s">
        <v>76</v>
      </c>
      <c r="C74" s="16" t="s">
        <v>31</v>
      </c>
      <c r="D74" s="14"/>
      <c r="E74" s="18">
        <v>5</v>
      </c>
      <c r="F74" s="61">
        <v>0.5</v>
      </c>
      <c r="G74" s="13">
        <v>501.62</v>
      </c>
      <c r="H74" s="84">
        <v>0.251</v>
      </c>
      <c r="I74" s="13">
        <f>G74*0.1</f>
        <v>50.162000000000006</v>
      </c>
    </row>
    <row r="75" spans="1:21" ht="30.75" hidden="1" customHeight="1">
      <c r="A75" s="29"/>
      <c r="B75" s="14" t="s">
        <v>148</v>
      </c>
      <c r="C75" s="16" t="s">
        <v>30</v>
      </c>
      <c r="D75" s="14"/>
      <c r="E75" s="18">
        <v>2</v>
      </c>
      <c r="F75" s="13">
        <v>2</v>
      </c>
      <c r="G75" s="13">
        <v>99.85</v>
      </c>
      <c r="H75" s="84">
        <v>0.1</v>
      </c>
      <c r="I75" s="13">
        <v>0</v>
      </c>
    </row>
    <row r="76" spans="1:21" ht="33" hidden="1" customHeight="1">
      <c r="A76" s="29"/>
      <c r="B76" s="14" t="s">
        <v>149</v>
      </c>
      <c r="C76" s="16" t="s">
        <v>30</v>
      </c>
      <c r="D76" s="14"/>
      <c r="E76" s="18">
        <v>1</v>
      </c>
      <c r="F76" s="61">
        <v>1</v>
      </c>
      <c r="G76" s="13">
        <v>120.26</v>
      </c>
      <c r="H76" s="84">
        <v>0.12</v>
      </c>
      <c r="I76" s="13">
        <v>0</v>
      </c>
    </row>
    <row r="77" spans="1:21" ht="32.25" hidden="1" customHeight="1">
      <c r="A77" s="29"/>
      <c r="B77" s="14" t="s">
        <v>91</v>
      </c>
      <c r="C77" s="16" t="s">
        <v>30</v>
      </c>
      <c r="D77" s="14"/>
      <c r="E77" s="18">
        <v>1</v>
      </c>
      <c r="F77" s="70">
        <f>SUM(E77)</f>
        <v>1</v>
      </c>
      <c r="G77" s="13">
        <v>358.51</v>
      </c>
      <c r="H77" s="84">
        <f t="shared" si="8"/>
        <v>0.35851</v>
      </c>
      <c r="I77" s="13">
        <v>0</v>
      </c>
    </row>
    <row r="78" spans="1:21" ht="34.5" hidden="1" customHeight="1">
      <c r="A78" s="29">
        <v>34</v>
      </c>
      <c r="B78" s="14" t="s">
        <v>77</v>
      </c>
      <c r="C78" s="16" t="s">
        <v>30</v>
      </c>
      <c r="D78" s="14"/>
      <c r="E78" s="18">
        <v>1</v>
      </c>
      <c r="F78" s="13">
        <v>1</v>
      </c>
      <c r="G78" s="13">
        <v>852.99</v>
      </c>
      <c r="H78" s="84">
        <f>F78*G78/1000</f>
        <v>0.85299000000000003</v>
      </c>
      <c r="I78" s="13">
        <f>G78*6</f>
        <v>5117.9400000000005</v>
      </c>
    </row>
    <row r="79" spans="1:21" ht="36.75" hidden="1" customHeight="1">
      <c r="A79" s="29"/>
      <c r="B79" s="86" t="s">
        <v>79</v>
      </c>
      <c r="C79" s="16"/>
      <c r="D79" s="14"/>
      <c r="E79" s="18"/>
      <c r="F79" s="13"/>
      <c r="G79" s="13" t="s">
        <v>140</v>
      </c>
      <c r="H79" s="84" t="s">
        <v>140</v>
      </c>
      <c r="I79" s="13"/>
    </row>
    <row r="80" spans="1:21" ht="36.75" hidden="1" customHeight="1">
      <c r="A80" s="29"/>
      <c r="B80" s="44" t="s">
        <v>141</v>
      </c>
      <c r="C80" s="16" t="s">
        <v>80</v>
      </c>
      <c r="D80" s="14"/>
      <c r="E80" s="18"/>
      <c r="F80" s="13">
        <v>0.2</v>
      </c>
      <c r="G80" s="13">
        <v>2759.44</v>
      </c>
      <c r="H80" s="84">
        <f t="shared" si="8"/>
        <v>0.55188800000000005</v>
      </c>
      <c r="I80" s="13">
        <v>0</v>
      </c>
    </row>
    <row r="81" spans="1:9" ht="22.5" hidden="1" customHeight="1">
      <c r="A81" s="29"/>
      <c r="B81" s="74" t="s">
        <v>138</v>
      </c>
      <c r="C81" s="86"/>
      <c r="D81" s="31"/>
      <c r="E81" s="32"/>
      <c r="F81" s="75"/>
      <c r="G81" s="75"/>
      <c r="H81" s="87" t="e">
        <f>SUM(H60:H80)</f>
        <v>#VALUE!</v>
      </c>
      <c r="I81" s="75"/>
    </row>
    <row r="82" spans="1:9" ht="17.25" hidden="1" customHeight="1">
      <c r="A82" s="29"/>
      <c r="B82" s="67" t="s">
        <v>139</v>
      </c>
      <c r="C82" s="16"/>
      <c r="D82" s="14"/>
      <c r="E82" s="62"/>
      <c r="F82" s="13">
        <v>1</v>
      </c>
      <c r="G82" s="13">
        <v>13437.4</v>
      </c>
      <c r="H82" s="84">
        <f>G82*F82/1000</f>
        <v>13.4374</v>
      </c>
      <c r="I82" s="13">
        <v>0</v>
      </c>
    </row>
    <row r="83" spans="1:9" ht="15.75" customHeight="1">
      <c r="A83" s="125" t="s">
        <v>155</v>
      </c>
      <c r="B83" s="126"/>
      <c r="C83" s="126"/>
      <c r="D83" s="126"/>
      <c r="E83" s="126"/>
      <c r="F83" s="126"/>
      <c r="G83" s="126"/>
      <c r="H83" s="126"/>
      <c r="I83" s="127"/>
    </row>
    <row r="84" spans="1:9" ht="15" customHeight="1">
      <c r="A84" s="29">
        <v>33</v>
      </c>
      <c r="B84" s="67" t="s">
        <v>142</v>
      </c>
      <c r="C84" s="16" t="s">
        <v>56</v>
      </c>
      <c r="D84" s="88" t="s">
        <v>57</v>
      </c>
      <c r="E84" s="13">
        <v>3031.3</v>
      </c>
      <c r="F84" s="13">
        <f>SUM(E84*12)</f>
        <v>36375.600000000006</v>
      </c>
      <c r="G84" s="13">
        <v>2.1</v>
      </c>
      <c r="H84" s="84">
        <f>SUM(F84*G84/1000)</f>
        <v>76.388760000000005</v>
      </c>
      <c r="I84" s="13">
        <f>F84/12*G84</f>
        <v>6365.7300000000014</v>
      </c>
    </row>
    <row r="85" spans="1:9" ht="31.5" customHeight="1">
      <c r="A85" s="29">
        <v>34</v>
      </c>
      <c r="B85" s="14" t="s">
        <v>81</v>
      </c>
      <c r="C85" s="16"/>
      <c r="D85" s="88" t="s">
        <v>57</v>
      </c>
      <c r="E85" s="69">
        <f>E84</f>
        <v>3031.3</v>
      </c>
      <c r="F85" s="13">
        <f>E85*12</f>
        <v>36375.600000000006</v>
      </c>
      <c r="G85" s="13">
        <v>1.63</v>
      </c>
      <c r="H85" s="84">
        <f>F85*G85/1000</f>
        <v>59.292228000000001</v>
      </c>
      <c r="I85" s="13">
        <f>F85/12*G85</f>
        <v>4941.0190000000011</v>
      </c>
    </row>
    <row r="86" spans="1:9" ht="15.75" customHeight="1">
      <c r="A86" s="45"/>
      <c r="B86" s="36" t="s">
        <v>83</v>
      </c>
      <c r="C86" s="37"/>
      <c r="D86" s="15"/>
      <c r="E86" s="15"/>
      <c r="F86" s="15"/>
      <c r="G86" s="18"/>
      <c r="H86" s="18"/>
      <c r="I86" s="32">
        <f>I85+I84+I74+I71+I70+I69+I68+I67+I63+I53+I52+I51+I50+I49+I48+I42+I35+I34+I33+I32+I31+I28+I27+I26+I25+I24+I23+I22+I21+I20+I19+I18+I17+I16</f>
        <v>118205.23340555558</v>
      </c>
    </row>
    <row r="87" spans="1:9" ht="15.75" customHeight="1">
      <c r="A87" s="139" t="s">
        <v>62</v>
      </c>
      <c r="B87" s="140"/>
      <c r="C87" s="140"/>
      <c r="D87" s="140"/>
      <c r="E87" s="140"/>
      <c r="F87" s="140"/>
      <c r="G87" s="140"/>
      <c r="H87" s="140"/>
      <c r="I87" s="141"/>
    </row>
    <row r="88" spans="1:9" ht="20.25" customHeight="1">
      <c r="A88" s="29">
        <v>35</v>
      </c>
      <c r="B88" s="49" t="s">
        <v>203</v>
      </c>
      <c r="C88" s="51" t="s">
        <v>132</v>
      </c>
      <c r="D88" s="44"/>
      <c r="E88" s="13"/>
      <c r="F88" s="13">
        <f>29/3</f>
        <v>9.6666666666666661</v>
      </c>
      <c r="G88" s="34">
        <v>784.36</v>
      </c>
      <c r="H88" s="84">
        <f t="shared" ref="H88:H89" si="10">G88*F88/1000</f>
        <v>7.5821466666666666</v>
      </c>
      <c r="I88" s="13">
        <f>G88*4</f>
        <v>3137.44</v>
      </c>
    </row>
    <row r="89" spans="1:9" ht="31.5" customHeight="1">
      <c r="A89" s="29">
        <v>36</v>
      </c>
      <c r="B89" s="108" t="s">
        <v>204</v>
      </c>
      <c r="C89" s="118" t="s">
        <v>205</v>
      </c>
      <c r="D89" s="16" t="s">
        <v>206</v>
      </c>
      <c r="E89" s="13"/>
      <c r="F89" s="13">
        <v>1.5</v>
      </c>
      <c r="G89" s="34">
        <v>1187</v>
      </c>
      <c r="H89" s="84">
        <f t="shared" si="10"/>
        <v>1.7805</v>
      </c>
      <c r="I89" s="13">
        <f>G89*28</f>
        <v>33236</v>
      </c>
    </row>
    <row r="90" spans="1:9" ht="15.75" customHeight="1">
      <c r="A90" s="29">
        <v>37</v>
      </c>
      <c r="B90" s="108" t="s">
        <v>207</v>
      </c>
      <c r="C90" s="118" t="s">
        <v>132</v>
      </c>
      <c r="D90" s="44"/>
      <c r="E90" s="13"/>
      <c r="F90" s="13">
        <v>3</v>
      </c>
      <c r="G90" s="34">
        <v>5.43</v>
      </c>
      <c r="H90" s="84">
        <f>G90*F90/1000</f>
        <v>1.6289999999999999E-2</v>
      </c>
      <c r="I90" s="13">
        <f>G90*2</f>
        <v>10.86</v>
      </c>
    </row>
    <row r="91" spans="1:9" ht="17.25" customHeight="1">
      <c r="A91" s="29">
        <v>38</v>
      </c>
      <c r="B91" s="108" t="s">
        <v>208</v>
      </c>
      <c r="C91" s="118" t="s">
        <v>132</v>
      </c>
      <c r="D91" s="44"/>
      <c r="E91" s="13"/>
      <c r="F91" s="13"/>
      <c r="G91" s="34">
        <v>89.92</v>
      </c>
      <c r="H91" s="84"/>
      <c r="I91" s="13">
        <f>G91*3</f>
        <v>269.76</v>
      </c>
    </row>
    <row r="92" spans="1:9" ht="19.5" customHeight="1">
      <c r="A92" s="29">
        <v>39</v>
      </c>
      <c r="B92" s="108" t="s">
        <v>209</v>
      </c>
      <c r="C92" s="118" t="s">
        <v>132</v>
      </c>
      <c r="D92" s="44"/>
      <c r="E92" s="13"/>
      <c r="F92" s="13"/>
      <c r="G92" s="34">
        <v>6.2</v>
      </c>
      <c r="H92" s="84"/>
      <c r="I92" s="13">
        <f>G92*8</f>
        <v>49.6</v>
      </c>
    </row>
    <row r="93" spans="1:9" ht="16.5" customHeight="1">
      <c r="A93" s="29">
        <v>40</v>
      </c>
      <c r="B93" s="108" t="s">
        <v>210</v>
      </c>
      <c r="C93" s="118" t="s">
        <v>132</v>
      </c>
      <c r="D93" s="44"/>
      <c r="E93" s="13"/>
      <c r="F93" s="13"/>
      <c r="G93" s="34">
        <v>5.42</v>
      </c>
      <c r="H93" s="84"/>
      <c r="I93" s="13">
        <f>G93*10</f>
        <v>54.2</v>
      </c>
    </row>
    <row r="94" spans="1:9" ht="22.5" customHeight="1">
      <c r="A94" s="29">
        <v>41</v>
      </c>
      <c r="B94" s="108" t="s">
        <v>211</v>
      </c>
      <c r="C94" s="118" t="s">
        <v>132</v>
      </c>
      <c r="D94" s="44"/>
      <c r="E94" s="13"/>
      <c r="F94" s="13"/>
      <c r="G94" s="34">
        <v>151.31</v>
      </c>
      <c r="H94" s="84"/>
      <c r="I94" s="13">
        <f>G94*1</f>
        <v>151.31</v>
      </c>
    </row>
    <row r="95" spans="1:9" ht="18" customHeight="1">
      <c r="A95" s="29">
        <v>42</v>
      </c>
      <c r="B95" s="108" t="s">
        <v>212</v>
      </c>
      <c r="C95" s="118" t="s">
        <v>132</v>
      </c>
      <c r="D95" s="44"/>
      <c r="E95" s="13"/>
      <c r="F95" s="13"/>
      <c r="G95" s="34">
        <v>169.24</v>
      </c>
      <c r="H95" s="84"/>
      <c r="I95" s="13">
        <f>G95*2</f>
        <v>338.48</v>
      </c>
    </row>
    <row r="96" spans="1:9" ht="17.25" customHeight="1">
      <c r="A96" s="29">
        <v>43</v>
      </c>
      <c r="B96" s="108" t="s">
        <v>213</v>
      </c>
      <c r="C96" s="118" t="s">
        <v>132</v>
      </c>
      <c r="D96" s="44"/>
      <c r="E96" s="13"/>
      <c r="F96" s="13"/>
      <c r="G96" s="34">
        <v>6.84</v>
      </c>
      <c r="H96" s="84"/>
      <c r="I96" s="13">
        <f>G96*3</f>
        <v>20.52</v>
      </c>
    </row>
    <row r="97" spans="1:9" ht="18.75" customHeight="1">
      <c r="A97" s="29">
        <v>44</v>
      </c>
      <c r="B97" s="108" t="s">
        <v>214</v>
      </c>
      <c r="C97" s="118" t="s">
        <v>132</v>
      </c>
      <c r="D97" s="44"/>
      <c r="E97" s="13"/>
      <c r="F97" s="13"/>
      <c r="G97" s="34">
        <v>4.46</v>
      </c>
      <c r="H97" s="84"/>
      <c r="I97" s="13">
        <f>G97*10</f>
        <v>44.6</v>
      </c>
    </row>
    <row r="98" spans="1:9" ht="31.5" customHeight="1">
      <c r="A98" s="29">
        <v>45</v>
      </c>
      <c r="B98" s="108" t="s">
        <v>215</v>
      </c>
      <c r="C98" s="118" t="s">
        <v>205</v>
      </c>
      <c r="D98" s="16" t="s">
        <v>216</v>
      </c>
      <c r="E98" s="13"/>
      <c r="F98" s="13"/>
      <c r="G98" s="34">
        <v>1272</v>
      </c>
      <c r="H98" s="84"/>
      <c r="I98" s="13">
        <f>G98*8</f>
        <v>10176</v>
      </c>
    </row>
    <row r="99" spans="1:9" ht="22.5" customHeight="1">
      <c r="A99" s="29">
        <v>46</v>
      </c>
      <c r="B99" s="52" t="s">
        <v>85</v>
      </c>
      <c r="C99" s="53" t="s">
        <v>132</v>
      </c>
      <c r="D99" s="44"/>
      <c r="E99" s="13"/>
      <c r="F99" s="13"/>
      <c r="G99" s="34">
        <v>197.48</v>
      </c>
      <c r="H99" s="84"/>
      <c r="I99" s="13">
        <f>G99*1</f>
        <v>197.48</v>
      </c>
    </row>
    <row r="100" spans="1:9" ht="31.5" customHeight="1">
      <c r="A100" s="29">
        <v>47</v>
      </c>
      <c r="B100" s="52" t="s">
        <v>217</v>
      </c>
      <c r="C100" s="53" t="s">
        <v>101</v>
      </c>
      <c r="D100" s="16" t="s">
        <v>218</v>
      </c>
      <c r="E100" s="13"/>
      <c r="F100" s="13"/>
      <c r="G100" s="34">
        <v>7987.62</v>
      </c>
      <c r="H100" s="84"/>
      <c r="I100" s="13">
        <f>G100*0.15</f>
        <v>1198.143</v>
      </c>
    </row>
    <row r="101" spans="1:9" ht="19.5" customHeight="1">
      <c r="A101" s="29">
        <v>48</v>
      </c>
      <c r="B101" s="105" t="s">
        <v>219</v>
      </c>
      <c r="C101" s="37" t="s">
        <v>205</v>
      </c>
      <c r="D101" s="16"/>
      <c r="E101" s="13"/>
      <c r="F101" s="13"/>
      <c r="G101" s="34">
        <v>5549.74</v>
      </c>
      <c r="H101" s="84"/>
      <c r="I101" s="13">
        <f>G101*1</f>
        <v>5549.74</v>
      </c>
    </row>
    <row r="102" spans="1:9" ht="23.25" customHeight="1">
      <c r="A102" s="29">
        <v>49</v>
      </c>
      <c r="B102" s="52" t="s">
        <v>220</v>
      </c>
      <c r="C102" s="53" t="s">
        <v>221</v>
      </c>
      <c r="D102" s="16"/>
      <c r="E102" s="13"/>
      <c r="F102" s="13"/>
      <c r="G102" s="34">
        <v>186.5</v>
      </c>
      <c r="H102" s="84"/>
      <c r="I102" s="13">
        <f>G102*1</f>
        <v>186.5</v>
      </c>
    </row>
    <row r="103" spans="1:9" ht="23.25" customHeight="1">
      <c r="A103" s="29">
        <v>50</v>
      </c>
      <c r="B103" s="49" t="s">
        <v>167</v>
      </c>
      <c r="C103" s="51" t="s">
        <v>87</v>
      </c>
      <c r="D103" s="16"/>
      <c r="E103" s="13"/>
      <c r="F103" s="13"/>
      <c r="G103" s="34">
        <v>203.68</v>
      </c>
      <c r="H103" s="84"/>
      <c r="I103" s="13">
        <f>G103*1</f>
        <v>203.68</v>
      </c>
    </row>
    <row r="104" spans="1:9" ht="15.75" customHeight="1">
      <c r="A104" s="29"/>
      <c r="B104" s="42" t="s">
        <v>53</v>
      </c>
      <c r="C104" s="38"/>
      <c r="D104" s="46"/>
      <c r="E104" s="38">
        <v>1</v>
      </c>
      <c r="F104" s="38"/>
      <c r="G104" s="38"/>
      <c r="H104" s="38"/>
      <c r="I104" s="32">
        <f>SUM(I88:I103)</f>
        <v>54824.312999999995</v>
      </c>
    </row>
    <row r="105" spans="1:9" ht="15.75" customHeight="1">
      <c r="A105" s="29"/>
      <c r="B105" s="44" t="s">
        <v>82</v>
      </c>
      <c r="C105" s="15"/>
      <c r="D105" s="15"/>
      <c r="E105" s="39"/>
      <c r="F105" s="39"/>
      <c r="G105" s="40"/>
      <c r="H105" s="40"/>
      <c r="I105" s="17">
        <v>0</v>
      </c>
    </row>
    <row r="106" spans="1:9" ht="15.75" customHeight="1">
      <c r="A106" s="47"/>
      <c r="B106" s="43" t="s">
        <v>192</v>
      </c>
      <c r="C106" s="33"/>
      <c r="D106" s="33"/>
      <c r="E106" s="33"/>
      <c r="F106" s="33"/>
      <c r="G106" s="33"/>
      <c r="H106" s="33"/>
      <c r="I106" s="41">
        <f>I86+I104</f>
        <v>173029.54640555556</v>
      </c>
    </row>
    <row r="107" spans="1:9" ht="15.75">
      <c r="A107" s="142" t="s">
        <v>222</v>
      </c>
      <c r="B107" s="142"/>
      <c r="C107" s="142"/>
      <c r="D107" s="142"/>
      <c r="E107" s="142"/>
      <c r="F107" s="142"/>
      <c r="G107" s="142"/>
      <c r="H107" s="142"/>
      <c r="I107" s="142"/>
    </row>
    <row r="108" spans="1:9" ht="15.75">
      <c r="A108" s="60"/>
      <c r="B108" s="143" t="s">
        <v>223</v>
      </c>
      <c r="C108" s="143"/>
      <c r="D108" s="143"/>
      <c r="E108" s="143"/>
      <c r="F108" s="143"/>
      <c r="G108" s="143"/>
      <c r="H108" s="65"/>
      <c r="I108" s="3"/>
    </row>
    <row r="109" spans="1:9">
      <c r="A109" s="56"/>
      <c r="B109" s="144" t="s">
        <v>6</v>
      </c>
      <c r="C109" s="144"/>
      <c r="D109" s="144"/>
      <c r="E109" s="144"/>
      <c r="F109" s="144"/>
      <c r="G109" s="144"/>
      <c r="H109" s="24"/>
      <c r="I109" s="5"/>
    </row>
    <row r="110" spans="1:9">
      <c r="A110" s="10"/>
      <c r="B110" s="10"/>
      <c r="C110" s="10"/>
      <c r="D110" s="10"/>
      <c r="E110" s="10"/>
      <c r="F110" s="10"/>
      <c r="G110" s="10"/>
      <c r="H110" s="10"/>
      <c r="I110" s="10"/>
    </row>
    <row r="111" spans="1:9" ht="15.75">
      <c r="A111" s="145" t="s">
        <v>7</v>
      </c>
      <c r="B111" s="145"/>
      <c r="C111" s="145"/>
      <c r="D111" s="145"/>
      <c r="E111" s="145"/>
      <c r="F111" s="145"/>
      <c r="G111" s="145"/>
      <c r="H111" s="145"/>
      <c r="I111" s="145"/>
    </row>
    <row r="112" spans="1:9" ht="15.75">
      <c r="A112" s="145" t="s">
        <v>8</v>
      </c>
      <c r="B112" s="145"/>
      <c r="C112" s="145"/>
      <c r="D112" s="145"/>
      <c r="E112" s="145"/>
      <c r="F112" s="145"/>
      <c r="G112" s="145"/>
      <c r="H112" s="145"/>
      <c r="I112" s="145"/>
    </row>
    <row r="113" spans="1:9" ht="15.75">
      <c r="A113" s="134" t="s">
        <v>63</v>
      </c>
      <c r="B113" s="134"/>
      <c r="C113" s="134"/>
      <c r="D113" s="134"/>
      <c r="E113" s="134"/>
      <c r="F113" s="134"/>
      <c r="G113" s="134"/>
      <c r="H113" s="134"/>
      <c r="I113" s="134"/>
    </row>
    <row r="114" spans="1:9" ht="15.75">
      <c r="A114" s="11"/>
    </row>
    <row r="115" spans="1:9" ht="15.75">
      <c r="A115" s="147" t="s">
        <v>9</v>
      </c>
      <c r="B115" s="147"/>
      <c r="C115" s="147"/>
      <c r="D115" s="147"/>
      <c r="E115" s="147"/>
      <c r="F115" s="147"/>
      <c r="G115" s="147"/>
      <c r="H115" s="147"/>
      <c r="I115" s="147"/>
    </row>
    <row r="116" spans="1:9" ht="15.75">
      <c r="A116" s="4"/>
    </row>
    <row r="117" spans="1:9" ht="15.75">
      <c r="B117" s="59" t="s">
        <v>10</v>
      </c>
      <c r="C117" s="148" t="s">
        <v>93</v>
      </c>
      <c r="D117" s="148"/>
      <c r="E117" s="148"/>
      <c r="F117" s="63"/>
      <c r="I117" s="55"/>
    </row>
    <row r="118" spans="1:9">
      <c r="A118" s="56"/>
      <c r="C118" s="144" t="s">
        <v>11</v>
      </c>
      <c r="D118" s="144"/>
      <c r="E118" s="144"/>
      <c r="F118" s="24"/>
      <c r="I118" s="54" t="s">
        <v>12</v>
      </c>
    </row>
    <row r="119" spans="1:9" ht="15.75">
      <c r="A119" s="25"/>
      <c r="C119" s="12"/>
      <c r="D119" s="12"/>
      <c r="G119" s="12"/>
      <c r="H119" s="12"/>
    </row>
    <row r="120" spans="1:9" ht="15.75">
      <c r="B120" s="59" t="s">
        <v>13</v>
      </c>
      <c r="C120" s="149"/>
      <c r="D120" s="149"/>
      <c r="E120" s="149"/>
      <c r="F120" s="64"/>
      <c r="I120" s="55"/>
    </row>
    <row r="121" spans="1:9">
      <c r="A121" s="56"/>
      <c r="C121" s="124" t="s">
        <v>11</v>
      </c>
      <c r="D121" s="124"/>
      <c r="E121" s="124"/>
      <c r="F121" s="56"/>
      <c r="I121" s="54" t="s">
        <v>12</v>
      </c>
    </row>
    <row r="122" spans="1:9" ht="15.75">
      <c r="A122" s="4" t="s">
        <v>14</v>
      </c>
    </row>
    <row r="123" spans="1:9">
      <c r="A123" s="150" t="s">
        <v>15</v>
      </c>
      <c r="B123" s="150"/>
      <c r="C123" s="150"/>
      <c r="D123" s="150"/>
      <c r="E123" s="150"/>
      <c r="F123" s="150"/>
      <c r="G123" s="150"/>
      <c r="H123" s="150"/>
      <c r="I123" s="150"/>
    </row>
    <row r="124" spans="1:9" ht="45" customHeight="1">
      <c r="A124" s="146" t="s">
        <v>16</v>
      </c>
      <c r="B124" s="146"/>
      <c r="C124" s="146"/>
      <c r="D124" s="146"/>
      <c r="E124" s="146"/>
      <c r="F124" s="146"/>
      <c r="G124" s="146"/>
      <c r="H124" s="146"/>
      <c r="I124" s="146"/>
    </row>
    <row r="125" spans="1:9" ht="30" customHeight="1">
      <c r="A125" s="146" t="s">
        <v>17</v>
      </c>
      <c r="B125" s="146"/>
      <c r="C125" s="146"/>
      <c r="D125" s="146"/>
      <c r="E125" s="146"/>
      <c r="F125" s="146"/>
      <c r="G125" s="146"/>
      <c r="H125" s="146"/>
      <c r="I125" s="146"/>
    </row>
    <row r="126" spans="1:9" ht="30" customHeight="1">
      <c r="A126" s="146" t="s">
        <v>21</v>
      </c>
      <c r="B126" s="146"/>
      <c r="C126" s="146"/>
      <c r="D126" s="146"/>
      <c r="E126" s="146"/>
      <c r="F126" s="146"/>
      <c r="G126" s="146"/>
      <c r="H126" s="146"/>
      <c r="I126" s="146"/>
    </row>
    <row r="127" spans="1:9" ht="15.75">
      <c r="A127" s="146" t="s">
        <v>20</v>
      </c>
      <c r="B127" s="146"/>
      <c r="C127" s="146"/>
      <c r="D127" s="146"/>
      <c r="E127" s="146"/>
      <c r="F127" s="146"/>
      <c r="G127" s="146"/>
      <c r="H127" s="146"/>
      <c r="I127" s="146"/>
    </row>
  </sheetData>
  <autoFilter ref="I12:I62"/>
  <mergeCells count="29">
    <mergeCell ref="A124:I124"/>
    <mergeCell ref="A125:I125"/>
    <mergeCell ref="A126:I126"/>
    <mergeCell ref="A127:I127"/>
    <mergeCell ref="A115:I115"/>
    <mergeCell ref="C117:E117"/>
    <mergeCell ref="C118:E118"/>
    <mergeCell ref="C120:E120"/>
    <mergeCell ref="C121:E121"/>
    <mergeCell ref="A123:I123"/>
    <mergeCell ref="A113:I113"/>
    <mergeCell ref="A15:I15"/>
    <mergeCell ref="A29:I29"/>
    <mergeCell ref="A47:I47"/>
    <mergeCell ref="A58:I58"/>
    <mergeCell ref="A87:I87"/>
    <mergeCell ref="A107:I107"/>
    <mergeCell ref="B108:G108"/>
    <mergeCell ref="B109:G109"/>
    <mergeCell ref="A111:I111"/>
    <mergeCell ref="A112:I112"/>
    <mergeCell ref="R67:U67"/>
    <mergeCell ref="A83:I83"/>
    <mergeCell ref="A3:I3"/>
    <mergeCell ref="A4:I4"/>
    <mergeCell ref="A5:I5"/>
    <mergeCell ref="A8:I8"/>
    <mergeCell ref="A10:I10"/>
    <mergeCell ref="A14:I14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>
  <dimension ref="A1:V118"/>
  <sheetViews>
    <sheetView topLeftCell="A47" workbookViewId="0">
      <selection activeCell="B99" sqref="B99:G99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85546875" hidden="1" customWidth="1"/>
    <col min="6" max="6" width="11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7" t="s">
        <v>89</v>
      </c>
      <c r="I1" s="26"/>
      <c r="J1" s="1"/>
      <c r="K1" s="1"/>
      <c r="L1" s="1"/>
      <c r="M1" s="1"/>
    </row>
    <row r="2" spans="1:13" ht="15.75" customHeight="1">
      <c r="A2" s="28" t="s">
        <v>64</v>
      </c>
      <c r="J2" s="2"/>
      <c r="K2" s="2"/>
      <c r="L2" s="2"/>
      <c r="M2" s="2"/>
    </row>
    <row r="3" spans="1:13" ht="15.75" customHeight="1">
      <c r="A3" s="128" t="s">
        <v>186</v>
      </c>
      <c r="B3" s="128"/>
      <c r="C3" s="128"/>
      <c r="D3" s="128"/>
      <c r="E3" s="128"/>
      <c r="F3" s="128"/>
      <c r="G3" s="128"/>
      <c r="H3" s="128"/>
      <c r="I3" s="128"/>
      <c r="J3" s="3"/>
      <c r="K3" s="3"/>
      <c r="L3" s="3"/>
    </row>
    <row r="4" spans="1:13" ht="31.5" customHeight="1">
      <c r="A4" s="129" t="s">
        <v>143</v>
      </c>
      <c r="B4" s="129"/>
      <c r="C4" s="129"/>
      <c r="D4" s="129"/>
      <c r="E4" s="129"/>
      <c r="F4" s="129"/>
      <c r="G4" s="129"/>
      <c r="H4" s="129"/>
      <c r="I4" s="129"/>
    </row>
    <row r="5" spans="1:13" ht="15.75" customHeight="1">
      <c r="A5" s="128" t="s">
        <v>224</v>
      </c>
      <c r="B5" s="130"/>
      <c r="C5" s="130"/>
      <c r="D5" s="130"/>
      <c r="E5" s="130"/>
      <c r="F5" s="130"/>
      <c r="G5" s="130"/>
      <c r="H5" s="130"/>
      <c r="I5" s="130"/>
      <c r="J5" s="2"/>
      <c r="K5" s="2"/>
      <c r="L5" s="2"/>
      <c r="M5" s="2"/>
    </row>
    <row r="6" spans="1:13" ht="15.75" customHeight="1">
      <c r="A6" s="2"/>
      <c r="B6" s="58"/>
      <c r="C6" s="58"/>
      <c r="D6" s="58"/>
      <c r="E6" s="58"/>
      <c r="F6" s="58"/>
      <c r="G6" s="58"/>
      <c r="H6" s="58"/>
      <c r="I6" s="30">
        <v>43281</v>
      </c>
      <c r="J6" s="2"/>
      <c r="K6" s="2"/>
      <c r="L6" s="2"/>
      <c r="M6" s="2"/>
    </row>
    <row r="7" spans="1:13" ht="15.75" customHeight="1">
      <c r="B7" s="59"/>
      <c r="C7" s="59"/>
      <c r="D7" s="59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131" t="s">
        <v>152</v>
      </c>
      <c r="B8" s="131"/>
      <c r="C8" s="131"/>
      <c r="D8" s="131"/>
      <c r="E8" s="131"/>
      <c r="F8" s="131"/>
      <c r="G8" s="131"/>
      <c r="H8" s="131"/>
      <c r="I8" s="131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32" t="s">
        <v>193</v>
      </c>
      <c r="B10" s="132"/>
      <c r="C10" s="132"/>
      <c r="D10" s="132"/>
      <c r="E10" s="132"/>
      <c r="F10" s="132"/>
      <c r="G10" s="132"/>
      <c r="H10" s="132"/>
      <c r="I10" s="132"/>
      <c r="J10" s="2"/>
      <c r="K10" s="2"/>
      <c r="L10" s="2"/>
      <c r="M10" s="2"/>
    </row>
    <row r="11" spans="1:13" ht="15.75">
      <c r="A11" s="4"/>
    </row>
    <row r="12" spans="1:13" ht="5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133" t="s">
        <v>61</v>
      </c>
      <c r="B14" s="133"/>
      <c r="C14" s="133"/>
      <c r="D14" s="133"/>
      <c r="E14" s="133"/>
      <c r="F14" s="133"/>
      <c r="G14" s="133"/>
      <c r="H14" s="133"/>
      <c r="I14" s="133"/>
      <c r="J14" s="8"/>
      <c r="K14" s="8"/>
      <c r="L14" s="8"/>
      <c r="M14" s="8"/>
    </row>
    <row r="15" spans="1:13" ht="15.75" customHeight="1">
      <c r="A15" s="135" t="s">
        <v>4</v>
      </c>
      <c r="B15" s="135"/>
      <c r="C15" s="135"/>
      <c r="D15" s="135"/>
      <c r="E15" s="135"/>
      <c r="F15" s="135"/>
      <c r="G15" s="135"/>
      <c r="H15" s="135"/>
      <c r="I15" s="135"/>
      <c r="J15" s="8"/>
      <c r="K15" s="8"/>
      <c r="L15" s="8"/>
      <c r="M15" s="8"/>
    </row>
    <row r="16" spans="1:13" ht="15" customHeight="1">
      <c r="A16" s="29">
        <v>1</v>
      </c>
      <c r="B16" s="67" t="s">
        <v>90</v>
      </c>
      <c r="C16" s="68" t="s">
        <v>111</v>
      </c>
      <c r="D16" s="67" t="s">
        <v>112</v>
      </c>
      <c r="E16" s="69">
        <v>59.96</v>
      </c>
      <c r="F16" s="70">
        <f>SUM(E16*156/100)</f>
        <v>93.537599999999998</v>
      </c>
      <c r="G16" s="70">
        <v>175.38</v>
      </c>
      <c r="H16" s="71">
        <f t="shared" ref="H16:H26" si="0">SUM(F16*G16/1000)</f>
        <v>16.404624288000001</v>
      </c>
      <c r="I16" s="13">
        <f>F16/12*G16</f>
        <v>1367.0520239999998</v>
      </c>
      <c r="J16" s="8"/>
      <c r="K16" s="8"/>
      <c r="L16" s="8"/>
      <c r="M16" s="8"/>
    </row>
    <row r="17" spans="1:13" ht="15" customHeight="1">
      <c r="A17" s="29">
        <v>2</v>
      </c>
      <c r="B17" s="67" t="s">
        <v>97</v>
      </c>
      <c r="C17" s="68" t="s">
        <v>111</v>
      </c>
      <c r="D17" s="67" t="s">
        <v>113</v>
      </c>
      <c r="E17" s="69">
        <v>239.84</v>
      </c>
      <c r="F17" s="70">
        <f>SUM(E17*104/100)</f>
        <v>249.43360000000001</v>
      </c>
      <c r="G17" s="70">
        <v>175.38</v>
      </c>
      <c r="H17" s="71">
        <f t="shared" si="0"/>
        <v>43.745664768000005</v>
      </c>
      <c r="I17" s="13">
        <f>F17/12*G17</f>
        <v>3645.4720640000005</v>
      </c>
      <c r="J17" s="22"/>
      <c r="K17" s="8"/>
      <c r="L17" s="8"/>
      <c r="M17" s="8"/>
    </row>
    <row r="18" spans="1:13" ht="15" customHeight="1">
      <c r="A18" s="29">
        <v>3</v>
      </c>
      <c r="B18" s="67" t="s">
        <v>98</v>
      </c>
      <c r="C18" s="68" t="s">
        <v>111</v>
      </c>
      <c r="D18" s="67" t="s">
        <v>114</v>
      </c>
      <c r="E18" s="69">
        <f>SUM(E16+E17)</f>
        <v>299.8</v>
      </c>
      <c r="F18" s="70">
        <f>SUM(E18*24/100)</f>
        <v>71.952000000000012</v>
      </c>
      <c r="G18" s="70">
        <v>504.5</v>
      </c>
      <c r="H18" s="71">
        <f t="shared" si="0"/>
        <v>36.29978400000001</v>
      </c>
      <c r="I18" s="13">
        <f>F18/12*G18</f>
        <v>3024.9820000000009</v>
      </c>
      <c r="J18" s="22"/>
      <c r="K18" s="8"/>
      <c r="L18" s="8"/>
      <c r="M18" s="8"/>
    </row>
    <row r="19" spans="1:13" ht="15" hidden="1" customHeight="1">
      <c r="A19" s="29"/>
      <c r="B19" s="67" t="s">
        <v>115</v>
      </c>
      <c r="C19" s="68" t="s">
        <v>116</v>
      </c>
      <c r="D19" s="67" t="s">
        <v>117</v>
      </c>
      <c r="E19" s="69">
        <v>40.799999999999997</v>
      </c>
      <c r="F19" s="70">
        <f>SUM(E19/10)</f>
        <v>4.08</v>
      </c>
      <c r="G19" s="70">
        <v>170.16</v>
      </c>
      <c r="H19" s="71">
        <f t="shared" si="0"/>
        <v>0.6942528</v>
      </c>
      <c r="I19" s="13">
        <v>0</v>
      </c>
      <c r="J19" s="22"/>
      <c r="K19" s="8"/>
      <c r="L19" s="8"/>
      <c r="M19" s="8"/>
    </row>
    <row r="20" spans="1:13" ht="15" hidden="1" customHeight="1">
      <c r="A20" s="29"/>
      <c r="B20" s="67" t="s">
        <v>102</v>
      </c>
      <c r="C20" s="68" t="s">
        <v>111</v>
      </c>
      <c r="D20" s="67" t="s">
        <v>55</v>
      </c>
      <c r="E20" s="69">
        <v>43.2</v>
      </c>
      <c r="F20" s="70">
        <f>SUM(E20/100)</f>
        <v>0.43200000000000005</v>
      </c>
      <c r="G20" s="70">
        <v>217.88</v>
      </c>
      <c r="H20" s="71">
        <f t="shared" si="0"/>
        <v>9.4124159999999998E-2</v>
      </c>
      <c r="I20" s="13">
        <v>0</v>
      </c>
      <c r="J20" s="22"/>
      <c r="K20" s="8"/>
      <c r="L20" s="8"/>
      <c r="M20" s="8"/>
    </row>
    <row r="21" spans="1:13" ht="15" hidden="1" customHeight="1">
      <c r="A21" s="29"/>
      <c r="B21" s="67" t="s">
        <v>103</v>
      </c>
      <c r="C21" s="68" t="s">
        <v>111</v>
      </c>
      <c r="D21" s="67" t="s">
        <v>55</v>
      </c>
      <c r="E21" s="69">
        <v>10.08</v>
      </c>
      <c r="F21" s="70">
        <f>E21/100</f>
        <v>0.1008</v>
      </c>
      <c r="G21" s="70">
        <v>216.12</v>
      </c>
      <c r="H21" s="71">
        <f>SUM(F21*G21)/1000</f>
        <v>2.1784896000000002E-2</v>
      </c>
      <c r="I21" s="13">
        <v>0</v>
      </c>
      <c r="J21" s="22"/>
      <c r="K21" s="8"/>
      <c r="L21" s="8"/>
      <c r="M21" s="8"/>
    </row>
    <row r="22" spans="1:13" ht="15" hidden="1" customHeight="1">
      <c r="A22" s="29"/>
      <c r="B22" s="67" t="s">
        <v>118</v>
      </c>
      <c r="C22" s="68" t="s">
        <v>54</v>
      </c>
      <c r="D22" s="67" t="s">
        <v>117</v>
      </c>
      <c r="E22" s="69">
        <v>403.84</v>
      </c>
      <c r="F22" s="70">
        <f>SUM(E22/100)</f>
        <v>4.0383999999999993</v>
      </c>
      <c r="G22" s="70">
        <v>269.26</v>
      </c>
      <c r="H22" s="71">
        <f t="shared" si="0"/>
        <v>1.0873795839999998</v>
      </c>
      <c r="I22" s="13">
        <v>0</v>
      </c>
      <c r="J22" s="22"/>
      <c r="K22" s="8"/>
      <c r="L22" s="8"/>
      <c r="M22" s="8"/>
    </row>
    <row r="23" spans="1:13" ht="15" hidden="1" customHeight="1">
      <c r="A23" s="29"/>
      <c r="B23" s="67" t="s">
        <v>119</v>
      </c>
      <c r="C23" s="68" t="s">
        <v>54</v>
      </c>
      <c r="D23" s="67" t="s">
        <v>117</v>
      </c>
      <c r="E23" s="72">
        <v>70.56</v>
      </c>
      <c r="F23" s="70">
        <f>SUM(E23/100)</f>
        <v>0.7056</v>
      </c>
      <c r="G23" s="70">
        <v>44.29</v>
      </c>
      <c r="H23" s="71">
        <f t="shared" si="0"/>
        <v>3.1251024000000002E-2</v>
      </c>
      <c r="I23" s="13">
        <v>0</v>
      </c>
      <c r="J23" s="22"/>
      <c r="K23" s="8"/>
      <c r="L23" s="8"/>
      <c r="M23" s="8"/>
    </row>
    <row r="24" spans="1:13" ht="15" hidden="1" customHeight="1">
      <c r="A24" s="29"/>
      <c r="B24" s="67" t="s">
        <v>105</v>
      </c>
      <c r="C24" s="68" t="s">
        <v>54</v>
      </c>
      <c r="D24" s="67" t="s">
        <v>117</v>
      </c>
      <c r="E24" s="18">
        <v>14.4</v>
      </c>
      <c r="F24" s="73">
        <v>0.14000000000000001</v>
      </c>
      <c r="G24" s="70">
        <v>398.72</v>
      </c>
      <c r="H24" s="71">
        <f>F24*G24/1000</f>
        <v>5.5820800000000011E-2</v>
      </c>
      <c r="I24" s="13">
        <v>0</v>
      </c>
      <c r="J24" s="22"/>
      <c r="K24" s="8"/>
      <c r="L24" s="8"/>
      <c r="M24" s="8"/>
    </row>
    <row r="25" spans="1:13" ht="15" hidden="1" customHeight="1">
      <c r="A25" s="29"/>
      <c r="B25" s="67" t="s">
        <v>120</v>
      </c>
      <c r="C25" s="68" t="s">
        <v>54</v>
      </c>
      <c r="D25" s="67" t="s">
        <v>117</v>
      </c>
      <c r="E25" s="72">
        <v>31.5</v>
      </c>
      <c r="F25" s="70">
        <v>0.32</v>
      </c>
      <c r="G25" s="70">
        <v>216.12</v>
      </c>
      <c r="H25" s="71">
        <f>F25*G25/1000</f>
        <v>6.9158399999999995E-2</v>
      </c>
      <c r="I25" s="13">
        <v>0</v>
      </c>
      <c r="J25" s="22"/>
      <c r="K25" s="8"/>
      <c r="L25" s="8"/>
      <c r="M25" s="8"/>
    </row>
    <row r="26" spans="1:13" ht="15" hidden="1" customHeight="1">
      <c r="A26" s="29"/>
      <c r="B26" s="67" t="s">
        <v>106</v>
      </c>
      <c r="C26" s="68" t="s">
        <v>54</v>
      </c>
      <c r="D26" s="67" t="s">
        <v>117</v>
      </c>
      <c r="E26" s="69">
        <v>28.22</v>
      </c>
      <c r="F26" s="70">
        <f>SUM(E26/100)</f>
        <v>0.28220000000000001</v>
      </c>
      <c r="G26" s="70">
        <v>520.79999999999995</v>
      </c>
      <c r="H26" s="71">
        <f t="shared" si="0"/>
        <v>0.14696975999999998</v>
      </c>
      <c r="I26" s="13">
        <v>0</v>
      </c>
      <c r="J26" s="22"/>
      <c r="K26" s="8"/>
      <c r="L26" s="8"/>
      <c r="M26" s="8"/>
    </row>
    <row r="27" spans="1:13" ht="15" customHeight="1">
      <c r="A27" s="29">
        <v>4</v>
      </c>
      <c r="B27" s="67" t="s">
        <v>66</v>
      </c>
      <c r="C27" s="68" t="s">
        <v>33</v>
      </c>
      <c r="D27" s="67"/>
      <c r="E27" s="69">
        <v>0.1</v>
      </c>
      <c r="F27" s="70">
        <f>SUM(E27*365)</f>
        <v>36.5</v>
      </c>
      <c r="G27" s="70">
        <v>147.03</v>
      </c>
      <c r="H27" s="71">
        <f>SUM(F27*G27/1000)</f>
        <v>5.3665950000000002</v>
      </c>
      <c r="I27" s="13">
        <f>F27/12*G27</f>
        <v>447.21625</v>
      </c>
      <c r="J27" s="23"/>
    </row>
    <row r="28" spans="1:13" ht="15" customHeight="1">
      <c r="A28" s="29">
        <v>5</v>
      </c>
      <c r="B28" s="77" t="s">
        <v>23</v>
      </c>
      <c r="C28" s="68" t="s">
        <v>24</v>
      </c>
      <c r="D28" s="67"/>
      <c r="E28" s="69">
        <v>3031.3</v>
      </c>
      <c r="F28" s="70">
        <f>SUM(E28*12)</f>
        <v>36375.600000000006</v>
      </c>
      <c r="G28" s="70">
        <v>5.47</v>
      </c>
      <c r="H28" s="71">
        <f>SUM(F28*G28/1000)</f>
        <v>198.97453200000004</v>
      </c>
      <c r="I28" s="13">
        <f>F28/12*G28</f>
        <v>16581.211000000003</v>
      </c>
      <c r="J28" s="23"/>
    </row>
    <row r="29" spans="1:13" ht="15.75" customHeight="1">
      <c r="A29" s="135" t="s">
        <v>88</v>
      </c>
      <c r="B29" s="135"/>
      <c r="C29" s="135"/>
      <c r="D29" s="135"/>
      <c r="E29" s="135"/>
      <c r="F29" s="135"/>
      <c r="G29" s="135"/>
      <c r="H29" s="135"/>
      <c r="I29" s="135"/>
      <c r="J29" s="22"/>
      <c r="K29" s="8"/>
      <c r="L29" s="8"/>
      <c r="M29" s="8"/>
    </row>
    <row r="30" spans="1:13" ht="15" customHeight="1">
      <c r="A30" s="29"/>
      <c r="B30" s="90" t="s">
        <v>28</v>
      </c>
      <c r="C30" s="68"/>
      <c r="D30" s="67"/>
      <c r="E30" s="69"/>
      <c r="F30" s="70"/>
      <c r="G30" s="70"/>
      <c r="H30" s="71"/>
      <c r="I30" s="13"/>
      <c r="J30" s="22"/>
      <c r="K30" s="8"/>
      <c r="L30" s="8"/>
      <c r="M30" s="8"/>
    </row>
    <row r="31" spans="1:13" ht="15" customHeight="1">
      <c r="A31" s="29">
        <v>6</v>
      </c>
      <c r="B31" s="67" t="s">
        <v>121</v>
      </c>
      <c r="C31" s="68" t="s">
        <v>122</v>
      </c>
      <c r="D31" s="67" t="s">
        <v>123</v>
      </c>
      <c r="E31" s="70">
        <v>709.53</v>
      </c>
      <c r="F31" s="70">
        <f>SUM(E31*52/1000)</f>
        <v>36.895559999999996</v>
      </c>
      <c r="G31" s="70">
        <v>155.88999999999999</v>
      </c>
      <c r="H31" s="71">
        <f t="shared" ref="H31:H37" si="1">SUM(F31*G31/1000)</f>
        <v>5.7516488483999995</v>
      </c>
      <c r="I31" s="13">
        <f>F31/6*G31</f>
        <v>958.60814139999979</v>
      </c>
      <c r="J31" s="22"/>
      <c r="K31" s="8"/>
      <c r="L31" s="8"/>
      <c r="M31" s="8"/>
    </row>
    <row r="32" spans="1:13" ht="31.5" customHeight="1">
      <c r="A32" s="29">
        <v>7</v>
      </c>
      <c r="B32" s="67" t="s">
        <v>179</v>
      </c>
      <c r="C32" s="68" t="s">
        <v>122</v>
      </c>
      <c r="D32" s="67" t="s">
        <v>124</v>
      </c>
      <c r="E32" s="70">
        <v>68</v>
      </c>
      <c r="F32" s="70">
        <f>SUM(E32*78/1000)</f>
        <v>5.3040000000000003</v>
      </c>
      <c r="G32" s="70">
        <v>258.63</v>
      </c>
      <c r="H32" s="71">
        <f t="shared" si="1"/>
        <v>1.3717735199999999</v>
      </c>
      <c r="I32" s="13">
        <f t="shared" ref="I32:I35" si="2">F32/6*G32</f>
        <v>228.62891999999999</v>
      </c>
      <c r="J32" s="22"/>
      <c r="K32" s="8"/>
      <c r="L32" s="8"/>
      <c r="M32" s="8"/>
    </row>
    <row r="33" spans="1:14" ht="15" hidden="1" customHeight="1">
      <c r="A33" s="29">
        <v>16</v>
      </c>
      <c r="B33" s="67" t="s">
        <v>27</v>
      </c>
      <c r="C33" s="68" t="s">
        <v>122</v>
      </c>
      <c r="D33" s="67" t="s">
        <v>55</v>
      </c>
      <c r="E33" s="70">
        <v>709.53</v>
      </c>
      <c r="F33" s="70">
        <f>SUM(E33/1000)</f>
        <v>0.70952999999999999</v>
      </c>
      <c r="G33" s="70">
        <v>3020.33</v>
      </c>
      <c r="H33" s="71">
        <f t="shared" si="1"/>
        <v>2.1430147448999999</v>
      </c>
      <c r="I33" s="13">
        <f>F33*G33</f>
        <v>2143.0147449000001</v>
      </c>
      <c r="J33" s="22"/>
      <c r="K33" s="8"/>
      <c r="L33" s="8"/>
      <c r="M33" s="8"/>
    </row>
    <row r="34" spans="1:14" ht="15" customHeight="1">
      <c r="A34" s="29">
        <v>8</v>
      </c>
      <c r="B34" s="67" t="s">
        <v>157</v>
      </c>
      <c r="C34" s="68" t="s">
        <v>41</v>
      </c>
      <c r="D34" s="67" t="s">
        <v>65</v>
      </c>
      <c r="E34" s="70">
        <v>4</v>
      </c>
      <c r="F34" s="70">
        <v>6.2</v>
      </c>
      <c r="G34" s="70">
        <v>1302.02</v>
      </c>
      <c r="H34" s="71">
        <v>8.0730000000000004</v>
      </c>
      <c r="I34" s="13">
        <f t="shared" si="2"/>
        <v>1345.4206666666669</v>
      </c>
      <c r="J34" s="22"/>
      <c r="K34" s="8"/>
      <c r="L34" s="8"/>
      <c r="M34" s="8"/>
    </row>
    <row r="35" spans="1:14" ht="15" customHeight="1">
      <c r="A35" s="29">
        <v>9</v>
      </c>
      <c r="B35" s="67" t="s">
        <v>125</v>
      </c>
      <c r="C35" s="68" t="s">
        <v>30</v>
      </c>
      <c r="D35" s="67" t="s">
        <v>65</v>
      </c>
      <c r="E35" s="76">
        <v>0.33333333333333331</v>
      </c>
      <c r="F35" s="70">
        <f>155/3</f>
        <v>51.666666666666664</v>
      </c>
      <c r="G35" s="70">
        <v>56.69</v>
      </c>
      <c r="H35" s="71">
        <f>SUM(G35*155/3/1000)</f>
        <v>2.9289833333333331</v>
      </c>
      <c r="I35" s="13">
        <f t="shared" si="2"/>
        <v>488.16388888888883</v>
      </c>
      <c r="J35" s="22"/>
      <c r="K35" s="8"/>
    </row>
    <row r="36" spans="1:14" ht="15" hidden="1" customHeight="1">
      <c r="A36" s="29"/>
      <c r="B36" s="67" t="s">
        <v>67</v>
      </c>
      <c r="C36" s="68" t="s">
        <v>33</v>
      </c>
      <c r="D36" s="67" t="s">
        <v>69</v>
      </c>
      <c r="E36" s="69"/>
      <c r="F36" s="70">
        <v>3</v>
      </c>
      <c r="G36" s="70">
        <v>191.32</v>
      </c>
      <c r="H36" s="71">
        <f t="shared" si="1"/>
        <v>0.57396000000000003</v>
      </c>
      <c r="I36" s="13">
        <v>0</v>
      </c>
      <c r="J36" s="23"/>
    </row>
    <row r="37" spans="1:14" ht="15" hidden="1" customHeight="1">
      <c r="A37" s="29"/>
      <c r="B37" s="67" t="s">
        <v>68</v>
      </c>
      <c r="C37" s="68" t="s">
        <v>32</v>
      </c>
      <c r="D37" s="67" t="s">
        <v>69</v>
      </c>
      <c r="E37" s="69"/>
      <c r="F37" s="70">
        <v>2</v>
      </c>
      <c r="G37" s="70">
        <v>1136.32</v>
      </c>
      <c r="H37" s="71">
        <f t="shared" si="1"/>
        <v>2.27264</v>
      </c>
      <c r="I37" s="13">
        <v>0</v>
      </c>
      <c r="J37" s="23"/>
    </row>
    <row r="38" spans="1:14" ht="15" hidden="1" customHeight="1">
      <c r="A38" s="29"/>
      <c r="B38" s="90" t="s">
        <v>5</v>
      </c>
      <c r="C38" s="68"/>
      <c r="D38" s="67"/>
      <c r="E38" s="69"/>
      <c r="F38" s="70"/>
      <c r="G38" s="70"/>
      <c r="H38" s="71" t="s">
        <v>140</v>
      </c>
      <c r="I38" s="13"/>
      <c r="J38" s="23"/>
    </row>
    <row r="39" spans="1:14" ht="15" hidden="1" customHeight="1">
      <c r="A39" s="29">
        <v>6</v>
      </c>
      <c r="B39" s="67" t="s">
        <v>26</v>
      </c>
      <c r="C39" s="68" t="s">
        <v>32</v>
      </c>
      <c r="D39" s="67"/>
      <c r="E39" s="69"/>
      <c r="F39" s="70">
        <v>6</v>
      </c>
      <c r="G39" s="70">
        <v>1527.22</v>
      </c>
      <c r="H39" s="71">
        <f t="shared" ref="H39:H46" si="3">SUM(F39*G39/1000)</f>
        <v>9.1633200000000006</v>
      </c>
      <c r="I39" s="13">
        <f>F39/6*G39</f>
        <v>1527.22</v>
      </c>
      <c r="J39" s="23"/>
    </row>
    <row r="40" spans="1:14" ht="15" hidden="1" customHeight="1">
      <c r="A40" s="29">
        <v>7</v>
      </c>
      <c r="B40" s="67" t="s">
        <v>109</v>
      </c>
      <c r="C40" s="68" t="s">
        <v>29</v>
      </c>
      <c r="D40" s="67" t="s">
        <v>144</v>
      </c>
      <c r="E40" s="70">
        <v>429.8</v>
      </c>
      <c r="F40" s="70">
        <f>SUM(E40*12/1000)</f>
        <v>5.1576000000000004</v>
      </c>
      <c r="G40" s="70">
        <v>2102.71</v>
      </c>
      <c r="H40" s="71">
        <f t="shared" si="3"/>
        <v>10.844937096000001</v>
      </c>
      <c r="I40" s="13">
        <f>F40/6*G40</f>
        <v>1807.4895160000001</v>
      </c>
      <c r="J40" s="23"/>
      <c r="L40" s="19"/>
      <c r="M40" s="20"/>
      <c r="N40" s="21"/>
    </row>
    <row r="41" spans="1:14" ht="15" hidden="1" customHeight="1">
      <c r="A41" s="29">
        <v>8</v>
      </c>
      <c r="B41" s="67" t="s">
        <v>145</v>
      </c>
      <c r="C41" s="68" t="s">
        <v>29</v>
      </c>
      <c r="D41" s="67" t="s">
        <v>126</v>
      </c>
      <c r="E41" s="70">
        <v>68</v>
      </c>
      <c r="F41" s="70">
        <f>SUM(E41*30/1000)</f>
        <v>2.04</v>
      </c>
      <c r="G41" s="70">
        <v>2102.71</v>
      </c>
      <c r="H41" s="71">
        <f>SUM(F41*G41/1000)</f>
        <v>4.2895284</v>
      </c>
      <c r="I41" s="13">
        <f>F41/6*G41</f>
        <v>714.92140000000006</v>
      </c>
      <c r="J41" s="23"/>
      <c r="L41" s="19"/>
      <c r="M41" s="20"/>
      <c r="N41" s="21"/>
    </row>
    <row r="42" spans="1:14" ht="15" hidden="1" customHeight="1">
      <c r="A42" s="29"/>
      <c r="B42" s="67" t="s">
        <v>99</v>
      </c>
      <c r="C42" s="68" t="s">
        <v>127</v>
      </c>
      <c r="D42" s="67" t="s">
        <v>159</v>
      </c>
      <c r="E42" s="69"/>
      <c r="F42" s="70">
        <v>50</v>
      </c>
      <c r="G42" s="70">
        <v>199.44</v>
      </c>
      <c r="H42" s="71">
        <f>SUM(F42*G42/1000)</f>
        <v>9.9719999999999995</v>
      </c>
      <c r="I42" s="13">
        <v>0</v>
      </c>
      <c r="J42" s="23"/>
      <c r="L42" s="19"/>
      <c r="M42" s="20"/>
      <c r="N42" s="21"/>
    </row>
    <row r="43" spans="1:14" ht="15" hidden="1" customHeight="1">
      <c r="A43" s="29">
        <v>9</v>
      </c>
      <c r="B43" s="67" t="s">
        <v>70</v>
      </c>
      <c r="C43" s="68" t="s">
        <v>29</v>
      </c>
      <c r="D43" s="67" t="s">
        <v>128</v>
      </c>
      <c r="E43" s="70">
        <v>68</v>
      </c>
      <c r="F43" s="70">
        <f>SUM(E43*155/1000)</f>
        <v>10.54</v>
      </c>
      <c r="G43" s="70">
        <v>350.75</v>
      </c>
      <c r="H43" s="71">
        <f t="shared" si="3"/>
        <v>3.6969049999999997</v>
      </c>
      <c r="I43" s="13">
        <f>F43/6*G43</f>
        <v>616.15083333333325</v>
      </c>
      <c r="J43" s="23"/>
      <c r="L43" s="19"/>
      <c r="M43" s="20"/>
      <c r="N43" s="21"/>
    </row>
    <row r="44" spans="1:14" ht="47.25" hidden="1" customHeight="1">
      <c r="A44" s="29">
        <v>10</v>
      </c>
      <c r="B44" s="67" t="s">
        <v>86</v>
      </c>
      <c r="C44" s="68" t="s">
        <v>122</v>
      </c>
      <c r="D44" s="67" t="s">
        <v>146</v>
      </c>
      <c r="E44" s="70">
        <v>68</v>
      </c>
      <c r="F44" s="70">
        <f>SUM(E44*24/1000)</f>
        <v>1.6319999999999999</v>
      </c>
      <c r="G44" s="70">
        <v>5803.28</v>
      </c>
      <c r="H44" s="71">
        <f t="shared" si="3"/>
        <v>9.4709529599999982</v>
      </c>
      <c r="I44" s="13">
        <f>F44/6*G44</f>
        <v>1578.4921599999998</v>
      </c>
      <c r="J44" s="23"/>
      <c r="L44" s="19"/>
      <c r="M44" s="20"/>
      <c r="N44" s="21"/>
    </row>
    <row r="45" spans="1:14" ht="15" hidden="1" customHeight="1">
      <c r="A45" s="29">
        <v>11</v>
      </c>
      <c r="B45" s="67" t="s">
        <v>129</v>
      </c>
      <c r="C45" s="68" t="s">
        <v>122</v>
      </c>
      <c r="D45" s="67" t="s">
        <v>71</v>
      </c>
      <c r="E45" s="70">
        <v>68</v>
      </c>
      <c r="F45" s="70">
        <f>SUM(E45*45/1000)</f>
        <v>3.06</v>
      </c>
      <c r="G45" s="70">
        <v>428.7</v>
      </c>
      <c r="H45" s="71">
        <f t="shared" si="3"/>
        <v>1.3118219999999998</v>
      </c>
      <c r="I45" s="13">
        <f>F45/6*G45</f>
        <v>218.637</v>
      </c>
      <c r="J45" s="23"/>
      <c r="L45" s="19"/>
      <c r="M45" s="20"/>
      <c r="N45" s="21"/>
    </row>
    <row r="46" spans="1:14" ht="15" hidden="1" customHeight="1">
      <c r="A46" s="29">
        <v>12</v>
      </c>
      <c r="B46" s="67" t="s">
        <v>72</v>
      </c>
      <c r="C46" s="68" t="s">
        <v>33</v>
      </c>
      <c r="D46" s="67"/>
      <c r="E46" s="69"/>
      <c r="F46" s="70">
        <v>0.9</v>
      </c>
      <c r="G46" s="70">
        <v>798</v>
      </c>
      <c r="H46" s="71">
        <f t="shared" si="3"/>
        <v>0.71820000000000006</v>
      </c>
      <c r="I46" s="13">
        <f>F46/6*G46</f>
        <v>119.69999999999999</v>
      </c>
      <c r="J46" s="23"/>
      <c r="L46" s="19"/>
      <c r="M46" s="20"/>
      <c r="N46" s="21"/>
    </row>
    <row r="47" spans="1:14" ht="15.75" customHeight="1">
      <c r="A47" s="136" t="s">
        <v>153</v>
      </c>
      <c r="B47" s="137"/>
      <c r="C47" s="137"/>
      <c r="D47" s="137"/>
      <c r="E47" s="137"/>
      <c r="F47" s="137"/>
      <c r="G47" s="137"/>
      <c r="H47" s="137"/>
      <c r="I47" s="138"/>
      <c r="J47" s="23"/>
      <c r="L47" s="19"/>
      <c r="M47" s="20"/>
      <c r="N47" s="21"/>
    </row>
    <row r="48" spans="1:14" ht="15" hidden="1" customHeight="1">
      <c r="A48" s="29"/>
      <c r="B48" s="67" t="s">
        <v>147</v>
      </c>
      <c r="C48" s="68" t="s">
        <v>122</v>
      </c>
      <c r="D48" s="67" t="s">
        <v>43</v>
      </c>
      <c r="E48" s="69">
        <v>1061.3</v>
      </c>
      <c r="F48" s="70">
        <f>SUM(E48*2/1000)</f>
        <v>2.1225999999999998</v>
      </c>
      <c r="G48" s="13">
        <v>809.74</v>
      </c>
      <c r="H48" s="71">
        <f t="shared" ref="H48:H57" si="4">SUM(F48*G48/1000)</f>
        <v>1.7187541239999997</v>
      </c>
      <c r="I48" s="13">
        <v>0</v>
      </c>
      <c r="J48" s="23"/>
      <c r="L48" s="19"/>
      <c r="M48" s="20"/>
      <c r="N48" s="21"/>
    </row>
    <row r="49" spans="1:22" ht="15" hidden="1" customHeight="1">
      <c r="A49" s="29"/>
      <c r="B49" s="67" t="s">
        <v>36</v>
      </c>
      <c r="C49" s="68" t="s">
        <v>122</v>
      </c>
      <c r="D49" s="67" t="s">
        <v>43</v>
      </c>
      <c r="E49" s="69">
        <v>52</v>
      </c>
      <c r="F49" s="70">
        <f>SUM(E49*2/1000)</f>
        <v>0.104</v>
      </c>
      <c r="G49" s="13">
        <v>579.48</v>
      </c>
      <c r="H49" s="71">
        <f t="shared" si="4"/>
        <v>6.0265920000000001E-2</v>
      </c>
      <c r="I49" s="13">
        <v>0</v>
      </c>
      <c r="J49" s="23"/>
      <c r="L49" s="19"/>
      <c r="M49" s="20"/>
      <c r="N49" s="21"/>
    </row>
    <row r="50" spans="1:22" ht="15" hidden="1" customHeight="1">
      <c r="A50" s="29"/>
      <c r="B50" s="67" t="s">
        <v>37</v>
      </c>
      <c r="C50" s="68" t="s">
        <v>122</v>
      </c>
      <c r="D50" s="67" t="s">
        <v>43</v>
      </c>
      <c r="E50" s="69">
        <v>1238.8</v>
      </c>
      <c r="F50" s="70">
        <f>SUM(E50*2/1000)</f>
        <v>2.4775999999999998</v>
      </c>
      <c r="G50" s="13">
        <v>579.48</v>
      </c>
      <c r="H50" s="71">
        <f t="shared" si="4"/>
        <v>1.4357196480000001</v>
      </c>
      <c r="I50" s="13">
        <v>0</v>
      </c>
      <c r="J50" s="23"/>
      <c r="L50" s="19"/>
      <c r="M50" s="20"/>
      <c r="N50" s="21"/>
    </row>
    <row r="51" spans="1:22" ht="15" hidden="1" customHeight="1">
      <c r="A51" s="29"/>
      <c r="B51" s="67" t="s">
        <v>38</v>
      </c>
      <c r="C51" s="68" t="s">
        <v>122</v>
      </c>
      <c r="D51" s="67" t="s">
        <v>43</v>
      </c>
      <c r="E51" s="69">
        <v>1794.01</v>
      </c>
      <c r="F51" s="70">
        <f>SUM(E51*2/1000)</f>
        <v>3.5880199999999998</v>
      </c>
      <c r="G51" s="13">
        <v>606.77</v>
      </c>
      <c r="H51" s="71">
        <f t="shared" si="4"/>
        <v>2.1771028954</v>
      </c>
      <c r="I51" s="13">
        <v>0</v>
      </c>
      <c r="J51" s="23"/>
      <c r="L51" s="19"/>
      <c r="M51" s="20"/>
      <c r="N51" s="21"/>
    </row>
    <row r="52" spans="1:22" ht="15" hidden="1" customHeight="1">
      <c r="A52" s="29"/>
      <c r="B52" s="67" t="s">
        <v>34</v>
      </c>
      <c r="C52" s="68" t="s">
        <v>35</v>
      </c>
      <c r="D52" s="67" t="s">
        <v>160</v>
      </c>
      <c r="E52" s="69">
        <v>85.78</v>
      </c>
      <c r="F52" s="70">
        <f>SUM(E52*2/100)</f>
        <v>1.7156</v>
      </c>
      <c r="G52" s="13">
        <v>72.81</v>
      </c>
      <c r="H52" s="71">
        <f t="shared" si="4"/>
        <v>0.124912836</v>
      </c>
      <c r="I52" s="13">
        <v>0</v>
      </c>
      <c r="J52" s="23"/>
      <c r="L52" s="19"/>
      <c r="M52" s="20"/>
      <c r="N52" s="21"/>
    </row>
    <row r="53" spans="1:22" ht="15" hidden="1" customHeight="1">
      <c r="A53" s="29">
        <v>13</v>
      </c>
      <c r="B53" s="67" t="s">
        <v>58</v>
      </c>
      <c r="C53" s="68" t="s">
        <v>122</v>
      </c>
      <c r="D53" s="67" t="s">
        <v>180</v>
      </c>
      <c r="E53" s="69">
        <v>884</v>
      </c>
      <c r="F53" s="70">
        <f>SUM(E53*5/1000)</f>
        <v>4.42</v>
      </c>
      <c r="G53" s="13">
        <v>1213.55</v>
      </c>
      <c r="H53" s="71">
        <f t="shared" si="4"/>
        <v>5.3638909999999997</v>
      </c>
      <c r="I53" s="13">
        <f>F53/5*G53</f>
        <v>1072.7782</v>
      </c>
      <c r="J53" s="23"/>
      <c r="L53" s="19"/>
      <c r="M53" s="20"/>
      <c r="N53" s="21"/>
    </row>
    <row r="54" spans="1:22" ht="31.5" hidden="1" customHeight="1">
      <c r="A54" s="29"/>
      <c r="B54" s="67" t="s">
        <v>130</v>
      </c>
      <c r="C54" s="68" t="s">
        <v>122</v>
      </c>
      <c r="D54" s="67" t="s">
        <v>43</v>
      </c>
      <c r="E54" s="69">
        <v>884</v>
      </c>
      <c r="F54" s="70">
        <f>SUM(E54*2/1000)</f>
        <v>1.768</v>
      </c>
      <c r="G54" s="13">
        <v>1213.55</v>
      </c>
      <c r="H54" s="71">
        <f t="shared" si="4"/>
        <v>2.1455563999999998</v>
      </c>
      <c r="I54" s="13">
        <v>0</v>
      </c>
      <c r="J54" s="23"/>
      <c r="L54" s="19"/>
      <c r="M54" s="20"/>
      <c r="N54" s="21"/>
    </row>
    <row r="55" spans="1:22" ht="31.5" hidden="1" customHeight="1">
      <c r="A55" s="29"/>
      <c r="B55" s="67" t="s">
        <v>131</v>
      </c>
      <c r="C55" s="68" t="s">
        <v>39</v>
      </c>
      <c r="D55" s="67" t="s">
        <v>43</v>
      </c>
      <c r="E55" s="69">
        <v>20</v>
      </c>
      <c r="F55" s="70">
        <f>SUM(E55*2/100)</f>
        <v>0.4</v>
      </c>
      <c r="G55" s="13">
        <v>2730.49</v>
      </c>
      <c r="H55" s="71">
        <f t="shared" si="4"/>
        <v>1.0921959999999999</v>
      </c>
      <c r="I55" s="13">
        <v>0</v>
      </c>
      <c r="J55" s="23"/>
      <c r="L55" s="19"/>
      <c r="M55" s="20"/>
      <c r="N55" s="21"/>
    </row>
    <row r="56" spans="1:22" ht="15" hidden="1" customHeight="1">
      <c r="A56" s="29"/>
      <c r="B56" s="67" t="s">
        <v>40</v>
      </c>
      <c r="C56" s="68" t="s">
        <v>41</v>
      </c>
      <c r="D56" s="67" t="s">
        <v>43</v>
      </c>
      <c r="E56" s="69">
        <v>1</v>
      </c>
      <c r="F56" s="70">
        <v>0.02</v>
      </c>
      <c r="G56" s="13">
        <v>5652.13</v>
      </c>
      <c r="H56" s="71">
        <f t="shared" si="4"/>
        <v>0.11304260000000001</v>
      </c>
      <c r="I56" s="13">
        <v>0</v>
      </c>
      <c r="J56" s="23"/>
      <c r="L56" s="19"/>
      <c r="M56" s="20"/>
      <c r="N56" s="21"/>
    </row>
    <row r="57" spans="1:22" ht="15" customHeight="1">
      <c r="A57" s="29">
        <v>10</v>
      </c>
      <c r="B57" s="67" t="s">
        <v>42</v>
      </c>
      <c r="C57" s="68" t="s">
        <v>30</v>
      </c>
      <c r="D57" s="67" t="s">
        <v>73</v>
      </c>
      <c r="E57" s="69">
        <v>136</v>
      </c>
      <c r="F57" s="70">
        <f>SUM(E57)*3</f>
        <v>408</v>
      </c>
      <c r="G57" s="13">
        <v>65.67</v>
      </c>
      <c r="H57" s="71">
        <f t="shared" si="4"/>
        <v>26.79336</v>
      </c>
      <c r="I57" s="13">
        <f>E57*G57</f>
        <v>8931.1200000000008</v>
      </c>
      <c r="J57" s="23"/>
      <c r="L57" s="19"/>
      <c r="M57" s="20"/>
      <c r="N57" s="21"/>
    </row>
    <row r="58" spans="1:22" ht="15.75" customHeight="1">
      <c r="A58" s="136" t="s">
        <v>154</v>
      </c>
      <c r="B58" s="137"/>
      <c r="C58" s="137"/>
      <c r="D58" s="137"/>
      <c r="E58" s="137"/>
      <c r="F58" s="137"/>
      <c r="G58" s="137"/>
      <c r="H58" s="137"/>
      <c r="I58" s="138"/>
      <c r="J58" s="23"/>
      <c r="L58" s="19"/>
      <c r="M58" s="20"/>
      <c r="N58" s="21"/>
    </row>
    <row r="59" spans="1:22" ht="15" hidden="1" customHeight="1">
      <c r="A59" s="29"/>
      <c r="B59" s="90" t="s">
        <v>44</v>
      </c>
      <c r="C59" s="68"/>
      <c r="D59" s="67"/>
      <c r="E59" s="69"/>
      <c r="F59" s="70"/>
      <c r="G59" s="70"/>
      <c r="H59" s="71"/>
      <c r="I59" s="13"/>
      <c r="J59" s="23"/>
      <c r="L59" s="19"/>
      <c r="M59" s="20"/>
      <c r="N59" s="21"/>
    </row>
    <row r="60" spans="1:22" ht="31.5" hidden="1" customHeight="1">
      <c r="A60" s="29">
        <v>15</v>
      </c>
      <c r="B60" s="67" t="s">
        <v>133</v>
      </c>
      <c r="C60" s="68" t="s">
        <v>104</v>
      </c>
      <c r="D60" s="67" t="s">
        <v>74</v>
      </c>
      <c r="E60" s="69">
        <v>106.13</v>
      </c>
      <c r="F60" s="70">
        <f>E60*6/100</f>
        <v>6.3677999999999999</v>
      </c>
      <c r="G60" s="78">
        <v>1547.28</v>
      </c>
      <c r="H60" s="71">
        <f>F60*G60/1000</f>
        <v>9.8527695839999989</v>
      </c>
      <c r="I60" s="13">
        <f>F60/6*G60</f>
        <v>1642.1282639999999</v>
      </c>
      <c r="J60" s="23"/>
      <c r="L60" s="19"/>
    </row>
    <row r="61" spans="1:22" ht="15" customHeight="1">
      <c r="A61" s="29"/>
      <c r="B61" s="91" t="s">
        <v>45</v>
      </c>
      <c r="C61" s="79"/>
      <c r="D61" s="80"/>
      <c r="E61" s="81"/>
      <c r="F61" s="82"/>
      <c r="G61" s="83"/>
      <c r="H61" s="92"/>
      <c r="I61" s="13"/>
    </row>
    <row r="62" spans="1:22" ht="15" hidden="1" customHeight="1">
      <c r="A62" s="29"/>
      <c r="B62" s="80" t="s">
        <v>46</v>
      </c>
      <c r="C62" s="79" t="s">
        <v>54</v>
      </c>
      <c r="D62" s="80" t="s">
        <v>55</v>
      </c>
      <c r="E62" s="81">
        <v>884</v>
      </c>
      <c r="F62" s="82">
        <f>E62/100</f>
        <v>8.84</v>
      </c>
      <c r="G62" s="70">
        <v>793.61</v>
      </c>
      <c r="H62" s="92">
        <f>G62*F62/1000</f>
        <v>7.0155123999999995</v>
      </c>
      <c r="I62" s="13">
        <v>0</v>
      </c>
    </row>
    <row r="63" spans="1:22" ht="15" customHeight="1">
      <c r="A63" s="29">
        <v>11</v>
      </c>
      <c r="B63" s="80" t="s">
        <v>100</v>
      </c>
      <c r="C63" s="79" t="s">
        <v>25</v>
      </c>
      <c r="D63" s="80"/>
      <c r="E63" s="81">
        <v>176.8</v>
      </c>
      <c r="F63" s="82">
        <v>1200</v>
      </c>
      <c r="G63" s="70">
        <v>1.2</v>
      </c>
      <c r="H63" s="92">
        <f>G63*F63</f>
        <v>1440</v>
      </c>
      <c r="I63" s="13">
        <f>F63/12*G63</f>
        <v>120</v>
      </c>
    </row>
    <row r="64" spans="1:22" ht="15" hidden="1" customHeight="1">
      <c r="A64" s="29"/>
      <c r="B64" s="91" t="s">
        <v>47</v>
      </c>
      <c r="C64" s="79"/>
      <c r="D64" s="80"/>
      <c r="E64" s="81"/>
      <c r="F64" s="82"/>
      <c r="G64" s="70"/>
      <c r="H64" s="92" t="s">
        <v>140</v>
      </c>
      <c r="I64" s="1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9"/>
    </row>
    <row r="65" spans="1:21" ht="15" hidden="1" customHeight="1">
      <c r="A65" s="29">
        <v>12</v>
      </c>
      <c r="B65" s="14" t="s">
        <v>48</v>
      </c>
      <c r="C65" s="16" t="s">
        <v>132</v>
      </c>
      <c r="D65" s="14" t="s">
        <v>69</v>
      </c>
      <c r="E65" s="18">
        <v>20</v>
      </c>
      <c r="F65" s="70">
        <v>20</v>
      </c>
      <c r="G65" s="94">
        <v>222.4</v>
      </c>
      <c r="H65" s="93">
        <f t="shared" ref="H65:H80" si="5">SUM(F65*G65/1000)</f>
        <v>4.4480000000000004</v>
      </c>
      <c r="I65" s="13">
        <f>G65*2</f>
        <v>444.8</v>
      </c>
      <c r="J65" s="25"/>
      <c r="K65" s="25"/>
      <c r="L65" s="3"/>
      <c r="M65" s="3"/>
      <c r="N65" s="3"/>
      <c r="O65" s="3"/>
      <c r="P65" s="3"/>
      <c r="Q65" s="3"/>
      <c r="R65" s="3"/>
      <c r="S65" s="3"/>
      <c r="T65" s="3"/>
      <c r="U65" s="3"/>
    </row>
    <row r="66" spans="1:21" ht="15" hidden="1" customHeight="1">
      <c r="A66" s="29">
        <v>17</v>
      </c>
      <c r="B66" s="14" t="s">
        <v>49</v>
      </c>
      <c r="C66" s="16" t="s">
        <v>132</v>
      </c>
      <c r="D66" s="14" t="s">
        <v>69</v>
      </c>
      <c r="E66" s="14" t="s">
        <v>69</v>
      </c>
      <c r="F66" s="14" t="s">
        <v>69</v>
      </c>
      <c r="G66" s="13">
        <v>76.25</v>
      </c>
      <c r="H66" s="84" t="e">
        <f t="shared" si="5"/>
        <v>#VALUE!</v>
      </c>
      <c r="I66" s="13">
        <f>G66</f>
        <v>76.25</v>
      </c>
      <c r="J66" s="3"/>
      <c r="K66" s="3"/>
      <c r="L66" s="3"/>
      <c r="M66" s="3"/>
      <c r="N66" s="3"/>
      <c r="O66" s="3"/>
      <c r="P66" s="3"/>
      <c r="Q66" s="3"/>
      <c r="S66" s="3"/>
      <c r="T66" s="3"/>
      <c r="U66" s="3"/>
    </row>
    <row r="67" spans="1:21" ht="15" hidden="1" customHeight="1">
      <c r="A67" s="29"/>
      <c r="B67" s="14" t="s">
        <v>50</v>
      </c>
      <c r="C67" s="16" t="s">
        <v>134</v>
      </c>
      <c r="D67" s="14" t="s">
        <v>55</v>
      </c>
      <c r="E67" s="69">
        <v>12647</v>
      </c>
      <c r="F67" s="13">
        <f>SUM(E67/100)</f>
        <v>126.47</v>
      </c>
      <c r="G67" s="13">
        <v>212.15</v>
      </c>
      <c r="H67" s="84">
        <f t="shared" si="5"/>
        <v>26.830610499999999</v>
      </c>
      <c r="I67" s="13">
        <f>F67*G67</f>
        <v>26830.610499999999</v>
      </c>
      <c r="J67" s="5"/>
      <c r="K67" s="5"/>
      <c r="L67" s="5"/>
      <c r="M67" s="5"/>
      <c r="N67" s="5"/>
      <c r="O67" s="5"/>
      <c r="P67" s="5"/>
      <c r="Q67" s="5"/>
      <c r="R67" s="124"/>
      <c r="S67" s="124"/>
      <c r="T67" s="124"/>
      <c r="U67" s="124"/>
    </row>
    <row r="68" spans="1:21" ht="15" hidden="1" customHeight="1">
      <c r="A68" s="29"/>
      <c r="B68" s="14" t="s">
        <v>51</v>
      </c>
      <c r="C68" s="16" t="s">
        <v>135</v>
      </c>
      <c r="D68" s="14"/>
      <c r="E68" s="69">
        <v>12647</v>
      </c>
      <c r="F68" s="13">
        <f>SUM(E68/1000)</f>
        <v>12.647</v>
      </c>
      <c r="G68" s="13">
        <v>165.21</v>
      </c>
      <c r="H68" s="84">
        <f t="shared" si="5"/>
        <v>2.08941087</v>
      </c>
      <c r="I68" s="13">
        <f t="shared" ref="I68:I72" si="6">F68*G68</f>
        <v>2089.4108700000002</v>
      </c>
    </row>
    <row r="69" spans="1:21" ht="15" hidden="1" customHeight="1">
      <c r="A69" s="29"/>
      <c r="B69" s="14" t="s">
        <v>52</v>
      </c>
      <c r="C69" s="16" t="s">
        <v>80</v>
      </c>
      <c r="D69" s="14" t="s">
        <v>55</v>
      </c>
      <c r="E69" s="69">
        <v>1900</v>
      </c>
      <c r="F69" s="13">
        <f>SUM(E69/100)</f>
        <v>19</v>
      </c>
      <c r="G69" s="13">
        <v>2074.63</v>
      </c>
      <c r="H69" s="84">
        <f t="shared" si="5"/>
        <v>39.417970000000004</v>
      </c>
      <c r="I69" s="13">
        <f t="shared" si="6"/>
        <v>39417.97</v>
      </c>
    </row>
    <row r="70" spans="1:21" ht="15" hidden="1" customHeight="1">
      <c r="A70" s="29"/>
      <c r="B70" s="85" t="s">
        <v>136</v>
      </c>
      <c r="C70" s="16" t="s">
        <v>33</v>
      </c>
      <c r="D70" s="14"/>
      <c r="E70" s="69">
        <v>11.3</v>
      </c>
      <c r="F70" s="13">
        <f>SUM(E70)</f>
        <v>11.3</v>
      </c>
      <c r="G70" s="13">
        <v>42.67</v>
      </c>
      <c r="H70" s="84">
        <f t="shared" si="5"/>
        <v>0.48217100000000007</v>
      </c>
      <c r="I70" s="13">
        <f t="shared" si="6"/>
        <v>482.17100000000005</v>
      </c>
    </row>
    <row r="71" spans="1:21" ht="15" hidden="1" customHeight="1">
      <c r="A71" s="29"/>
      <c r="B71" s="85" t="s">
        <v>137</v>
      </c>
      <c r="C71" s="16" t="s">
        <v>33</v>
      </c>
      <c r="D71" s="14"/>
      <c r="E71" s="69">
        <v>11.3</v>
      </c>
      <c r="F71" s="13">
        <f>SUM(E71)</f>
        <v>11.3</v>
      </c>
      <c r="G71" s="13">
        <v>39.81</v>
      </c>
      <c r="H71" s="84">
        <f t="shared" si="5"/>
        <v>0.44985300000000006</v>
      </c>
      <c r="I71" s="13">
        <f t="shared" si="6"/>
        <v>449.85300000000007</v>
      </c>
    </row>
    <row r="72" spans="1:21" ht="15" hidden="1" customHeight="1">
      <c r="A72" s="29"/>
      <c r="B72" s="14" t="s">
        <v>59</v>
      </c>
      <c r="C72" s="16" t="s">
        <v>60</v>
      </c>
      <c r="D72" s="14" t="s">
        <v>55</v>
      </c>
      <c r="E72" s="18">
        <v>6</v>
      </c>
      <c r="F72" s="70">
        <f>SUM(E72)</f>
        <v>6</v>
      </c>
      <c r="G72" s="13">
        <v>49.88</v>
      </c>
      <c r="H72" s="84">
        <f t="shared" si="5"/>
        <v>0.29928000000000005</v>
      </c>
      <c r="I72" s="13">
        <f t="shared" si="6"/>
        <v>299.28000000000003</v>
      </c>
    </row>
    <row r="73" spans="1:21" ht="15" hidden="1" customHeight="1">
      <c r="A73" s="29"/>
      <c r="B73" s="57" t="s">
        <v>75</v>
      </c>
      <c r="C73" s="16"/>
      <c r="D73" s="14"/>
      <c r="E73" s="18"/>
      <c r="F73" s="13"/>
      <c r="G73" s="13"/>
      <c r="H73" s="84" t="s">
        <v>140</v>
      </c>
      <c r="I73" s="13"/>
    </row>
    <row r="74" spans="1:21" ht="15" hidden="1" customHeight="1">
      <c r="A74" s="29"/>
      <c r="B74" s="14" t="s">
        <v>76</v>
      </c>
      <c r="C74" s="16" t="s">
        <v>31</v>
      </c>
      <c r="D74" s="14"/>
      <c r="E74" s="18">
        <v>5</v>
      </c>
      <c r="F74" s="61">
        <v>0.5</v>
      </c>
      <c r="G74" s="13">
        <v>501.62</v>
      </c>
      <c r="H74" s="84">
        <v>0.251</v>
      </c>
      <c r="I74" s="13">
        <v>0</v>
      </c>
    </row>
    <row r="75" spans="1:21" ht="15" hidden="1" customHeight="1">
      <c r="A75" s="29"/>
      <c r="B75" s="14" t="s">
        <v>148</v>
      </c>
      <c r="C75" s="16" t="s">
        <v>30</v>
      </c>
      <c r="D75" s="14"/>
      <c r="E75" s="18">
        <v>2</v>
      </c>
      <c r="F75" s="13">
        <v>2</v>
      </c>
      <c r="G75" s="13">
        <v>99.85</v>
      </c>
      <c r="H75" s="84">
        <v>0.1</v>
      </c>
      <c r="I75" s="13">
        <v>0</v>
      </c>
    </row>
    <row r="76" spans="1:21" ht="15" hidden="1" customHeight="1">
      <c r="A76" s="29"/>
      <c r="B76" s="14" t="s">
        <v>149</v>
      </c>
      <c r="C76" s="16" t="s">
        <v>30</v>
      </c>
      <c r="D76" s="14"/>
      <c r="E76" s="18">
        <v>1</v>
      </c>
      <c r="F76" s="61">
        <v>1</v>
      </c>
      <c r="G76" s="13">
        <v>120.26</v>
      </c>
      <c r="H76" s="84">
        <v>0.12</v>
      </c>
      <c r="I76" s="13">
        <v>0</v>
      </c>
    </row>
    <row r="77" spans="1:21" ht="15" hidden="1" customHeight="1">
      <c r="A77" s="29"/>
      <c r="B77" s="14" t="s">
        <v>91</v>
      </c>
      <c r="C77" s="16" t="s">
        <v>30</v>
      </c>
      <c r="D77" s="14"/>
      <c r="E77" s="18">
        <v>1</v>
      </c>
      <c r="F77" s="70">
        <f>SUM(E77)</f>
        <v>1</v>
      </c>
      <c r="G77" s="13">
        <v>358.51</v>
      </c>
      <c r="H77" s="84">
        <f t="shared" si="5"/>
        <v>0.35851</v>
      </c>
      <c r="I77" s="13">
        <v>0</v>
      </c>
    </row>
    <row r="78" spans="1:21" ht="15" hidden="1" customHeight="1">
      <c r="A78" s="29"/>
      <c r="B78" s="14" t="s">
        <v>77</v>
      </c>
      <c r="C78" s="16" t="s">
        <v>30</v>
      </c>
      <c r="D78" s="14"/>
      <c r="E78" s="18">
        <v>1</v>
      </c>
      <c r="F78" s="13">
        <v>1</v>
      </c>
      <c r="G78" s="13">
        <v>852.99</v>
      </c>
      <c r="H78" s="84">
        <f>F78*G78/1000</f>
        <v>0.85299000000000003</v>
      </c>
      <c r="I78" s="13">
        <v>0</v>
      </c>
    </row>
    <row r="79" spans="1:21" ht="15" hidden="1" customHeight="1">
      <c r="A79" s="29"/>
      <c r="B79" s="86" t="s">
        <v>79</v>
      </c>
      <c r="C79" s="16"/>
      <c r="D79" s="14"/>
      <c r="E79" s="18"/>
      <c r="F79" s="13"/>
      <c r="G79" s="13" t="s">
        <v>140</v>
      </c>
      <c r="H79" s="84" t="s">
        <v>140</v>
      </c>
      <c r="I79" s="13"/>
    </row>
    <row r="80" spans="1:21" ht="15" hidden="1" customHeight="1">
      <c r="A80" s="29"/>
      <c r="B80" s="44" t="s">
        <v>141</v>
      </c>
      <c r="C80" s="16" t="s">
        <v>80</v>
      </c>
      <c r="D80" s="14"/>
      <c r="E80" s="18"/>
      <c r="F80" s="13">
        <v>0.2</v>
      </c>
      <c r="G80" s="13">
        <v>2759.44</v>
      </c>
      <c r="H80" s="84">
        <f t="shared" si="5"/>
        <v>0.55188800000000005</v>
      </c>
      <c r="I80" s="13">
        <v>0</v>
      </c>
    </row>
    <row r="81" spans="1:9" ht="15" hidden="1" customHeight="1">
      <c r="A81" s="29"/>
      <c r="B81" s="74" t="s">
        <v>138</v>
      </c>
      <c r="C81" s="86"/>
      <c r="D81" s="31"/>
      <c r="E81" s="32"/>
      <c r="F81" s="75"/>
      <c r="G81" s="75"/>
      <c r="H81" s="87" t="e">
        <f>SUM(H60:H80)</f>
        <v>#VALUE!</v>
      </c>
      <c r="I81" s="75"/>
    </row>
    <row r="82" spans="1:9" ht="15" hidden="1" customHeight="1">
      <c r="A82" s="29"/>
      <c r="B82" s="67" t="s">
        <v>139</v>
      </c>
      <c r="C82" s="16"/>
      <c r="D82" s="14"/>
      <c r="E82" s="62"/>
      <c r="F82" s="13">
        <v>1</v>
      </c>
      <c r="G82" s="13">
        <v>13437.4</v>
      </c>
      <c r="H82" s="84">
        <f>G82*F82/1000</f>
        <v>13.4374</v>
      </c>
      <c r="I82" s="13">
        <v>0</v>
      </c>
    </row>
    <row r="83" spans="1:9" ht="15.75" customHeight="1">
      <c r="A83" s="125" t="s">
        <v>155</v>
      </c>
      <c r="B83" s="126"/>
      <c r="C83" s="126"/>
      <c r="D83" s="126"/>
      <c r="E83" s="126"/>
      <c r="F83" s="126"/>
      <c r="G83" s="126"/>
      <c r="H83" s="126"/>
      <c r="I83" s="127"/>
    </row>
    <row r="84" spans="1:9" ht="15" customHeight="1">
      <c r="A84" s="29">
        <v>12</v>
      </c>
      <c r="B84" s="67" t="s">
        <v>142</v>
      </c>
      <c r="C84" s="16" t="s">
        <v>56</v>
      </c>
      <c r="D84" s="88" t="s">
        <v>57</v>
      </c>
      <c r="E84" s="13">
        <v>3031.3</v>
      </c>
      <c r="F84" s="13">
        <f>SUM(E84*12)</f>
        <v>36375.600000000006</v>
      </c>
      <c r="G84" s="13">
        <v>2.1</v>
      </c>
      <c r="H84" s="84">
        <f>SUM(F84*G84/1000)</f>
        <v>76.388760000000005</v>
      </c>
      <c r="I84" s="13">
        <f>F84/12*G84</f>
        <v>6365.7300000000014</v>
      </c>
    </row>
    <row r="85" spans="1:9" ht="31.5" customHeight="1">
      <c r="A85" s="29">
        <v>13</v>
      </c>
      <c r="B85" s="14" t="s">
        <v>81</v>
      </c>
      <c r="C85" s="16"/>
      <c r="D85" s="88" t="s">
        <v>57</v>
      </c>
      <c r="E85" s="69">
        <f>E84</f>
        <v>3031.3</v>
      </c>
      <c r="F85" s="13">
        <f>E85*12</f>
        <v>36375.600000000006</v>
      </c>
      <c r="G85" s="13">
        <v>1.63</v>
      </c>
      <c r="H85" s="84">
        <f>F85*G85/1000</f>
        <v>59.292228000000001</v>
      </c>
      <c r="I85" s="13">
        <f>F85/12*G85</f>
        <v>4941.0190000000011</v>
      </c>
    </row>
    <row r="86" spans="1:9" ht="15.75" customHeight="1">
      <c r="A86" s="45"/>
      <c r="B86" s="36" t="s">
        <v>83</v>
      </c>
      <c r="C86" s="37"/>
      <c r="D86" s="15"/>
      <c r="E86" s="15"/>
      <c r="F86" s="15"/>
      <c r="G86" s="18"/>
      <c r="H86" s="18"/>
      <c r="I86" s="32">
        <f>I85+I84+I63+I57+I35+I34+I32+I31+I28+I27+I18+I17+I16</f>
        <v>48444.623954955568</v>
      </c>
    </row>
    <row r="87" spans="1:9" ht="15.75" customHeight="1">
      <c r="A87" s="139" t="s">
        <v>62</v>
      </c>
      <c r="B87" s="140"/>
      <c r="C87" s="140"/>
      <c r="D87" s="140"/>
      <c r="E87" s="140"/>
      <c r="F87" s="140"/>
      <c r="G87" s="140"/>
      <c r="H87" s="140"/>
      <c r="I87" s="141"/>
    </row>
    <row r="88" spans="1:9" ht="15" customHeight="1">
      <c r="A88" s="29">
        <v>14</v>
      </c>
      <c r="B88" s="49" t="s">
        <v>92</v>
      </c>
      <c r="C88" s="51" t="s">
        <v>96</v>
      </c>
      <c r="D88" s="44"/>
      <c r="E88" s="13"/>
      <c r="F88" s="13">
        <f>29/3</f>
        <v>9.6666666666666661</v>
      </c>
      <c r="G88" s="34">
        <v>613.44000000000005</v>
      </c>
      <c r="H88" s="84">
        <f t="shared" ref="H88:H92" si="7">G88*F88/1000</f>
        <v>5.9299200000000001</v>
      </c>
      <c r="I88" s="13">
        <f>G88*2</f>
        <v>1226.8800000000001</v>
      </c>
    </row>
    <row r="89" spans="1:9" ht="15" customHeight="1">
      <c r="A89" s="29">
        <v>15</v>
      </c>
      <c r="B89" s="52" t="s">
        <v>225</v>
      </c>
      <c r="C89" s="53" t="s">
        <v>96</v>
      </c>
      <c r="D89" s="44"/>
      <c r="E89" s="13"/>
      <c r="F89" s="13">
        <v>3</v>
      </c>
      <c r="G89" s="34">
        <v>303.35000000000002</v>
      </c>
      <c r="H89" s="84">
        <f t="shared" si="7"/>
        <v>0.91005000000000003</v>
      </c>
      <c r="I89" s="13">
        <f>G89*1</f>
        <v>303.35000000000002</v>
      </c>
    </row>
    <row r="90" spans="1:9" ht="33" customHeight="1">
      <c r="A90" s="29">
        <v>16</v>
      </c>
      <c r="B90" s="49" t="s">
        <v>151</v>
      </c>
      <c r="C90" s="51" t="s">
        <v>39</v>
      </c>
      <c r="D90" s="44"/>
      <c r="E90" s="13"/>
      <c r="F90" s="13">
        <v>7</v>
      </c>
      <c r="G90" s="34">
        <v>3724.37</v>
      </c>
      <c r="H90" s="84">
        <f t="shared" si="7"/>
        <v>26.070589999999999</v>
      </c>
      <c r="I90" s="13">
        <f>G90*0.02</f>
        <v>74.487399999999994</v>
      </c>
    </row>
    <row r="91" spans="1:9" ht="16.5" customHeight="1">
      <c r="A91" s="29">
        <v>17</v>
      </c>
      <c r="B91" s="52" t="s">
        <v>226</v>
      </c>
      <c r="C91" s="53" t="s">
        <v>29</v>
      </c>
      <c r="D91" s="44"/>
      <c r="E91" s="34"/>
      <c r="F91" s="34">
        <v>2</v>
      </c>
      <c r="G91" s="34">
        <v>1104.48</v>
      </c>
      <c r="H91" s="102">
        <f t="shared" si="7"/>
        <v>2.2089600000000003</v>
      </c>
      <c r="I91" s="13">
        <f>G91*0.001</f>
        <v>1.1044800000000001</v>
      </c>
    </row>
    <row r="92" spans="1:9" ht="18" customHeight="1">
      <c r="A92" s="29">
        <v>18</v>
      </c>
      <c r="B92" s="49" t="s">
        <v>167</v>
      </c>
      <c r="C92" s="51" t="s">
        <v>87</v>
      </c>
      <c r="D92" s="44"/>
      <c r="E92" s="34"/>
      <c r="F92" s="34">
        <v>2</v>
      </c>
      <c r="G92" s="34">
        <v>203.68</v>
      </c>
      <c r="H92" s="102">
        <f t="shared" si="7"/>
        <v>0.40736</v>
      </c>
      <c r="I92" s="13">
        <f>G92*2</f>
        <v>407.36</v>
      </c>
    </row>
    <row r="93" spans="1:9" ht="31.5" hidden="1" customHeight="1">
      <c r="A93" s="29">
        <v>20</v>
      </c>
      <c r="B93" s="50"/>
      <c r="C93" s="29"/>
      <c r="D93" s="44"/>
      <c r="E93" s="34"/>
      <c r="F93" s="34">
        <v>2</v>
      </c>
      <c r="G93" s="34"/>
      <c r="H93" s="102">
        <f>G93*F93/1000</f>
        <v>0</v>
      </c>
      <c r="I93" s="13"/>
    </row>
    <row r="94" spans="1:9" ht="31.5" hidden="1" customHeight="1">
      <c r="A94" s="29">
        <v>21</v>
      </c>
      <c r="B94" s="105"/>
      <c r="C94" s="37"/>
      <c r="D94" s="44"/>
      <c r="E94" s="34"/>
      <c r="F94" s="34">
        <f>0.3/10</f>
        <v>0.03</v>
      </c>
      <c r="G94" s="34"/>
      <c r="H94" s="102">
        <f>G94*F94/1000</f>
        <v>0</v>
      </c>
      <c r="I94" s="13"/>
    </row>
    <row r="95" spans="1:9" ht="15.75" customHeight="1">
      <c r="A95" s="29"/>
      <c r="B95" s="42" t="s">
        <v>53</v>
      </c>
      <c r="C95" s="38"/>
      <c r="D95" s="46"/>
      <c r="E95" s="38">
        <v>1</v>
      </c>
      <c r="F95" s="38"/>
      <c r="G95" s="38"/>
      <c r="H95" s="38"/>
      <c r="I95" s="32">
        <f>SUM(I88:I94)</f>
        <v>2013.1818800000001</v>
      </c>
    </row>
    <row r="96" spans="1:9" ht="15.75" customHeight="1">
      <c r="A96" s="29"/>
      <c r="B96" s="44" t="s">
        <v>82</v>
      </c>
      <c r="C96" s="15"/>
      <c r="D96" s="15"/>
      <c r="E96" s="39"/>
      <c r="F96" s="39"/>
      <c r="G96" s="40"/>
      <c r="H96" s="40"/>
      <c r="I96" s="17">
        <v>0</v>
      </c>
    </row>
    <row r="97" spans="1:9" ht="15.75" customHeight="1">
      <c r="A97" s="47"/>
      <c r="B97" s="43" t="s">
        <v>192</v>
      </c>
      <c r="C97" s="33"/>
      <c r="D97" s="33"/>
      <c r="E97" s="33"/>
      <c r="F97" s="33"/>
      <c r="G97" s="33"/>
      <c r="H97" s="33"/>
      <c r="I97" s="41">
        <f>I86+I95</f>
        <v>50457.805834955565</v>
      </c>
    </row>
    <row r="98" spans="1:9" ht="15.75">
      <c r="A98" s="142" t="s">
        <v>227</v>
      </c>
      <c r="B98" s="142"/>
      <c r="C98" s="142"/>
      <c r="D98" s="142"/>
      <c r="E98" s="142"/>
      <c r="F98" s="142"/>
      <c r="G98" s="142"/>
      <c r="H98" s="142"/>
      <c r="I98" s="142"/>
    </row>
    <row r="99" spans="1:9" ht="15.75">
      <c r="A99" s="60"/>
      <c r="B99" s="143" t="s">
        <v>228</v>
      </c>
      <c r="C99" s="143"/>
      <c r="D99" s="143"/>
      <c r="E99" s="143"/>
      <c r="F99" s="143"/>
      <c r="G99" s="143"/>
      <c r="H99" s="65"/>
      <c r="I99" s="3"/>
    </row>
    <row r="100" spans="1:9">
      <c r="A100" s="56"/>
      <c r="B100" s="144" t="s">
        <v>6</v>
      </c>
      <c r="C100" s="144"/>
      <c r="D100" s="144"/>
      <c r="E100" s="144"/>
      <c r="F100" s="144"/>
      <c r="G100" s="144"/>
      <c r="H100" s="24"/>
      <c r="I100" s="5"/>
    </row>
    <row r="101" spans="1:9">
      <c r="A101" s="10"/>
      <c r="B101" s="10"/>
      <c r="C101" s="10"/>
      <c r="D101" s="10"/>
      <c r="E101" s="10"/>
      <c r="F101" s="10"/>
      <c r="G101" s="10"/>
      <c r="H101" s="10"/>
      <c r="I101" s="10"/>
    </row>
    <row r="102" spans="1:9" ht="15.75">
      <c r="A102" s="145" t="s">
        <v>7</v>
      </c>
      <c r="B102" s="145"/>
      <c r="C102" s="145"/>
      <c r="D102" s="145"/>
      <c r="E102" s="145"/>
      <c r="F102" s="145"/>
      <c r="G102" s="145"/>
      <c r="H102" s="145"/>
      <c r="I102" s="145"/>
    </row>
    <row r="103" spans="1:9" ht="15.75">
      <c r="A103" s="145" t="s">
        <v>8</v>
      </c>
      <c r="B103" s="145"/>
      <c r="C103" s="145"/>
      <c r="D103" s="145"/>
      <c r="E103" s="145"/>
      <c r="F103" s="145"/>
      <c r="G103" s="145"/>
      <c r="H103" s="145"/>
      <c r="I103" s="145"/>
    </row>
    <row r="104" spans="1:9" ht="15.75">
      <c r="A104" s="134" t="s">
        <v>63</v>
      </c>
      <c r="B104" s="134"/>
      <c r="C104" s="134"/>
      <c r="D104" s="134"/>
      <c r="E104" s="134"/>
      <c r="F104" s="134"/>
      <c r="G104" s="134"/>
      <c r="H104" s="134"/>
      <c r="I104" s="134"/>
    </row>
    <row r="105" spans="1:9" ht="15.75">
      <c r="A105" s="11"/>
    </row>
    <row r="106" spans="1:9" ht="15.75">
      <c r="A106" s="147" t="s">
        <v>9</v>
      </c>
      <c r="B106" s="147"/>
      <c r="C106" s="147"/>
      <c r="D106" s="147"/>
      <c r="E106" s="147"/>
      <c r="F106" s="147"/>
      <c r="G106" s="147"/>
      <c r="H106" s="147"/>
      <c r="I106" s="147"/>
    </row>
    <row r="107" spans="1:9" ht="15.75">
      <c r="A107" s="4"/>
    </row>
    <row r="108" spans="1:9" ht="15.75">
      <c r="B108" s="59" t="s">
        <v>10</v>
      </c>
      <c r="C108" s="148" t="s">
        <v>93</v>
      </c>
      <c r="D108" s="148"/>
      <c r="E108" s="148"/>
      <c r="F108" s="63"/>
      <c r="I108" s="55"/>
    </row>
    <row r="109" spans="1:9">
      <c r="A109" s="56"/>
      <c r="C109" s="144" t="s">
        <v>11</v>
      </c>
      <c r="D109" s="144"/>
      <c r="E109" s="144"/>
      <c r="F109" s="24"/>
      <c r="I109" s="54" t="s">
        <v>12</v>
      </c>
    </row>
    <row r="110" spans="1:9" ht="15.75">
      <c r="A110" s="25"/>
      <c r="C110" s="12"/>
      <c r="D110" s="12"/>
      <c r="G110" s="12"/>
      <c r="H110" s="12"/>
    </row>
    <row r="111" spans="1:9" ht="15.75">
      <c r="B111" s="59" t="s">
        <v>13</v>
      </c>
      <c r="C111" s="149"/>
      <c r="D111" s="149"/>
      <c r="E111" s="149"/>
      <c r="F111" s="64"/>
      <c r="I111" s="55"/>
    </row>
    <row r="112" spans="1:9">
      <c r="A112" s="56"/>
      <c r="C112" s="124" t="s">
        <v>11</v>
      </c>
      <c r="D112" s="124"/>
      <c r="E112" s="124"/>
      <c r="F112" s="56"/>
      <c r="I112" s="54" t="s">
        <v>12</v>
      </c>
    </row>
    <row r="113" spans="1:9" ht="15.75">
      <c r="A113" s="4" t="s">
        <v>14</v>
      </c>
    </row>
    <row r="114" spans="1:9">
      <c r="A114" s="150" t="s">
        <v>15</v>
      </c>
      <c r="B114" s="150"/>
      <c r="C114" s="150"/>
      <c r="D114" s="150"/>
      <c r="E114" s="150"/>
      <c r="F114" s="150"/>
      <c r="G114" s="150"/>
      <c r="H114" s="150"/>
      <c r="I114" s="150"/>
    </row>
    <row r="115" spans="1:9" ht="45" customHeight="1">
      <c r="A115" s="146" t="s">
        <v>16</v>
      </c>
      <c r="B115" s="146"/>
      <c r="C115" s="146"/>
      <c r="D115" s="146"/>
      <c r="E115" s="146"/>
      <c r="F115" s="146"/>
      <c r="G115" s="146"/>
      <c r="H115" s="146"/>
      <c r="I115" s="146"/>
    </row>
    <row r="116" spans="1:9" ht="30" customHeight="1">
      <c r="A116" s="146" t="s">
        <v>17</v>
      </c>
      <c r="B116" s="146"/>
      <c r="C116" s="146"/>
      <c r="D116" s="146"/>
      <c r="E116" s="146"/>
      <c r="F116" s="146"/>
      <c r="G116" s="146"/>
      <c r="H116" s="146"/>
      <c r="I116" s="146"/>
    </row>
    <row r="117" spans="1:9" ht="30" customHeight="1">
      <c r="A117" s="146" t="s">
        <v>21</v>
      </c>
      <c r="B117" s="146"/>
      <c r="C117" s="146"/>
      <c r="D117" s="146"/>
      <c r="E117" s="146"/>
      <c r="F117" s="146"/>
      <c r="G117" s="146"/>
      <c r="H117" s="146"/>
      <c r="I117" s="146"/>
    </row>
    <row r="118" spans="1:9" ht="15.75">
      <c r="A118" s="146" t="s">
        <v>20</v>
      </c>
      <c r="B118" s="146"/>
      <c r="C118" s="146"/>
      <c r="D118" s="146"/>
      <c r="E118" s="146"/>
      <c r="F118" s="146"/>
      <c r="G118" s="146"/>
      <c r="H118" s="146"/>
      <c r="I118" s="146"/>
    </row>
  </sheetData>
  <autoFilter ref="I12:I62"/>
  <mergeCells count="29">
    <mergeCell ref="A115:I115"/>
    <mergeCell ref="A116:I116"/>
    <mergeCell ref="A117:I117"/>
    <mergeCell ref="A118:I118"/>
    <mergeCell ref="A106:I106"/>
    <mergeCell ref="C108:E108"/>
    <mergeCell ref="C109:E109"/>
    <mergeCell ref="C111:E111"/>
    <mergeCell ref="C112:E112"/>
    <mergeCell ref="A114:I114"/>
    <mergeCell ref="A104:I104"/>
    <mergeCell ref="A15:I15"/>
    <mergeCell ref="A29:I29"/>
    <mergeCell ref="A47:I47"/>
    <mergeCell ref="A58:I58"/>
    <mergeCell ref="A87:I87"/>
    <mergeCell ref="A98:I98"/>
    <mergeCell ref="B99:G99"/>
    <mergeCell ref="B100:G100"/>
    <mergeCell ref="A102:I102"/>
    <mergeCell ref="A103:I103"/>
    <mergeCell ref="R67:U67"/>
    <mergeCell ref="A83:I83"/>
    <mergeCell ref="A3:I3"/>
    <mergeCell ref="A4:I4"/>
    <mergeCell ref="A5:I5"/>
    <mergeCell ref="A8:I8"/>
    <mergeCell ref="A10:I10"/>
    <mergeCell ref="A14:I14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>
  <dimension ref="A1:V115"/>
  <sheetViews>
    <sheetView topLeftCell="A34" workbookViewId="0">
      <selection activeCell="A8" sqref="A8:I8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85546875" hidden="1" customWidth="1"/>
    <col min="6" max="6" width="16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7" t="s">
        <v>229</v>
      </c>
      <c r="I1" s="26"/>
      <c r="J1" s="1"/>
      <c r="K1" s="1"/>
      <c r="L1" s="1"/>
      <c r="M1" s="1"/>
    </row>
    <row r="2" spans="1:13" ht="15.75" customHeight="1">
      <c r="A2" s="28" t="s">
        <v>64</v>
      </c>
      <c r="J2" s="2"/>
      <c r="K2" s="2"/>
      <c r="L2" s="2"/>
      <c r="M2" s="2"/>
    </row>
    <row r="3" spans="1:13" ht="15.75" customHeight="1">
      <c r="A3" s="128" t="s">
        <v>188</v>
      </c>
      <c r="B3" s="128"/>
      <c r="C3" s="128"/>
      <c r="D3" s="128"/>
      <c r="E3" s="128"/>
      <c r="F3" s="128"/>
      <c r="G3" s="128"/>
      <c r="H3" s="128"/>
      <c r="I3" s="128"/>
      <c r="J3" s="3"/>
      <c r="K3" s="3"/>
      <c r="L3" s="3"/>
    </row>
    <row r="4" spans="1:13" ht="31.5" customHeight="1">
      <c r="A4" s="129" t="s">
        <v>143</v>
      </c>
      <c r="B4" s="129"/>
      <c r="C4" s="129"/>
      <c r="D4" s="129"/>
      <c r="E4" s="129"/>
      <c r="F4" s="129"/>
      <c r="G4" s="129"/>
      <c r="H4" s="129"/>
      <c r="I4" s="129"/>
    </row>
    <row r="5" spans="1:13" ht="15.75" customHeight="1">
      <c r="A5" s="128" t="s">
        <v>230</v>
      </c>
      <c r="B5" s="130"/>
      <c r="C5" s="130"/>
      <c r="D5" s="130"/>
      <c r="E5" s="130"/>
      <c r="F5" s="130"/>
      <c r="G5" s="130"/>
      <c r="H5" s="130"/>
      <c r="I5" s="130"/>
      <c r="J5" s="2"/>
      <c r="K5" s="2"/>
      <c r="L5" s="2"/>
      <c r="M5" s="2"/>
    </row>
    <row r="6" spans="1:13" ht="15.75" customHeight="1">
      <c r="A6" s="2"/>
      <c r="B6" s="58"/>
      <c r="C6" s="58"/>
      <c r="D6" s="58"/>
      <c r="E6" s="58"/>
      <c r="F6" s="58"/>
      <c r="G6" s="58"/>
      <c r="H6" s="58"/>
      <c r="I6" s="30">
        <v>43312</v>
      </c>
      <c r="J6" s="2"/>
      <c r="K6" s="2"/>
      <c r="L6" s="2"/>
      <c r="M6" s="2"/>
    </row>
    <row r="7" spans="1:13" ht="15.75" customHeight="1">
      <c r="B7" s="59"/>
      <c r="C7" s="59"/>
      <c r="D7" s="59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131" t="s">
        <v>234</v>
      </c>
      <c r="B8" s="131"/>
      <c r="C8" s="131"/>
      <c r="D8" s="131"/>
      <c r="E8" s="131"/>
      <c r="F8" s="131"/>
      <c r="G8" s="131"/>
      <c r="H8" s="131"/>
      <c r="I8" s="131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32" t="s">
        <v>193</v>
      </c>
      <c r="B10" s="132"/>
      <c r="C10" s="132"/>
      <c r="D10" s="132"/>
      <c r="E10" s="132"/>
      <c r="F10" s="132"/>
      <c r="G10" s="132"/>
      <c r="H10" s="132"/>
      <c r="I10" s="132"/>
      <c r="J10" s="2"/>
      <c r="K10" s="2"/>
      <c r="L10" s="2"/>
      <c r="M10" s="2"/>
    </row>
    <row r="11" spans="1:13" ht="15.75">
      <c r="A11" s="4"/>
    </row>
    <row r="12" spans="1:13" ht="5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133" t="s">
        <v>61</v>
      </c>
      <c r="B14" s="133"/>
      <c r="C14" s="133"/>
      <c r="D14" s="133"/>
      <c r="E14" s="133"/>
      <c r="F14" s="133"/>
      <c r="G14" s="133"/>
      <c r="H14" s="133"/>
      <c r="I14" s="133"/>
      <c r="J14" s="8"/>
      <c r="K14" s="8"/>
      <c r="L14" s="8"/>
      <c r="M14" s="8"/>
    </row>
    <row r="15" spans="1:13" ht="15.75" customHeight="1">
      <c r="A15" s="135" t="s">
        <v>4</v>
      </c>
      <c r="B15" s="135"/>
      <c r="C15" s="135"/>
      <c r="D15" s="135"/>
      <c r="E15" s="135"/>
      <c r="F15" s="135"/>
      <c r="G15" s="135"/>
      <c r="H15" s="135"/>
      <c r="I15" s="135"/>
      <c r="J15" s="8"/>
      <c r="K15" s="8"/>
      <c r="L15" s="8"/>
      <c r="M15" s="8"/>
    </row>
    <row r="16" spans="1:13" ht="15" customHeight="1">
      <c r="A16" s="29">
        <v>1</v>
      </c>
      <c r="B16" s="67" t="s">
        <v>90</v>
      </c>
      <c r="C16" s="68" t="s">
        <v>111</v>
      </c>
      <c r="D16" s="67" t="s">
        <v>112</v>
      </c>
      <c r="E16" s="69">
        <v>59.96</v>
      </c>
      <c r="F16" s="70">
        <f>SUM(E16*156/100)</f>
        <v>93.537599999999998</v>
      </c>
      <c r="G16" s="70">
        <v>175.38</v>
      </c>
      <c r="H16" s="71">
        <f t="shared" ref="H16:H26" si="0">SUM(F16*G16/1000)</f>
        <v>16.404624288000001</v>
      </c>
      <c r="I16" s="13">
        <f>F16/12*G16</f>
        <v>1367.0520239999998</v>
      </c>
      <c r="J16" s="8"/>
      <c r="K16" s="8"/>
      <c r="L16" s="8"/>
      <c r="M16" s="8"/>
    </row>
    <row r="17" spans="1:13" ht="15" customHeight="1">
      <c r="A17" s="29">
        <v>2</v>
      </c>
      <c r="B17" s="67" t="s">
        <v>97</v>
      </c>
      <c r="C17" s="68" t="s">
        <v>111</v>
      </c>
      <c r="D17" s="67" t="s">
        <v>113</v>
      </c>
      <c r="E17" s="69">
        <v>239.84</v>
      </c>
      <c r="F17" s="70">
        <f>SUM(E17*104/100)</f>
        <v>249.43360000000001</v>
      </c>
      <c r="G17" s="70">
        <v>175.38</v>
      </c>
      <c r="H17" s="71">
        <f t="shared" si="0"/>
        <v>43.745664768000005</v>
      </c>
      <c r="I17" s="13">
        <f>F17/12*G17</f>
        <v>3645.4720640000005</v>
      </c>
      <c r="J17" s="22"/>
      <c r="K17" s="8"/>
      <c r="L17" s="8"/>
      <c r="M17" s="8"/>
    </row>
    <row r="18" spans="1:13" ht="15" customHeight="1">
      <c r="A18" s="29">
        <v>3</v>
      </c>
      <c r="B18" s="67" t="s">
        <v>98</v>
      </c>
      <c r="C18" s="68" t="s">
        <v>111</v>
      </c>
      <c r="D18" s="67" t="s">
        <v>114</v>
      </c>
      <c r="E18" s="69">
        <f>SUM(E16+E17)</f>
        <v>299.8</v>
      </c>
      <c r="F18" s="70">
        <f>SUM(E18*24/100)</f>
        <v>71.952000000000012</v>
      </c>
      <c r="G18" s="70">
        <v>504.5</v>
      </c>
      <c r="H18" s="71">
        <f t="shared" si="0"/>
        <v>36.29978400000001</v>
      </c>
      <c r="I18" s="13">
        <f>F18/12*G18</f>
        <v>3024.9820000000009</v>
      </c>
      <c r="J18" s="22"/>
      <c r="K18" s="8"/>
      <c r="L18" s="8"/>
      <c r="M18" s="8"/>
    </row>
    <row r="19" spans="1:13" ht="15" hidden="1" customHeight="1">
      <c r="A19" s="29"/>
      <c r="B19" s="67" t="s">
        <v>115</v>
      </c>
      <c r="C19" s="68" t="s">
        <v>116</v>
      </c>
      <c r="D19" s="67" t="s">
        <v>117</v>
      </c>
      <c r="E19" s="69">
        <v>40.799999999999997</v>
      </c>
      <c r="F19" s="70">
        <f>SUM(E19/10)</f>
        <v>4.08</v>
      </c>
      <c r="G19" s="70">
        <v>170.16</v>
      </c>
      <c r="H19" s="71">
        <f t="shared" si="0"/>
        <v>0.6942528</v>
      </c>
      <c r="I19" s="13">
        <v>0</v>
      </c>
      <c r="J19" s="22"/>
      <c r="K19" s="8"/>
      <c r="L19" s="8"/>
      <c r="M19" s="8"/>
    </row>
    <row r="20" spans="1:13" ht="15" hidden="1" customHeight="1">
      <c r="A20" s="29"/>
      <c r="B20" s="67" t="s">
        <v>102</v>
      </c>
      <c r="C20" s="68" t="s">
        <v>111</v>
      </c>
      <c r="D20" s="67" t="s">
        <v>55</v>
      </c>
      <c r="E20" s="69">
        <v>43.2</v>
      </c>
      <c r="F20" s="70">
        <f>SUM(E20/100)</f>
        <v>0.43200000000000005</v>
      </c>
      <c r="G20" s="70">
        <v>217.88</v>
      </c>
      <c r="H20" s="71">
        <f t="shared" si="0"/>
        <v>9.4124159999999998E-2</v>
      </c>
      <c r="I20" s="13">
        <v>0</v>
      </c>
      <c r="J20" s="22"/>
      <c r="K20" s="8"/>
      <c r="L20" s="8"/>
      <c r="M20" s="8"/>
    </row>
    <row r="21" spans="1:13" ht="15" hidden="1" customHeight="1">
      <c r="A21" s="29"/>
      <c r="B21" s="67" t="s">
        <v>103</v>
      </c>
      <c r="C21" s="68" t="s">
        <v>111</v>
      </c>
      <c r="D21" s="67" t="s">
        <v>55</v>
      </c>
      <c r="E21" s="69">
        <v>10.08</v>
      </c>
      <c r="F21" s="70">
        <f>E21/100</f>
        <v>0.1008</v>
      </c>
      <c r="G21" s="70">
        <v>216.12</v>
      </c>
      <c r="H21" s="71">
        <f>SUM(F21*G21)/1000</f>
        <v>2.1784896000000002E-2</v>
      </c>
      <c r="I21" s="13">
        <v>0</v>
      </c>
      <c r="J21" s="22"/>
      <c r="K21" s="8"/>
      <c r="L21" s="8"/>
      <c r="M21" s="8"/>
    </row>
    <row r="22" spans="1:13" ht="15" hidden="1" customHeight="1">
      <c r="A22" s="29"/>
      <c r="B22" s="67" t="s">
        <v>118</v>
      </c>
      <c r="C22" s="68" t="s">
        <v>54</v>
      </c>
      <c r="D22" s="67" t="s">
        <v>117</v>
      </c>
      <c r="E22" s="69">
        <v>403.84</v>
      </c>
      <c r="F22" s="70">
        <f>SUM(E22/100)</f>
        <v>4.0383999999999993</v>
      </c>
      <c r="G22" s="70">
        <v>269.26</v>
      </c>
      <c r="H22" s="71">
        <f t="shared" si="0"/>
        <v>1.0873795839999998</v>
      </c>
      <c r="I22" s="13">
        <v>0</v>
      </c>
      <c r="J22" s="22"/>
      <c r="K22" s="8"/>
      <c r="L22" s="8"/>
      <c r="M22" s="8"/>
    </row>
    <row r="23" spans="1:13" ht="15" hidden="1" customHeight="1">
      <c r="A23" s="29"/>
      <c r="B23" s="67" t="s">
        <v>119</v>
      </c>
      <c r="C23" s="68" t="s">
        <v>54</v>
      </c>
      <c r="D23" s="67" t="s">
        <v>117</v>
      </c>
      <c r="E23" s="72">
        <v>70.56</v>
      </c>
      <c r="F23" s="70">
        <f>SUM(E23/100)</f>
        <v>0.7056</v>
      </c>
      <c r="G23" s="70">
        <v>44.29</v>
      </c>
      <c r="H23" s="71">
        <f t="shared" si="0"/>
        <v>3.1251024000000002E-2</v>
      </c>
      <c r="I23" s="13">
        <v>0</v>
      </c>
      <c r="J23" s="22"/>
      <c r="K23" s="8"/>
      <c r="L23" s="8"/>
      <c r="M23" s="8"/>
    </row>
    <row r="24" spans="1:13" ht="15" hidden="1" customHeight="1">
      <c r="A24" s="29"/>
      <c r="B24" s="67" t="s">
        <v>105</v>
      </c>
      <c r="C24" s="68" t="s">
        <v>54</v>
      </c>
      <c r="D24" s="67" t="s">
        <v>117</v>
      </c>
      <c r="E24" s="18">
        <v>14.4</v>
      </c>
      <c r="F24" s="73">
        <v>0.14000000000000001</v>
      </c>
      <c r="G24" s="70">
        <v>398.72</v>
      </c>
      <c r="H24" s="71">
        <f>F24*G24/1000</f>
        <v>5.5820800000000011E-2</v>
      </c>
      <c r="I24" s="13">
        <v>0</v>
      </c>
      <c r="J24" s="22"/>
      <c r="K24" s="8"/>
      <c r="L24" s="8"/>
      <c r="M24" s="8"/>
    </row>
    <row r="25" spans="1:13" ht="15" hidden="1" customHeight="1">
      <c r="A25" s="29"/>
      <c r="B25" s="67" t="s">
        <v>120</v>
      </c>
      <c r="C25" s="68" t="s">
        <v>54</v>
      </c>
      <c r="D25" s="67" t="s">
        <v>117</v>
      </c>
      <c r="E25" s="72">
        <v>31.5</v>
      </c>
      <c r="F25" s="70">
        <v>0.32</v>
      </c>
      <c r="G25" s="70">
        <v>216.12</v>
      </c>
      <c r="H25" s="71">
        <f>F25*G25/1000</f>
        <v>6.9158399999999995E-2</v>
      </c>
      <c r="I25" s="13">
        <v>0</v>
      </c>
      <c r="J25" s="22"/>
      <c r="K25" s="8"/>
      <c r="L25" s="8"/>
      <c r="M25" s="8"/>
    </row>
    <row r="26" spans="1:13" ht="15" hidden="1" customHeight="1">
      <c r="A26" s="29"/>
      <c r="B26" s="67" t="s">
        <v>106</v>
      </c>
      <c r="C26" s="68" t="s">
        <v>54</v>
      </c>
      <c r="D26" s="67" t="s">
        <v>117</v>
      </c>
      <c r="E26" s="69">
        <v>28.22</v>
      </c>
      <c r="F26" s="70">
        <f>SUM(E26/100)</f>
        <v>0.28220000000000001</v>
      </c>
      <c r="G26" s="70">
        <v>520.79999999999995</v>
      </c>
      <c r="H26" s="71">
        <f t="shared" si="0"/>
        <v>0.14696975999999998</v>
      </c>
      <c r="I26" s="13">
        <v>0</v>
      </c>
      <c r="J26" s="22"/>
      <c r="K26" s="8"/>
      <c r="L26" s="8"/>
      <c r="M26" s="8"/>
    </row>
    <row r="27" spans="1:13" ht="15" customHeight="1">
      <c r="A27" s="29">
        <v>4</v>
      </c>
      <c r="B27" s="67" t="s">
        <v>66</v>
      </c>
      <c r="C27" s="68" t="s">
        <v>33</v>
      </c>
      <c r="D27" s="67"/>
      <c r="E27" s="69">
        <v>0.1</v>
      </c>
      <c r="F27" s="70">
        <f>SUM(E27*365)</f>
        <v>36.5</v>
      </c>
      <c r="G27" s="70">
        <v>147.03</v>
      </c>
      <c r="H27" s="71">
        <f>SUM(F27*G27/1000)</f>
        <v>5.3665950000000002</v>
      </c>
      <c r="I27" s="13">
        <f>F27/12*G27</f>
        <v>447.21625</v>
      </c>
      <c r="J27" s="23"/>
    </row>
    <row r="28" spans="1:13" ht="15" customHeight="1">
      <c r="A28" s="29">
        <v>5</v>
      </c>
      <c r="B28" s="77" t="s">
        <v>23</v>
      </c>
      <c r="C28" s="68" t="s">
        <v>24</v>
      </c>
      <c r="D28" s="67"/>
      <c r="E28" s="69">
        <v>3031.3</v>
      </c>
      <c r="F28" s="70">
        <f>SUM(E28*12)</f>
        <v>36375.600000000006</v>
      </c>
      <c r="G28" s="70">
        <v>5.47</v>
      </c>
      <c r="H28" s="71">
        <f>SUM(F28*G28/1000)</f>
        <v>198.97453200000004</v>
      </c>
      <c r="I28" s="13">
        <f>F28/12*G28</f>
        <v>16581.211000000003</v>
      </c>
      <c r="J28" s="23"/>
    </row>
    <row r="29" spans="1:13" ht="15.75" customHeight="1">
      <c r="A29" s="135" t="s">
        <v>88</v>
      </c>
      <c r="B29" s="135"/>
      <c r="C29" s="135"/>
      <c r="D29" s="135"/>
      <c r="E29" s="135"/>
      <c r="F29" s="135"/>
      <c r="G29" s="135"/>
      <c r="H29" s="135"/>
      <c r="I29" s="135"/>
      <c r="J29" s="22"/>
      <c r="K29" s="8"/>
      <c r="L29" s="8"/>
      <c r="M29" s="8"/>
    </row>
    <row r="30" spans="1:13" ht="15" customHeight="1">
      <c r="A30" s="29"/>
      <c r="B30" s="90" t="s">
        <v>28</v>
      </c>
      <c r="C30" s="68"/>
      <c r="D30" s="67"/>
      <c r="E30" s="69"/>
      <c r="F30" s="70"/>
      <c r="G30" s="70"/>
      <c r="H30" s="71"/>
      <c r="I30" s="13"/>
      <c r="J30" s="22"/>
      <c r="K30" s="8"/>
      <c r="L30" s="8"/>
      <c r="M30" s="8"/>
    </row>
    <row r="31" spans="1:13" ht="15" customHeight="1">
      <c r="A31" s="29">
        <v>6</v>
      </c>
      <c r="B31" s="67" t="s">
        <v>121</v>
      </c>
      <c r="C31" s="68" t="s">
        <v>122</v>
      </c>
      <c r="D31" s="67" t="s">
        <v>123</v>
      </c>
      <c r="E31" s="70">
        <v>709.53</v>
      </c>
      <c r="F31" s="70">
        <f>SUM(E31*52/1000)</f>
        <v>36.895559999999996</v>
      </c>
      <c r="G31" s="70">
        <v>155.88999999999999</v>
      </c>
      <c r="H31" s="71">
        <f t="shared" ref="H31:H37" si="1">SUM(F31*G31/1000)</f>
        <v>5.7516488483999995</v>
      </c>
      <c r="I31" s="13">
        <f>F31/6*G31</f>
        <v>958.60814139999979</v>
      </c>
      <c r="J31" s="22"/>
      <c r="K31" s="8"/>
      <c r="L31" s="8"/>
      <c r="M31" s="8"/>
    </row>
    <row r="32" spans="1:13" ht="31.5" customHeight="1">
      <c r="A32" s="29">
        <v>7</v>
      </c>
      <c r="B32" s="67" t="s">
        <v>179</v>
      </c>
      <c r="C32" s="68" t="s">
        <v>122</v>
      </c>
      <c r="D32" s="67" t="s">
        <v>124</v>
      </c>
      <c r="E32" s="70">
        <v>68</v>
      </c>
      <c r="F32" s="70">
        <f>SUM(E32*78/1000)</f>
        <v>5.3040000000000003</v>
      </c>
      <c r="G32" s="70">
        <v>258.63</v>
      </c>
      <c r="H32" s="71">
        <f t="shared" si="1"/>
        <v>1.3717735199999999</v>
      </c>
      <c r="I32" s="13">
        <f t="shared" ref="I32:I35" si="2">F32/6*G32</f>
        <v>228.62891999999999</v>
      </c>
      <c r="J32" s="22"/>
      <c r="K32" s="8"/>
      <c r="L32" s="8"/>
      <c r="M32" s="8"/>
    </row>
    <row r="33" spans="1:14" ht="15" hidden="1" customHeight="1">
      <c r="A33" s="29">
        <v>16</v>
      </c>
      <c r="B33" s="67" t="s">
        <v>27</v>
      </c>
      <c r="C33" s="68" t="s">
        <v>122</v>
      </c>
      <c r="D33" s="67" t="s">
        <v>55</v>
      </c>
      <c r="E33" s="70">
        <v>709.53</v>
      </c>
      <c r="F33" s="70">
        <f>SUM(E33/1000)</f>
        <v>0.70952999999999999</v>
      </c>
      <c r="G33" s="70">
        <v>3020.33</v>
      </c>
      <c r="H33" s="71">
        <f t="shared" si="1"/>
        <v>2.1430147448999999</v>
      </c>
      <c r="I33" s="13">
        <f>F33*G33</f>
        <v>2143.0147449000001</v>
      </c>
      <c r="J33" s="22"/>
      <c r="K33" s="8"/>
      <c r="L33" s="8"/>
      <c r="M33" s="8"/>
    </row>
    <row r="34" spans="1:14" ht="15" customHeight="1">
      <c r="A34" s="29">
        <v>8</v>
      </c>
      <c r="B34" s="67" t="s">
        <v>157</v>
      </c>
      <c r="C34" s="68" t="s">
        <v>41</v>
      </c>
      <c r="D34" s="67" t="s">
        <v>65</v>
      </c>
      <c r="E34" s="70">
        <v>4</v>
      </c>
      <c r="F34" s="70">
        <v>6.2</v>
      </c>
      <c r="G34" s="70">
        <v>1302.02</v>
      </c>
      <c r="H34" s="71">
        <v>8.0730000000000004</v>
      </c>
      <c r="I34" s="13">
        <f t="shared" si="2"/>
        <v>1345.4206666666669</v>
      </c>
      <c r="J34" s="22"/>
      <c r="K34" s="8"/>
      <c r="L34" s="8"/>
      <c r="M34" s="8"/>
    </row>
    <row r="35" spans="1:14" ht="15" customHeight="1">
      <c r="A35" s="29">
        <v>9</v>
      </c>
      <c r="B35" s="67" t="s">
        <v>125</v>
      </c>
      <c r="C35" s="68" t="s">
        <v>30</v>
      </c>
      <c r="D35" s="67" t="s">
        <v>65</v>
      </c>
      <c r="E35" s="76">
        <v>0.33333333333333331</v>
      </c>
      <c r="F35" s="70">
        <f>155/3</f>
        <v>51.666666666666664</v>
      </c>
      <c r="G35" s="70">
        <v>56.69</v>
      </c>
      <c r="H35" s="71">
        <f>SUM(G35*155/3/1000)</f>
        <v>2.9289833333333331</v>
      </c>
      <c r="I35" s="13">
        <f t="shared" si="2"/>
        <v>488.16388888888883</v>
      </c>
      <c r="J35" s="22"/>
      <c r="K35" s="8"/>
    </row>
    <row r="36" spans="1:14" ht="15" hidden="1" customHeight="1">
      <c r="A36" s="29"/>
      <c r="B36" s="67" t="s">
        <v>67</v>
      </c>
      <c r="C36" s="68" t="s">
        <v>33</v>
      </c>
      <c r="D36" s="67" t="s">
        <v>69</v>
      </c>
      <c r="E36" s="69"/>
      <c r="F36" s="70">
        <v>3</v>
      </c>
      <c r="G36" s="70">
        <v>191.32</v>
      </c>
      <c r="H36" s="71">
        <f t="shared" si="1"/>
        <v>0.57396000000000003</v>
      </c>
      <c r="I36" s="13">
        <v>0</v>
      </c>
      <c r="J36" s="23"/>
    </row>
    <row r="37" spans="1:14" ht="15" hidden="1" customHeight="1">
      <c r="A37" s="29"/>
      <c r="B37" s="67" t="s">
        <v>68</v>
      </c>
      <c r="C37" s="68" t="s">
        <v>32</v>
      </c>
      <c r="D37" s="67" t="s">
        <v>69</v>
      </c>
      <c r="E37" s="69"/>
      <c r="F37" s="70">
        <v>2</v>
      </c>
      <c r="G37" s="70">
        <v>1136.32</v>
      </c>
      <c r="H37" s="71">
        <f t="shared" si="1"/>
        <v>2.27264</v>
      </c>
      <c r="I37" s="13">
        <v>0</v>
      </c>
      <c r="J37" s="23"/>
    </row>
    <row r="38" spans="1:14" ht="15" hidden="1" customHeight="1">
      <c r="A38" s="29"/>
      <c r="B38" s="90" t="s">
        <v>5</v>
      </c>
      <c r="C38" s="68"/>
      <c r="D38" s="67"/>
      <c r="E38" s="69"/>
      <c r="F38" s="70"/>
      <c r="G38" s="70"/>
      <c r="H38" s="71" t="s">
        <v>140</v>
      </c>
      <c r="I38" s="13"/>
      <c r="J38" s="23"/>
    </row>
    <row r="39" spans="1:14" ht="15" hidden="1" customHeight="1">
      <c r="A39" s="29">
        <v>6</v>
      </c>
      <c r="B39" s="67" t="s">
        <v>26</v>
      </c>
      <c r="C39" s="68" t="s">
        <v>32</v>
      </c>
      <c r="D39" s="67"/>
      <c r="E39" s="69"/>
      <c r="F39" s="70">
        <v>6</v>
      </c>
      <c r="G39" s="70">
        <v>1527.22</v>
      </c>
      <c r="H39" s="71">
        <f t="shared" ref="H39:H46" si="3">SUM(F39*G39/1000)</f>
        <v>9.1633200000000006</v>
      </c>
      <c r="I39" s="13">
        <f>F39/6*G39</f>
        <v>1527.22</v>
      </c>
      <c r="J39" s="23"/>
    </row>
    <row r="40" spans="1:14" ht="15" hidden="1" customHeight="1">
      <c r="A40" s="29">
        <v>7</v>
      </c>
      <c r="B40" s="67" t="s">
        <v>109</v>
      </c>
      <c r="C40" s="68" t="s">
        <v>29</v>
      </c>
      <c r="D40" s="67" t="s">
        <v>144</v>
      </c>
      <c r="E40" s="70">
        <v>429.8</v>
      </c>
      <c r="F40" s="70">
        <f>SUM(E40*12/1000)</f>
        <v>5.1576000000000004</v>
      </c>
      <c r="G40" s="70">
        <v>2102.71</v>
      </c>
      <c r="H40" s="71">
        <f t="shared" si="3"/>
        <v>10.844937096000001</v>
      </c>
      <c r="I40" s="13">
        <f>F40/6*G40</f>
        <v>1807.4895160000001</v>
      </c>
      <c r="J40" s="23"/>
      <c r="L40" s="19"/>
      <c r="M40" s="20"/>
      <c r="N40" s="21"/>
    </row>
    <row r="41" spans="1:14" ht="15" hidden="1" customHeight="1">
      <c r="A41" s="29">
        <v>8</v>
      </c>
      <c r="B41" s="67" t="s">
        <v>145</v>
      </c>
      <c r="C41" s="68" t="s">
        <v>29</v>
      </c>
      <c r="D41" s="67" t="s">
        <v>126</v>
      </c>
      <c r="E41" s="70">
        <v>68</v>
      </c>
      <c r="F41" s="70">
        <f>SUM(E41*30/1000)</f>
        <v>2.04</v>
      </c>
      <c r="G41" s="70">
        <v>2102.71</v>
      </c>
      <c r="H41" s="71">
        <f>SUM(F41*G41/1000)</f>
        <v>4.2895284</v>
      </c>
      <c r="I41" s="13">
        <f>F41/6*G41</f>
        <v>714.92140000000006</v>
      </c>
      <c r="J41" s="23"/>
      <c r="L41" s="19"/>
      <c r="M41" s="20"/>
      <c r="N41" s="21"/>
    </row>
    <row r="42" spans="1:14" ht="15" hidden="1" customHeight="1">
      <c r="A42" s="29"/>
      <c r="B42" s="67" t="s">
        <v>99</v>
      </c>
      <c r="C42" s="68" t="s">
        <v>127</v>
      </c>
      <c r="D42" s="67" t="s">
        <v>159</v>
      </c>
      <c r="E42" s="69"/>
      <c r="F42" s="70">
        <v>50</v>
      </c>
      <c r="G42" s="70">
        <v>199.44</v>
      </c>
      <c r="H42" s="71">
        <f>SUM(F42*G42/1000)</f>
        <v>9.9719999999999995</v>
      </c>
      <c r="I42" s="13">
        <v>0</v>
      </c>
      <c r="J42" s="23"/>
      <c r="L42" s="19"/>
      <c r="M42" s="20"/>
      <c r="N42" s="21"/>
    </row>
    <row r="43" spans="1:14" ht="15" hidden="1" customHeight="1">
      <c r="A43" s="29">
        <v>9</v>
      </c>
      <c r="B43" s="67" t="s">
        <v>70</v>
      </c>
      <c r="C43" s="68" t="s">
        <v>29</v>
      </c>
      <c r="D43" s="67" t="s">
        <v>128</v>
      </c>
      <c r="E43" s="70">
        <v>68</v>
      </c>
      <c r="F43" s="70">
        <f>SUM(E43*155/1000)</f>
        <v>10.54</v>
      </c>
      <c r="G43" s="70">
        <v>350.75</v>
      </c>
      <c r="H43" s="71">
        <f t="shared" si="3"/>
        <v>3.6969049999999997</v>
      </c>
      <c r="I43" s="13">
        <f>F43/6*G43</f>
        <v>616.15083333333325</v>
      </c>
      <c r="J43" s="23"/>
      <c r="L43" s="19"/>
      <c r="M43" s="20"/>
      <c r="N43" s="21"/>
    </row>
    <row r="44" spans="1:14" ht="47.25" hidden="1" customHeight="1">
      <c r="A44" s="29">
        <v>10</v>
      </c>
      <c r="B44" s="67" t="s">
        <v>86</v>
      </c>
      <c r="C44" s="68" t="s">
        <v>122</v>
      </c>
      <c r="D44" s="67" t="s">
        <v>146</v>
      </c>
      <c r="E44" s="70">
        <v>68</v>
      </c>
      <c r="F44" s="70">
        <f>SUM(E44*24/1000)</f>
        <v>1.6319999999999999</v>
      </c>
      <c r="G44" s="70">
        <v>5803.28</v>
      </c>
      <c r="H44" s="71">
        <f t="shared" si="3"/>
        <v>9.4709529599999982</v>
      </c>
      <c r="I44" s="13">
        <f>F44/6*G44</f>
        <v>1578.4921599999998</v>
      </c>
      <c r="J44" s="23"/>
      <c r="L44" s="19"/>
      <c r="M44" s="20"/>
      <c r="N44" s="21"/>
    </row>
    <row r="45" spans="1:14" ht="15" hidden="1" customHeight="1">
      <c r="A45" s="29">
        <v>11</v>
      </c>
      <c r="B45" s="67" t="s">
        <v>129</v>
      </c>
      <c r="C45" s="68" t="s">
        <v>122</v>
      </c>
      <c r="D45" s="67" t="s">
        <v>71</v>
      </c>
      <c r="E45" s="70">
        <v>68</v>
      </c>
      <c r="F45" s="70">
        <f>SUM(E45*45/1000)</f>
        <v>3.06</v>
      </c>
      <c r="G45" s="70">
        <v>428.7</v>
      </c>
      <c r="H45" s="71">
        <f t="shared" si="3"/>
        <v>1.3118219999999998</v>
      </c>
      <c r="I45" s="13">
        <f>F45/6*G45</f>
        <v>218.637</v>
      </c>
      <c r="J45" s="23"/>
      <c r="L45" s="19"/>
      <c r="M45" s="20"/>
      <c r="N45" s="21"/>
    </row>
    <row r="46" spans="1:14" ht="15" hidden="1" customHeight="1">
      <c r="A46" s="29">
        <v>12</v>
      </c>
      <c r="B46" s="67" t="s">
        <v>72</v>
      </c>
      <c r="C46" s="68" t="s">
        <v>33</v>
      </c>
      <c r="D46" s="67"/>
      <c r="E46" s="69"/>
      <c r="F46" s="70">
        <v>0.9</v>
      </c>
      <c r="G46" s="70">
        <v>798</v>
      </c>
      <c r="H46" s="71">
        <f t="shared" si="3"/>
        <v>0.71820000000000006</v>
      </c>
      <c r="I46" s="13">
        <f>F46/6*G46</f>
        <v>119.69999999999999</v>
      </c>
      <c r="J46" s="23"/>
      <c r="L46" s="19"/>
      <c r="M46" s="20"/>
      <c r="N46" s="21"/>
    </row>
    <row r="47" spans="1:14" ht="15.75" hidden="1" customHeight="1">
      <c r="A47" s="136" t="s">
        <v>153</v>
      </c>
      <c r="B47" s="137"/>
      <c r="C47" s="137"/>
      <c r="D47" s="137"/>
      <c r="E47" s="137"/>
      <c r="F47" s="137"/>
      <c r="G47" s="137"/>
      <c r="H47" s="137"/>
      <c r="I47" s="138"/>
      <c r="J47" s="23"/>
      <c r="L47" s="19"/>
      <c r="M47" s="20"/>
      <c r="N47" s="21"/>
    </row>
    <row r="48" spans="1:14" ht="15" hidden="1" customHeight="1">
      <c r="A48" s="29"/>
      <c r="B48" s="67" t="s">
        <v>147</v>
      </c>
      <c r="C48" s="68" t="s">
        <v>122</v>
      </c>
      <c r="D48" s="67" t="s">
        <v>43</v>
      </c>
      <c r="E48" s="69">
        <v>1061.3</v>
      </c>
      <c r="F48" s="70">
        <f>SUM(E48*2/1000)</f>
        <v>2.1225999999999998</v>
      </c>
      <c r="G48" s="13">
        <v>809.74</v>
      </c>
      <c r="H48" s="71">
        <f t="shared" ref="H48:H57" si="4">SUM(F48*G48/1000)</f>
        <v>1.7187541239999997</v>
      </c>
      <c r="I48" s="13">
        <v>0</v>
      </c>
      <c r="J48" s="23"/>
      <c r="L48" s="19"/>
      <c r="M48" s="20"/>
      <c r="N48" s="21"/>
    </row>
    <row r="49" spans="1:22" ht="15" hidden="1" customHeight="1">
      <c r="A49" s="29"/>
      <c r="B49" s="67" t="s">
        <v>36</v>
      </c>
      <c r="C49" s="68" t="s">
        <v>122</v>
      </c>
      <c r="D49" s="67" t="s">
        <v>43</v>
      </c>
      <c r="E49" s="69">
        <v>52</v>
      </c>
      <c r="F49" s="70">
        <f>SUM(E49*2/1000)</f>
        <v>0.104</v>
      </c>
      <c r="G49" s="13">
        <v>579.48</v>
      </c>
      <c r="H49" s="71">
        <f t="shared" si="4"/>
        <v>6.0265920000000001E-2</v>
      </c>
      <c r="I49" s="13">
        <v>0</v>
      </c>
      <c r="J49" s="23"/>
      <c r="L49" s="19"/>
      <c r="M49" s="20"/>
      <c r="N49" s="21"/>
    </row>
    <row r="50" spans="1:22" ht="15" hidden="1" customHeight="1">
      <c r="A50" s="29"/>
      <c r="B50" s="67" t="s">
        <v>37</v>
      </c>
      <c r="C50" s="68" t="s">
        <v>122</v>
      </c>
      <c r="D50" s="67" t="s">
        <v>43</v>
      </c>
      <c r="E50" s="69">
        <v>1238.8</v>
      </c>
      <c r="F50" s="70">
        <f>SUM(E50*2/1000)</f>
        <v>2.4775999999999998</v>
      </c>
      <c r="G50" s="13">
        <v>579.48</v>
      </c>
      <c r="H50" s="71">
        <f t="shared" si="4"/>
        <v>1.4357196480000001</v>
      </c>
      <c r="I50" s="13">
        <v>0</v>
      </c>
      <c r="J50" s="23"/>
      <c r="L50" s="19"/>
      <c r="M50" s="20"/>
      <c r="N50" s="21"/>
    </row>
    <row r="51" spans="1:22" ht="15" hidden="1" customHeight="1">
      <c r="A51" s="29"/>
      <c r="B51" s="67" t="s">
        <v>38</v>
      </c>
      <c r="C51" s="68" t="s">
        <v>122</v>
      </c>
      <c r="D51" s="67" t="s">
        <v>43</v>
      </c>
      <c r="E51" s="69">
        <v>1794.01</v>
      </c>
      <c r="F51" s="70">
        <f>SUM(E51*2/1000)</f>
        <v>3.5880199999999998</v>
      </c>
      <c r="G51" s="13">
        <v>606.77</v>
      </c>
      <c r="H51" s="71">
        <f t="shared" si="4"/>
        <v>2.1771028954</v>
      </c>
      <c r="I51" s="13">
        <v>0</v>
      </c>
      <c r="J51" s="23"/>
      <c r="L51" s="19"/>
      <c r="M51" s="20"/>
      <c r="N51" s="21"/>
    </row>
    <row r="52" spans="1:22" ht="15" hidden="1" customHeight="1">
      <c r="A52" s="29"/>
      <c r="B52" s="67" t="s">
        <v>34</v>
      </c>
      <c r="C52" s="68" t="s">
        <v>35</v>
      </c>
      <c r="D52" s="67" t="s">
        <v>160</v>
      </c>
      <c r="E52" s="69">
        <v>85.78</v>
      </c>
      <c r="F52" s="70">
        <f>SUM(E52*2/100)</f>
        <v>1.7156</v>
      </c>
      <c r="G52" s="13">
        <v>72.81</v>
      </c>
      <c r="H52" s="71">
        <f t="shared" si="4"/>
        <v>0.124912836</v>
      </c>
      <c r="I52" s="13">
        <v>0</v>
      </c>
      <c r="J52" s="23"/>
      <c r="L52" s="19"/>
      <c r="M52" s="20"/>
      <c r="N52" s="21"/>
    </row>
    <row r="53" spans="1:22" ht="15" hidden="1" customHeight="1">
      <c r="A53" s="29">
        <v>13</v>
      </c>
      <c r="B53" s="67" t="s">
        <v>58</v>
      </c>
      <c r="C53" s="68" t="s">
        <v>122</v>
      </c>
      <c r="D53" s="67" t="s">
        <v>180</v>
      </c>
      <c r="E53" s="69">
        <v>884</v>
      </c>
      <c r="F53" s="70">
        <f>SUM(E53*5/1000)</f>
        <v>4.42</v>
      </c>
      <c r="G53" s="13">
        <v>1213.55</v>
      </c>
      <c r="H53" s="71">
        <f t="shared" si="4"/>
        <v>5.3638909999999997</v>
      </c>
      <c r="I53" s="13">
        <f>F53/5*G53</f>
        <v>1072.7782</v>
      </c>
      <c r="J53" s="23"/>
      <c r="L53" s="19"/>
      <c r="M53" s="20"/>
      <c r="N53" s="21"/>
    </row>
    <row r="54" spans="1:22" ht="31.5" hidden="1" customHeight="1">
      <c r="A54" s="29"/>
      <c r="B54" s="67" t="s">
        <v>130</v>
      </c>
      <c r="C54" s="68" t="s">
        <v>122</v>
      </c>
      <c r="D54" s="67" t="s">
        <v>43</v>
      </c>
      <c r="E54" s="69">
        <v>884</v>
      </c>
      <c r="F54" s="70">
        <f>SUM(E54*2/1000)</f>
        <v>1.768</v>
      </c>
      <c r="G54" s="13">
        <v>1213.55</v>
      </c>
      <c r="H54" s="71">
        <f t="shared" si="4"/>
        <v>2.1455563999999998</v>
      </c>
      <c r="I54" s="13">
        <v>0</v>
      </c>
      <c r="J54" s="23"/>
      <c r="L54" s="19"/>
      <c r="M54" s="20"/>
      <c r="N54" s="21"/>
    </row>
    <row r="55" spans="1:22" ht="31.5" hidden="1" customHeight="1">
      <c r="A55" s="29"/>
      <c r="B55" s="67" t="s">
        <v>131</v>
      </c>
      <c r="C55" s="68" t="s">
        <v>39</v>
      </c>
      <c r="D55" s="67" t="s">
        <v>43</v>
      </c>
      <c r="E55" s="69">
        <v>20</v>
      </c>
      <c r="F55" s="70">
        <f>SUM(E55*2/100)</f>
        <v>0.4</v>
      </c>
      <c r="G55" s="13">
        <v>2730.49</v>
      </c>
      <c r="H55" s="71">
        <f t="shared" si="4"/>
        <v>1.0921959999999999</v>
      </c>
      <c r="I55" s="13">
        <v>0</v>
      </c>
      <c r="J55" s="23"/>
      <c r="L55" s="19"/>
      <c r="M55" s="20"/>
      <c r="N55" s="21"/>
    </row>
    <row r="56" spans="1:22" ht="15" hidden="1" customHeight="1">
      <c r="A56" s="29"/>
      <c r="B56" s="67" t="s">
        <v>40</v>
      </c>
      <c r="C56" s="68" t="s">
        <v>41</v>
      </c>
      <c r="D56" s="67" t="s">
        <v>43</v>
      </c>
      <c r="E56" s="69">
        <v>1</v>
      </c>
      <c r="F56" s="70">
        <v>0.02</v>
      </c>
      <c r="G56" s="13">
        <v>5652.13</v>
      </c>
      <c r="H56" s="71">
        <f t="shared" si="4"/>
        <v>0.11304260000000001</v>
      </c>
      <c r="I56" s="13">
        <v>0</v>
      </c>
      <c r="J56" s="23"/>
      <c r="L56" s="19"/>
      <c r="M56" s="20"/>
      <c r="N56" s="21"/>
    </row>
    <row r="57" spans="1:22" ht="15" hidden="1" customHeight="1">
      <c r="A57" s="29">
        <v>14</v>
      </c>
      <c r="B57" s="67" t="s">
        <v>42</v>
      </c>
      <c r="C57" s="68" t="s">
        <v>30</v>
      </c>
      <c r="D57" s="67" t="s">
        <v>73</v>
      </c>
      <c r="E57" s="69">
        <v>136</v>
      </c>
      <c r="F57" s="70">
        <f>SUM(E57)*3</f>
        <v>408</v>
      </c>
      <c r="G57" s="13">
        <v>65.67</v>
      </c>
      <c r="H57" s="71">
        <f t="shared" si="4"/>
        <v>26.79336</v>
      </c>
      <c r="I57" s="13">
        <f>E57*G57</f>
        <v>8931.1200000000008</v>
      </c>
      <c r="J57" s="23"/>
      <c r="L57" s="19"/>
      <c r="M57" s="20"/>
      <c r="N57" s="21"/>
    </row>
    <row r="58" spans="1:22" ht="15.75" customHeight="1">
      <c r="A58" s="136" t="s">
        <v>183</v>
      </c>
      <c r="B58" s="137"/>
      <c r="C58" s="137"/>
      <c r="D58" s="137"/>
      <c r="E58" s="137"/>
      <c r="F58" s="137"/>
      <c r="G58" s="137"/>
      <c r="H58" s="137"/>
      <c r="I58" s="138"/>
      <c r="J58" s="23"/>
      <c r="L58" s="19"/>
      <c r="M58" s="20"/>
      <c r="N58" s="21"/>
    </row>
    <row r="59" spans="1:22" ht="15" hidden="1" customHeight="1">
      <c r="A59" s="29"/>
      <c r="B59" s="90" t="s">
        <v>44</v>
      </c>
      <c r="C59" s="68"/>
      <c r="D59" s="67"/>
      <c r="E59" s="69"/>
      <c r="F59" s="70"/>
      <c r="G59" s="70"/>
      <c r="H59" s="71"/>
      <c r="I59" s="13"/>
      <c r="J59" s="23"/>
      <c r="L59" s="19"/>
      <c r="M59" s="20"/>
      <c r="N59" s="21"/>
    </row>
    <row r="60" spans="1:22" ht="31.5" hidden="1" customHeight="1">
      <c r="A60" s="29">
        <v>15</v>
      </c>
      <c r="B60" s="67" t="s">
        <v>133</v>
      </c>
      <c r="C60" s="68" t="s">
        <v>104</v>
      </c>
      <c r="D60" s="67" t="s">
        <v>74</v>
      </c>
      <c r="E60" s="69">
        <v>106.13</v>
      </c>
      <c r="F60" s="70">
        <f>E60*6/100</f>
        <v>6.3677999999999999</v>
      </c>
      <c r="G60" s="78">
        <v>1547.28</v>
      </c>
      <c r="H60" s="71">
        <f>F60*G60/1000</f>
        <v>9.8527695839999989</v>
      </c>
      <c r="I60" s="13">
        <f>F60/6*G60</f>
        <v>1642.1282639999999</v>
      </c>
      <c r="J60" s="23"/>
      <c r="L60" s="19"/>
    </row>
    <row r="61" spans="1:22" ht="15" customHeight="1">
      <c r="A61" s="29"/>
      <c r="B61" s="91" t="s">
        <v>45</v>
      </c>
      <c r="C61" s="79"/>
      <c r="D61" s="80"/>
      <c r="E61" s="81"/>
      <c r="F61" s="82"/>
      <c r="G61" s="83"/>
      <c r="H61" s="92"/>
      <c r="I61" s="13"/>
    </row>
    <row r="62" spans="1:22" ht="15" hidden="1" customHeight="1">
      <c r="A62" s="29"/>
      <c r="B62" s="80" t="s">
        <v>46</v>
      </c>
      <c r="C62" s="79" t="s">
        <v>54</v>
      </c>
      <c r="D62" s="80" t="s">
        <v>55</v>
      </c>
      <c r="E62" s="81">
        <v>884</v>
      </c>
      <c r="F62" s="82">
        <f>E62/100</f>
        <v>8.84</v>
      </c>
      <c r="G62" s="70">
        <v>793.61</v>
      </c>
      <c r="H62" s="92">
        <f>G62*F62/1000</f>
        <v>7.0155123999999995</v>
      </c>
      <c r="I62" s="13">
        <v>0</v>
      </c>
    </row>
    <row r="63" spans="1:22" ht="15" customHeight="1">
      <c r="A63" s="29">
        <v>10</v>
      </c>
      <c r="B63" s="80" t="s">
        <v>100</v>
      </c>
      <c r="C63" s="79" t="s">
        <v>25</v>
      </c>
      <c r="D63" s="80"/>
      <c r="E63" s="81">
        <v>176.8</v>
      </c>
      <c r="F63" s="82">
        <v>1200</v>
      </c>
      <c r="G63" s="70">
        <v>1.2</v>
      </c>
      <c r="H63" s="92">
        <f>G63*F63</f>
        <v>1440</v>
      </c>
      <c r="I63" s="13">
        <f>F63/12*G63</f>
        <v>120</v>
      </c>
    </row>
    <row r="64" spans="1:22" ht="15" hidden="1" customHeight="1">
      <c r="A64" s="29"/>
      <c r="B64" s="91" t="s">
        <v>47</v>
      </c>
      <c r="C64" s="79"/>
      <c r="D64" s="80"/>
      <c r="E64" s="81"/>
      <c r="F64" s="82"/>
      <c r="G64" s="70"/>
      <c r="H64" s="92" t="s">
        <v>140</v>
      </c>
      <c r="I64" s="1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9"/>
    </row>
    <row r="65" spans="1:21" ht="15" hidden="1" customHeight="1">
      <c r="A65" s="29"/>
      <c r="B65" s="14" t="s">
        <v>48</v>
      </c>
      <c r="C65" s="16" t="s">
        <v>132</v>
      </c>
      <c r="D65" s="14" t="s">
        <v>69</v>
      </c>
      <c r="E65" s="18">
        <v>20</v>
      </c>
      <c r="F65" s="70">
        <v>20</v>
      </c>
      <c r="G65" s="94">
        <v>222.4</v>
      </c>
      <c r="H65" s="93">
        <f t="shared" ref="H65:H80" si="5">SUM(F65*G65/1000)</f>
        <v>4.4480000000000004</v>
      </c>
      <c r="I65" s="13">
        <v>0</v>
      </c>
      <c r="J65" s="25"/>
      <c r="K65" s="25"/>
      <c r="L65" s="3"/>
      <c r="M65" s="3"/>
      <c r="N65" s="3"/>
      <c r="O65" s="3"/>
      <c r="P65" s="3"/>
      <c r="Q65" s="3"/>
      <c r="R65" s="3"/>
      <c r="S65" s="3"/>
      <c r="T65" s="3"/>
      <c r="U65" s="3"/>
    </row>
    <row r="66" spans="1:21" ht="15" hidden="1" customHeight="1">
      <c r="A66" s="29">
        <v>17</v>
      </c>
      <c r="B66" s="14" t="s">
        <v>49</v>
      </c>
      <c r="C66" s="16" t="s">
        <v>132</v>
      </c>
      <c r="D66" s="14" t="s">
        <v>69</v>
      </c>
      <c r="E66" s="14" t="s">
        <v>69</v>
      </c>
      <c r="F66" s="14" t="s">
        <v>69</v>
      </c>
      <c r="G66" s="13">
        <v>76.25</v>
      </c>
      <c r="H66" s="84" t="e">
        <f t="shared" si="5"/>
        <v>#VALUE!</v>
      </c>
      <c r="I66" s="13">
        <f>G66</f>
        <v>76.25</v>
      </c>
      <c r="J66" s="3"/>
      <c r="K66" s="3"/>
      <c r="L66" s="3"/>
      <c r="M66" s="3"/>
      <c r="N66" s="3"/>
      <c r="O66" s="3"/>
      <c r="P66" s="3"/>
      <c r="Q66" s="3"/>
      <c r="S66" s="3"/>
      <c r="T66" s="3"/>
      <c r="U66" s="3"/>
    </row>
    <row r="67" spans="1:21" ht="15" hidden="1" customHeight="1">
      <c r="A67" s="29"/>
      <c r="B67" s="14" t="s">
        <v>50</v>
      </c>
      <c r="C67" s="16" t="s">
        <v>134</v>
      </c>
      <c r="D67" s="14" t="s">
        <v>55</v>
      </c>
      <c r="E67" s="69">
        <v>12647</v>
      </c>
      <c r="F67" s="13">
        <f>SUM(E67/100)</f>
        <v>126.47</v>
      </c>
      <c r="G67" s="13">
        <v>212.15</v>
      </c>
      <c r="H67" s="84">
        <f t="shared" si="5"/>
        <v>26.830610499999999</v>
      </c>
      <c r="I67" s="13">
        <f>F67*G67</f>
        <v>26830.610499999999</v>
      </c>
      <c r="J67" s="5"/>
      <c r="K67" s="5"/>
      <c r="L67" s="5"/>
      <c r="M67" s="5"/>
      <c r="N67" s="5"/>
      <c r="O67" s="5"/>
      <c r="P67" s="5"/>
      <c r="Q67" s="5"/>
      <c r="R67" s="124"/>
      <c r="S67" s="124"/>
      <c r="T67" s="124"/>
      <c r="U67" s="124"/>
    </row>
    <row r="68" spans="1:21" ht="15" hidden="1" customHeight="1">
      <c r="A68" s="29"/>
      <c r="B68" s="14" t="s">
        <v>51</v>
      </c>
      <c r="C68" s="16" t="s">
        <v>135</v>
      </c>
      <c r="D68" s="14"/>
      <c r="E68" s="69">
        <v>12647</v>
      </c>
      <c r="F68" s="13">
        <f>SUM(E68/1000)</f>
        <v>12.647</v>
      </c>
      <c r="G68" s="13">
        <v>165.21</v>
      </c>
      <c r="H68" s="84">
        <f t="shared" si="5"/>
        <v>2.08941087</v>
      </c>
      <c r="I68" s="13">
        <f t="shared" ref="I68:I72" si="6">F68*G68</f>
        <v>2089.4108700000002</v>
      </c>
    </row>
    <row r="69" spans="1:21" ht="15" hidden="1" customHeight="1">
      <c r="A69" s="29"/>
      <c r="B69" s="14" t="s">
        <v>52</v>
      </c>
      <c r="C69" s="16" t="s">
        <v>80</v>
      </c>
      <c r="D69" s="14" t="s">
        <v>55</v>
      </c>
      <c r="E69" s="69">
        <v>1900</v>
      </c>
      <c r="F69" s="13">
        <f>SUM(E69/100)</f>
        <v>19</v>
      </c>
      <c r="G69" s="13">
        <v>2074.63</v>
      </c>
      <c r="H69" s="84">
        <f t="shared" si="5"/>
        <v>39.417970000000004</v>
      </c>
      <c r="I69" s="13">
        <f t="shared" si="6"/>
        <v>39417.97</v>
      </c>
    </row>
    <row r="70" spans="1:21" ht="15" hidden="1" customHeight="1">
      <c r="A70" s="29"/>
      <c r="B70" s="85" t="s">
        <v>136</v>
      </c>
      <c r="C70" s="16" t="s">
        <v>33</v>
      </c>
      <c r="D70" s="14"/>
      <c r="E70" s="69">
        <v>11.3</v>
      </c>
      <c r="F70" s="13">
        <f>SUM(E70)</f>
        <v>11.3</v>
      </c>
      <c r="G70" s="13">
        <v>42.67</v>
      </c>
      <c r="H70" s="84">
        <f t="shared" si="5"/>
        <v>0.48217100000000007</v>
      </c>
      <c r="I70" s="13">
        <f t="shared" si="6"/>
        <v>482.17100000000005</v>
      </c>
    </row>
    <row r="71" spans="1:21" ht="15" hidden="1" customHeight="1">
      <c r="A71" s="29"/>
      <c r="B71" s="85" t="s">
        <v>137</v>
      </c>
      <c r="C71" s="16" t="s">
        <v>33</v>
      </c>
      <c r="D71" s="14"/>
      <c r="E71" s="69">
        <v>11.3</v>
      </c>
      <c r="F71" s="13">
        <f>SUM(E71)</f>
        <v>11.3</v>
      </c>
      <c r="G71" s="13">
        <v>39.81</v>
      </c>
      <c r="H71" s="84">
        <f t="shared" si="5"/>
        <v>0.44985300000000006</v>
      </c>
      <c r="I71" s="13">
        <f t="shared" si="6"/>
        <v>449.85300000000007</v>
      </c>
    </row>
    <row r="72" spans="1:21" ht="15" hidden="1" customHeight="1">
      <c r="A72" s="29"/>
      <c r="B72" s="14" t="s">
        <v>59</v>
      </c>
      <c r="C72" s="16" t="s">
        <v>60</v>
      </c>
      <c r="D72" s="14" t="s">
        <v>55</v>
      </c>
      <c r="E72" s="18">
        <v>6</v>
      </c>
      <c r="F72" s="70">
        <f>SUM(E72)</f>
        <v>6</v>
      </c>
      <c r="G72" s="13">
        <v>49.88</v>
      </c>
      <c r="H72" s="84">
        <f t="shared" si="5"/>
        <v>0.29928000000000005</v>
      </c>
      <c r="I72" s="13">
        <f t="shared" si="6"/>
        <v>299.28000000000003</v>
      </c>
    </row>
    <row r="73" spans="1:21" ht="15" hidden="1" customHeight="1">
      <c r="A73" s="29"/>
      <c r="B73" s="57" t="s">
        <v>75</v>
      </c>
      <c r="C73" s="16"/>
      <c r="D73" s="14"/>
      <c r="E73" s="18"/>
      <c r="F73" s="13"/>
      <c r="G73" s="13"/>
      <c r="H73" s="84" t="s">
        <v>140</v>
      </c>
      <c r="I73" s="13"/>
    </row>
    <row r="74" spans="1:21" ht="15" hidden="1" customHeight="1">
      <c r="A74" s="29"/>
      <c r="B74" s="14" t="s">
        <v>76</v>
      </c>
      <c r="C74" s="16" t="s">
        <v>31</v>
      </c>
      <c r="D74" s="14"/>
      <c r="E74" s="18">
        <v>5</v>
      </c>
      <c r="F74" s="61">
        <v>0.5</v>
      </c>
      <c r="G74" s="13">
        <v>501.62</v>
      </c>
      <c r="H74" s="84">
        <v>0.251</v>
      </c>
      <c r="I74" s="13">
        <v>0</v>
      </c>
    </row>
    <row r="75" spans="1:21" ht="15" hidden="1" customHeight="1">
      <c r="A75" s="29"/>
      <c r="B75" s="14" t="s">
        <v>148</v>
      </c>
      <c r="C75" s="16" t="s">
        <v>30</v>
      </c>
      <c r="D75" s="14"/>
      <c r="E75" s="18">
        <v>2</v>
      </c>
      <c r="F75" s="13">
        <v>2</v>
      </c>
      <c r="G75" s="13">
        <v>99.85</v>
      </c>
      <c r="H75" s="84">
        <v>0.1</v>
      </c>
      <c r="I75" s="13">
        <v>0</v>
      </c>
    </row>
    <row r="76" spans="1:21" ht="15" hidden="1" customHeight="1">
      <c r="A76" s="29"/>
      <c r="B76" s="14" t="s">
        <v>149</v>
      </c>
      <c r="C76" s="16" t="s">
        <v>30</v>
      </c>
      <c r="D76" s="14"/>
      <c r="E76" s="18">
        <v>1</v>
      </c>
      <c r="F76" s="61">
        <v>1</v>
      </c>
      <c r="G76" s="13">
        <v>120.26</v>
      </c>
      <c r="H76" s="84">
        <v>0.12</v>
      </c>
      <c r="I76" s="13">
        <v>0</v>
      </c>
    </row>
    <row r="77" spans="1:21" ht="15" hidden="1" customHeight="1">
      <c r="A77" s="29"/>
      <c r="B77" s="14" t="s">
        <v>91</v>
      </c>
      <c r="C77" s="16" t="s">
        <v>30</v>
      </c>
      <c r="D77" s="14"/>
      <c r="E77" s="18">
        <v>1</v>
      </c>
      <c r="F77" s="70">
        <f>SUM(E77)</f>
        <v>1</v>
      </c>
      <c r="G77" s="13">
        <v>358.51</v>
      </c>
      <c r="H77" s="84">
        <f t="shared" si="5"/>
        <v>0.35851</v>
      </c>
      <c r="I77" s="13">
        <v>0</v>
      </c>
    </row>
    <row r="78" spans="1:21" ht="15" hidden="1" customHeight="1">
      <c r="A78" s="29"/>
      <c r="B78" s="14" t="s">
        <v>77</v>
      </c>
      <c r="C78" s="16" t="s">
        <v>30</v>
      </c>
      <c r="D78" s="14"/>
      <c r="E78" s="18">
        <v>1</v>
      </c>
      <c r="F78" s="13">
        <v>1</v>
      </c>
      <c r="G78" s="13">
        <v>852.99</v>
      </c>
      <c r="H78" s="84">
        <f>F78*G78/1000</f>
        <v>0.85299000000000003</v>
      </c>
      <c r="I78" s="13">
        <v>0</v>
      </c>
    </row>
    <row r="79" spans="1:21" ht="15" hidden="1" customHeight="1">
      <c r="A79" s="29"/>
      <c r="B79" s="86" t="s">
        <v>79</v>
      </c>
      <c r="C79" s="16"/>
      <c r="D79" s="14"/>
      <c r="E79" s="18"/>
      <c r="F79" s="13"/>
      <c r="G79" s="13" t="s">
        <v>140</v>
      </c>
      <c r="H79" s="84" t="s">
        <v>140</v>
      </c>
      <c r="I79" s="13"/>
    </row>
    <row r="80" spans="1:21" ht="15" hidden="1" customHeight="1">
      <c r="A80" s="29"/>
      <c r="B80" s="44" t="s">
        <v>141</v>
      </c>
      <c r="C80" s="16" t="s">
        <v>80</v>
      </c>
      <c r="D80" s="14"/>
      <c r="E80" s="18"/>
      <c r="F80" s="13">
        <v>0.2</v>
      </c>
      <c r="G80" s="13">
        <v>2759.44</v>
      </c>
      <c r="H80" s="84">
        <f t="shared" si="5"/>
        <v>0.55188800000000005</v>
      </c>
      <c r="I80" s="13">
        <v>0</v>
      </c>
    </row>
    <row r="81" spans="1:9" ht="15" hidden="1" customHeight="1">
      <c r="A81" s="29"/>
      <c r="B81" s="74" t="s">
        <v>138</v>
      </c>
      <c r="C81" s="86"/>
      <c r="D81" s="31"/>
      <c r="E81" s="32"/>
      <c r="F81" s="75"/>
      <c r="G81" s="75"/>
      <c r="H81" s="87" t="e">
        <f>SUM(H60:H80)</f>
        <v>#VALUE!</v>
      </c>
      <c r="I81" s="75"/>
    </row>
    <row r="82" spans="1:9" ht="15" hidden="1" customHeight="1">
      <c r="A82" s="29"/>
      <c r="B82" s="67" t="s">
        <v>139</v>
      </c>
      <c r="C82" s="16"/>
      <c r="D82" s="14"/>
      <c r="E82" s="62"/>
      <c r="F82" s="13">
        <v>1</v>
      </c>
      <c r="G82" s="13">
        <v>13437.4</v>
      </c>
      <c r="H82" s="84">
        <f>G82*F82/1000</f>
        <v>13.4374</v>
      </c>
      <c r="I82" s="13">
        <v>0</v>
      </c>
    </row>
    <row r="83" spans="1:9" ht="15.75" customHeight="1">
      <c r="A83" s="125" t="s">
        <v>187</v>
      </c>
      <c r="B83" s="126"/>
      <c r="C83" s="126"/>
      <c r="D83" s="126"/>
      <c r="E83" s="126"/>
      <c r="F83" s="126"/>
      <c r="G83" s="126"/>
      <c r="H83" s="126"/>
      <c r="I83" s="127"/>
    </row>
    <row r="84" spans="1:9" ht="15" customHeight="1">
      <c r="A84" s="29">
        <v>11</v>
      </c>
      <c r="B84" s="67" t="s">
        <v>142</v>
      </c>
      <c r="C84" s="16" t="s">
        <v>56</v>
      </c>
      <c r="D84" s="88" t="s">
        <v>57</v>
      </c>
      <c r="E84" s="13">
        <v>3031.3</v>
      </c>
      <c r="F84" s="13">
        <f>SUM(E84*12)</f>
        <v>36375.600000000006</v>
      </c>
      <c r="G84" s="13">
        <v>2.1</v>
      </c>
      <c r="H84" s="84">
        <f>SUM(F84*G84/1000)</f>
        <v>76.388760000000005</v>
      </c>
      <c r="I84" s="13">
        <f>F84/12*G84</f>
        <v>6365.7300000000014</v>
      </c>
    </row>
    <row r="85" spans="1:9" ht="31.5" customHeight="1">
      <c r="A85" s="29">
        <v>12</v>
      </c>
      <c r="B85" s="14" t="s">
        <v>81</v>
      </c>
      <c r="C85" s="16"/>
      <c r="D85" s="88" t="s">
        <v>57</v>
      </c>
      <c r="E85" s="69">
        <f>E84</f>
        <v>3031.3</v>
      </c>
      <c r="F85" s="13">
        <f>E85*12</f>
        <v>36375.600000000006</v>
      </c>
      <c r="G85" s="13">
        <v>1.63</v>
      </c>
      <c r="H85" s="84">
        <f>F85*G85/1000</f>
        <v>59.292228000000001</v>
      </c>
      <c r="I85" s="13">
        <f>F85/12*G85</f>
        <v>4941.0190000000011</v>
      </c>
    </row>
    <row r="86" spans="1:9" ht="15.75" customHeight="1">
      <c r="A86" s="45"/>
      <c r="B86" s="36" t="s">
        <v>83</v>
      </c>
      <c r="C86" s="37"/>
      <c r="D86" s="15"/>
      <c r="E86" s="15"/>
      <c r="F86" s="15"/>
      <c r="G86" s="18"/>
      <c r="H86" s="18"/>
      <c r="I86" s="32">
        <f>I85+I84+I63+I35+I34+I32+I31+I28+I27+I18+I17+I16</f>
        <v>39513.503954955559</v>
      </c>
    </row>
    <row r="87" spans="1:9" ht="15.75" customHeight="1">
      <c r="A87" s="139" t="s">
        <v>62</v>
      </c>
      <c r="B87" s="140"/>
      <c r="C87" s="140"/>
      <c r="D87" s="140"/>
      <c r="E87" s="140"/>
      <c r="F87" s="140"/>
      <c r="G87" s="140"/>
      <c r="H87" s="140"/>
      <c r="I87" s="141"/>
    </row>
    <row r="88" spans="1:9" ht="15.75" customHeight="1">
      <c r="A88" s="29">
        <v>13</v>
      </c>
      <c r="B88" s="119" t="s">
        <v>94</v>
      </c>
      <c r="C88" s="120" t="s">
        <v>95</v>
      </c>
      <c r="D88" s="48"/>
      <c r="E88" s="34"/>
      <c r="F88" s="34">
        <f>29/3</f>
        <v>9.6666666666666661</v>
      </c>
      <c r="G88" s="34">
        <v>1165.73</v>
      </c>
      <c r="H88" s="102">
        <f t="shared" ref="H88" si="7">G88*F88/1000</f>
        <v>11.268723333333334</v>
      </c>
      <c r="I88" s="13">
        <f>G88*1</f>
        <v>1165.73</v>
      </c>
    </row>
    <row r="89" spans="1:9" ht="15.75" customHeight="1">
      <c r="A89" s="29">
        <v>14</v>
      </c>
      <c r="B89" s="52" t="s">
        <v>85</v>
      </c>
      <c r="C89" s="53" t="s">
        <v>132</v>
      </c>
      <c r="D89" s="44"/>
      <c r="E89" s="34"/>
      <c r="F89" s="34">
        <v>1</v>
      </c>
      <c r="G89" s="34">
        <v>197.48</v>
      </c>
      <c r="H89" s="102">
        <f>G89*F89/1000</f>
        <v>0.19747999999999999</v>
      </c>
      <c r="I89" s="13">
        <f>G89*1</f>
        <v>197.48</v>
      </c>
    </row>
    <row r="90" spans="1:9" ht="15" customHeight="1">
      <c r="A90" s="29">
        <v>15</v>
      </c>
      <c r="B90" s="105" t="s">
        <v>231</v>
      </c>
      <c r="C90" s="37" t="s">
        <v>132</v>
      </c>
      <c r="D90" s="44"/>
      <c r="E90" s="34"/>
      <c r="F90" s="34">
        <v>5</v>
      </c>
      <c r="G90" s="34">
        <v>1700</v>
      </c>
      <c r="H90" s="102">
        <f>G90*F90/1000</f>
        <v>8.5</v>
      </c>
      <c r="I90" s="13">
        <f>G90*4</f>
        <v>6800</v>
      </c>
    </row>
    <row r="91" spans="1:9" ht="15" hidden="1" customHeight="1">
      <c r="A91" s="29">
        <v>16</v>
      </c>
      <c r="B91" s="52"/>
      <c r="C91" s="53"/>
      <c r="D91" s="44"/>
      <c r="E91" s="34"/>
      <c r="F91" s="34">
        <v>5.5</v>
      </c>
      <c r="G91" s="34"/>
      <c r="H91" s="102">
        <f>G91*F91/1000</f>
        <v>0</v>
      </c>
      <c r="I91" s="13"/>
    </row>
    <row r="92" spans="1:9" ht="15.75" customHeight="1">
      <c r="A92" s="29"/>
      <c r="B92" s="42" t="s">
        <v>53</v>
      </c>
      <c r="C92" s="38"/>
      <c r="D92" s="46"/>
      <c r="E92" s="38">
        <v>1</v>
      </c>
      <c r="F92" s="38"/>
      <c r="G92" s="38"/>
      <c r="H92" s="38"/>
      <c r="I92" s="32">
        <f>SUM(I88:I91)</f>
        <v>8163.21</v>
      </c>
    </row>
    <row r="93" spans="1:9" ht="15.75" customHeight="1">
      <c r="A93" s="29"/>
      <c r="B93" s="44" t="s">
        <v>82</v>
      </c>
      <c r="C93" s="15"/>
      <c r="D93" s="15"/>
      <c r="E93" s="39"/>
      <c r="F93" s="39"/>
      <c r="G93" s="40"/>
      <c r="H93" s="40"/>
      <c r="I93" s="17">
        <v>0</v>
      </c>
    </row>
    <row r="94" spans="1:9" ht="15.75" customHeight="1">
      <c r="A94" s="47"/>
      <c r="B94" s="43" t="s">
        <v>192</v>
      </c>
      <c r="C94" s="33"/>
      <c r="D94" s="33"/>
      <c r="E94" s="33"/>
      <c r="F94" s="33"/>
      <c r="G94" s="33"/>
      <c r="H94" s="33"/>
      <c r="I94" s="41">
        <f>I86+I92</f>
        <v>47676.713954955558</v>
      </c>
    </row>
    <row r="95" spans="1:9" ht="15.75">
      <c r="A95" s="142" t="s">
        <v>232</v>
      </c>
      <c r="B95" s="142"/>
      <c r="C95" s="142"/>
      <c r="D95" s="142"/>
      <c r="E95" s="142"/>
      <c r="F95" s="142"/>
      <c r="G95" s="142"/>
      <c r="H95" s="142"/>
      <c r="I95" s="142"/>
    </row>
    <row r="96" spans="1:9" ht="15.75">
      <c r="A96" s="60"/>
      <c r="B96" s="143" t="s">
        <v>233</v>
      </c>
      <c r="C96" s="143"/>
      <c r="D96" s="143"/>
      <c r="E96" s="143"/>
      <c r="F96" s="143"/>
      <c r="G96" s="143"/>
      <c r="H96" s="65"/>
      <c r="I96" s="3"/>
    </row>
    <row r="97" spans="1:9">
      <c r="A97" s="56"/>
      <c r="B97" s="144" t="s">
        <v>6</v>
      </c>
      <c r="C97" s="144"/>
      <c r="D97" s="144"/>
      <c r="E97" s="144"/>
      <c r="F97" s="144"/>
      <c r="G97" s="144"/>
      <c r="H97" s="24"/>
      <c r="I97" s="5"/>
    </row>
    <row r="98" spans="1:9">
      <c r="A98" s="10"/>
      <c r="B98" s="10"/>
      <c r="C98" s="10"/>
      <c r="D98" s="10"/>
      <c r="E98" s="10"/>
      <c r="F98" s="10"/>
      <c r="G98" s="10"/>
      <c r="H98" s="10"/>
      <c r="I98" s="10"/>
    </row>
    <row r="99" spans="1:9" ht="15.75">
      <c r="A99" s="145" t="s">
        <v>7</v>
      </c>
      <c r="B99" s="145"/>
      <c r="C99" s="145"/>
      <c r="D99" s="145"/>
      <c r="E99" s="145"/>
      <c r="F99" s="145"/>
      <c r="G99" s="145"/>
      <c r="H99" s="145"/>
      <c r="I99" s="145"/>
    </row>
    <row r="100" spans="1:9" ht="15.75">
      <c r="A100" s="145" t="s">
        <v>8</v>
      </c>
      <c r="B100" s="145"/>
      <c r="C100" s="145"/>
      <c r="D100" s="145"/>
      <c r="E100" s="145"/>
      <c r="F100" s="145"/>
      <c r="G100" s="145"/>
      <c r="H100" s="145"/>
      <c r="I100" s="145"/>
    </row>
    <row r="101" spans="1:9" ht="15.75">
      <c r="A101" s="134" t="s">
        <v>63</v>
      </c>
      <c r="B101" s="134"/>
      <c r="C101" s="134"/>
      <c r="D101" s="134"/>
      <c r="E101" s="134"/>
      <c r="F101" s="134"/>
      <c r="G101" s="134"/>
      <c r="H101" s="134"/>
      <c r="I101" s="134"/>
    </row>
    <row r="102" spans="1:9" ht="15.75">
      <c r="A102" s="11"/>
    </row>
    <row r="103" spans="1:9" ht="15.75">
      <c r="A103" s="147" t="s">
        <v>9</v>
      </c>
      <c r="B103" s="147"/>
      <c r="C103" s="147"/>
      <c r="D103" s="147"/>
      <c r="E103" s="147"/>
      <c r="F103" s="147"/>
      <c r="G103" s="147"/>
      <c r="H103" s="147"/>
      <c r="I103" s="147"/>
    </row>
    <row r="104" spans="1:9" ht="15.75">
      <c r="A104" s="4"/>
    </row>
    <row r="105" spans="1:9" ht="15.75">
      <c r="B105" s="59" t="s">
        <v>10</v>
      </c>
      <c r="C105" s="148" t="s">
        <v>93</v>
      </c>
      <c r="D105" s="148"/>
      <c r="E105" s="148"/>
      <c r="F105" s="63"/>
      <c r="I105" s="55"/>
    </row>
    <row r="106" spans="1:9">
      <c r="A106" s="56"/>
      <c r="C106" s="144" t="s">
        <v>11</v>
      </c>
      <c r="D106" s="144"/>
      <c r="E106" s="144"/>
      <c r="F106" s="24"/>
      <c r="I106" s="54" t="s">
        <v>12</v>
      </c>
    </row>
    <row r="107" spans="1:9" ht="15.75">
      <c r="A107" s="25"/>
      <c r="C107" s="12"/>
      <c r="D107" s="12"/>
      <c r="G107" s="12"/>
      <c r="H107" s="12"/>
    </row>
    <row r="108" spans="1:9" ht="15.75">
      <c r="B108" s="59" t="s">
        <v>13</v>
      </c>
      <c r="C108" s="149"/>
      <c r="D108" s="149"/>
      <c r="E108" s="149"/>
      <c r="F108" s="64"/>
      <c r="I108" s="55"/>
    </row>
    <row r="109" spans="1:9">
      <c r="A109" s="56"/>
      <c r="C109" s="124" t="s">
        <v>11</v>
      </c>
      <c r="D109" s="124"/>
      <c r="E109" s="124"/>
      <c r="F109" s="56"/>
      <c r="I109" s="54" t="s">
        <v>12</v>
      </c>
    </row>
    <row r="110" spans="1:9" ht="15.75">
      <c r="A110" s="4" t="s">
        <v>14</v>
      </c>
    </row>
    <row r="111" spans="1:9">
      <c r="A111" s="150" t="s">
        <v>15</v>
      </c>
      <c r="B111" s="150"/>
      <c r="C111" s="150"/>
      <c r="D111" s="150"/>
      <c r="E111" s="150"/>
      <c r="F111" s="150"/>
      <c r="G111" s="150"/>
      <c r="H111" s="150"/>
      <c r="I111" s="150"/>
    </row>
    <row r="112" spans="1:9" ht="45" customHeight="1">
      <c r="A112" s="146" t="s">
        <v>16</v>
      </c>
      <c r="B112" s="146"/>
      <c r="C112" s="146"/>
      <c r="D112" s="146"/>
      <c r="E112" s="146"/>
      <c r="F112" s="146"/>
      <c r="G112" s="146"/>
      <c r="H112" s="146"/>
      <c r="I112" s="146"/>
    </row>
    <row r="113" spans="1:9" ht="30" customHeight="1">
      <c r="A113" s="146" t="s">
        <v>17</v>
      </c>
      <c r="B113" s="146"/>
      <c r="C113" s="146"/>
      <c r="D113" s="146"/>
      <c r="E113" s="146"/>
      <c r="F113" s="146"/>
      <c r="G113" s="146"/>
      <c r="H113" s="146"/>
      <c r="I113" s="146"/>
    </row>
    <row r="114" spans="1:9" ht="30" customHeight="1">
      <c r="A114" s="146" t="s">
        <v>21</v>
      </c>
      <c r="B114" s="146"/>
      <c r="C114" s="146"/>
      <c r="D114" s="146"/>
      <c r="E114" s="146"/>
      <c r="F114" s="146"/>
      <c r="G114" s="146"/>
      <c r="H114" s="146"/>
      <c r="I114" s="146"/>
    </row>
    <row r="115" spans="1:9" ht="15.75">
      <c r="A115" s="146" t="s">
        <v>20</v>
      </c>
      <c r="B115" s="146"/>
      <c r="C115" s="146"/>
      <c r="D115" s="146"/>
      <c r="E115" s="146"/>
      <c r="F115" s="146"/>
      <c r="G115" s="146"/>
      <c r="H115" s="146"/>
      <c r="I115" s="146"/>
    </row>
  </sheetData>
  <autoFilter ref="I12:I62"/>
  <mergeCells count="29">
    <mergeCell ref="A112:I112"/>
    <mergeCell ref="A113:I113"/>
    <mergeCell ref="A114:I114"/>
    <mergeCell ref="A115:I115"/>
    <mergeCell ref="A103:I103"/>
    <mergeCell ref="C105:E105"/>
    <mergeCell ref="C106:E106"/>
    <mergeCell ref="C108:E108"/>
    <mergeCell ref="C109:E109"/>
    <mergeCell ref="A111:I111"/>
    <mergeCell ref="A101:I101"/>
    <mergeCell ref="A15:I15"/>
    <mergeCell ref="A29:I29"/>
    <mergeCell ref="A47:I47"/>
    <mergeCell ref="A58:I58"/>
    <mergeCell ref="A87:I87"/>
    <mergeCell ref="A95:I95"/>
    <mergeCell ref="B96:G96"/>
    <mergeCell ref="B97:G97"/>
    <mergeCell ref="A99:I99"/>
    <mergeCell ref="A100:I100"/>
    <mergeCell ref="R67:U67"/>
    <mergeCell ref="A83:I83"/>
    <mergeCell ref="A3:I3"/>
    <mergeCell ref="A4:I4"/>
    <mergeCell ref="A5:I5"/>
    <mergeCell ref="A8:I8"/>
    <mergeCell ref="A10:I10"/>
    <mergeCell ref="A14:I14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>
  <dimension ref="A1:V124"/>
  <sheetViews>
    <sheetView topLeftCell="A65" workbookViewId="0">
      <selection activeCell="B105" sqref="B105:G105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85546875" hidden="1" customWidth="1"/>
    <col min="6" max="6" width="10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7" t="s">
        <v>229</v>
      </c>
      <c r="I1" s="26"/>
      <c r="J1" s="1"/>
      <c r="K1" s="1"/>
      <c r="L1" s="1"/>
      <c r="M1" s="1"/>
    </row>
    <row r="2" spans="1:13" ht="15.75" customHeight="1">
      <c r="A2" s="28" t="s">
        <v>64</v>
      </c>
      <c r="J2" s="2"/>
      <c r="K2" s="2"/>
      <c r="L2" s="2"/>
      <c r="M2" s="2"/>
    </row>
    <row r="3" spans="1:13" ht="15.75" customHeight="1">
      <c r="A3" s="128" t="s">
        <v>189</v>
      </c>
      <c r="B3" s="128"/>
      <c r="C3" s="128"/>
      <c r="D3" s="128"/>
      <c r="E3" s="128"/>
      <c r="F3" s="128"/>
      <c r="G3" s="128"/>
      <c r="H3" s="128"/>
      <c r="I3" s="128"/>
      <c r="J3" s="3"/>
      <c r="K3" s="3"/>
      <c r="L3" s="3"/>
    </row>
    <row r="4" spans="1:13" ht="31.5" customHeight="1">
      <c r="A4" s="129" t="s">
        <v>143</v>
      </c>
      <c r="B4" s="129"/>
      <c r="C4" s="129"/>
      <c r="D4" s="129"/>
      <c r="E4" s="129"/>
      <c r="F4" s="129"/>
      <c r="G4" s="129"/>
      <c r="H4" s="129"/>
      <c r="I4" s="129"/>
    </row>
    <row r="5" spans="1:13" ht="15.75" customHeight="1">
      <c r="A5" s="128" t="s">
        <v>235</v>
      </c>
      <c r="B5" s="130"/>
      <c r="C5" s="130"/>
      <c r="D5" s="130"/>
      <c r="E5" s="130"/>
      <c r="F5" s="130"/>
      <c r="G5" s="130"/>
      <c r="H5" s="130"/>
      <c r="I5" s="130"/>
      <c r="J5" s="2"/>
      <c r="K5" s="2"/>
      <c r="L5" s="2"/>
      <c r="M5" s="2"/>
    </row>
    <row r="6" spans="1:13" ht="15.75" customHeight="1">
      <c r="A6" s="2"/>
      <c r="B6" s="58"/>
      <c r="C6" s="58"/>
      <c r="D6" s="58"/>
      <c r="E6" s="58"/>
      <c r="F6" s="58"/>
      <c r="G6" s="58"/>
      <c r="H6" s="58"/>
      <c r="I6" s="30">
        <v>43343</v>
      </c>
      <c r="J6" s="2"/>
      <c r="K6" s="2"/>
      <c r="L6" s="2"/>
      <c r="M6" s="2"/>
    </row>
    <row r="7" spans="1:13" ht="15.75" customHeight="1">
      <c r="B7" s="59"/>
      <c r="C7" s="59"/>
      <c r="D7" s="59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131" t="s">
        <v>234</v>
      </c>
      <c r="B8" s="131"/>
      <c r="C8" s="131"/>
      <c r="D8" s="131"/>
      <c r="E8" s="131"/>
      <c r="F8" s="131"/>
      <c r="G8" s="131"/>
      <c r="H8" s="131"/>
      <c r="I8" s="131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32" t="s">
        <v>193</v>
      </c>
      <c r="B10" s="132"/>
      <c r="C10" s="132"/>
      <c r="D10" s="132"/>
      <c r="E10" s="132"/>
      <c r="F10" s="132"/>
      <c r="G10" s="132"/>
      <c r="H10" s="132"/>
      <c r="I10" s="132"/>
      <c r="J10" s="2"/>
      <c r="K10" s="2"/>
      <c r="L10" s="2"/>
      <c r="M10" s="2"/>
    </row>
    <row r="11" spans="1:13" ht="15.75">
      <c r="A11" s="4"/>
    </row>
    <row r="12" spans="1:13" ht="5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133" t="s">
        <v>61</v>
      </c>
      <c r="B14" s="133"/>
      <c r="C14" s="133"/>
      <c r="D14" s="133"/>
      <c r="E14" s="133"/>
      <c r="F14" s="133"/>
      <c r="G14" s="133"/>
      <c r="H14" s="133"/>
      <c r="I14" s="133"/>
      <c r="J14" s="8"/>
      <c r="K14" s="8"/>
      <c r="L14" s="8"/>
      <c r="M14" s="8"/>
    </row>
    <row r="15" spans="1:13" ht="15.75" customHeight="1">
      <c r="A15" s="135" t="s">
        <v>4</v>
      </c>
      <c r="B15" s="135"/>
      <c r="C15" s="135"/>
      <c r="D15" s="135"/>
      <c r="E15" s="135"/>
      <c r="F15" s="135"/>
      <c r="G15" s="135"/>
      <c r="H15" s="135"/>
      <c r="I15" s="135"/>
      <c r="J15" s="8"/>
      <c r="K15" s="8"/>
      <c r="L15" s="8"/>
      <c r="M15" s="8"/>
    </row>
    <row r="16" spans="1:13" ht="15" customHeight="1">
      <c r="A16" s="29">
        <v>1</v>
      </c>
      <c r="B16" s="67" t="s">
        <v>90</v>
      </c>
      <c r="C16" s="68" t="s">
        <v>111</v>
      </c>
      <c r="D16" s="67" t="s">
        <v>112</v>
      </c>
      <c r="E16" s="69">
        <v>59.96</v>
      </c>
      <c r="F16" s="70">
        <f>SUM(E16*156/100)</f>
        <v>93.537599999999998</v>
      </c>
      <c r="G16" s="70">
        <v>175.38</v>
      </c>
      <c r="H16" s="71">
        <f t="shared" ref="H16:H26" si="0">SUM(F16*G16/1000)</f>
        <v>16.404624288000001</v>
      </c>
      <c r="I16" s="13">
        <f>F16/12*G16</f>
        <v>1367.0520239999998</v>
      </c>
      <c r="J16" s="8"/>
      <c r="K16" s="8"/>
      <c r="L16" s="8"/>
      <c r="M16" s="8"/>
    </row>
    <row r="17" spans="1:13" ht="15" customHeight="1">
      <c r="A17" s="29">
        <v>2</v>
      </c>
      <c r="B17" s="67" t="s">
        <v>97</v>
      </c>
      <c r="C17" s="68" t="s">
        <v>111</v>
      </c>
      <c r="D17" s="67" t="s">
        <v>113</v>
      </c>
      <c r="E17" s="69">
        <v>239.84</v>
      </c>
      <c r="F17" s="70">
        <f>SUM(E17*104/100)</f>
        <v>249.43360000000001</v>
      </c>
      <c r="G17" s="70">
        <v>175.38</v>
      </c>
      <c r="H17" s="71">
        <f t="shared" si="0"/>
        <v>43.745664768000005</v>
      </c>
      <c r="I17" s="13">
        <f>F17/12*G17</f>
        <v>3645.4720640000005</v>
      </c>
      <c r="J17" s="22"/>
      <c r="K17" s="8"/>
      <c r="L17" s="8"/>
      <c r="M17" s="8"/>
    </row>
    <row r="18" spans="1:13" ht="15" customHeight="1">
      <c r="A18" s="29">
        <v>3</v>
      </c>
      <c r="B18" s="67" t="s">
        <v>98</v>
      </c>
      <c r="C18" s="68" t="s">
        <v>111</v>
      </c>
      <c r="D18" s="67" t="s">
        <v>114</v>
      </c>
      <c r="E18" s="69">
        <f>SUM(E16+E17)</f>
        <v>299.8</v>
      </c>
      <c r="F18" s="70">
        <f>SUM(E18*24/100)</f>
        <v>71.952000000000012</v>
      </c>
      <c r="G18" s="70">
        <v>504.5</v>
      </c>
      <c r="H18" s="71">
        <f t="shared" si="0"/>
        <v>36.29978400000001</v>
      </c>
      <c r="I18" s="13">
        <f>F18/12*G18</f>
        <v>3024.9820000000009</v>
      </c>
      <c r="J18" s="22"/>
      <c r="K18" s="8"/>
      <c r="L18" s="8"/>
      <c r="M18" s="8"/>
    </row>
    <row r="19" spans="1:13" ht="15" hidden="1" customHeight="1">
      <c r="A19" s="29"/>
      <c r="B19" s="67" t="s">
        <v>115</v>
      </c>
      <c r="C19" s="68" t="s">
        <v>116</v>
      </c>
      <c r="D19" s="67" t="s">
        <v>117</v>
      </c>
      <c r="E19" s="69">
        <v>40.799999999999997</v>
      </c>
      <c r="F19" s="70">
        <f>SUM(E19/10)</f>
        <v>4.08</v>
      </c>
      <c r="G19" s="70">
        <v>170.16</v>
      </c>
      <c r="H19" s="71">
        <f t="shared" si="0"/>
        <v>0.6942528</v>
      </c>
      <c r="I19" s="13">
        <v>0</v>
      </c>
      <c r="J19" s="22"/>
      <c r="K19" s="8"/>
      <c r="L19" s="8"/>
      <c r="M19" s="8"/>
    </row>
    <row r="20" spans="1:13" ht="15" hidden="1" customHeight="1">
      <c r="A20" s="29"/>
      <c r="B20" s="67" t="s">
        <v>102</v>
      </c>
      <c r="C20" s="68" t="s">
        <v>111</v>
      </c>
      <c r="D20" s="67" t="s">
        <v>55</v>
      </c>
      <c r="E20" s="69">
        <v>43.2</v>
      </c>
      <c r="F20" s="70">
        <f>SUM(E20/100)</f>
        <v>0.43200000000000005</v>
      </c>
      <c r="G20" s="70">
        <v>217.88</v>
      </c>
      <c r="H20" s="71">
        <f t="shared" si="0"/>
        <v>9.4124159999999998E-2</v>
      </c>
      <c r="I20" s="13">
        <v>0</v>
      </c>
      <c r="J20" s="22"/>
      <c r="K20" s="8"/>
      <c r="L20" s="8"/>
      <c r="M20" s="8"/>
    </row>
    <row r="21" spans="1:13" ht="15" hidden="1" customHeight="1">
      <c r="A21" s="29"/>
      <c r="B21" s="67" t="s">
        <v>103</v>
      </c>
      <c r="C21" s="68" t="s">
        <v>111</v>
      </c>
      <c r="D21" s="67" t="s">
        <v>55</v>
      </c>
      <c r="E21" s="69">
        <v>10.08</v>
      </c>
      <c r="F21" s="70">
        <f>E21/100</f>
        <v>0.1008</v>
      </c>
      <c r="G21" s="70">
        <v>216.12</v>
      </c>
      <c r="H21" s="71">
        <f>SUM(F21*G21)/1000</f>
        <v>2.1784896000000002E-2</v>
      </c>
      <c r="I21" s="13">
        <v>0</v>
      </c>
      <c r="J21" s="22"/>
      <c r="K21" s="8"/>
      <c r="L21" s="8"/>
      <c r="M21" s="8"/>
    </row>
    <row r="22" spans="1:13" ht="15" hidden="1" customHeight="1">
      <c r="A22" s="29"/>
      <c r="B22" s="67" t="s">
        <v>118</v>
      </c>
      <c r="C22" s="68" t="s">
        <v>54</v>
      </c>
      <c r="D22" s="67" t="s">
        <v>117</v>
      </c>
      <c r="E22" s="69">
        <v>403.84</v>
      </c>
      <c r="F22" s="70">
        <f>SUM(E22/100)</f>
        <v>4.0383999999999993</v>
      </c>
      <c r="G22" s="70">
        <v>269.26</v>
      </c>
      <c r="H22" s="71">
        <f t="shared" si="0"/>
        <v>1.0873795839999998</v>
      </c>
      <c r="I22" s="13">
        <v>0</v>
      </c>
      <c r="J22" s="22"/>
      <c r="K22" s="8"/>
      <c r="L22" s="8"/>
      <c r="M22" s="8"/>
    </row>
    <row r="23" spans="1:13" ht="15" hidden="1" customHeight="1">
      <c r="A23" s="29"/>
      <c r="B23" s="67" t="s">
        <v>119</v>
      </c>
      <c r="C23" s="68" t="s">
        <v>54</v>
      </c>
      <c r="D23" s="67" t="s">
        <v>117</v>
      </c>
      <c r="E23" s="72">
        <v>70.56</v>
      </c>
      <c r="F23" s="70">
        <f>SUM(E23/100)</f>
        <v>0.7056</v>
      </c>
      <c r="G23" s="70">
        <v>44.29</v>
      </c>
      <c r="H23" s="71">
        <f t="shared" si="0"/>
        <v>3.1251024000000002E-2</v>
      </c>
      <c r="I23" s="13">
        <v>0</v>
      </c>
      <c r="J23" s="22"/>
      <c r="K23" s="8"/>
      <c r="L23" s="8"/>
      <c r="M23" s="8"/>
    </row>
    <row r="24" spans="1:13" ht="15" hidden="1" customHeight="1">
      <c r="A24" s="29"/>
      <c r="B24" s="67" t="s">
        <v>105</v>
      </c>
      <c r="C24" s="68" t="s">
        <v>54</v>
      </c>
      <c r="D24" s="67" t="s">
        <v>117</v>
      </c>
      <c r="E24" s="18">
        <v>14.4</v>
      </c>
      <c r="F24" s="73">
        <v>0.14000000000000001</v>
      </c>
      <c r="G24" s="70">
        <v>398.72</v>
      </c>
      <c r="H24" s="71">
        <f>F24*G24/1000</f>
        <v>5.5820800000000011E-2</v>
      </c>
      <c r="I24" s="13">
        <v>0</v>
      </c>
      <c r="J24" s="22"/>
      <c r="K24" s="8"/>
      <c r="L24" s="8"/>
      <c r="M24" s="8"/>
    </row>
    <row r="25" spans="1:13" ht="15" hidden="1" customHeight="1">
      <c r="A25" s="29"/>
      <c r="B25" s="67" t="s">
        <v>120</v>
      </c>
      <c r="C25" s="68" t="s">
        <v>54</v>
      </c>
      <c r="D25" s="67" t="s">
        <v>117</v>
      </c>
      <c r="E25" s="72">
        <v>31.5</v>
      </c>
      <c r="F25" s="70">
        <v>0.32</v>
      </c>
      <c r="G25" s="70">
        <v>216.12</v>
      </c>
      <c r="H25" s="71">
        <f>F25*G25/1000</f>
        <v>6.9158399999999995E-2</v>
      </c>
      <c r="I25" s="13">
        <v>0</v>
      </c>
      <c r="J25" s="22"/>
      <c r="K25" s="8"/>
      <c r="L25" s="8"/>
      <c r="M25" s="8"/>
    </row>
    <row r="26" spans="1:13" ht="15" hidden="1" customHeight="1">
      <c r="A26" s="29"/>
      <c r="B26" s="67" t="s">
        <v>106</v>
      </c>
      <c r="C26" s="68" t="s">
        <v>54</v>
      </c>
      <c r="D26" s="67" t="s">
        <v>117</v>
      </c>
      <c r="E26" s="69">
        <v>28.22</v>
      </c>
      <c r="F26" s="70">
        <f>SUM(E26/100)</f>
        <v>0.28220000000000001</v>
      </c>
      <c r="G26" s="70">
        <v>520.79999999999995</v>
      </c>
      <c r="H26" s="71">
        <f t="shared" si="0"/>
        <v>0.14696975999999998</v>
      </c>
      <c r="I26" s="13">
        <v>0</v>
      </c>
      <c r="J26" s="22"/>
      <c r="K26" s="8"/>
      <c r="L26" s="8"/>
      <c r="M26" s="8"/>
    </row>
    <row r="27" spans="1:13" ht="15" customHeight="1">
      <c r="A27" s="29">
        <v>4</v>
      </c>
      <c r="B27" s="67" t="s">
        <v>66</v>
      </c>
      <c r="C27" s="68" t="s">
        <v>33</v>
      </c>
      <c r="D27" s="67"/>
      <c r="E27" s="69">
        <v>0.1</v>
      </c>
      <c r="F27" s="70">
        <f>SUM(E27*365)</f>
        <v>36.5</v>
      </c>
      <c r="G27" s="70">
        <v>147.03</v>
      </c>
      <c r="H27" s="71">
        <f>SUM(F27*G27/1000)</f>
        <v>5.3665950000000002</v>
      </c>
      <c r="I27" s="13">
        <f>F27/12*G27</f>
        <v>447.21625</v>
      </c>
      <c r="J27" s="23"/>
    </row>
    <row r="28" spans="1:13" ht="15" customHeight="1">
      <c r="A28" s="29">
        <v>5</v>
      </c>
      <c r="B28" s="77" t="s">
        <v>23</v>
      </c>
      <c r="C28" s="68" t="s">
        <v>24</v>
      </c>
      <c r="D28" s="67"/>
      <c r="E28" s="69">
        <v>3031.3</v>
      </c>
      <c r="F28" s="70">
        <f>SUM(E28*12)</f>
        <v>36375.600000000006</v>
      </c>
      <c r="G28" s="70">
        <v>5.47</v>
      </c>
      <c r="H28" s="71">
        <f>SUM(F28*G28/1000)</f>
        <v>198.97453200000004</v>
      </c>
      <c r="I28" s="13">
        <f>F28/12*G28</f>
        <v>16581.211000000003</v>
      </c>
      <c r="J28" s="23"/>
    </row>
    <row r="29" spans="1:13" ht="15.75" customHeight="1">
      <c r="A29" s="135" t="s">
        <v>88</v>
      </c>
      <c r="B29" s="135"/>
      <c r="C29" s="135"/>
      <c r="D29" s="135"/>
      <c r="E29" s="135"/>
      <c r="F29" s="135"/>
      <c r="G29" s="135"/>
      <c r="H29" s="135"/>
      <c r="I29" s="135"/>
      <c r="J29" s="22"/>
      <c r="K29" s="8"/>
      <c r="L29" s="8"/>
      <c r="M29" s="8"/>
    </row>
    <row r="30" spans="1:13" ht="15" customHeight="1">
      <c r="A30" s="29"/>
      <c r="B30" s="90" t="s">
        <v>28</v>
      </c>
      <c r="C30" s="68"/>
      <c r="D30" s="67"/>
      <c r="E30" s="69"/>
      <c r="F30" s="70"/>
      <c r="G30" s="70"/>
      <c r="H30" s="71"/>
      <c r="I30" s="13"/>
      <c r="J30" s="22"/>
      <c r="K30" s="8"/>
      <c r="L30" s="8"/>
      <c r="M30" s="8"/>
    </row>
    <row r="31" spans="1:13" ht="15" customHeight="1">
      <c r="A31" s="29">
        <v>6</v>
      </c>
      <c r="B31" s="67" t="s">
        <v>121</v>
      </c>
      <c r="C31" s="68" t="s">
        <v>122</v>
      </c>
      <c r="D31" s="67" t="s">
        <v>123</v>
      </c>
      <c r="E31" s="70">
        <v>709.53</v>
      </c>
      <c r="F31" s="70">
        <f>SUM(E31*52/1000)</f>
        <v>36.895559999999996</v>
      </c>
      <c r="G31" s="70">
        <v>155.88999999999999</v>
      </c>
      <c r="H31" s="71">
        <f t="shared" ref="H31:H37" si="1">SUM(F31*G31/1000)</f>
        <v>5.7516488483999995</v>
      </c>
      <c r="I31" s="13">
        <f>F31/6*G31</f>
        <v>958.60814139999979</v>
      </c>
      <c r="J31" s="22"/>
      <c r="K31" s="8"/>
      <c r="L31" s="8"/>
      <c r="M31" s="8"/>
    </row>
    <row r="32" spans="1:13" ht="31.5" customHeight="1">
      <c r="A32" s="29">
        <v>7</v>
      </c>
      <c r="B32" s="67" t="s">
        <v>179</v>
      </c>
      <c r="C32" s="68" t="s">
        <v>122</v>
      </c>
      <c r="D32" s="67" t="s">
        <v>124</v>
      </c>
      <c r="E32" s="70">
        <v>68</v>
      </c>
      <c r="F32" s="70">
        <f>SUM(E32*78/1000)</f>
        <v>5.3040000000000003</v>
      </c>
      <c r="G32" s="70">
        <v>258.63</v>
      </c>
      <c r="H32" s="71">
        <f t="shared" si="1"/>
        <v>1.3717735199999999</v>
      </c>
      <c r="I32" s="13">
        <f t="shared" ref="I32:I35" si="2">F32/6*G32</f>
        <v>228.62891999999999</v>
      </c>
      <c r="J32" s="22"/>
      <c r="K32" s="8"/>
      <c r="L32" s="8"/>
      <c r="M32" s="8"/>
    </row>
    <row r="33" spans="1:14" ht="15" hidden="1" customHeight="1">
      <c r="A33" s="29">
        <v>16</v>
      </c>
      <c r="B33" s="67" t="s">
        <v>27</v>
      </c>
      <c r="C33" s="68" t="s">
        <v>122</v>
      </c>
      <c r="D33" s="67" t="s">
        <v>55</v>
      </c>
      <c r="E33" s="70">
        <v>709.53</v>
      </c>
      <c r="F33" s="70">
        <f>SUM(E33/1000)</f>
        <v>0.70952999999999999</v>
      </c>
      <c r="G33" s="70">
        <v>3020.33</v>
      </c>
      <c r="H33" s="71">
        <f t="shared" si="1"/>
        <v>2.1430147448999999</v>
      </c>
      <c r="I33" s="13">
        <f>F33*G33</f>
        <v>2143.0147449000001</v>
      </c>
      <c r="J33" s="22"/>
      <c r="K33" s="8"/>
      <c r="L33" s="8"/>
      <c r="M33" s="8"/>
    </row>
    <row r="34" spans="1:14" ht="15" customHeight="1">
      <c r="A34" s="29">
        <v>8</v>
      </c>
      <c r="B34" s="67" t="s">
        <v>157</v>
      </c>
      <c r="C34" s="68" t="s">
        <v>41</v>
      </c>
      <c r="D34" s="67" t="s">
        <v>65</v>
      </c>
      <c r="E34" s="70">
        <v>4</v>
      </c>
      <c r="F34" s="70">
        <v>6.2</v>
      </c>
      <c r="G34" s="70">
        <v>1302.02</v>
      </c>
      <c r="H34" s="71">
        <v>8.0730000000000004</v>
      </c>
      <c r="I34" s="13">
        <f t="shared" si="2"/>
        <v>1345.4206666666669</v>
      </c>
      <c r="J34" s="22"/>
      <c r="K34" s="8"/>
      <c r="L34" s="8"/>
      <c r="M34" s="8"/>
    </row>
    <row r="35" spans="1:14" ht="15" customHeight="1">
      <c r="A35" s="29">
        <v>9</v>
      </c>
      <c r="B35" s="67" t="s">
        <v>125</v>
      </c>
      <c r="C35" s="68" t="s">
        <v>30</v>
      </c>
      <c r="D35" s="67" t="s">
        <v>65</v>
      </c>
      <c r="E35" s="76">
        <v>0.33333333333333331</v>
      </c>
      <c r="F35" s="70">
        <f>155/3</f>
        <v>51.666666666666664</v>
      </c>
      <c r="G35" s="70">
        <v>56.69</v>
      </c>
      <c r="H35" s="71">
        <f>SUM(G35*155/3/1000)</f>
        <v>2.9289833333333331</v>
      </c>
      <c r="I35" s="13">
        <f t="shared" si="2"/>
        <v>488.16388888888883</v>
      </c>
      <c r="J35" s="22"/>
      <c r="K35" s="8"/>
    </row>
    <row r="36" spans="1:14" ht="15" hidden="1" customHeight="1">
      <c r="A36" s="29"/>
      <c r="B36" s="67" t="s">
        <v>67</v>
      </c>
      <c r="C36" s="68" t="s">
        <v>33</v>
      </c>
      <c r="D36" s="67" t="s">
        <v>69</v>
      </c>
      <c r="E36" s="69"/>
      <c r="F36" s="70">
        <v>3</v>
      </c>
      <c r="G36" s="70">
        <v>191.32</v>
      </c>
      <c r="H36" s="71">
        <f t="shared" si="1"/>
        <v>0.57396000000000003</v>
      </c>
      <c r="I36" s="13">
        <v>0</v>
      </c>
      <c r="J36" s="23"/>
    </row>
    <row r="37" spans="1:14" ht="15" hidden="1" customHeight="1">
      <c r="A37" s="29"/>
      <c r="B37" s="67" t="s">
        <v>68</v>
      </c>
      <c r="C37" s="68" t="s">
        <v>32</v>
      </c>
      <c r="D37" s="67" t="s">
        <v>69</v>
      </c>
      <c r="E37" s="69"/>
      <c r="F37" s="70">
        <v>2</v>
      </c>
      <c r="G37" s="70">
        <v>1136.32</v>
      </c>
      <c r="H37" s="71">
        <f t="shared" si="1"/>
        <v>2.27264</v>
      </c>
      <c r="I37" s="13">
        <v>0</v>
      </c>
      <c r="J37" s="23"/>
    </row>
    <row r="38" spans="1:14" ht="15" hidden="1" customHeight="1">
      <c r="A38" s="29"/>
      <c r="B38" s="90" t="s">
        <v>5</v>
      </c>
      <c r="C38" s="68"/>
      <c r="D38" s="67"/>
      <c r="E38" s="69"/>
      <c r="F38" s="70"/>
      <c r="G38" s="70"/>
      <c r="H38" s="71" t="s">
        <v>140</v>
      </c>
      <c r="I38" s="13"/>
      <c r="J38" s="23"/>
    </row>
    <row r="39" spans="1:14" ht="15" hidden="1" customHeight="1">
      <c r="A39" s="29">
        <v>6</v>
      </c>
      <c r="B39" s="67" t="s">
        <v>26</v>
      </c>
      <c r="C39" s="68" t="s">
        <v>32</v>
      </c>
      <c r="D39" s="67"/>
      <c r="E39" s="69"/>
      <c r="F39" s="70">
        <v>6</v>
      </c>
      <c r="G39" s="70">
        <v>1527.22</v>
      </c>
      <c r="H39" s="71">
        <f t="shared" ref="H39:H46" si="3">SUM(F39*G39/1000)</f>
        <v>9.1633200000000006</v>
      </c>
      <c r="I39" s="13">
        <f>F39/6*G39</f>
        <v>1527.22</v>
      </c>
      <c r="J39" s="23"/>
    </row>
    <row r="40" spans="1:14" ht="15" hidden="1" customHeight="1">
      <c r="A40" s="29">
        <v>7</v>
      </c>
      <c r="B40" s="67" t="s">
        <v>109</v>
      </c>
      <c r="C40" s="68" t="s">
        <v>29</v>
      </c>
      <c r="D40" s="67" t="s">
        <v>144</v>
      </c>
      <c r="E40" s="70">
        <v>429.8</v>
      </c>
      <c r="F40" s="70">
        <f>SUM(E40*12/1000)</f>
        <v>5.1576000000000004</v>
      </c>
      <c r="G40" s="70">
        <v>2102.71</v>
      </c>
      <c r="H40" s="71">
        <f t="shared" si="3"/>
        <v>10.844937096000001</v>
      </c>
      <c r="I40" s="13">
        <f>F40/6*G40</f>
        <v>1807.4895160000001</v>
      </c>
      <c r="J40" s="23"/>
      <c r="L40" s="19"/>
      <c r="M40" s="20"/>
      <c r="N40" s="21"/>
    </row>
    <row r="41" spans="1:14" ht="15" hidden="1" customHeight="1">
      <c r="A41" s="29">
        <v>8</v>
      </c>
      <c r="B41" s="67" t="s">
        <v>145</v>
      </c>
      <c r="C41" s="68" t="s">
        <v>29</v>
      </c>
      <c r="D41" s="67" t="s">
        <v>126</v>
      </c>
      <c r="E41" s="70">
        <v>68</v>
      </c>
      <c r="F41" s="70">
        <f>SUM(E41*30/1000)</f>
        <v>2.04</v>
      </c>
      <c r="G41" s="70">
        <v>2102.71</v>
      </c>
      <c r="H41" s="71">
        <f>SUM(F41*G41/1000)</f>
        <v>4.2895284</v>
      </c>
      <c r="I41" s="13">
        <f>F41/6*G41</f>
        <v>714.92140000000006</v>
      </c>
      <c r="J41" s="23"/>
      <c r="L41" s="19"/>
      <c r="M41" s="20"/>
      <c r="N41" s="21"/>
    </row>
    <row r="42" spans="1:14" ht="15" hidden="1" customHeight="1">
      <c r="A42" s="29"/>
      <c r="B42" s="67" t="s">
        <v>99</v>
      </c>
      <c r="C42" s="68" t="s">
        <v>127</v>
      </c>
      <c r="D42" s="67" t="s">
        <v>159</v>
      </c>
      <c r="E42" s="69"/>
      <c r="F42" s="70">
        <v>50</v>
      </c>
      <c r="G42" s="70">
        <v>199.44</v>
      </c>
      <c r="H42" s="71">
        <f>SUM(F42*G42/1000)</f>
        <v>9.9719999999999995</v>
      </c>
      <c r="I42" s="13">
        <v>0</v>
      </c>
      <c r="J42" s="23"/>
      <c r="L42" s="19"/>
      <c r="M42" s="20"/>
      <c r="N42" s="21"/>
    </row>
    <row r="43" spans="1:14" ht="15" hidden="1" customHeight="1">
      <c r="A43" s="29">
        <v>9</v>
      </c>
      <c r="B43" s="67" t="s">
        <v>70</v>
      </c>
      <c r="C43" s="68" t="s">
        <v>29</v>
      </c>
      <c r="D43" s="67" t="s">
        <v>128</v>
      </c>
      <c r="E43" s="70">
        <v>68</v>
      </c>
      <c r="F43" s="70">
        <f>SUM(E43*155/1000)</f>
        <v>10.54</v>
      </c>
      <c r="G43" s="70">
        <v>350.75</v>
      </c>
      <c r="H43" s="71">
        <f t="shared" si="3"/>
        <v>3.6969049999999997</v>
      </c>
      <c r="I43" s="13">
        <f>F43/6*G43</f>
        <v>616.15083333333325</v>
      </c>
      <c r="J43" s="23"/>
      <c r="L43" s="19"/>
      <c r="M43" s="20"/>
      <c r="N43" s="21"/>
    </row>
    <row r="44" spans="1:14" ht="47.25" hidden="1" customHeight="1">
      <c r="A44" s="29">
        <v>10</v>
      </c>
      <c r="B44" s="67" t="s">
        <v>86</v>
      </c>
      <c r="C44" s="68" t="s">
        <v>122</v>
      </c>
      <c r="D44" s="67" t="s">
        <v>146</v>
      </c>
      <c r="E44" s="70">
        <v>68</v>
      </c>
      <c r="F44" s="70">
        <f>SUM(E44*24/1000)</f>
        <v>1.6319999999999999</v>
      </c>
      <c r="G44" s="70">
        <v>5803.28</v>
      </c>
      <c r="H44" s="71">
        <f t="shared" si="3"/>
        <v>9.4709529599999982</v>
      </c>
      <c r="I44" s="13">
        <f>F44/6*G44</f>
        <v>1578.4921599999998</v>
      </c>
      <c r="J44" s="23"/>
      <c r="L44" s="19"/>
      <c r="M44" s="20"/>
      <c r="N44" s="21"/>
    </row>
    <row r="45" spans="1:14" ht="15" hidden="1" customHeight="1">
      <c r="A45" s="29">
        <v>11</v>
      </c>
      <c r="B45" s="67" t="s">
        <v>129</v>
      </c>
      <c r="C45" s="68" t="s">
        <v>122</v>
      </c>
      <c r="D45" s="67" t="s">
        <v>71</v>
      </c>
      <c r="E45" s="70">
        <v>68</v>
      </c>
      <c r="F45" s="70">
        <f>SUM(E45*45/1000)</f>
        <v>3.06</v>
      </c>
      <c r="G45" s="70">
        <v>428.7</v>
      </c>
      <c r="H45" s="71">
        <f t="shared" si="3"/>
        <v>1.3118219999999998</v>
      </c>
      <c r="I45" s="13">
        <f>F45/6*G45</f>
        <v>218.637</v>
      </c>
      <c r="J45" s="23"/>
      <c r="L45" s="19"/>
      <c r="M45" s="20"/>
      <c r="N45" s="21"/>
    </row>
    <row r="46" spans="1:14" ht="15" hidden="1" customHeight="1">
      <c r="A46" s="29">
        <v>12</v>
      </c>
      <c r="B46" s="67" t="s">
        <v>72</v>
      </c>
      <c r="C46" s="68" t="s">
        <v>33</v>
      </c>
      <c r="D46" s="67"/>
      <c r="E46" s="69"/>
      <c r="F46" s="70">
        <v>0.9</v>
      </c>
      <c r="G46" s="70">
        <v>798</v>
      </c>
      <c r="H46" s="71">
        <f t="shared" si="3"/>
        <v>0.71820000000000006</v>
      </c>
      <c r="I46" s="13">
        <f>F46/6*G46</f>
        <v>119.69999999999999</v>
      </c>
      <c r="J46" s="23"/>
      <c r="L46" s="19"/>
      <c r="M46" s="20"/>
      <c r="N46" s="21"/>
    </row>
    <row r="47" spans="1:14" ht="15.75" hidden="1" customHeight="1">
      <c r="A47" s="136" t="s">
        <v>153</v>
      </c>
      <c r="B47" s="137"/>
      <c r="C47" s="137"/>
      <c r="D47" s="137"/>
      <c r="E47" s="137"/>
      <c r="F47" s="137"/>
      <c r="G47" s="137"/>
      <c r="H47" s="137"/>
      <c r="I47" s="138"/>
      <c r="J47" s="23"/>
      <c r="L47" s="19"/>
      <c r="M47" s="20"/>
      <c r="N47" s="21"/>
    </row>
    <row r="48" spans="1:14" ht="15" hidden="1" customHeight="1">
      <c r="A48" s="29"/>
      <c r="B48" s="67" t="s">
        <v>147</v>
      </c>
      <c r="C48" s="68" t="s">
        <v>122</v>
      </c>
      <c r="D48" s="67" t="s">
        <v>43</v>
      </c>
      <c r="E48" s="69">
        <v>1061.3</v>
      </c>
      <c r="F48" s="70">
        <f>SUM(E48*2/1000)</f>
        <v>2.1225999999999998</v>
      </c>
      <c r="G48" s="13">
        <v>809.74</v>
      </c>
      <c r="H48" s="71">
        <f t="shared" ref="H48:H57" si="4">SUM(F48*G48/1000)</f>
        <v>1.7187541239999997</v>
      </c>
      <c r="I48" s="13">
        <v>0</v>
      </c>
      <c r="J48" s="23"/>
      <c r="L48" s="19"/>
      <c r="M48" s="20"/>
      <c r="N48" s="21"/>
    </row>
    <row r="49" spans="1:22" ht="15" hidden="1" customHeight="1">
      <c r="A49" s="29"/>
      <c r="B49" s="67" t="s">
        <v>36</v>
      </c>
      <c r="C49" s="68" t="s">
        <v>122</v>
      </c>
      <c r="D49" s="67" t="s">
        <v>43</v>
      </c>
      <c r="E49" s="69">
        <v>52</v>
      </c>
      <c r="F49" s="70">
        <f>SUM(E49*2/1000)</f>
        <v>0.104</v>
      </c>
      <c r="G49" s="13">
        <v>579.48</v>
      </c>
      <c r="H49" s="71">
        <f t="shared" si="4"/>
        <v>6.0265920000000001E-2</v>
      </c>
      <c r="I49" s="13">
        <v>0</v>
      </c>
      <c r="J49" s="23"/>
      <c r="L49" s="19"/>
      <c r="M49" s="20"/>
      <c r="N49" s="21"/>
    </row>
    <row r="50" spans="1:22" ht="15" hidden="1" customHeight="1">
      <c r="A50" s="29"/>
      <c r="B50" s="67" t="s">
        <v>37</v>
      </c>
      <c r="C50" s="68" t="s">
        <v>122</v>
      </c>
      <c r="D50" s="67" t="s">
        <v>43</v>
      </c>
      <c r="E50" s="69">
        <v>1238.8</v>
      </c>
      <c r="F50" s="70">
        <f>SUM(E50*2/1000)</f>
        <v>2.4775999999999998</v>
      </c>
      <c r="G50" s="13">
        <v>579.48</v>
      </c>
      <c r="H50" s="71">
        <f t="shared" si="4"/>
        <v>1.4357196480000001</v>
      </c>
      <c r="I50" s="13">
        <v>0</v>
      </c>
      <c r="J50" s="23"/>
      <c r="L50" s="19"/>
      <c r="M50" s="20"/>
      <c r="N50" s="21"/>
    </row>
    <row r="51" spans="1:22" ht="15" hidden="1" customHeight="1">
      <c r="A51" s="29"/>
      <c r="B51" s="67" t="s">
        <v>38</v>
      </c>
      <c r="C51" s="68" t="s">
        <v>122</v>
      </c>
      <c r="D51" s="67" t="s">
        <v>43</v>
      </c>
      <c r="E51" s="69">
        <v>1794.01</v>
      </c>
      <c r="F51" s="70">
        <f>SUM(E51*2/1000)</f>
        <v>3.5880199999999998</v>
      </c>
      <c r="G51" s="13">
        <v>606.77</v>
      </c>
      <c r="H51" s="71">
        <f t="shared" si="4"/>
        <v>2.1771028954</v>
      </c>
      <c r="I51" s="13">
        <v>0</v>
      </c>
      <c r="J51" s="23"/>
      <c r="L51" s="19"/>
      <c r="M51" s="20"/>
      <c r="N51" s="21"/>
    </row>
    <row r="52" spans="1:22" ht="15" hidden="1" customHeight="1">
      <c r="A52" s="29"/>
      <c r="B52" s="67" t="s">
        <v>34</v>
      </c>
      <c r="C52" s="68" t="s">
        <v>35</v>
      </c>
      <c r="D52" s="67" t="s">
        <v>160</v>
      </c>
      <c r="E52" s="69">
        <v>85.78</v>
      </c>
      <c r="F52" s="70">
        <f>SUM(E52*2/100)</f>
        <v>1.7156</v>
      </c>
      <c r="G52" s="13">
        <v>72.81</v>
      </c>
      <c r="H52" s="71">
        <f t="shared" si="4"/>
        <v>0.124912836</v>
      </c>
      <c r="I52" s="13">
        <v>0</v>
      </c>
      <c r="J52" s="23"/>
      <c r="L52" s="19"/>
      <c r="M52" s="20"/>
      <c r="N52" s="21"/>
    </row>
    <row r="53" spans="1:22" ht="15" hidden="1" customHeight="1">
      <c r="A53" s="29">
        <v>13</v>
      </c>
      <c r="B53" s="67" t="s">
        <v>58</v>
      </c>
      <c r="C53" s="68" t="s">
        <v>122</v>
      </c>
      <c r="D53" s="67" t="s">
        <v>180</v>
      </c>
      <c r="E53" s="69">
        <v>884</v>
      </c>
      <c r="F53" s="70">
        <f>SUM(E53*5/1000)</f>
        <v>4.42</v>
      </c>
      <c r="G53" s="13">
        <v>1213.55</v>
      </c>
      <c r="H53" s="71">
        <f t="shared" si="4"/>
        <v>5.3638909999999997</v>
      </c>
      <c r="I53" s="13">
        <f>F53/5*G53</f>
        <v>1072.7782</v>
      </c>
      <c r="J53" s="23"/>
      <c r="L53" s="19"/>
      <c r="M53" s="20"/>
      <c r="N53" s="21"/>
    </row>
    <row r="54" spans="1:22" ht="31.5" hidden="1" customHeight="1">
      <c r="A54" s="29"/>
      <c r="B54" s="67" t="s">
        <v>130</v>
      </c>
      <c r="C54" s="68" t="s">
        <v>122</v>
      </c>
      <c r="D54" s="67" t="s">
        <v>43</v>
      </c>
      <c r="E54" s="69">
        <v>884</v>
      </c>
      <c r="F54" s="70">
        <f>SUM(E54*2/1000)</f>
        <v>1.768</v>
      </c>
      <c r="G54" s="13">
        <v>1213.55</v>
      </c>
      <c r="H54" s="71">
        <f t="shared" si="4"/>
        <v>2.1455563999999998</v>
      </c>
      <c r="I54" s="13">
        <v>0</v>
      </c>
      <c r="J54" s="23"/>
      <c r="L54" s="19"/>
      <c r="M54" s="20"/>
      <c r="N54" s="21"/>
    </row>
    <row r="55" spans="1:22" ht="31.5" hidden="1" customHeight="1">
      <c r="A55" s="29"/>
      <c r="B55" s="67" t="s">
        <v>131</v>
      </c>
      <c r="C55" s="68" t="s">
        <v>39</v>
      </c>
      <c r="D55" s="67" t="s">
        <v>43</v>
      </c>
      <c r="E55" s="69">
        <v>20</v>
      </c>
      <c r="F55" s="70">
        <f>SUM(E55*2/100)</f>
        <v>0.4</v>
      </c>
      <c r="G55" s="13">
        <v>2730.49</v>
      </c>
      <c r="H55" s="71">
        <f t="shared" si="4"/>
        <v>1.0921959999999999</v>
      </c>
      <c r="I55" s="13">
        <v>0</v>
      </c>
      <c r="J55" s="23"/>
      <c r="L55" s="19"/>
      <c r="M55" s="20"/>
      <c r="N55" s="21"/>
    </row>
    <row r="56" spans="1:22" ht="15" hidden="1" customHeight="1">
      <c r="A56" s="29"/>
      <c r="B56" s="67" t="s">
        <v>40</v>
      </c>
      <c r="C56" s="68" t="s">
        <v>41</v>
      </c>
      <c r="D56" s="67" t="s">
        <v>43</v>
      </c>
      <c r="E56" s="69">
        <v>1</v>
      </c>
      <c r="F56" s="70">
        <v>0.02</v>
      </c>
      <c r="G56" s="13">
        <v>5652.13</v>
      </c>
      <c r="H56" s="71">
        <f t="shared" si="4"/>
        <v>0.11304260000000001</v>
      </c>
      <c r="I56" s="13">
        <v>0</v>
      </c>
      <c r="J56" s="23"/>
      <c r="L56" s="19"/>
      <c r="M56" s="20"/>
      <c r="N56" s="21"/>
    </row>
    <row r="57" spans="1:22" ht="15" hidden="1" customHeight="1">
      <c r="A57" s="29">
        <v>10</v>
      </c>
      <c r="B57" s="67" t="s">
        <v>42</v>
      </c>
      <c r="C57" s="68" t="s">
        <v>30</v>
      </c>
      <c r="D57" s="67" t="s">
        <v>73</v>
      </c>
      <c r="E57" s="69">
        <v>136</v>
      </c>
      <c r="F57" s="70">
        <f>SUM(E57)*3</f>
        <v>408</v>
      </c>
      <c r="G57" s="13">
        <v>65.67</v>
      </c>
      <c r="H57" s="71">
        <f t="shared" si="4"/>
        <v>26.79336</v>
      </c>
      <c r="I57" s="13">
        <f>E57*G57</f>
        <v>8931.1200000000008</v>
      </c>
      <c r="J57" s="23"/>
      <c r="L57" s="19"/>
      <c r="M57" s="20"/>
      <c r="N57" s="21"/>
    </row>
    <row r="58" spans="1:22" ht="15.75" customHeight="1">
      <c r="A58" s="136" t="s">
        <v>183</v>
      </c>
      <c r="B58" s="137"/>
      <c r="C58" s="137"/>
      <c r="D58" s="137"/>
      <c r="E58" s="137"/>
      <c r="F58" s="137"/>
      <c r="G58" s="137"/>
      <c r="H58" s="137"/>
      <c r="I58" s="138"/>
      <c r="J58" s="23"/>
      <c r="L58" s="19"/>
      <c r="M58" s="20"/>
      <c r="N58" s="21"/>
    </row>
    <row r="59" spans="1:22" ht="15" hidden="1" customHeight="1">
      <c r="A59" s="29"/>
      <c r="B59" s="90" t="s">
        <v>44</v>
      </c>
      <c r="C59" s="68"/>
      <c r="D59" s="67"/>
      <c r="E59" s="69"/>
      <c r="F59" s="70"/>
      <c r="G59" s="70"/>
      <c r="H59" s="71"/>
      <c r="I59" s="13"/>
      <c r="J59" s="23"/>
      <c r="L59" s="19"/>
      <c r="M59" s="20"/>
      <c r="N59" s="21"/>
    </row>
    <row r="60" spans="1:22" ht="31.5" hidden="1" customHeight="1">
      <c r="A60" s="29">
        <v>15</v>
      </c>
      <c r="B60" s="67" t="s">
        <v>133</v>
      </c>
      <c r="C60" s="68" t="s">
        <v>104</v>
      </c>
      <c r="D60" s="67" t="s">
        <v>74</v>
      </c>
      <c r="E60" s="69">
        <v>106.13</v>
      </c>
      <c r="F60" s="70">
        <f>E60*6/100</f>
        <v>6.3677999999999999</v>
      </c>
      <c r="G60" s="78">
        <v>1547.28</v>
      </c>
      <c r="H60" s="71">
        <f>F60*G60/1000</f>
        <v>9.8527695839999989</v>
      </c>
      <c r="I60" s="13">
        <f>F60/6*G60</f>
        <v>1642.1282639999999</v>
      </c>
      <c r="J60" s="23"/>
      <c r="L60" s="19"/>
    </row>
    <row r="61" spans="1:22" ht="15" customHeight="1">
      <c r="A61" s="29"/>
      <c r="B61" s="91" t="s">
        <v>45</v>
      </c>
      <c r="C61" s="79"/>
      <c r="D61" s="80"/>
      <c r="E61" s="81"/>
      <c r="F61" s="82"/>
      <c r="G61" s="83"/>
      <c r="H61" s="92"/>
      <c r="I61" s="13"/>
    </row>
    <row r="62" spans="1:22" ht="15" hidden="1" customHeight="1">
      <c r="A62" s="29"/>
      <c r="B62" s="80" t="s">
        <v>46</v>
      </c>
      <c r="C62" s="79" t="s">
        <v>54</v>
      </c>
      <c r="D62" s="80" t="s">
        <v>55</v>
      </c>
      <c r="E62" s="81">
        <v>884</v>
      </c>
      <c r="F62" s="82">
        <f>E62/100</f>
        <v>8.84</v>
      </c>
      <c r="G62" s="70">
        <v>793.61</v>
      </c>
      <c r="H62" s="92">
        <f>G62*F62/1000</f>
        <v>7.0155123999999995</v>
      </c>
      <c r="I62" s="13">
        <v>0</v>
      </c>
    </row>
    <row r="63" spans="1:22" ht="15" customHeight="1">
      <c r="A63" s="29">
        <v>10</v>
      </c>
      <c r="B63" s="80" t="s">
        <v>100</v>
      </c>
      <c r="C63" s="79" t="s">
        <v>25</v>
      </c>
      <c r="D63" s="80"/>
      <c r="E63" s="81">
        <v>176.8</v>
      </c>
      <c r="F63" s="82">
        <v>1200</v>
      </c>
      <c r="G63" s="70">
        <v>1.2</v>
      </c>
      <c r="H63" s="92">
        <f>G63*F63</f>
        <v>1440</v>
      </c>
      <c r="I63" s="13">
        <f>F63/12*G63</f>
        <v>120</v>
      </c>
    </row>
    <row r="64" spans="1:22" ht="16.5" customHeight="1">
      <c r="A64" s="29"/>
      <c r="B64" s="91" t="s">
        <v>47</v>
      </c>
      <c r="C64" s="79"/>
      <c r="D64" s="80"/>
      <c r="E64" s="81"/>
      <c r="F64" s="82"/>
      <c r="G64" s="70"/>
      <c r="H64" s="92" t="s">
        <v>140</v>
      </c>
      <c r="I64" s="1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9"/>
    </row>
    <row r="65" spans="1:21" ht="14.25" customHeight="1">
      <c r="A65" s="29">
        <v>11</v>
      </c>
      <c r="B65" s="14" t="s">
        <v>48</v>
      </c>
      <c r="C65" s="16" t="s">
        <v>132</v>
      </c>
      <c r="D65" s="14" t="s">
        <v>69</v>
      </c>
      <c r="E65" s="18">
        <v>20</v>
      </c>
      <c r="F65" s="70">
        <v>20</v>
      </c>
      <c r="G65" s="94">
        <v>222.4</v>
      </c>
      <c r="H65" s="93">
        <f t="shared" ref="H65:H80" si="5">SUM(F65*G65/1000)</f>
        <v>4.4480000000000004</v>
      </c>
      <c r="I65" s="13">
        <f>G65*1</f>
        <v>222.4</v>
      </c>
      <c r="J65" s="25"/>
      <c r="K65" s="25"/>
      <c r="L65" s="3"/>
      <c r="M65" s="3"/>
      <c r="N65" s="3"/>
      <c r="O65" s="3"/>
      <c r="P65" s="3"/>
      <c r="Q65" s="3"/>
      <c r="R65" s="3"/>
      <c r="S65" s="3"/>
      <c r="T65" s="3"/>
      <c r="U65" s="3"/>
    </row>
    <row r="66" spans="1:21" ht="15" hidden="1" customHeight="1">
      <c r="A66" s="29">
        <v>17</v>
      </c>
      <c r="B66" s="14" t="s">
        <v>49</v>
      </c>
      <c r="C66" s="16" t="s">
        <v>132</v>
      </c>
      <c r="D66" s="14" t="s">
        <v>69</v>
      </c>
      <c r="E66" s="14" t="s">
        <v>69</v>
      </c>
      <c r="F66" s="14" t="s">
        <v>69</v>
      </c>
      <c r="G66" s="13">
        <v>76.25</v>
      </c>
      <c r="H66" s="84" t="e">
        <f t="shared" si="5"/>
        <v>#VALUE!</v>
      </c>
      <c r="I66" s="13">
        <f>G66</f>
        <v>76.25</v>
      </c>
      <c r="J66" s="3"/>
      <c r="K66" s="3"/>
      <c r="L66" s="3"/>
      <c r="M66" s="3"/>
      <c r="N66" s="3"/>
      <c r="O66" s="3"/>
      <c r="P66" s="3"/>
      <c r="Q66" s="3"/>
      <c r="S66" s="3"/>
      <c r="T66" s="3"/>
      <c r="U66" s="3"/>
    </row>
    <row r="67" spans="1:21" ht="15.75" hidden="1" customHeight="1">
      <c r="A67" s="29"/>
      <c r="B67" s="14" t="s">
        <v>50</v>
      </c>
      <c r="C67" s="16" t="s">
        <v>134</v>
      </c>
      <c r="D67" s="14" t="s">
        <v>55</v>
      </c>
      <c r="E67" s="69">
        <v>12647</v>
      </c>
      <c r="F67" s="13">
        <f>SUM(E67/100)</f>
        <v>126.47</v>
      </c>
      <c r="G67" s="13">
        <v>212.15</v>
      </c>
      <c r="H67" s="84">
        <f t="shared" si="5"/>
        <v>26.830610499999999</v>
      </c>
      <c r="I67" s="13">
        <f>F67*G67</f>
        <v>26830.610499999999</v>
      </c>
      <c r="J67" s="5"/>
      <c r="K67" s="5"/>
      <c r="L67" s="5"/>
      <c r="M67" s="5"/>
      <c r="N67" s="5"/>
      <c r="O67" s="5"/>
      <c r="P67" s="5"/>
      <c r="Q67" s="5"/>
      <c r="R67" s="124"/>
      <c r="S67" s="124"/>
      <c r="T67" s="124"/>
      <c r="U67" s="124"/>
    </row>
    <row r="68" spans="1:21" ht="20.25" hidden="1" customHeight="1">
      <c r="A68" s="29"/>
      <c r="B68" s="14" t="s">
        <v>51</v>
      </c>
      <c r="C68" s="16" t="s">
        <v>135</v>
      </c>
      <c r="D68" s="14"/>
      <c r="E68" s="69">
        <v>12647</v>
      </c>
      <c r="F68" s="13">
        <f>SUM(E68/1000)</f>
        <v>12.647</v>
      </c>
      <c r="G68" s="13">
        <v>165.21</v>
      </c>
      <c r="H68" s="84">
        <f t="shared" si="5"/>
        <v>2.08941087</v>
      </c>
      <c r="I68" s="13">
        <f t="shared" ref="I68:I72" si="6">F68*G68</f>
        <v>2089.4108700000002</v>
      </c>
    </row>
    <row r="69" spans="1:21" ht="24" hidden="1" customHeight="1">
      <c r="A69" s="29"/>
      <c r="B69" s="14" t="s">
        <v>52</v>
      </c>
      <c r="C69" s="16" t="s">
        <v>80</v>
      </c>
      <c r="D69" s="14" t="s">
        <v>55</v>
      </c>
      <c r="E69" s="69">
        <v>1900</v>
      </c>
      <c r="F69" s="13">
        <f>SUM(E69/100)</f>
        <v>19</v>
      </c>
      <c r="G69" s="13">
        <v>2074.63</v>
      </c>
      <c r="H69" s="84">
        <f t="shared" si="5"/>
        <v>39.417970000000004</v>
      </c>
      <c r="I69" s="13">
        <f t="shared" si="6"/>
        <v>39417.97</v>
      </c>
    </row>
    <row r="70" spans="1:21" ht="25.5" hidden="1" customHeight="1">
      <c r="A70" s="29"/>
      <c r="B70" s="85" t="s">
        <v>136</v>
      </c>
      <c r="C70" s="16" t="s">
        <v>33</v>
      </c>
      <c r="D70" s="14"/>
      <c r="E70" s="69">
        <v>11.3</v>
      </c>
      <c r="F70" s="13">
        <f>SUM(E70)</f>
        <v>11.3</v>
      </c>
      <c r="G70" s="13">
        <v>42.67</v>
      </c>
      <c r="H70" s="84">
        <f t="shared" si="5"/>
        <v>0.48217100000000007</v>
      </c>
      <c r="I70" s="13">
        <f t="shared" si="6"/>
        <v>482.17100000000005</v>
      </c>
    </row>
    <row r="71" spans="1:21" ht="21.75" hidden="1" customHeight="1">
      <c r="A71" s="29"/>
      <c r="B71" s="85" t="s">
        <v>137</v>
      </c>
      <c r="C71" s="16" t="s">
        <v>33</v>
      </c>
      <c r="D71" s="14"/>
      <c r="E71" s="69">
        <v>11.3</v>
      </c>
      <c r="F71" s="13">
        <f>SUM(E71)</f>
        <v>11.3</v>
      </c>
      <c r="G71" s="13">
        <v>39.81</v>
      </c>
      <c r="H71" s="84">
        <f t="shared" si="5"/>
        <v>0.44985300000000006</v>
      </c>
      <c r="I71" s="13">
        <f t="shared" si="6"/>
        <v>449.85300000000007</v>
      </c>
    </row>
    <row r="72" spans="1:21" ht="19.5" hidden="1" customHeight="1">
      <c r="A72" s="29"/>
      <c r="B72" s="14" t="s">
        <v>59</v>
      </c>
      <c r="C72" s="16" t="s">
        <v>60</v>
      </c>
      <c r="D72" s="14" t="s">
        <v>55</v>
      </c>
      <c r="E72" s="18">
        <v>6</v>
      </c>
      <c r="F72" s="70">
        <f>SUM(E72)</f>
        <v>6</v>
      </c>
      <c r="G72" s="13">
        <v>49.88</v>
      </c>
      <c r="H72" s="84">
        <f t="shared" si="5"/>
        <v>0.29928000000000005</v>
      </c>
      <c r="I72" s="13">
        <f t="shared" si="6"/>
        <v>299.28000000000003</v>
      </c>
    </row>
    <row r="73" spans="1:21" ht="15.75" customHeight="1">
      <c r="A73" s="29"/>
      <c r="B73" s="57" t="s">
        <v>75</v>
      </c>
      <c r="C73" s="16"/>
      <c r="D73" s="14"/>
      <c r="E73" s="18"/>
      <c r="F73" s="13"/>
      <c r="G73" s="13"/>
      <c r="H73" s="84" t="s">
        <v>140</v>
      </c>
      <c r="I73" s="13"/>
    </row>
    <row r="74" spans="1:21" ht="17.25" customHeight="1">
      <c r="A74" s="29">
        <v>12</v>
      </c>
      <c r="B74" s="14" t="s">
        <v>76</v>
      </c>
      <c r="C74" s="16" t="s">
        <v>31</v>
      </c>
      <c r="D74" s="14"/>
      <c r="E74" s="18">
        <v>5</v>
      </c>
      <c r="F74" s="61">
        <v>0.5</v>
      </c>
      <c r="G74" s="13">
        <v>501.62</v>
      </c>
      <c r="H74" s="84">
        <v>0.251</v>
      </c>
      <c r="I74" s="13">
        <f>G74*0.1</f>
        <v>50.162000000000006</v>
      </c>
    </row>
    <row r="75" spans="1:21" ht="17.25" hidden="1" customHeight="1">
      <c r="A75" s="29"/>
      <c r="B75" s="14" t="s">
        <v>148</v>
      </c>
      <c r="C75" s="16" t="s">
        <v>30</v>
      </c>
      <c r="D75" s="14"/>
      <c r="E75" s="18">
        <v>2</v>
      </c>
      <c r="F75" s="13">
        <v>2</v>
      </c>
      <c r="G75" s="13">
        <v>99.85</v>
      </c>
      <c r="H75" s="84">
        <v>0.1</v>
      </c>
      <c r="I75" s="13">
        <v>0</v>
      </c>
    </row>
    <row r="76" spans="1:21" ht="18.75" hidden="1" customHeight="1">
      <c r="A76" s="29"/>
      <c r="B76" s="14" t="s">
        <v>149</v>
      </c>
      <c r="C76" s="16" t="s">
        <v>30</v>
      </c>
      <c r="D76" s="14"/>
      <c r="E76" s="18">
        <v>1</v>
      </c>
      <c r="F76" s="61">
        <v>1</v>
      </c>
      <c r="G76" s="13">
        <v>120.26</v>
      </c>
      <c r="H76" s="84">
        <v>0.12</v>
      </c>
      <c r="I76" s="13">
        <v>0</v>
      </c>
    </row>
    <row r="77" spans="1:21" ht="18.75" hidden="1" customHeight="1">
      <c r="A77" s="29"/>
      <c r="B77" s="14" t="s">
        <v>91</v>
      </c>
      <c r="C77" s="16" t="s">
        <v>30</v>
      </c>
      <c r="D77" s="14"/>
      <c r="E77" s="18">
        <v>1</v>
      </c>
      <c r="F77" s="70">
        <f>SUM(E77)</f>
        <v>1</v>
      </c>
      <c r="G77" s="13">
        <v>358.51</v>
      </c>
      <c r="H77" s="84">
        <f t="shared" si="5"/>
        <v>0.35851</v>
      </c>
      <c r="I77" s="13">
        <v>0</v>
      </c>
    </row>
    <row r="78" spans="1:21" ht="18.75" hidden="1" customHeight="1">
      <c r="A78" s="29"/>
      <c r="B78" s="14" t="s">
        <v>77</v>
      </c>
      <c r="C78" s="16" t="s">
        <v>30</v>
      </c>
      <c r="D78" s="14"/>
      <c r="E78" s="18">
        <v>1</v>
      </c>
      <c r="F78" s="13">
        <v>1</v>
      </c>
      <c r="G78" s="13">
        <v>852.99</v>
      </c>
      <c r="H78" s="84">
        <f>F78*G78/1000</f>
        <v>0.85299000000000003</v>
      </c>
      <c r="I78" s="13">
        <v>0</v>
      </c>
    </row>
    <row r="79" spans="1:21" ht="17.25" hidden="1" customHeight="1">
      <c r="A79" s="29"/>
      <c r="B79" s="86" t="s">
        <v>79</v>
      </c>
      <c r="C79" s="16"/>
      <c r="D79" s="14"/>
      <c r="E79" s="18"/>
      <c r="F79" s="13"/>
      <c r="G79" s="13" t="s">
        <v>140</v>
      </c>
      <c r="H79" s="84" t="s">
        <v>140</v>
      </c>
      <c r="I79" s="13"/>
    </row>
    <row r="80" spans="1:21" ht="18.75" hidden="1" customHeight="1">
      <c r="A80" s="29"/>
      <c r="B80" s="44" t="s">
        <v>141</v>
      </c>
      <c r="C80" s="16" t="s">
        <v>80</v>
      </c>
      <c r="D80" s="14"/>
      <c r="E80" s="18"/>
      <c r="F80" s="13">
        <v>0.2</v>
      </c>
      <c r="G80" s="13">
        <v>2759.44</v>
      </c>
      <c r="H80" s="84">
        <f t="shared" si="5"/>
        <v>0.55188800000000005</v>
      </c>
      <c r="I80" s="13">
        <v>0</v>
      </c>
    </row>
    <row r="81" spans="1:9" ht="19.5" hidden="1" customHeight="1">
      <c r="A81" s="29"/>
      <c r="B81" s="74" t="s">
        <v>138</v>
      </c>
      <c r="C81" s="86"/>
      <c r="D81" s="31"/>
      <c r="E81" s="32"/>
      <c r="F81" s="75"/>
      <c r="G81" s="75"/>
      <c r="H81" s="87" t="e">
        <f>SUM(H60:H80)</f>
        <v>#VALUE!</v>
      </c>
      <c r="I81" s="75"/>
    </row>
    <row r="82" spans="1:9" ht="16.5" hidden="1" customHeight="1">
      <c r="A82" s="29"/>
      <c r="B82" s="67" t="s">
        <v>139</v>
      </c>
      <c r="C82" s="16"/>
      <c r="D82" s="14"/>
      <c r="E82" s="62"/>
      <c r="F82" s="13">
        <v>1</v>
      </c>
      <c r="G82" s="13">
        <v>13437.4</v>
      </c>
      <c r="H82" s="84">
        <f>G82*F82/1000</f>
        <v>13.4374</v>
      </c>
      <c r="I82" s="13">
        <v>0</v>
      </c>
    </row>
    <row r="83" spans="1:9" ht="15.75" customHeight="1">
      <c r="A83" s="125" t="s">
        <v>187</v>
      </c>
      <c r="B83" s="126"/>
      <c r="C83" s="126"/>
      <c r="D83" s="126"/>
      <c r="E83" s="126"/>
      <c r="F83" s="126"/>
      <c r="G83" s="126"/>
      <c r="H83" s="126"/>
      <c r="I83" s="127"/>
    </row>
    <row r="84" spans="1:9" ht="15" customHeight="1">
      <c r="A84" s="29">
        <v>13</v>
      </c>
      <c r="B84" s="67" t="s">
        <v>142</v>
      </c>
      <c r="C84" s="16" t="s">
        <v>56</v>
      </c>
      <c r="D84" s="88" t="s">
        <v>57</v>
      </c>
      <c r="E84" s="13">
        <v>3031.3</v>
      </c>
      <c r="F84" s="13">
        <f>SUM(E84*12)</f>
        <v>36375.600000000006</v>
      </c>
      <c r="G84" s="13">
        <v>2.1</v>
      </c>
      <c r="H84" s="84">
        <f>SUM(F84*G84/1000)</f>
        <v>76.388760000000005</v>
      </c>
      <c r="I84" s="13">
        <f>F84/12*G84</f>
        <v>6365.7300000000014</v>
      </c>
    </row>
    <row r="85" spans="1:9" ht="31.5" customHeight="1">
      <c r="A85" s="29">
        <v>14</v>
      </c>
      <c r="B85" s="14" t="s">
        <v>81</v>
      </c>
      <c r="C85" s="16"/>
      <c r="D85" s="88" t="s">
        <v>57</v>
      </c>
      <c r="E85" s="69">
        <f>E84</f>
        <v>3031.3</v>
      </c>
      <c r="F85" s="13">
        <f>E85*12</f>
        <v>36375.600000000006</v>
      </c>
      <c r="G85" s="13">
        <v>1.63</v>
      </c>
      <c r="H85" s="84">
        <f>F85*G85/1000</f>
        <v>59.292228000000001</v>
      </c>
      <c r="I85" s="13">
        <f>F85/12*G85</f>
        <v>4941.0190000000011</v>
      </c>
    </row>
    <row r="86" spans="1:9" ht="15.75" customHeight="1">
      <c r="A86" s="45"/>
      <c r="B86" s="36" t="s">
        <v>83</v>
      </c>
      <c r="C86" s="37"/>
      <c r="D86" s="15"/>
      <c r="E86" s="15"/>
      <c r="F86" s="15"/>
      <c r="G86" s="18"/>
      <c r="H86" s="18"/>
      <c r="I86" s="32">
        <f>I85+I84+I74+I65+I63+I35+I34+I32+I31+I28+I27+I18+I17+I16</f>
        <v>39786.065954955564</v>
      </c>
    </row>
    <row r="87" spans="1:9" ht="15.75" customHeight="1">
      <c r="A87" s="139" t="s">
        <v>62</v>
      </c>
      <c r="B87" s="140"/>
      <c r="C87" s="140"/>
      <c r="D87" s="140"/>
      <c r="E87" s="140"/>
      <c r="F87" s="140"/>
      <c r="G87" s="140"/>
      <c r="H87" s="140"/>
      <c r="I87" s="141"/>
    </row>
    <row r="88" spans="1:9" s="121" customFormat="1" ht="15" customHeight="1">
      <c r="A88" s="29">
        <v>15</v>
      </c>
      <c r="B88" s="52" t="s">
        <v>236</v>
      </c>
      <c r="C88" s="53" t="s">
        <v>101</v>
      </c>
      <c r="D88" s="16" t="s">
        <v>249</v>
      </c>
      <c r="E88" s="13"/>
      <c r="F88" s="13">
        <v>3</v>
      </c>
      <c r="G88" s="34">
        <v>9940.24</v>
      </c>
      <c r="H88" s="84">
        <f t="shared" ref="H88" si="7">G88*F88/1000</f>
        <v>29.820720000000001</v>
      </c>
      <c r="I88" s="13">
        <f>G88*0.4</f>
        <v>3976.096</v>
      </c>
    </row>
    <row r="89" spans="1:9" ht="15.75" hidden="1" customHeight="1">
      <c r="A89" s="29">
        <v>16</v>
      </c>
      <c r="B89" s="89"/>
      <c r="C89" s="66"/>
      <c r="D89" s="44"/>
      <c r="E89" s="13"/>
      <c r="F89" s="13">
        <v>5</v>
      </c>
      <c r="G89" s="13"/>
      <c r="H89" s="84">
        <f>G89*F89/1000</f>
        <v>0</v>
      </c>
      <c r="I89" s="13"/>
    </row>
    <row r="90" spans="1:9" ht="29.25" customHeight="1">
      <c r="A90" s="29">
        <v>16</v>
      </c>
      <c r="B90" s="52" t="s">
        <v>163</v>
      </c>
      <c r="C90" s="53" t="s">
        <v>107</v>
      </c>
      <c r="D90" s="44"/>
      <c r="E90" s="13"/>
      <c r="F90" s="13"/>
      <c r="G90" s="34">
        <v>56.34</v>
      </c>
      <c r="H90" s="84"/>
      <c r="I90" s="13">
        <f>G90*1</f>
        <v>56.34</v>
      </c>
    </row>
    <row r="91" spans="1:9" ht="15.75" customHeight="1">
      <c r="A91" s="29">
        <v>17</v>
      </c>
      <c r="B91" s="52" t="s">
        <v>85</v>
      </c>
      <c r="C91" s="53" t="s">
        <v>132</v>
      </c>
      <c r="D91" s="44"/>
      <c r="E91" s="13"/>
      <c r="F91" s="13"/>
      <c r="G91" s="34">
        <v>197.48</v>
      </c>
      <c r="H91" s="84"/>
      <c r="I91" s="13">
        <f>G91*2</f>
        <v>394.96</v>
      </c>
    </row>
    <row r="92" spans="1:9" ht="29.25" customHeight="1">
      <c r="A92" s="29">
        <v>18</v>
      </c>
      <c r="B92" s="105" t="s">
        <v>247</v>
      </c>
      <c r="C92" s="37" t="s">
        <v>116</v>
      </c>
      <c r="D92" s="44"/>
      <c r="E92" s="13"/>
      <c r="F92" s="13"/>
      <c r="G92" s="34">
        <v>42994.68</v>
      </c>
      <c r="H92" s="84"/>
      <c r="I92" s="13">
        <f>G92*0.014</f>
        <v>601.92552000000001</v>
      </c>
    </row>
    <row r="93" spans="1:9" ht="30" customHeight="1">
      <c r="A93" s="29">
        <v>19</v>
      </c>
      <c r="B93" s="52" t="s">
        <v>217</v>
      </c>
      <c r="C93" s="53" t="s">
        <v>101</v>
      </c>
      <c r="D93" s="44"/>
      <c r="E93" s="13"/>
      <c r="F93" s="13"/>
      <c r="G93" s="34">
        <v>7987.62</v>
      </c>
      <c r="H93" s="84"/>
      <c r="I93" s="13">
        <f>G93*0.2</f>
        <v>1597.5240000000001</v>
      </c>
    </row>
    <row r="94" spans="1:9" ht="17.25" customHeight="1">
      <c r="A94" s="29">
        <v>20</v>
      </c>
      <c r="B94" s="49" t="s">
        <v>167</v>
      </c>
      <c r="C94" s="51" t="s">
        <v>87</v>
      </c>
      <c r="D94" s="44"/>
      <c r="E94" s="13"/>
      <c r="F94" s="13"/>
      <c r="G94" s="34">
        <v>203.68</v>
      </c>
      <c r="H94" s="84"/>
      <c r="I94" s="13">
        <f>G94*4</f>
        <v>814.72</v>
      </c>
    </row>
    <row r="95" spans="1:9" ht="15.75" customHeight="1">
      <c r="A95" s="29">
        <v>21</v>
      </c>
      <c r="B95" s="52" t="s">
        <v>108</v>
      </c>
      <c r="C95" s="53" t="s">
        <v>132</v>
      </c>
      <c r="D95" s="44"/>
      <c r="E95" s="13"/>
      <c r="F95" s="13"/>
      <c r="G95" s="34">
        <v>89.59</v>
      </c>
      <c r="H95" s="84"/>
      <c r="I95" s="13">
        <f>G95*1</f>
        <v>89.59</v>
      </c>
    </row>
    <row r="96" spans="1:9" ht="15.75" customHeight="1">
      <c r="A96" s="29">
        <v>22</v>
      </c>
      <c r="B96" s="105" t="s">
        <v>248</v>
      </c>
      <c r="C96" s="37" t="s">
        <v>116</v>
      </c>
      <c r="D96" s="44"/>
      <c r="E96" s="13"/>
      <c r="F96" s="13"/>
      <c r="G96" s="34">
        <v>3413.41</v>
      </c>
      <c r="H96" s="84"/>
      <c r="I96" s="13">
        <f>G96*0.06</f>
        <v>204.80459999999999</v>
      </c>
    </row>
    <row r="97" spans="1:9" ht="15.75" customHeight="1">
      <c r="A97" s="29">
        <v>23</v>
      </c>
      <c r="B97" s="108" t="s">
        <v>259</v>
      </c>
      <c r="C97" s="118" t="s">
        <v>132</v>
      </c>
      <c r="D97" s="44"/>
      <c r="E97" s="13"/>
      <c r="F97" s="13"/>
      <c r="G97" s="34">
        <v>95.25</v>
      </c>
      <c r="H97" s="84"/>
      <c r="I97" s="13">
        <f>G97*1</f>
        <v>95.25</v>
      </c>
    </row>
    <row r="98" spans="1:9" ht="15.75" customHeight="1">
      <c r="A98" s="29">
        <v>24</v>
      </c>
      <c r="B98" s="108" t="s">
        <v>208</v>
      </c>
      <c r="C98" s="118" t="s">
        <v>132</v>
      </c>
      <c r="D98" s="44"/>
      <c r="E98" s="13"/>
      <c r="F98" s="13"/>
      <c r="G98" s="34">
        <v>89.92</v>
      </c>
      <c r="H98" s="84"/>
      <c r="I98" s="13">
        <f>G98*1</f>
        <v>89.92</v>
      </c>
    </row>
    <row r="99" spans="1:9" ht="15.75" customHeight="1">
      <c r="A99" s="29">
        <v>25</v>
      </c>
      <c r="B99" s="108" t="s">
        <v>210</v>
      </c>
      <c r="C99" s="118" t="s">
        <v>132</v>
      </c>
      <c r="D99" s="44"/>
      <c r="E99" s="13"/>
      <c r="F99" s="13"/>
      <c r="G99" s="34">
        <v>5.42</v>
      </c>
      <c r="H99" s="84"/>
      <c r="I99" s="13">
        <f>G99*1</f>
        <v>5.42</v>
      </c>
    </row>
    <row r="100" spans="1:9" ht="15.75" customHeight="1">
      <c r="A100" s="29">
        <v>26</v>
      </c>
      <c r="B100" s="108" t="s">
        <v>213</v>
      </c>
      <c r="C100" s="118" t="s">
        <v>132</v>
      </c>
      <c r="D100" s="44"/>
      <c r="E100" s="13"/>
      <c r="F100" s="13"/>
      <c r="G100" s="34">
        <v>6.84</v>
      </c>
      <c r="H100" s="84"/>
      <c r="I100" s="13">
        <f>G100*1</f>
        <v>6.84</v>
      </c>
    </row>
    <row r="101" spans="1:9" ht="15.75" customHeight="1">
      <c r="A101" s="29"/>
      <c r="B101" s="42" t="s">
        <v>53</v>
      </c>
      <c r="C101" s="38"/>
      <c r="D101" s="46"/>
      <c r="E101" s="38">
        <v>1</v>
      </c>
      <c r="F101" s="38"/>
      <c r="G101" s="38"/>
      <c r="H101" s="38"/>
      <c r="I101" s="32">
        <f>SUM(I88:I100)</f>
        <v>7933.3901200000009</v>
      </c>
    </row>
    <row r="102" spans="1:9" ht="15.75" customHeight="1">
      <c r="A102" s="29"/>
      <c r="B102" s="44" t="s">
        <v>82</v>
      </c>
      <c r="C102" s="15"/>
      <c r="D102" s="15"/>
      <c r="E102" s="39"/>
      <c r="F102" s="39"/>
      <c r="G102" s="40"/>
      <c r="H102" s="40"/>
      <c r="I102" s="17">
        <v>0</v>
      </c>
    </row>
    <row r="103" spans="1:9" ht="15.75" customHeight="1">
      <c r="A103" s="47"/>
      <c r="B103" s="43" t="s">
        <v>192</v>
      </c>
      <c r="C103" s="33"/>
      <c r="D103" s="33"/>
      <c r="E103" s="33"/>
      <c r="F103" s="33"/>
      <c r="G103" s="33"/>
      <c r="H103" s="33"/>
      <c r="I103" s="41">
        <f>I86+I101</f>
        <v>47719.456074955568</v>
      </c>
    </row>
    <row r="104" spans="1:9" ht="15.75">
      <c r="A104" s="142" t="s">
        <v>260</v>
      </c>
      <c r="B104" s="142"/>
      <c r="C104" s="142"/>
      <c r="D104" s="142"/>
      <c r="E104" s="142"/>
      <c r="F104" s="142"/>
      <c r="G104" s="142"/>
      <c r="H104" s="142"/>
      <c r="I104" s="142"/>
    </row>
    <row r="105" spans="1:9" ht="15.75">
      <c r="A105" s="60"/>
      <c r="B105" s="143" t="s">
        <v>261</v>
      </c>
      <c r="C105" s="143"/>
      <c r="D105" s="143"/>
      <c r="E105" s="143"/>
      <c r="F105" s="143"/>
      <c r="G105" s="143"/>
      <c r="H105" s="65"/>
      <c r="I105" s="3"/>
    </row>
    <row r="106" spans="1:9">
      <c r="A106" s="56"/>
      <c r="B106" s="144" t="s">
        <v>6</v>
      </c>
      <c r="C106" s="144"/>
      <c r="D106" s="144"/>
      <c r="E106" s="144"/>
      <c r="F106" s="144"/>
      <c r="G106" s="144"/>
      <c r="H106" s="24"/>
      <c r="I106" s="5"/>
    </row>
    <row r="107" spans="1:9">
      <c r="A107" s="10"/>
      <c r="B107" s="10"/>
      <c r="C107" s="10"/>
      <c r="D107" s="10"/>
      <c r="E107" s="10"/>
      <c r="F107" s="10"/>
      <c r="G107" s="10"/>
      <c r="H107" s="10"/>
      <c r="I107" s="10"/>
    </row>
    <row r="108" spans="1:9" ht="15.75">
      <c r="A108" s="145" t="s">
        <v>7</v>
      </c>
      <c r="B108" s="145"/>
      <c r="C108" s="145"/>
      <c r="D108" s="145"/>
      <c r="E108" s="145"/>
      <c r="F108" s="145"/>
      <c r="G108" s="145"/>
      <c r="H108" s="145"/>
      <c r="I108" s="145"/>
    </row>
    <row r="109" spans="1:9" ht="15.75">
      <c r="A109" s="145" t="s">
        <v>8</v>
      </c>
      <c r="B109" s="145"/>
      <c r="C109" s="145"/>
      <c r="D109" s="145"/>
      <c r="E109" s="145"/>
      <c r="F109" s="145"/>
      <c r="G109" s="145"/>
      <c r="H109" s="145"/>
      <c r="I109" s="145"/>
    </row>
    <row r="110" spans="1:9" ht="15.75">
      <c r="A110" s="134" t="s">
        <v>63</v>
      </c>
      <c r="B110" s="134"/>
      <c r="C110" s="134"/>
      <c r="D110" s="134"/>
      <c r="E110" s="134"/>
      <c r="F110" s="134"/>
      <c r="G110" s="134"/>
      <c r="H110" s="134"/>
      <c r="I110" s="134"/>
    </row>
    <row r="111" spans="1:9" ht="15.75">
      <c r="A111" s="11"/>
    </row>
    <row r="112" spans="1:9" ht="15.75">
      <c r="A112" s="147" t="s">
        <v>9</v>
      </c>
      <c r="B112" s="147"/>
      <c r="C112" s="147"/>
      <c r="D112" s="147"/>
      <c r="E112" s="147"/>
      <c r="F112" s="147"/>
      <c r="G112" s="147"/>
      <c r="H112" s="147"/>
      <c r="I112" s="147"/>
    </row>
    <row r="113" spans="1:9" ht="15.75">
      <c r="A113" s="4"/>
    </row>
    <row r="114" spans="1:9" ht="15.75">
      <c r="B114" s="59" t="s">
        <v>10</v>
      </c>
      <c r="C114" s="148" t="s">
        <v>93</v>
      </c>
      <c r="D114" s="148"/>
      <c r="E114" s="148"/>
      <c r="F114" s="63"/>
      <c r="I114" s="55"/>
    </row>
    <row r="115" spans="1:9">
      <c r="A115" s="56"/>
      <c r="C115" s="144" t="s">
        <v>11</v>
      </c>
      <c r="D115" s="144"/>
      <c r="E115" s="144"/>
      <c r="F115" s="24"/>
      <c r="I115" s="54" t="s">
        <v>12</v>
      </c>
    </row>
    <row r="116" spans="1:9" ht="15.75">
      <c r="A116" s="25"/>
      <c r="C116" s="12"/>
      <c r="D116" s="12"/>
      <c r="G116" s="12"/>
      <c r="H116" s="12"/>
    </row>
    <row r="117" spans="1:9" ht="15.75">
      <c r="B117" s="59" t="s">
        <v>13</v>
      </c>
      <c r="C117" s="149"/>
      <c r="D117" s="149"/>
      <c r="E117" s="149"/>
      <c r="F117" s="64"/>
      <c r="I117" s="55"/>
    </row>
    <row r="118" spans="1:9">
      <c r="A118" s="56"/>
      <c r="C118" s="124" t="s">
        <v>11</v>
      </c>
      <c r="D118" s="124"/>
      <c r="E118" s="124"/>
      <c r="F118" s="56"/>
      <c r="I118" s="54" t="s">
        <v>12</v>
      </c>
    </row>
    <row r="119" spans="1:9" ht="15.75">
      <c r="A119" s="4" t="s">
        <v>14</v>
      </c>
    </row>
    <row r="120" spans="1:9">
      <c r="A120" s="150" t="s">
        <v>15</v>
      </c>
      <c r="B120" s="150"/>
      <c r="C120" s="150"/>
      <c r="D120" s="150"/>
      <c r="E120" s="150"/>
      <c r="F120" s="150"/>
      <c r="G120" s="150"/>
      <c r="H120" s="150"/>
      <c r="I120" s="150"/>
    </row>
    <row r="121" spans="1:9" ht="45" customHeight="1">
      <c r="A121" s="146" t="s">
        <v>16</v>
      </c>
      <c r="B121" s="146"/>
      <c r="C121" s="146"/>
      <c r="D121" s="146"/>
      <c r="E121" s="146"/>
      <c r="F121" s="146"/>
      <c r="G121" s="146"/>
      <c r="H121" s="146"/>
      <c r="I121" s="146"/>
    </row>
    <row r="122" spans="1:9" ht="30" customHeight="1">
      <c r="A122" s="146" t="s">
        <v>17</v>
      </c>
      <c r="B122" s="146"/>
      <c r="C122" s="146"/>
      <c r="D122" s="146"/>
      <c r="E122" s="146"/>
      <c r="F122" s="146"/>
      <c r="G122" s="146"/>
      <c r="H122" s="146"/>
      <c r="I122" s="146"/>
    </row>
    <row r="123" spans="1:9" ht="30" customHeight="1">
      <c r="A123" s="146" t="s">
        <v>21</v>
      </c>
      <c r="B123" s="146"/>
      <c r="C123" s="146"/>
      <c r="D123" s="146"/>
      <c r="E123" s="146"/>
      <c r="F123" s="146"/>
      <c r="G123" s="146"/>
      <c r="H123" s="146"/>
      <c r="I123" s="146"/>
    </row>
    <row r="124" spans="1:9" ht="15.75">
      <c r="A124" s="146" t="s">
        <v>20</v>
      </c>
      <c r="B124" s="146"/>
      <c r="C124" s="146"/>
      <c r="D124" s="146"/>
      <c r="E124" s="146"/>
      <c r="F124" s="146"/>
      <c r="G124" s="146"/>
      <c r="H124" s="146"/>
      <c r="I124" s="146"/>
    </row>
  </sheetData>
  <autoFilter ref="I12:I62"/>
  <mergeCells count="29">
    <mergeCell ref="A121:I121"/>
    <mergeCell ref="A122:I122"/>
    <mergeCell ref="A123:I123"/>
    <mergeCell ref="A124:I124"/>
    <mergeCell ref="A112:I112"/>
    <mergeCell ref="C114:E114"/>
    <mergeCell ref="C115:E115"/>
    <mergeCell ref="C117:E117"/>
    <mergeCell ref="C118:E118"/>
    <mergeCell ref="A120:I120"/>
    <mergeCell ref="A110:I110"/>
    <mergeCell ref="A15:I15"/>
    <mergeCell ref="A29:I29"/>
    <mergeCell ref="A47:I47"/>
    <mergeCell ref="A58:I58"/>
    <mergeCell ref="A87:I87"/>
    <mergeCell ref="A104:I104"/>
    <mergeCell ref="B105:G105"/>
    <mergeCell ref="B106:G106"/>
    <mergeCell ref="A108:I108"/>
    <mergeCell ref="A109:I109"/>
    <mergeCell ref="R67:U67"/>
    <mergeCell ref="A83:I83"/>
    <mergeCell ref="A3:I3"/>
    <mergeCell ref="A4:I4"/>
    <mergeCell ref="A5:I5"/>
    <mergeCell ref="A8:I8"/>
    <mergeCell ref="A10:I10"/>
    <mergeCell ref="A14:I14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>
  <dimension ref="A1:V122"/>
  <sheetViews>
    <sheetView topLeftCell="A61" workbookViewId="0">
      <selection activeCell="B103" sqref="B103:G10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85546875" hidden="1" customWidth="1"/>
    <col min="6" max="6" width="17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7" t="s">
        <v>229</v>
      </c>
      <c r="I1" s="26"/>
      <c r="J1" s="1"/>
      <c r="K1" s="1"/>
      <c r="L1" s="1"/>
      <c r="M1" s="1"/>
    </row>
    <row r="2" spans="1:13" ht="15.75" customHeight="1">
      <c r="A2" s="28" t="s">
        <v>64</v>
      </c>
      <c r="J2" s="2"/>
      <c r="K2" s="2"/>
      <c r="L2" s="2"/>
      <c r="M2" s="2"/>
    </row>
    <row r="3" spans="1:13" ht="15.75" customHeight="1">
      <c r="A3" s="128" t="s">
        <v>190</v>
      </c>
      <c r="B3" s="128"/>
      <c r="C3" s="128"/>
      <c r="D3" s="128"/>
      <c r="E3" s="128"/>
      <c r="F3" s="128"/>
      <c r="G3" s="128"/>
      <c r="H3" s="128"/>
      <c r="I3" s="128"/>
      <c r="J3" s="3"/>
      <c r="K3" s="3"/>
      <c r="L3" s="3"/>
    </row>
    <row r="4" spans="1:13" ht="31.5" customHeight="1">
      <c r="A4" s="129" t="s">
        <v>143</v>
      </c>
      <c r="B4" s="129"/>
      <c r="C4" s="129"/>
      <c r="D4" s="129"/>
      <c r="E4" s="129"/>
      <c r="F4" s="129"/>
      <c r="G4" s="129"/>
      <c r="H4" s="129"/>
      <c r="I4" s="129"/>
    </row>
    <row r="5" spans="1:13" ht="15.75" customHeight="1">
      <c r="A5" s="128" t="s">
        <v>250</v>
      </c>
      <c r="B5" s="130"/>
      <c r="C5" s="130"/>
      <c r="D5" s="130"/>
      <c r="E5" s="130"/>
      <c r="F5" s="130"/>
      <c r="G5" s="130"/>
      <c r="H5" s="130"/>
      <c r="I5" s="130"/>
      <c r="J5" s="2"/>
      <c r="K5" s="2"/>
      <c r="L5" s="2"/>
      <c r="M5" s="2"/>
    </row>
    <row r="6" spans="1:13" ht="15.75" customHeight="1">
      <c r="A6" s="2"/>
      <c r="B6" s="58"/>
      <c r="C6" s="58"/>
      <c r="D6" s="58"/>
      <c r="E6" s="58"/>
      <c r="F6" s="58"/>
      <c r="G6" s="58"/>
      <c r="H6" s="58"/>
      <c r="I6" s="30">
        <v>43373</v>
      </c>
      <c r="J6" s="2"/>
      <c r="K6" s="2"/>
      <c r="L6" s="2"/>
      <c r="M6" s="2"/>
    </row>
    <row r="7" spans="1:13" ht="15.75" customHeight="1">
      <c r="B7" s="59"/>
      <c r="C7" s="59"/>
      <c r="D7" s="59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131" t="s">
        <v>234</v>
      </c>
      <c r="B8" s="131"/>
      <c r="C8" s="131"/>
      <c r="D8" s="131"/>
      <c r="E8" s="131"/>
      <c r="F8" s="131"/>
      <c r="G8" s="131"/>
      <c r="H8" s="131"/>
      <c r="I8" s="131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32" t="s">
        <v>193</v>
      </c>
      <c r="B10" s="132"/>
      <c r="C10" s="132"/>
      <c r="D10" s="132"/>
      <c r="E10" s="132"/>
      <c r="F10" s="132"/>
      <c r="G10" s="132"/>
      <c r="H10" s="132"/>
      <c r="I10" s="132"/>
      <c r="J10" s="2"/>
      <c r="K10" s="2"/>
      <c r="L10" s="2"/>
      <c r="M10" s="2"/>
    </row>
    <row r="11" spans="1:13" ht="15.75">
      <c r="A11" s="4"/>
    </row>
    <row r="12" spans="1:13" ht="5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133" t="s">
        <v>61</v>
      </c>
      <c r="B14" s="133"/>
      <c r="C14" s="133"/>
      <c r="D14" s="133"/>
      <c r="E14" s="133"/>
      <c r="F14" s="133"/>
      <c r="G14" s="133"/>
      <c r="H14" s="133"/>
      <c r="I14" s="133"/>
      <c r="J14" s="8"/>
      <c r="K14" s="8"/>
      <c r="L14" s="8"/>
      <c r="M14" s="8"/>
    </row>
    <row r="15" spans="1:13" ht="15.75" customHeight="1">
      <c r="A15" s="135" t="s">
        <v>4</v>
      </c>
      <c r="B15" s="135"/>
      <c r="C15" s="135"/>
      <c r="D15" s="135"/>
      <c r="E15" s="135"/>
      <c r="F15" s="135"/>
      <c r="G15" s="135"/>
      <c r="H15" s="135"/>
      <c r="I15" s="135"/>
      <c r="J15" s="8"/>
      <c r="K15" s="8"/>
      <c r="L15" s="8"/>
      <c r="M15" s="8"/>
    </row>
    <row r="16" spans="1:13" ht="15" customHeight="1">
      <c r="A16" s="29">
        <v>1</v>
      </c>
      <c r="B16" s="67" t="s">
        <v>90</v>
      </c>
      <c r="C16" s="68" t="s">
        <v>111</v>
      </c>
      <c r="D16" s="67" t="s">
        <v>112</v>
      </c>
      <c r="E16" s="69">
        <v>59.96</v>
      </c>
      <c r="F16" s="70">
        <f>SUM(E16*156/100)</f>
        <v>93.537599999999998</v>
      </c>
      <c r="G16" s="70">
        <v>175.38</v>
      </c>
      <c r="H16" s="71">
        <f t="shared" ref="H16:H26" si="0">SUM(F16*G16/1000)</f>
        <v>16.404624288000001</v>
      </c>
      <c r="I16" s="13">
        <f>F16/12*G16</f>
        <v>1367.0520239999998</v>
      </c>
      <c r="J16" s="8"/>
      <c r="K16" s="8"/>
      <c r="L16" s="8"/>
      <c r="M16" s="8"/>
    </row>
    <row r="17" spans="1:13" ht="15" customHeight="1">
      <c r="A17" s="29">
        <v>2</v>
      </c>
      <c r="B17" s="67" t="s">
        <v>97</v>
      </c>
      <c r="C17" s="68" t="s">
        <v>111</v>
      </c>
      <c r="D17" s="67" t="s">
        <v>113</v>
      </c>
      <c r="E17" s="69">
        <v>239.84</v>
      </c>
      <c r="F17" s="70">
        <f>SUM(E17*104/100)</f>
        <v>249.43360000000001</v>
      </c>
      <c r="G17" s="70">
        <v>175.38</v>
      </c>
      <c r="H17" s="71">
        <f t="shared" si="0"/>
        <v>43.745664768000005</v>
      </c>
      <c r="I17" s="13">
        <f>F17/12*G17</f>
        <v>3645.4720640000005</v>
      </c>
      <c r="J17" s="22"/>
      <c r="K17" s="8"/>
      <c r="L17" s="8"/>
      <c r="M17" s="8"/>
    </row>
    <row r="18" spans="1:13" ht="15" customHeight="1">
      <c r="A18" s="29">
        <v>3</v>
      </c>
      <c r="B18" s="67" t="s">
        <v>98</v>
      </c>
      <c r="C18" s="68" t="s">
        <v>111</v>
      </c>
      <c r="D18" s="67" t="s">
        <v>114</v>
      </c>
      <c r="E18" s="69">
        <f>SUM(E16+E17)</f>
        <v>299.8</v>
      </c>
      <c r="F18" s="70">
        <f>SUM(E18*24/100)</f>
        <v>71.952000000000012</v>
      </c>
      <c r="G18" s="70">
        <v>504.5</v>
      </c>
      <c r="H18" s="71">
        <f t="shared" si="0"/>
        <v>36.29978400000001</v>
      </c>
      <c r="I18" s="13">
        <f>F18/12*G18</f>
        <v>3024.9820000000009</v>
      </c>
      <c r="J18" s="22"/>
      <c r="K18" s="8"/>
      <c r="L18" s="8"/>
      <c r="M18" s="8"/>
    </row>
    <row r="19" spans="1:13" ht="15" hidden="1" customHeight="1">
      <c r="A19" s="29"/>
      <c r="B19" s="67" t="s">
        <v>115</v>
      </c>
      <c r="C19" s="68" t="s">
        <v>116</v>
      </c>
      <c r="D19" s="67" t="s">
        <v>117</v>
      </c>
      <c r="E19" s="69">
        <v>40.799999999999997</v>
      </c>
      <c r="F19" s="70">
        <f>SUM(E19/10)</f>
        <v>4.08</v>
      </c>
      <c r="G19" s="70">
        <v>170.16</v>
      </c>
      <c r="H19" s="71">
        <f t="shared" si="0"/>
        <v>0.6942528</v>
      </c>
      <c r="I19" s="13">
        <v>0</v>
      </c>
      <c r="J19" s="22"/>
      <c r="K19" s="8"/>
      <c r="L19" s="8"/>
      <c r="M19" s="8"/>
    </row>
    <row r="20" spans="1:13" ht="15" hidden="1" customHeight="1">
      <c r="A20" s="29"/>
      <c r="B20" s="67" t="s">
        <v>102</v>
      </c>
      <c r="C20" s="68" t="s">
        <v>111</v>
      </c>
      <c r="D20" s="67" t="s">
        <v>55</v>
      </c>
      <c r="E20" s="69">
        <v>43.2</v>
      </c>
      <c r="F20" s="70">
        <f>SUM(E20/100)</f>
        <v>0.43200000000000005</v>
      </c>
      <c r="G20" s="70">
        <v>217.88</v>
      </c>
      <c r="H20" s="71">
        <f t="shared" si="0"/>
        <v>9.4124159999999998E-2</v>
      </c>
      <c r="I20" s="13">
        <v>0</v>
      </c>
      <c r="J20" s="22"/>
      <c r="K20" s="8"/>
      <c r="L20" s="8"/>
      <c r="M20" s="8"/>
    </row>
    <row r="21" spans="1:13" ht="15" hidden="1" customHeight="1">
      <c r="A21" s="29"/>
      <c r="B21" s="67" t="s">
        <v>103</v>
      </c>
      <c r="C21" s="68" t="s">
        <v>111</v>
      </c>
      <c r="D21" s="67" t="s">
        <v>55</v>
      </c>
      <c r="E21" s="69">
        <v>10.08</v>
      </c>
      <c r="F21" s="70">
        <f>E21/100</f>
        <v>0.1008</v>
      </c>
      <c r="G21" s="70">
        <v>216.12</v>
      </c>
      <c r="H21" s="71">
        <f>SUM(F21*G21)/1000</f>
        <v>2.1784896000000002E-2</v>
      </c>
      <c r="I21" s="13">
        <v>0</v>
      </c>
      <c r="J21" s="22"/>
      <c r="K21" s="8"/>
      <c r="L21" s="8"/>
      <c r="M21" s="8"/>
    </row>
    <row r="22" spans="1:13" ht="15" hidden="1" customHeight="1">
      <c r="A22" s="29"/>
      <c r="B22" s="67" t="s">
        <v>118</v>
      </c>
      <c r="C22" s="68" t="s">
        <v>54</v>
      </c>
      <c r="D22" s="67" t="s">
        <v>117</v>
      </c>
      <c r="E22" s="69">
        <v>403.84</v>
      </c>
      <c r="F22" s="70">
        <f>SUM(E22/100)</f>
        <v>4.0383999999999993</v>
      </c>
      <c r="G22" s="70">
        <v>269.26</v>
      </c>
      <c r="H22" s="71">
        <f t="shared" si="0"/>
        <v>1.0873795839999998</v>
      </c>
      <c r="I22" s="13">
        <v>0</v>
      </c>
      <c r="J22" s="22"/>
      <c r="K22" s="8"/>
      <c r="L22" s="8"/>
      <c r="M22" s="8"/>
    </row>
    <row r="23" spans="1:13" ht="15" hidden="1" customHeight="1">
      <c r="A23" s="29"/>
      <c r="B23" s="67" t="s">
        <v>119</v>
      </c>
      <c r="C23" s="68" t="s">
        <v>54</v>
      </c>
      <c r="D23" s="67" t="s">
        <v>117</v>
      </c>
      <c r="E23" s="72">
        <v>70.56</v>
      </c>
      <c r="F23" s="70">
        <f>SUM(E23/100)</f>
        <v>0.7056</v>
      </c>
      <c r="G23" s="70">
        <v>44.29</v>
      </c>
      <c r="H23" s="71">
        <f t="shared" si="0"/>
        <v>3.1251024000000002E-2</v>
      </c>
      <c r="I23" s="13">
        <v>0</v>
      </c>
      <c r="J23" s="22"/>
      <c r="K23" s="8"/>
      <c r="L23" s="8"/>
      <c r="M23" s="8"/>
    </row>
    <row r="24" spans="1:13" ht="15" hidden="1" customHeight="1">
      <c r="A24" s="29"/>
      <c r="B24" s="67" t="s">
        <v>105</v>
      </c>
      <c r="C24" s="68" t="s">
        <v>54</v>
      </c>
      <c r="D24" s="67" t="s">
        <v>117</v>
      </c>
      <c r="E24" s="18">
        <v>14.4</v>
      </c>
      <c r="F24" s="73">
        <v>0.14000000000000001</v>
      </c>
      <c r="G24" s="70">
        <v>398.72</v>
      </c>
      <c r="H24" s="71">
        <f>F24*G24/1000</f>
        <v>5.5820800000000011E-2</v>
      </c>
      <c r="I24" s="13">
        <v>0</v>
      </c>
      <c r="J24" s="22"/>
      <c r="K24" s="8"/>
      <c r="L24" s="8"/>
      <c r="M24" s="8"/>
    </row>
    <row r="25" spans="1:13" ht="15" hidden="1" customHeight="1">
      <c r="A25" s="29"/>
      <c r="B25" s="67" t="s">
        <v>120</v>
      </c>
      <c r="C25" s="68" t="s">
        <v>54</v>
      </c>
      <c r="D25" s="67" t="s">
        <v>117</v>
      </c>
      <c r="E25" s="72">
        <v>31.5</v>
      </c>
      <c r="F25" s="70">
        <v>0.32</v>
      </c>
      <c r="G25" s="70">
        <v>216.12</v>
      </c>
      <c r="H25" s="71">
        <f>F25*G25/1000</f>
        <v>6.9158399999999995E-2</v>
      </c>
      <c r="I25" s="13">
        <v>0</v>
      </c>
      <c r="J25" s="22"/>
      <c r="K25" s="8"/>
      <c r="L25" s="8"/>
      <c r="M25" s="8"/>
    </row>
    <row r="26" spans="1:13" ht="15" hidden="1" customHeight="1">
      <c r="A26" s="29"/>
      <c r="B26" s="67" t="s">
        <v>106</v>
      </c>
      <c r="C26" s="68" t="s">
        <v>54</v>
      </c>
      <c r="D26" s="67" t="s">
        <v>117</v>
      </c>
      <c r="E26" s="69">
        <v>28.22</v>
      </c>
      <c r="F26" s="70">
        <f>SUM(E26/100)</f>
        <v>0.28220000000000001</v>
      </c>
      <c r="G26" s="70">
        <v>520.79999999999995</v>
      </c>
      <c r="H26" s="71">
        <f t="shared" si="0"/>
        <v>0.14696975999999998</v>
      </c>
      <c r="I26" s="13">
        <v>0</v>
      </c>
      <c r="J26" s="22"/>
      <c r="K26" s="8"/>
      <c r="L26" s="8"/>
      <c r="M26" s="8"/>
    </row>
    <row r="27" spans="1:13" ht="15" customHeight="1">
      <c r="A27" s="29">
        <v>4</v>
      </c>
      <c r="B27" s="67" t="s">
        <v>66</v>
      </c>
      <c r="C27" s="68" t="s">
        <v>33</v>
      </c>
      <c r="D27" s="67"/>
      <c r="E27" s="69">
        <v>0.1</v>
      </c>
      <c r="F27" s="70">
        <f>SUM(E27*365)</f>
        <v>36.5</v>
      </c>
      <c r="G27" s="70">
        <v>147.03</v>
      </c>
      <c r="H27" s="71">
        <f>SUM(F27*G27/1000)</f>
        <v>5.3665950000000002</v>
      </c>
      <c r="I27" s="13">
        <f>F27/12*G27</f>
        <v>447.21625</v>
      </c>
      <c r="J27" s="23"/>
    </row>
    <row r="28" spans="1:13" ht="15" customHeight="1">
      <c r="A28" s="29">
        <v>5</v>
      </c>
      <c r="B28" s="77" t="s">
        <v>23</v>
      </c>
      <c r="C28" s="68" t="s">
        <v>24</v>
      </c>
      <c r="D28" s="67"/>
      <c r="E28" s="69">
        <v>3031.3</v>
      </c>
      <c r="F28" s="70">
        <f>SUM(E28*12)</f>
        <v>36375.600000000006</v>
      </c>
      <c r="G28" s="70">
        <v>5.47</v>
      </c>
      <c r="H28" s="71">
        <f>SUM(F28*G28/1000)</f>
        <v>198.97453200000004</v>
      </c>
      <c r="I28" s="13">
        <f>F28/12*G28</f>
        <v>16581.211000000003</v>
      </c>
      <c r="J28" s="23"/>
    </row>
    <row r="29" spans="1:13" ht="15.75" customHeight="1">
      <c r="A29" s="135" t="s">
        <v>88</v>
      </c>
      <c r="B29" s="135"/>
      <c r="C29" s="135"/>
      <c r="D29" s="135"/>
      <c r="E29" s="135"/>
      <c r="F29" s="135"/>
      <c r="G29" s="135"/>
      <c r="H29" s="135"/>
      <c r="I29" s="135"/>
      <c r="J29" s="22"/>
      <c r="K29" s="8"/>
      <c r="L29" s="8"/>
      <c r="M29" s="8"/>
    </row>
    <row r="30" spans="1:13" ht="15" customHeight="1">
      <c r="A30" s="29"/>
      <c r="B30" s="90" t="s">
        <v>28</v>
      </c>
      <c r="C30" s="68"/>
      <c r="D30" s="67"/>
      <c r="E30" s="69"/>
      <c r="F30" s="70"/>
      <c r="G30" s="70"/>
      <c r="H30" s="71"/>
      <c r="I30" s="13"/>
      <c r="J30" s="22"/>
      <c r="K30" s="8"/>
      <c r="L30" s="8"/>
      <c r="M30" s="8"/>
    </row>
    <row r="31" spans="1:13" ht="15" customHeight="1">
      <c r="A31" s="29">
        <v>6</v>
      </c>
      <c r="B31" s="67" t="s">
        <v>121</v>
      </c>
      <c r="C31" s="68" t="s">
        <v>122</v>
      </c>
      <c r="D31" s="67" t="s">
        <v>123</v>
      </c>
      <c r="E31" s="70">
        <v>709.53</v>
      </c>
      <c r="F31" s="70">
        <f>SUM(E31*52/1000)</f>
        <v>36.895559999999996</v>
      </c>
      <c r="G31" s="70">
        <v>155.88999999999999</v>
      </c>
      <c r="H31" s="71">
        <f t="shared" ref="H31:H37" si="1">SUM(F31*G31/1000)</f>
        <v>5.7516488483999995</v>
      </c>
      <c r="I31" s="13">
        <f>F31/6*G31</f>
        <v>958.60814139999979</v>
      </c>
      <c r="J31" s="22"/>
      <c r="K31" s="8"/>
      <c r="L31" s="8"/>
      <c r="M31" s="8"/>
    </row>
    <row r="32" spans="1:13" ht="31.5" customHeight="1">
      <c r="A32" s="29">
        <v>7</v>
      </c>
      <c r="B32" s="67" t="s">
        <v>179</v>
      </c>
      <c r="C32" s="68" t="s">
        <v>122</v>
      </c>
      <c r="D32" s="67" t="s">
        <v>124</v>
      </c>
      <c r="E32" s="70">
        <v>68</v>
      </c>
      <c r="F32" s="70">
        <f>SUM(E32*78/1000)</f>
        <v>5.3040000000000003</v>
      </c>
      <c r="G32" s="70">
        <v>258.63</v>
      </c>
      <c r="H32" s="71">
        <f t="shared" si="1"/>
        <v>1.3717735199999999</v>
      </c>
      <c r="I32" s="13">
        <f t="shared" ref="I32:I35" si="2">F32/6*G32</f>
        <v>228.62891999999999</v>
      </c>
      <c r="J32" s="22"/>
      <c r="K32" s="8"/>
      <c r="L32" s="8"/>
      <c r="M32" s="8"/>
    </row>
    <row r="33" spans="1:14" ht="15" hidden="1" customHeight="1">
      <c r="A33" s="29">
        <v>16</v>
      </c>
      <c r="B33" s="67" t="s">
        <v>27</v>
      </c>
      <c r="C33" s="68" t="s">
        <v>122</v>
      </c>
      <c r="D33" s="67" t="s">
        <v>55</v>
      </c>
      <c r="E33" s="70">
        <v>709.53</v>
      </c>
      <c r="F33" s="70">
        <f>SUM(E33/1000)</f>
        <v>0.70952999999999999</v>
      </c>
      <c r="G33" s="70">
        <v>3020.33</v>
      </c>
      <c r="H33" s="71">
        <f t="shared" si="1"/>
        <v>2.1430147448999999</v>
      </c>
      <c r="I33" s="13">
        <f>F33*G33</f>
        <v>2143.0147449000001</v>
      </c>
      <c r="J33" s="22"/>
      <c r="K33" s="8"/>
      <c r="L33" s="8"/>
      <c r="M33" s="8"/>
    </row>
    <row r="34" spans="1:14" ht="15" customHeight="1">
      <c r="A34" s="29">
        <v>8</v>
      </c>
      <c r="B34" s="67" t="s">
        <v>157</v>
      </c>
      <c r="C34" s="68" t="s">
        <v>41</v>
      </c>
      <c r="D34" s="67" t="s">
        <v>65</v>
      </c>
      <c r="E34" s="70">
        <v>4</v>
      </c>
      <c r="F34" s="70">
        <v>6.2</v>
      </c>
      <c r="G34" s="70">
        <v>1302.02</v>
      </c>
      <c r="H34" s="71">
        <v>8.0730000000000004</v>
      </c>
      <c r="I34" s="13">
        <f t="shared" si="2"/>
        <v>1345.4206666666669</v>
      </c>
      <c r="J34" s="22"/>
      <c r="K34" s="8"/>
      <c r="L34" s="8"/>
      <c r="M34" s="8"/>
    </row>
    <row r="35" spans="1:14" ht="15" customHeight="1">
      <c r="A35" s="29">
        <v>9</v>
      </c>
      <c r="B35" s="67" t="s">
        <v>125</v>
      </c>
      <c r="C35" s="68" t="s">
        <v>30</v>
      </c>
      <c r="D35" s="67" t="s">
        <v>65</v>
      </c>
      <c r="E35" s="76">
        <v>0.33333333333333331</v>
      </c>
      <c r="F35" s="70">
        <f>155/3</f>
        <v>51.666666666666664</v>
      </c>
      <c r="G35" s="70">
        <v>56.69</v>
      </c>
      <c r="H35" s="71">
        <f>SUM(G35*155/3/1000)</f>
        <v>2.9289833333333331</v>
      </c>
      <c r="I35" s="13">
        <f t="shared" si="2"/>
        <v>488.16388888888883</v>
      </c>
      <c r="J35" s="22"/>
      <c r="K35" s="8"/>
    </row>
    <row r="36" spans="1:14" ht="15" hidden="1" customHeight="1">
      <c r="A36" s="29"/>
      <c r="B36" s="67" t="s">
        <v>67</v>
      </c>
      <c r="C36" s="68" t="s">
        <v>33</v>
      </c>
      <c r="D36" s="67" t="s">
        <v>69</v>
      </c>
      <c r="E36" s="69"/>
      <c r="F36" s="70">
        <v>3</v>
      </c>
      <c r="G36" s="70">
        <v>191.32</v>
      </c>
      <c r="H36" s="71">
        <f t="shared" si="1"/>
        <v>0.57396000000000003</v>
      </c>
      <c r="I36" s="13">
        <v>0</v>
      </c>
      <c r="J36" s="23"/>
    </row>
    <row r="37" spans="1:14" ht="15" hidden="1" customHeight="1">
      <c r="A37" s="29"/>
      <c r="B37" s="67" t="s">
        <v>68</v>
      </c>
      <c r="C37" s="68" t="s">
        <v>32</v>
      </c>
      <c r="D37" s="67" t="s">
        <v>69</v>
      </c>
      <c r="E37" s="69"/>
      <c r="F37" s="70">
        <v>2</v>
      </c>
      <c r="G37" s="70">
        <v>1136.32</v>
      </c>
      <c r="H37" s="71">
        <f t="shared" si="1"/>
        <v>2.27264</v>
      </c>
      <c r="I37" s="13">
        <v>0</v>
      </c>
      <c r="J37" s="23"/>
    </row>
    <row r="38" spans="1:14" ht="15" hidden="1" customHeight="1">
      <c r="A38" s="29"/>
      <c r="B38" s="90" t="s">
        <v>5</v>
      </c>
      <c r="C38" s="68"/>
      <c r="D38" s="67"/>
      <c r="E38" s="69"/>
      <c r="F38" s="70"/>
      <c r="G38" s="70"/>
      <c r="H38" s="71" t="s">
        <v>140</v>
      </c>
      <c r="I38" s="13"/>
      <c r="J38" s="23"/>
    </row>
    <row r="39" spans="1:14" ht="15" hidden="1" customHeight="1">
      <c r="A39" s="29">
        <v>6</v>
      </c>
      <c r="B39" s="67" t="s">
        <v>26</v>
      </c>
      <c r="C39" s="68" t="s">
        <v>32</v>
      </c>
      <c r="D39" s="67"/>
      <c r="E39" s="69"/>
      <c r="F39" s="70">
        <v>6</v>
      </c>
      <c r="G39" s="70">
        <v>1527.22</v>
      </c>
      <c r="H39" s="71">
        <f t="shared" ref="H39:H46" si="3">SUM(F39*G39/1000)</f>
        <v>9.1633200000000006</v>
      </c>
      <c r="I39" s="13">
        <f>F39/6*G39</f>
        <v>1527.22</v>
      </c>
      <c r="J39" s="23"/>
    </row>
    <row r="40" spans="1:14" ht="15" hidden="1" customHeight="1">
      <c r="A40" s="29">
        <v>7</v>
      </c>
      <c r="B40" s="67" t="s">
        <v>109</v>
      </c>
      <c r="C40" s="68" t="s">
        <v>29</v>
      </c>
      <c r="D40" s="67" t="s">
        <v>144</v>
      </c>
      <c r="E40" s="70">
        <v>429.8</v>
      </c>
      <c r="F40" s="70">
        <f>SUM(E40*12/1000)</f>
        <v>5.1576000000000004</v>
      </c>
      <c r="G40" s="70">
        <v>2102.71</v>
      </c>
      <c r="H40" s="71">
        <f t="shared" si="3"/>
        <v>10.844937096000001</v>
      </c>
      <c r="I40" s="13">
        <f>F40/6*G40</f>
        <v>1807.4895160000001</v>
      </c>
      <c r="J40" s="23"/>
      <c r="L40" s="19"/>
      <c r="M40" s="20"/>
      <c r="N40" s="21"/>
    </row>
    <row r="41" spans="1:14" ht="15" hidden="1" customHeight="1">
      <c r="A41" s="29">
        <v>8</v>
      </c>
      <c r="B41" s="67" t="s">
        <v>145</v>
      </c>
      <c r="C41" s="68" t="s">
        <v>29</v>
      </c>
      <c r="D41" s="67" t="s">
        <v>126</v>
      </c>
      <c r="E41" s="70">
        <v>68</v>
      </c>
      <c r="F41" s="70">
        <f>SUM(E41*30/1000)</f>
        <v>2.04</v>
      </c>
      <c r="G41" s="70">
        <v>2102.71</v>
      </c>
      <c r="H41" s="71">
        <f>SUM(F41*G41/1000)</f>
        <v>4.2895284</v>
      </c>
      <c r="I41" s="13">
        <f>F41/6*G41</f>
        <v>714.92140000000006</v>
      </c>
      <c r="J41" s="23"/>
      <c r="L41" s="19"/>
      <c r="M41" s="20"/>
      <c r="N41" s="21"/>
    </row>
    <row r="42" spans="1:14" ht="15" hidden="1" customHeight="1">
      <c r="A42" s="29"/>
      <c r="B42" s="67" t="s">
        <v>99</v>
      </c>
      <c r="C42" s="68" t="s">
        <v>127</v>
      </c>
      <c r="D42" s="67" t="s">
        <v>159</v>
      </c>
      <c r="E42" s="69"/>
      <c r="F42" s="70">
        <v>50</v>
      </c>
      <c r="G42" s="70">
        <v>199.44</v>
      </c>
      <c r="H42" s="71">
        <f>SUM(F42*G42/1000)</f>
        <v>9.9719999999999995</v>
      </c>
      <c r="I42" s="13">
        <v>0</v>
      </c>
      <c r="J42" s="23"/>
      <c r="L42" s="19"/>
      <c r="M42" s="20"/>
      <c r="N42" s="21"/>
    </row>
    <row r="43" spans="1:14" ht="15" hidden="1" customHeight="1">
      <c r="A43" s="29">
        <v>9</v>
      </c>
      <c r="B43" s="67" t="s">
        <v>70</v>
      </c>
      <c r="C43" s="68" t="s">
        <v>29</v>
      </c>
      <c r="D43" s="67" t="s">
        <v>128</v>
      </c>
      <c r="E43" s="70">
        <v>68</v>
      </c>
      <c r="F43" s="70">
        <f>SUM(E43*155/1000)</f>
        <v>10.54</v>
      </c>
      <c r="G43" s="70">
        <v>350.75</v>
      </c>
      <c r="H43" s="71">
        <f t="shared" si="3"/>
        <v>3.6969049999999997</v>
      </c>
      <c r="I43" s="13">
        <f>F43/6*G43</f>
        <v>616.15083333333325</v>
      </c>
      <c r="J43" s="23"/>
      <c r="L43" s="19"/>
      <c r="M43" s="20"/>
      <c r="N43" s="21"/>
    </row>
    <row r="44" spans="1:14" ht="47.25" hidden="1" customHeight="1">
      <c r="A44" s="29">
        <v>10</v>
      </c>
      <c r="B44" s="67" t="s">
        <v>86</v>
      </c>
      <c r="C44" s="68" t="s">
        <v>122</v>
      </c>
      <c r="D44" s="67" t="s">
        <v>146</v>
      </c>
      <c r="E44" s="70">
        <v>68</v>
      </c>
      <c r="F44" s="70">
        <f>SUM(E44*24/1000)</f>
        <v>1.6319999999999999</v>
      </c>
      <c r="G44" s="70">
        <v>5803.28</v>
      </c>
      <c r="H44" s="71">
        <f t="shared" si="3"/>
        <v>9.4709529599999982</v>
      </c>
      <c r="I44" s="13">
        <f>F44/6*G44</f>
        <v>1578.4921599999998</v>
      </c>
      <c r="J44" s="23"/>
      <c r="L44" s="19"/>
      <c r="M44" s="20"/>
      <c r="N44" s="21"/>
    </row>
    <row r="45" spans="1:14" ht="15" hidden="1" customHeight="1">
      <c r="A45" s="29">
        <v>11</v>
      </c>
      <c r="B45" s="67" t="s">
        <v>129</v>
      </c>
      <c r="C45" s="68" t="s">
        <v>122</v>
      </c>
      <c r="D45" s="67" t="s">
        <v>71</v>
      </c>
      <c r="E45" s="70">
        <v>68</v>
      </c>
      <c r="F45" s="70">
        <f>SUM(E45*45/1000)</f>
        <v>3.06</v>
      </c>
      <c r="G45" s="70">
        <v>428.7</v>
      </c>
      <c r="H45" s="71">
        <f t="shared" si="3"/>
        <v>1.3118219999999998</v>
      </c>
      <c r="I45" s="13">
        <f>F45/6*G45</f>
        <v>218.637</v>
      </c>
      <c r="J45" s="23"/>
      <c r="L45" s="19"/>
      <c r="M45" s="20"/>
      <c r="N45" s="21"/>
    </row>
    <row r="46" spans="1:14" ht="15" hidden="1" customHeight="1">
      <c r="A46" s="29">
        <v>12</v>
      </c>
      <c r="B46" s="67" t="s">
        <v>72</v>
      </c>
      <c r="C46" s="68" t="s">
        <v>33</v>
      </c>
      <c r="D46" s="67"/>
      <c r="E46" s="69"/>
      <c r="F46" s="70">
        <v>0.9</v>
      </c>
      <c r="G46" s="70">
        <v>798</v>
      </c>
      <c r="H46" s="71">
        <f t="shared" si="3"/>
        <v>0.71820000000000006</v>
      </c>
      <c r="I46" s="13">
        <f>F46/6*G46</f>
        <v>119.69999999999999</v>
      </c>
      <c r="J46" s="23"/>
      <c r="L46" s="19"/>
      <c r="M46" s="20"/>
      <c r="N46" s="21"/>
    </row>
    <row r="47" spans="1:14" ht="15.75" customHeight="1">
      <c r="A47" s="136" t="s">
        <v>153</v>
      </c>
      <c r="B47" s="137"/>
      <c r="C47" s="137"/>
      <c r="D47" s="137"/>
      <c r="E47" s="137"/>
      <c r="F47" s="137"/>
      <c r="G47" s="137"/>
      <c r="H47" s="137"/>
      <c r="I47" s="138"/>
      <c r="J47" s="23"/>
      <c r="L47" s="19"/>
      <c r="M47" s="20"/>
      <c r="N47" s="21"/>
    </row>
    <row r="48" spans="1:14" ht="15" customHeight="1">
      <c r="A48" s="29">
        <v>10</v>
      </c>
      <c r="B48" s="67" t="s">
        <v>147</v>
      </c>
      <c r="C48" s="68" t="s">
        <v>122</v>
      </c>
      <c r="D48" s="67" t="s">
        <v>43</v>
      </c>
      <c r="E48" s="69">
        <v>1061.3</v>
      </c>
      <c r="F48" s="70">
        <f>SUM(E48*2/1000)</f>
        <v>2.1225999999999998</v>
      </c>
      <c r="G48" s="13">
        <v>809.74</v>
      </c>
      <c r="H48" s="71">
        <f t="shared" ref="H48:H57" si="4">SUM(F48*G48/1000)</f>
        <v>1.7187541239999997</v>
      </c>
      <c r="I48" s="13">
        <f t="shared" ref="I48:I51" si="5">F48/2*G48</f>
        <v>859.37706199999991</v>
      </c>
      <c r="J48" s="23"/>
      <c r="L48" s="19"/>
      <c r="M48" s="20"/>
      <c r="N48" s="21"/>
    </row>
    <row r="49" spans="1:22" ht="15" customHeight="1">
      <c r="A49" s="29">
        <v>11</v>
      </c>
      <c r="B49" s="67" t="s">
        <v>36</v>
      </c>
      <c r="C49" s="68" t="s">
        <v>122</v>
      </c>
      <c r="D49" s="67" t="s">
        <v>43</v>
      </c>
      <c r="E49" s="69">
        <v>52</v>
      </c>
      <c r="F49" s="70">
        <f>SUM(E49*2/1000)</f>
        <v>0.104</v>
      </c>
      <c r="G49" s="13">
        <v>579.48</v>
      </c>
      <c r="H49" s="71">
        <f t="shared" si="4"/>
        <v>6.0265920000000001E-2</v>
      </c>
      <c r="I49" s="13">
        <f t="shared" si="5"/>
        <v>30.132960000000001</v>
      </c>
      <c r="J49" s="23"/>
      <c r="L49" s="19"/>
      <c r="M49" s="20"/>
      <c r="N49" s="21"/>
    </row>
    <row r="50" spans="1:22" ht="15" customHeight="1">
      <c r="A50" s="29">
        <v>12</v>
      </c>
      <c r="B50" s="67" t="s">
        <v>37</v>
      </c>
      <c r="C50" s="68" t="s">
        <v>122</v>
      </c>
      <c r="D50" s="67" t="s">
        <v>43</v>
      </c>
      <c r="E50" s="69">
        <v>1238.8</v>
      </c>
      <c r="F50" s="70">
        <f>SUM(E50*2/1000)</f>
        <v>2.4775999999999998</v>
      </c>
      <c r="G50" s="13">
        <v>579.48</v>
      </c>
      <c r="H50" s="71">
        <f t="shared" si="4"/>
        <v>1.4357196480000001</v>
      </c>
      <c r="I50" s="13">
        <f t="shared" si="5"/>
        <v>717.859824</v>
      </c>
      <c r="J50" s="23"/>
      <c r="L50" s="19"/>
      <c r="M50" s="20"/>
      <c r="N50" s="21"/>
    </row>
    <row r="51" spans="1:22" ht="15" customHeight="1">
      <c r="A51" s="29">
        <v>13</v>
      </c>
      <c r="B51" s="67" t="s">
        <v>38</v>
      </c>
      <c r="C51" s="68" t="s">
        <v>122</v>
      </c>
      <c r="D51" s="67" t="s">
        <v>43</v>
      </c>
      <c r="E51" s="69">
        <v>1794.01</v>
      </c>
      <c r="F51" s="70">
        <f>SUM(E51*2/1000)</f>
        <v>3.5880199999999998</v>
      </c>
      <c r="G51" s="13">
        <v>606.77</v>
      </c>
      <c r="H51" s="71">
        <f t="shared" si="4"/>
        <v>2.1771028954</v>
      </c>
      <c r="I51" s="13">
        <f t="shared" si="5"/>
        <v>1088.5514476999999</v>
      </c>
      <c r="J51" s="23"/>
      <c r="L51" s="19"/>
      <c r="M51" s="20"/>
      <c r="N51" s="21"/>
    </row>
    <row r="52" spans="1:22" ht="15" customHeight="1">
      <c r="A52" s="29">
        <v>14</v>
      </c>
      <c r="B52" s="67" t="s">
        <v>34</v>
      </c>
      <c r="C52" s="68" t="s">
        <v>35</v>
      </c>
      <c r="D52" s="67" t="s">
        <v>160</v>
      </c>
      <c r="E52" s="69">
        <v>85.78</v>
      </c>
      <c r="F52" s="70">
        <f>SUM(E52*2/100)</f>
        <v>1.7156</v>
      </c>
      <c r="G52" s="13">
        <v>72.81</v>
      </c>
      <c r="H52" s="71">
        <f t="shared" si="4"/>
        <v>0.124912836</v>
      </c>
      <c r="I52" s="13">
        <f>F52/2*G52</f>
        <v>62.456417999999999</v>
      </c>
      <c r="J52" s="23"/>
      <c r="L52" s="19"/>
      <c r="M52" s="20"/>
      <c r="N52" s="21"/>
    </row>
    <row r="53" spans="1:22" ht="15" customHeight="1">
      <c r="A53" s="29">
        <v>15</v>
      </c>
      <c r="B53" s="67" t="s">
        <v>58</v>
      </c>
      <c r="C53" s="68" t="s">
        <v>122</v>
      </c>
      <c r="D53" s="67" t="s">
        <v>180</v>
      </c>
      <c r="E53" s="69">
        <v>884</v>
      </c>
      <c r="F53" s="70">
        <f>SUM(E53*5/1000)</f>
        <v>4.42</v>
      </c>
      <c r="G53" s="13">
        <v>1213.55</v>
      </c>
      <c r="H53" s="71">
        <f t="shared" si="4"/>
        <v>5.3638909999999997</v>
      </c>
      <c r="I53" s="13">
        <f>F53/5*G53</f>
        <v>1072.7782</v>
      </c>
      <c r="J53" s="23"/>
      <c r="L53" s="19"/>
      <c r="M53" s="20"/>
      <c r="N53" s="21"/>
    </row>
    <row r="54" spans="1:22" ht="31.5" hidden="1" customHeight="1">
      <c r="A54" s="29"/>
      <c r="B54" s="67" t="s">
        <v>130</v>
      </c>
      <c r="C54" s="68" t="s">
        <v>122</v>
      </c>
      <c r="D54" s="67" t="s">
        <v>43</v>
      </c>
      <c r="E54" s="69">
        <v>884</v>
      </c>
      <c r="F54" s="70">
        <f>SUM(E54*2/1000)</f>
        <v>1.768</v>
      </c>
      <c r="G54" s="13">
        <v>1213.55</v>
      </c>
      <c r="H54" s="71">
        <f t="shared" si="4"/>
        <v>2.1455563999999998</v>
      </c>
      <c r="I54" s="13">
        <v>0</v>
      </c>
      <c r="J54" s="23"/>
      <c r="L54" s="19"/>
      <c r="M54" s="20"/>
      <c r="N54" s="21"/>
    </row>
    <row r="55" spans="1:22" ht="31.5" hidden="1" customHeight="1">
      <c r="A55" s="29"/>
      <c r="B55" s="67" t="s">
        <v>131</v>
      </c>
      <c r="C55" s="68" t="s">
        <v>39</v>
      </c>
      <c r="D55" s="67" t="s">
        <v>43</v>
      </c>
      <c r="E55" s="69">
        <v>20</v>
      </c>
      <c r="F55" s="70">
        <f>SUM(E55*2/100)</f>
        <v>0.4</v>
      </c>
      <c r="G55" s="13">
        <v>2730.49</v>
      </c>
      <c r="H55" s="71">
        <f t="shared" si="4"/>
        <v>1.0921959999999999</v>
      </c>
      <c r="I55" s="13">
        <v>0</v>
      </c>
      <c r="J55" s="23"/>
      <c r="L55" s="19"/>
      <c r="M55" s="20"/>
      <c r="N55" s="21"/>
    </row>
    <row r="56" spans="1:22" ht="15" hidden="1" customHeight="1">
      <c r="A56" s="29"/>
      <c r="B56" s="67" t="s">
        <v>40</v>
      </c>
      <c r="C56" s="68" t="s">
        <v>41</v>
      </c>
      <c r="D56" s="67" t="s">
        <v>43</v>
      </c>
      <c r="E56" s="69">
        <v>1</v>
      </c>
      <c r="F56" s="70">
        <v>0.02</v>
      </c>
      <c r="G56" s="13">
        <v>5652.13</v>
      </c>
      <c r="H56" s="71">
        <f t="shared" si="4"/>
        <v>0.11304260000000001</v>
      </c>
      <c r="I56" s="13">
        <v>0</v>
      </c>
      <c r="J56" s="23"/>
      <c r="L56" s="19"/>
      <c r="M56" s="20"/>
      <c r="N56" s="21"/>
    </row>
    <row r="57" spans="1:22" ht="15" hidden="1" customHeight="1">
      <c r="A57" s="29">
        <v>14</v>
      </c>
      <c r="B57" s="67" t="s">
        <v>42</v>
      </c>
      <c r="C57" s="68" t="s">
        <v>30</v>
      </c>
      <c r="D57" s="67" t="s">
        <v>73</v>
      </c>
      <c r="E57" s="69">
        <v>136</v>
      </c>
      <c r="F57" s="70">
        <f>SUM(E57)*3</f>
        <v>408</v>
      </c>
      <c r="G57" s="13">
        <v>65.67</v>
      </c>
      <c r="H57" s="71">
        <f t="shared" si="4"/>
        <v>26.79336</v>
      </c>
      <c r="I57" s="13">
        <f>E57*G57</f>
        <v>8931.1200000000008</v>
      </c>
      <c r="J57" s="23"/>
      <c r="L57" s="19"/>
      <c r="M57" s="20"/>
      <c r="N57" s="21"/>
    </row>
    <row r="58" spans="1:22" ht="15.75" customHeight="1">
      <c r="A58" s="136" t="s">
        <v>154</v>
      </c>
      <c r="B58" s="137"/>
      <c r="C58" s="137"/>
      <c r="D58" s="137"/>
      <c r="E58" s="137"/>
      <c r="F58" s="137"/>
      <c r="G58" s="137"/>
      <c r="H58" s="137"/>
      <c r="I58" s="138"/>
      <c r="J58" s="23"/>
      <c r="L58" s="19"/>
      <c r="M58" s="20"/>
      <c r="N58" s="21"/>
    </row>
    <row r="59" spans="1:22" ht="15" hidden="1" customHeight="1">
      <c r="A59" s="29"/>
      <c r="B59" s="90" t="s">
        <v>44</v>
      </c>
      <c r="C59" s="68"/>
      <c r="D59" s="67"/>
      <c r="E59" s="69"/>
      <c r="F59" s="70"/>
      <c r="G59" s="70"/>
      <c r="H59" s="71"/>
      <c r="I59" s="13"/>
      <c r="J59" s="23"/>
      <c r="L59" s="19"/>
      <c r="M59" s="20"/>
      <c r="N59" s="21"/>
    </row>
    <row r="60" spans="1:22" ht="31.5" hidden="1" customHeight="1">
      <c r="A60" s="29">
        <v>15</v>
      </c>
      <c r="B60" s="67" t="s">
        <v>133</v>
      </c>
      <c r="C60" s="68" t="s">
        <v>104</v>
      </c>
      <c r="D60" s="67" t="s">
        <v>74</v>
      </c>
      <c r="E60" s="69">
        <v>106.13</v>
      </c>
      <c r="F60" s="70">
        <f>E60*6/100</f>
        <v>6.3677999999999999</v>
      </c>
      <c r="G60" s="78">
        <v>1547.28</v>
      </c>
      <c r="H60" s="71">
        <f>F60*G60/1000</f>
        <v>9.8527695839999989</v>
      </c>
      <c r="I60" s="13">
        <f>F60/6*G60</f>
        <v>1642.1282639999999</v>
      </c>
      <c r="J60" s="23"/>
      <c r="L60" s="19"/>
    </row>
    <row r="61" spans="1:22" ht="15" customHeight="1">
      <c r="A61" s="29"/>
      <c r="B61" s="91" t="s">
        <v>45</v>
      </c>
      <c r="C61" s="79"/>
      <c r="D61" s="80"/>
      <c r="E61" s="81"/>
      <c r="F61" s="82"/>
      <c r="G61" s="83"/>
      <c r="H61" s="92"/>
      <c r="I61" s="13"/>
    </row>
    <row r="62" spans="1:22" ht="15" hidden="1" customHeight="1">
      <c r="A62" s="29"/>
      <c r="B62" s="80" t="s">
        <v>46</v>
      </c>
      <c r="C62" s="79" t="s">
        <v>54</v>
      </c>
      <c r="D62" s="80" t="s">
        <v>55</v>
      </c>
      <c r="E62" s="81">
        <v>884</v>
      </c>
      <c r="F62" s="82">
        <f>E62/100</f>
        <v>8.84</v>
      </c>
      <c r="G62" s="70">
        <v>793.61</v>
      </c>
      <c r="H62" s="92">
        <f>G62*F62/1000</f>
        <v>7.0155123999999995</v>
      </c>
      <c r="I62" s="13">
        <v>0</v>
      </c>
    </row>
    <row r="63" spans="1:22" ht="15" customHeight="1">
      <c r="A63" s="29">
        <v>16</v>
      </c>
      <c r="B63" s="80" t="s">
        <v>100</v>
      </c>
      <c r="C63" s="79" t="s">
        <v>25</v>
      </c>
      <c r="D63" s="80"/>
      <c r="E63" s="81">
        <v>176.8</v>
      </c>
      <c r="F63" s="82">
        <v>1200</v>
      </c>
      <c r="G63" s="70">
        <v>1.2</v>
      </c>
      <c r="H63" s="92">
        <f>G63*F63</f>
        <v>1440</v>
      </c>
      <c r="I63" s="13">
        <f>F63/12*G63</f>
        <v>120</v>
      </c>
    </row>
    <row r="64" spans="1:22" ht="15" customHeight="1">
      <c r="A64" s="29"/>
      <c r="B64" s="91" t="s">
        <v>47</v>
      </c>
      <c r="C64" s="79"/>
      <c r="D64" s="80"/>
      <c r="E64" s="81"/>
      <c r="F64" s="82"/>
      <c r="G64" s="70"/>
      <c r="H64" s="92" t="s">
        <v>140</v>
      </c>
      <c r="I64" s="1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9"/>
    </row>
    <row r="65" spans="1:21" ht="13.5" hidden="1" customHeight="1">
      <c r="A65" s="29">
        <v>17</v>
      </c>
      <c r="B65" s="14" t="s">
        <v>48</v>
      </c>
      <c r="C65" s="16" t="s">
        <v>132</v>
      </c>
      <c r="D65" s="14" t="s">
        <v>69</v>
      </c>
      <c r="E65" s="18">
        <v>20</v>
      </c>
      <c r="F65" s="70">
        <v>20</v>
      </c>
      <c r="G65" s="94">
        <v>222.4</v>
      </c>
      <c r="H65" s="93">
        <f t="shared" ref="H65:H80" si="6">SUM(F65*G65/1000)</f>
        <v>4.4480000000000004</v>
      </c>
      <c r="I65" s="13">
        <f>G65*1</f>
        <v>222.4</v>
      </c>
      <c r="J65" s="25"/>
      <c r="K65" s="25"/>
      <c r="L65" s="3"/>
      <c r="M65" s="3"/>
      <c r="N65" s="3"/>
      <c r="O65" s="3"/>
      <c r="P65" s="3"/>
      <c r="Q65" s="3"/>
      <c r="R65" s="3"/>
      <c r="S65" s="3"/>
      <c r="T65" s="3"/>
      <c r="U65" s="3"/>
    </row>
    <row r="66" spans="1:21" ht="13.5" hidden="1" customHeight="1">
      <c r="A66" s="29">
        <v>17</v>
      </c>
      <c r="B66" s="14" t="s">
        <v>49</v>
      </c>
      <c r="C66" s="16" t="s">
        <v>132</v>
      </c>
      <c r="D66" s="14" t="s">
        <v>69</v>
      </c>
      <c r="E66" s="14" t="s">
        <v>69</v>
      </c>
      <c r="F66" s="14" t="s">
        <v>69</v>
      </c>
      <c r="G66" s="13">
        <v>76.25</v>
      </c>
      <c r="H66" s="84" t="e">
        <f t="shared" si="6"/>
        <v>#VALUE!</v>
      </c>
      <c r="I66" s="13">
        <f>G66</f>
        <v>76.25</v>
      </c>
      <c r="J66" s="3"/>
      <c r="K66" s="3"/>
      <c r="L66" s="3"/>
      <c r="M66" s="3"/>
      <c r="N66" s="3"/>
      <c r="O66" s="3"/>
      <c r="P66" s="3"/>
      <c r="Q66" s="3"/>
      <c r="S66" s="3"/>
      <c r="T66" s="3"/>
      <c r="U66" s="3"/>
    </row>
    <row r="67" spans="1:21" ht="16.5" hidden="1" customHeight="1">
      <c r="A67" s="29"/>
      <c r="B67" s="14" t="s">
        <v>50</v>
      </c>
      <c r="C67" s="16" t="s">
        <v>134</v>
      </c>
      <c r="D67" s="14" t="s">
        <v>55</v>
      </c>
      <c r="E67" s="69">
        <v>12647</v>
      </c>
      <c r="F67" s="13">
        <f>SUM(E67/100)</f>
        <v>126.47</v>
      </c>
      <c r="G67" s="13">
        <v>212.15</v>
      </c>
      <c r="H67" s="84">
        <f t="shared" si="6"/>
        <v>26.830610499999999</v>
      </c>
      <c r="I67" s="13">
        <f>F67*G67</f>
        <v>26830.610499999999</v>
      </c>
      <c r="J67" s="5"/>
      <c r="K67" s="5"/>
      <c r="L67" s="5"/>
      <c r="M67" s="5"/>
      <c r="N67" s="5"/>
      <c r="O67" s="5"/>
      <c r="P67" s="5"/>
      <c r="Q67" s="5"/>
      <c r="R67" s="124"/>
      <c r="S67" s="124"/>
      <c r="T67" s="124"/>
      <c r="U67" s="124"/>
    </row>
    <row r="68" spans="1:21" ht="13.5" hidden="1" customHeight="1">
      <c r="A68" s="29"/>
      <c r="B68" s="14" t="s">
        <v>51</v>
      </c>
      <c r="C68" s="16" t="s">
        <v>135</v>
      </c>
      <c r="D68" s="14"/>
      <c r="E68" s="69">
        <v>12647</v>
      </c>
      <c r="F68" s="13">
        <f>SUM(E68/1000)</f>
        <v>12.647</v>
      </c>
      <c r="G68" s="13">
        <v>165.21</v>
      </c>
      <c r="H68" s="84">
        <f t="shared" si="6"/>
        <v>2.08941087</v>
      </c>
      <c r="I68" s="13">
        <f t="shared" ref="I68:I71" si="7">F68*G68</f>
        <v>2089.4108700000002</v>
      </c>
    </row>
    <row r="69" spans="1:21" ht="12.75" hidden="1" customHeight="1">
      <c r="A69" s="29"/>
      <c r="B69" s="14" t="s">
        <v>52</v>
      </c>
      <c r="C69" s="16" t="s">
        <v>80</v>
      </c>
      <c r="D69" s="14" t="s">
        <v>55</v>
      </c>
      <c r="E69" s="69">
        <v>1900</v>
      </c>
      <c r="F69" s="13">
        <f>SUM(E69/100)</f>
        <v>19</v>
      </c>
      <c r="G69" s="13">
        <v>2074.63</v>
      </c>
      <c r="H69" s="84">
        <f t="shared" si="6"/>
        <v>39.417970000000004</v>
      </c>
      <c r="I69" s="13">
        <f t="shared" si="7"/>
        <v>39417.97</v>
      </c>
    </row>
    <row r="70" spans="1:21" ht="12.75" hidden="1" customHeight="1">
      <c r="A70" s="29"/>
      <c r="B70" s="85" t="s">
        <v>136</v>
      </c>
      <c r="C70" s="16" t="s">
        <v>33</v>
      </c>
      <c r="D70" s="14"/>
      <c r="E70" s="69">
        <v>11.3</v>
      </c>
      <c r="F70" s="13">
        <f>SUM(E70)</f>
        <v>11.3</v>
      </c>
      <c r="G70" s="13">
        <v>42.67</v>
      </c>
      <c r="H70" s="84">
        <f t="shared" si="6"/>
        <v>0.48217100000000007</v>
      </c>
      <c r="I70" s="13">
        <f t="shared" si="7"/>
        <v>482.17100000000005</v>
      </c>
    </row>
    <row r="71" spans="1:21" ht="13.5" hidden="1" customHeight="1">
      <c r="A71" s="29"/>
      <c r="B71" s="85" t="s">
        <v>137</v>
      </c>
      <c r="C71" s="16" t="s">
        <v>33</v>
      </c>
      <c r="D71" s="14"/>
      <c r="E71" s="69">
        <v>11.3</v>
      </c>
      <c r="F71" s="13">
        <f>SUM(E71)</f>
        <v>11.3</v>
      </c>
      <c r="G71" s="13">
        <v>39.81</v>
      </c>
      <c r="H71" s="84">
        <f t="shared" si="6"/>
        <v>0.44985300000000006</v>
      </c>
      <c r="I71" s="13">
        <f t="shared" si="7"/>
        <v>449.85300000000007</v>
      </c>
    </row>
    <row r="72" spans="1:21" ht="15" customHeight="1">
      <c r="A72" s="29">
        <v>17</v>
      </c>
      <c r="B72" s="14" t="s">
        <v>59</v>
      </c>
      <c r="C72" s="16" t="s">
        <v>60</v>
      </c>
      <c r="D72" s="14" t="s">
        <v>55</v>
      </c>
      <c r="E72" s="18">
        <v>6</v>
      </c>
      <c r="F72" s="70">
        <f>SUM(E72)</f>
        <v>6</v>
      </c>
      <c r="G72" s="13">
        <v>49.88</v>
      </c>
      <c r="H72" s="84">
        <f t="shared" si="6"/>
        <v>0.29928000000000005</v>
      </c>
      <c r="I72" s="13">
        <f>F72*G72</f>
        <v>299.28000000000003</v>
      </c>
    </row>
    <row r="73" spans="1:21" ht="15" hidden="1" customHeight="1">
      <c r="A73" s="29"/>
      <c r="B73" s="57" t="s">
        <v>75</v>
      </c>
      <c r="C73" s="16"/>
      <c r="D73" s="14"/>
      <c r="E73" s="18"/>
      <c r="F73" s="13"/>
      <c r="G73" s="13"/>
      <c r="H73" s="84" t="s">
        <v>140</v>
      </c>
      <c r="I73" s="13"/>
    </row>
    <row r="74" spans="1:21" ht="15" hidden="1" customHeight="1">
      <c r="A74" s="29"/>
      <c r="B74" s="14" t="s">
        <v>76</v>
      </c>
      <c r="C74" s="16" t="s">
        <v>31</v>
      </c>
      <c r="D74" s="14"/>
      <c r="E74" s="18">
        <v>5</v>
      </c>
      <c r="F74" s="61">
        <v>0.5</v>
      </c>
      <c r="G74" s="13">
        <v>501.62</v>
      </c>
      <c r="H74" s="84">
        <v>0.251</v>
      </c>
      <c r="I74" s="13">
        <v>0</v>
      </c>
    </row>
    <row r="75" spans="1:21" ht="15" hidden="1" customHeight="1">
      <c r="A75" s="29"/>
      <c r="B75" s="14" t="s">
        <v>148</v>
      </c>
      <c r="C75" s="16" t="s">
        <v>30</v>
      </c>
      <c r="D75" s="14"/>
      <c r="E75" s="18">
        <v>2</v>
      </c>
      <c r="F75" s="13">
        <v>2</v>
      </c>
      <c r="G75" s="13">
        <v>99.85</v>
      </c>
      <c r="H75" s="84">
        <v>0.1</v>
      </c>
      <c r="I75" s="13">
        <v>0</v>
      </c>
    </row>
    <row r="76" spans="1:21" ht="15" hidden="1" customHeight="1">
      <c r="A76" s="29"/>
      <c r="B76" s="14" t="s">
        <v>149</v>
      </c>
      <c r="C76" s="16" t="s">
        <v>30</v>
      </c>
      <c r="D76" s="14"/>
      <c r="E76" s="18">
        <v>1</v>
      </c>
      <c r="F76" s="61">
        <v>1</v>
      </c>
      <c r="G76" s="13">
        <v>120.26</v>
      </c>
      <c r="H76" s="84">
        <v>0.12</v>
      </c>
      <c r="I76" s="13">
        <v>0</v>
      </c>
    </row>
    <row r="77" spans="1:21" ht="15" hidden="1" customHeight="1">
      <c r="A77" s="29"/>
      <c r="B77" s="14" t="s">
        <v>91</v>
      </c>
      <c r="C77" s="16" t="s">
        <v>30</v>
      </c>
      <c r="D77" s="14"/>
      <c r="E77" s="18">
        <v>1</v>
      </c>
      <c r="F77" s="70">
        <f>SUM(E77)</f>
        <v>1</v>
      </c>
      <c r="G77" s="13">
        <v>358.51</v>
      </c>
      <c r="H77" s="84">
        <f t="shared" si="6"/>
        <v>0.35851</v>
      </c>
      <c r="I77" s="13">
        <v>0</v>
      </c>
    </row>
    <row r="78" spans="1:21" ht="15" hidden="1" customHeight="1">
      <c r="A78" s="29"/>
      <c r="B78" s="14" t="s">
        <v>77</v>
      </c>
      <c r="C78" s="16" t="s">
        <v>30</v>
      </c>
      <c r="D78" s="14"/>
      <c r="E78" s="18">
        <v>1</v>
      </c>
      <c r="F78" s="13">
        <v>1</v>
      </c>
      <c r="G78" s="13">
        <v>852.99</v>
      </c>
      <c r="H78" s="84">
        <f>F78*G78/1000</f>
        <v>0.85299000000000003</v>
      </c>
      <c r="I78" s="13">
        <v>0</v>
      </c>
    </row>
    <row r="79" spans="1:21" ht="15" hidden="1" customHeight="1">
      <c r="A79" s="29"/>
      <c r="B79" s="86" t="s">
        <v>79</v>
      </c>
      <c r="C79" s="16"/>
      <c r="D79" s="14"/>
      <c r="E79" s="18"/>
      <c r="F79" s="13"/>
      <c r="G79" s="13" t="s">
        <v>140</v>
      </c>
      <c r="H79" s="84" t="s">
        <v>140</v>
      </c>
      <c r="I79" s="13"/>
    </row>
    <row r="80" spans="1:21" ht="15" hidden="1" customHeight="1">
      <c r="A80" s="29"/>
      <c r="B80" s="44" t="s">
        <v>141</v>
      </c>
      <c r="C80" s="16" t="s">
        <v>80</v>
      </c>
      <c r="D80" s="14"/>
      <c r="E80" s="18"/>
      <c r="F80" s="13">
        <v>0.2</v>
      </c>
      <c r="G80" s="13">
        <v>2759.44</v>
      </c>
      <c r="H80" s="84">
        <f t="shared" si="6"/>
        <v>0.55188800000000005</v>
      </c>
      <c r="I80" s="13">
        <v>0</v>
      </c>
    </row>
    <row r="81" spans="1:9" ht="15" hidden="1" customHeight="1">
      <c r="A81" s="29"/>
      <c r="B81" s="74" t="s">
        <v>138</v>
      </c>
      <c r="C81" s="86"/>
      <c r="D81" s="31"/>
      <c r="E81" s="32"/>
      <c r="F81" s="75"/>
      <c r="G81" s="75"/>
      <c r="H81" s="87" t="e">
        <f>SUM(H60:H80)</f>
        <v>#VALUE!</v>
      </c>
      <c r="I81" s="75"/>
    </row>
    <row r="82" spans="1:9" ht="15" hidden="1" customHeight="1">
      <c r="A82" s="29"/>
      <c r="B82" s="67" t="s">
        <v>139</v>
      </c>
      <c r="C82" s="16"/>
      <c r="D82" s="14"/>
      <c r="E82" s="62"/>
      <c r="F82" s="13">
        <v>1</v>
      </c>
      <c r="G82" s="13">
        <v>13437.4</v>
      </c>
      <c r="H82" s="84">
        <f>G82*F82/1000</f>
        <v>13.4374</v>
      </c>
      <c r="I82" s="13">
        <v>0</v>
      </c>
    </row>
    <row r="83" spans="1:9" ht="15.75" customHeight="1">
      <c r="A83" s="125" t="s">
        <v>155</v>
      </c>
      <c r="B83" s="126"/>
      <c r="C83" s="126"/>
      <c r="D83" s="126"/>
      <c r="E83" s="126"/>
      <c r="F83" s="126"/>
      <c r="G83" s="126"/>
      <c r="H83" s="126"/>
      <c r="I83" s="127"/>
    </row>
    <row r="84" spans="1:9" ht="15" customHeight="1">
      <c r="A84" s="29">
        <v>18</v>
      </c>
      <c r="B84" s="67" t="s">
        <v>142</v>
      </c>
      <c r="C84" s="16" t="s">
        <v>56</v>
      </c>
      <c r="D84" s="88" t="s">
        <v>57</v>
      </c>
      <c r="E84" s="13">
        <v>3031.3</v>
      </c>
      <c r="F84" s="13">
        <f>SUM(E84*12)</f>
        <v>36375.600000000006</v>
      </c>
      <c r="G84" s="13">
        <v>2.1</v>
      </c>
      <c r="H84" s="84">
        <f>SUM(F84*G84/1000)</f>
        <v>76.388760000000005</v>
      </c>
      <c r="I84" s="13">
        <f>F84/12*G84</f>
        <v>6365.7300000000014</v>
      </c>
    </row>
    <row r="85" spans="1:9" ht="31.5" customHeight="1">
      <c r="A85" s="29">
        <v>19</v>
      </c>
      <c r="B85" s="14" t="s">
        <v>81</v>
      </c>
      <c r="C85" s="16"/>
      <c r="D85" s="88" t="s">
        <v>57</v>
      </c>
      <c r="E85" s="69">
        <f>E84</f>
        <v>3031.3</v>
      </c>
      <c r="F85" s="13">
        <f>E85*12</f>
        <v>36375.600000000006</v>
      </c>
      <c r="G85" s="13">
        <v>1.63</v>
      </c>
      <c r="H85" s="84">
        <f>F85*G85/1000</f>
        <v>59.292228000000001</v>
      </c>
      <c r="I85" s="13">
        <f>F85/12*G85</f>
        <v>4941.0190000000011</v>
      </c>
    </row>
    <row r="86" spans="1:9" ht="15.75" customHeight="1">
      <c r="A86" s="45"/>
      <c r="B86" s="36" t="s">
        <v>83</v>
      </c>
      <c r="C86" s="37"/>
      <c r="D86" s="15"/>
      <c r="E86" s="15"/>
      <c r="F86" s="15"/>
      <c r="G86" s="18"/>
      <c r="H86" s="18"/>
      <c r="I86" s="32">
        <f>I85+I84+I72+I63+I53+I52+I51+I50+I49+I48+I35+I34+I32+I31+I28+I27+I18+I17+I16</f>
        <v>43643.939866655557</v>
      </c>
    </row>
    <row r="87" spans="1:9" ht="15.75" customHeight="1">
      <c r="A87" s="139" t="s">
        <v>62</v>
      </c>
      <c r="B87" s="140"/>
      <c r="C87" s="140"/>
      <c r="D87" s="140"/>
      <c r="E87" s="140"/>
      <c r="F87" s="140"/>
      <c r="G87" s="140"/>
      <c r="H87" s="140"/>
      <c r="I87" s="141"/>
    </row>
    <row r="88" spans="1:9" ht="30" customHeight="1">
      <c r="A88" s="29">
        <v>20</v>
      </c>
      <c r="B88" s="49" t="s">
        <v>92</v>
      </c>
      <c r="C88" s="51" t="s">
        <v>96</v>
      </c>
      <c r="D88" s="44"/>
      <c r="E88" s="13"/>
      <c r="F88" s="13">
        <v>7</v>
      </c>
      <c r="G88" s="34">
        <v>613.44000000000005</v>
      </c>
      <c r="H88" s="84">
        <f t="shared" ref="H88:H90" si="8">G88*F88/1000</f>
        <v>4.2940800000000001</v>
      </c>
      <c r="I88" s="13">
        <f>G88*1</f>
        <v>613.44000000000005</v>
      </c>
    </row>
    <row r="89" spans="1:9" ht="17.25" customHeight="1">
      <c r="A89" s="29">
        <v>21</v>
      </c>
      <c r="B89" s="49" t="s">
        <v>251</v>
      </c>
      <c r="C89" s="51" t="s">
        <v>132</v>
      </c>
      <c r="D89" s="44"/>
      <c r="E89" s="13"/>
      <c r="F89" s="13">
        <v>6</v>
      </c>
      <c r="G89" s="34">
        <v>38.67</v>
      </c>
      <c r="H89" s="84">
        <f t="shared" si="8"/>
        <v>0.23202</v>
      </c>
      <c r="I89" s="13">
        <f>G89*1</f>
        <v>38.67</v>
      </c>
    </row>
    <row r="90" spans="1:9" ht="17.25" customHeight="1">
      <c r="A90" s="29">
        <v>22</v>
      </c>
      <c r="B90" s="52" t="s">
        <v>252</v>
      </c>
      <c r="C90" s="53" t="s">
        <v>96</v>
      </c>
      <c r="D90" s="106"/>
      <c r="E90" s="13"/>
      <c r="F90" s="13">
        <v>0.03</v>
      </c>
      <c r="G90" s="34">
        <v>546.01</v>
      </c>
      <c r="H90" s="84">
        <f t="shared" si="8"/>
        <v>1.6380299999999997E-2</v>
      </c>
      <c r="I90" s="13">
        <f>G90*1</f>
        <v>546.01</v>
      </c>
    </row>
    <row r="91" spans="1:9" ht="18.75" customHeight="1">
      <c r="A91" s="29">
        <v>23</v>
      </c>
      <c r="B91" s="107" t="s">
        <v>253</v>
      </c>
      <c r="C91" s="53" t="s">
        <v>56</v>
      </c>
      <c r="D91" s="16" t="s">
        <v>255</v>
      </c>
      <c r="E91" s="34"/>
      <c r="F91" s="34">
        <v>3</v>
      </c>
      <c r="G91" s="34">
        <v>70.819999999999993</v>
      </c>
      <c r="H91" s="102">
        <f>G91*F91/1000</f>
        <v>0.21245999999999998</v>
      </c>
      <c r="I91" s="13">
        <f>G91*0.5</f>
        <v>35.409999999999997</v>
      </c>
    </row>
    <row r="92" spans="1:9" ht="18.75" customHeight="1">
      <c r="A92" s="29">
        <v>24</v>
      </c>
      <c r="B92" s="107" t="s">
        <v>254</v>
      </c>
      <c r="C92" s="53" t="s">
        <v>56</v>
      </c>
      <c r="D92" s="44"/>
      <c r="E92" s="34"/>
      <c r="F92" s="34">
        <v>2</v>
      </c>
      <c r="G92" s="34">
        <v>560.32000000000005</v>
      </c>
      <c r="H92" s="102">
        <f t="shared" ref="H92" si="9">G92*F92/1000</f>
        <v>1.1206400000000001</v>
      </c>
      <c r="I92" s="13">
        <f>G92*0.5</f>
        <v>280.16000000000003</v>
      </c>
    </row>
    <row r="93" spans="1:9" ht="15" customHeight="1">
      <c r="A93" s="29">
        <v>25</v>
      </c>
      <c r="B93" s="122" t="s">
        <v>256</v>
      </c>
      <c r="C93" s="37" t="s">
        <v>101</v>
      </c>
      <c r="D93" s="16" t="s">
        <v>262</v>
      </c>
      <c r="E93" s="34"/>
      <c r="F93" s="34">
        <v>5</v>
      </c>
      <c r="G93" s="53">
        <v>396.32</v>
      </c>
      <c r="H93" s="102">
        <f>G93*F93/1000</f>
        <v>1.9815999999999998</v>
      </c>
      <c r="I93" s="13">
        <f>G93*0.02</f>
        <v>7.9264000000000001</v>
      </c>
    </row>
    <row r="94" spans="1:9" ht="15" customHeight="1">
      <c r="A94" s="29">
        <v>26</v>
      </c>
      <c r="B94" s="52" t="s">
        <v>257</v>
      </c>
      <c r="C94" s="53" t="s">
        <v>54</v>
      </c>
      <c r="D94" s="44"/>
      <c r="E94" s="13"/>
      <c r="F94" s="13">
        <v>0.01</v>
      </c>
      <c r="G94" s="53">
        <v>31303.91</v>
      </c>
      <c r="H94" s="84">
        <f t="shared" ref="H94" si="10">G94*F94/1000</f>
        <v>0.31303910000000001</v>
      </c>
      <c r="I94" s="13">
        <f>G94*0.002</f>
        <v>62.607820000000004</v>
      </c>
    </row>
    <row r="95" spans="1:9" ht="15" customHeight="1">
      <c r="A95" s="29">
        <v>27</v>
      </c>
      <c r="B95" s="52" t="s">
        <v>258</v>
      </c>
      <c r="C95" s="53" t="s">
        <v>132</v>
      </c>
      <c r="D95" s="44"/>
      <c r="E95" s="13"/>
      <c r="F95" s="13"/>
      <c r="G95" s="53">
        <v>330</v>
      </c>
      <c r="H95" s="84"/>
      <c r="I95" s="13">
        <f>G95*1</f>
        <v>330</v>
      </c>
    </row>
    <row r="96" spans="1:9" ht="30.75" customHeight="1">
      <c r="A96" s="29">
        <v>28</v>
      </c>
      <c r="B96" s="52" t="s">
        <v>163</v>
      </c>
      <c r="C96" s="53" t="s">
        <v>107</v>
      </c>
      <c r="D96" s="44"/>
      <c r="E96" s="13"/>
      <c r="F96" s="13"/>
      <c r="G96" s="34">
        <v>56.34</v>
      </c>
      <c r="H96" s="84"/>
      <c r="I96" s="13">
        <f>G96*1</f>
        <v>56.34</v>
      </c>
    </row>
    <row r="97" spans="1:9" ht="15" customHeight="1">
      <c r="A97" s="29">
        <v>29</v>
      </c>
      <c r="B97" s="52" t="s">
        <v>85</v>
      </c>
      <c r="C97" s="53" t="s">
        <v>132</v>
      </c>
      <c r="D97" s="44"/>
      <c r="E97" s="13"/>
      <c r="F97" s="13"/>
      <c r="G97" s="34">
        <v>197.48</v>
      </c>
      <c r="H97" s="84"/>
      <c r="I97" s="13">
        <f>G97*2</f>
        <v>394.96</v>
      </c>
    </row>
    <row r="98" spans="1:9" ht="15" customHeight="1">
      <c r="A98" s="29">
        <v>30</v>
      </c>
      <c r="B98" s="49" t="s">
        <v>167</v>
      </c>
      <c r="C98" s="51" t="s">
        <v>87</v>
      </c>
      <c r="D98" s="44"/>
      <c r="E98" s="13"/>
      <c r="F98" s="13"/>
      <c r="G98" s="34">
        <v>203.68</v>
      </c>
      <c r="H98" s="84"/>
      <c r="I98" s="13">
        <f>G98*1</f>
        <v>203.68</v>
      </c>
    </row>
    <row r="99" spans="1:9" ht="15.75" customHeight="1">
      <c r="A99" s="29"/>
      <c r="B99" s="42" t="s">
        <v>53</v>
      </c>
      <c r="C99" s="38"/>
      <c r="D99" s="46"/>
      <c r="E99" s="38">
        <v>1</v>
      </c>
      <c r="F99" s="38"/>
      <c r="G99" s="38"/>
      <c r="H99" s="38"/>
      <c r="I99" s="32">
        <f>SUM(I88:I98)</f>
        <v>2569.2042199999996</v>
      </c>
    </row>
    <row r="100" spans="1:9" ht="15.75" customHeight="1">
      <c r="A100" s="29"/>
      <c r="B100" s="44" t="s">
        <v>82</v>
      </c>
      <c r="C100" s="15"/>
      <c r="D100" s="15"/>
      <c r="E100" s="39"/>
      <c r="F100" s="39"/>
      <c r="G100" s="40"/>
      <c r="H100" s="40"/>
      <c r="I100" s="17">
        <v>0</v>
      </c>
    </row>
    <row r="101" spans="1:9" ht="15.75" customHeight="1">
      <c r="A101" s="47"/>
      <c r="B101" s="43" t="s">
        <v>192</v>
      </c>
      <c r="C101" s="33"/>
      <c r="D101" s="33"/>
      <c r="E101" s="33"/>
      <c r="F101" s="33"/>
      <c r="G101" s="33"/>
      <c r="H101" s="33"/>
      <c r="I101" s="41">
        <f>I86+I99</f>
        <v>46213.144086655557</v>
      </c>
    </row>
    <row r="102" spans="1:9" ht="15.75">
      <c r="A102" s="142" t="s">
        <v>263</v>
      </c>
      <c r="B102" s="142"/>
      <c r="C102" s="142"/>
      <c r="D102" s="142"/>
      <c r="E102" s="142"/>
      <c r="F102" s="142"/>
      <c r="G102" s="142"/>
      <c r="H102" s="142"/>
      <c r="I102" s="142"/>
    </row>
    <row r="103" spans="1:9" ht="15.75">
      <c r="A103" s="60"/>
      <c r="B103" s="143" t="s">
        <v>264</v>
      </c>
      <c r="C103" s="143"/>
      <c r="D103" s="143"/>
      <c r="E103" s="143"/>
      <c r="F103" s="143"/>
      <c r="G103" s="143"/>
      <c r="H103" s="65"/>
      <c r="I103" s="3"/>
    </row>
    <row r="104" spans="1:9">
      <c r="A104" s="56"/>
      <c r="B104" s="144" t="s">
        <v>6</v>
      </c>
      <c r="C104" s="144"/>
      <c r="D104" s="144"/>
      <c r="E104" s="144"/>
      <c r="F104" s="144"/>
      <c r="G104" s="144"/>
      <c r="H104" s="24"/>
      <c r="I104" s="5"/>
    </row>
    <row r="105" spans="1:9">
      <c r="A105" s="10"/>
      <c r="B105" s="10"/>
      <c r="C105" s="10"/>
      <c r="D105" s="10"/>
      <c r="E105" s="10"/>
      <c r="F105" s="10"/>
      <c r="G105" s="10"/>
      <c r="H105" s="10"/>
      <c r="I105" s="10"/>
    </row>
    <row r="106" spans="1:9" ht="15.75">
      <c r="A106" s="145" t="s">
        <v>7</v>
      </c>
      <c r="B106" s="145"/>
      <c r="C106" s="145"/>
      <c r="D106" s="145"/>
      <c r="E106" s="145"/>
      <c r="F106" s="145"/>
      <c r="G106" s="145"/>
      <c r="H106" s="145"/>
      <c r="I106" s="145"/>
    </row>
    <row r="107" spans="1:9" ht="15.75">
      <c r="A107" s="145" t="s">
        <v>8</v>
      </c>
      <c r="B107" s="145"/>
      <c r="C107" s="145"/>
      <c r="D107" s="145"/>
      <c r="E107" s="145"/>
      <c r="F107" s="145"/>
      <c r="G107" s="145"/>
      <c r="H107" s="145"/>
      <c r="I107" s="145"/>
    </row>
    <row r="108" spans="1:9" ht="15.75">
      <c r="A108" s="134" t="s">
        <v>63</v>
      </c>
      <c r="B108" s="134"/>
      <c r="C108" s="134"/>
      <c r="D108" s="134"/>
      <c r="E108" s="134"/>
      <c r="F108" s="134"/>
      <c r="G108" s="134"/>
      <c r="H108" s="134"/>
      <c r="I108" s="134"/>
    </row>
    <row r="109" spans="1:9" ht="15.75">
      <c r="A109" s="11"/>
    </row>
    <row r="110" spans="1:9" ht="15.75">
      <c r="A110" s="147" t="s">
        <v>9</v>
      </c>
      <c r="B110" s="147"/>
      <c r="C110" s="147"/>
      <c r="D110" s="147"/>
      <c r="E110" s="147"/>
      <c r="F110" s="147"/>
      <c r="G110" s="147"/>
      <c r="H110" s="147"/>
      <c r="I110" s="147"/>
    </row>
    <row r="111" spans="1:9" ht="15.75">
      <c r="A111" s="4"/>
    </row>
    <row r="112" spans="1:9" ht="15.75">
      <c r="B112" s="59" t="s">
        <v>10</v>
      </c>
      <c r="C112" s="148" t="s">
        <v>93</v>
      </c>
      <c r="D112" s="148"/>
      <c r="E112" s="148"/>
      <c r="F112" s="63"/>
      <c r="I112" s="55"/>
    </row>
    <row r="113" spans="1:9">
      <c r="A113" s="56"/>
      <c r="C113" s="144" t="s">
        <v>11</v>
      </c>
      <c r="D113" s="144"/>
      <c r="E113" s="144"/>
      <c r="F113" s="24"/>
      <c r="I113" s="54" t="s">
        <v>12</v>
      </c>
    </row>
    <row r="114" spans="1:9" ht="15.75">
      <c r="A114" s="25"/>
      <c r="C114" s="12"/>
      <c r="D114" s="12"/>
      <c r="G114" s="12"/>
      <c r="H114" s="12"/>
    </row>
    <row r="115" spans="1:9" ht="15.75">
      <c r="B115" s="59" t="s">
        <v>13</v>
      </c>
      <c r="C115" s="149"/>
      <c r="D115" s="149"/>
      <c r="E115" s="149"/>
      <c r="F115" s="64"/>
      <c r="I115" s="55"/>
    </row>
    <row r="116" spans="1:9">
      <c r="A116" s="56"/>
      <c r="C116" s="124" t="s">
        <v>11</v>
      </c>
      <c r="D116" s="124"/>
      <c r="E116" s="124"/>
      <c r="F116" s="56"/>
      <c r="I116" s="54" t="s">
        <v>12</v>
      </c>
    </row>
    <row r="117" spans="1:9" ht="15.75">
      <c r="A117" s="4" t="s">
        <v>14</v>
      </c>
    </row>
    <row r="118" spans="1:9">
      <c r="A118" s="150" t="s">
        <v>15</v>
      </c>
      <c r="B118" s="150"/>
      <c r="C118" s="150"/>
      <c r="D118" s="150"/>
      <c r="E118" s="150"/>
      <c r="F118" s="150"/>
      <c r="G118" s="150"/>
      <c r="H118" s="150"/>
      <c r="I118" s="150"/>
    </row>
    <row r="119" spans="1:9" ht="45" customHeight="1">
      <c r="A119" s="146" t="s">
        <v>16</v>
      </c>
      <c r="B119" s="146"/>
      <c r="C119" s="146"/>
      <c r="D119" s="146"/>
      <c r="E119" s="146"/>
      <c r="F119" s="146"/>
      <c r="G119" s="146"/>
      <c r="H119" s="146"/>
      <c r="I119" s="146"/>
    </row>
    <row r="120" spans="1:9" ht="30" customHeight="1">
      <c r="A120" s="146" t="s">
        <v>17</v>
      </c>
      <c r="B120" s="146"/>
      <c r="C120" s="146"/>
      <c r="D120" s="146"/>
      <c r="E120" s="146"/>
      <c r="F120" s="146"/>
      <c r="G120" s="146"/>
      <c r="H120" s="146"/>
      <c r="I120" s="146"/>
    </row>
    <row r="121" spans="1:9" ht="30" customHeight="1">
      <c r="A121" s="146" t="s">
        <v>21</v>
      </c>
      <c r="B121" s="146"/>
      <c r="C121" s="146"/>
      <c r="D121" s="146"/>
      <c r="E121" s="146"/>
      <c r="F121" s="146"/>
      <c r="G121" s="146"/>
      <c r="H121" s="146"/>
      <c r="I121" s="146"/>
    </row>
    <row r="122" spans="1:9" ht="15.75">
      <c r="A122" s="146" t="s">
        <v>20</v>
      </c>
      <c r="B122" s="146"/>
      <c r="C122" s="146"/>
      <c r="D122" s="146"/>
      <c r="E122" s="146"/>
      <c r="F122" s="146"/>
      <c r="G122" s="146"/>
      <c r="H122" s="146"/>
      <c r="I122" s="146"/>
    </row>
  </sheetData>
  <autoFilter ref="I12:I62"/>
  <mergeCells count="29">
    <mergeCell ref="A119:I119"/>
    <mergeCell ref="A120:I120"/>
    <mergeCell ref="A121:I121"/>
    <mergeCell ref="A122:I122"/>
    <mergeCell ref="A110:I110"/>
    <mergeCell ref="C112:E112"/>
    <mergeCell ref="C113:E113"/>
    <mergeCell ref="C115:E115"/>
    <mergeCell ref="C116:E116"/>
    <mergeCell ref="A118:I118"/>
    <mergeCell ref="A108:I108"/>
    <mergeCell ref="A15:I15"/>
    <mergeCell ref="A29:I29"/>
    <mergeCell ref="A47:I47"/>
    <mergeCell ref="A58:I58"/>
    <mergeCell ref="A87:I87"/>
    <mergeCell ref="A102:I102"/>
    <mergeCell ref="B103:G103"/>
    <mergeCell ref="B104:G104"/>
    <mergeCell ref="A106:I106"/>
    <mergeCell ref="A107:I107"/>
    <mergeCell ref="R67:U67"/>
    <mergeCell ref="A83:I83"/>
    <mergeCell ref="A3:I3"/>
    <mergeCell ref="A4:I4"/>
    <mergeCell ref="A5:I5"/>
    <mergeCell ref="A8:I8"/>
    <mergeCell ref="A10:I10"/>
    <mergeCell ref="A14:I14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12</vt:i4>
      </vt:variant>
      <vt:variant>
        <vt:lpstr>Именованные диапазоны</vt:lpstr>
      </vt:variant>
      <vt:variant>
        <vt:i4>12</vt:i4>
      </vt:variant>
    </vt:vector>
  </HeadingPairs>
  <TitlesOfParts>
    <vt:vector size="24" baseType="lpstr">
      <vt:lpstr>01.18</vt:lpstr>
      <vt:lpstr>02.18</vt:lpstr>
      <vt:lpstr>03.18</vt:lpstr>
      <vt:lpstr>04.18</vt:lpstr>
      <vt:lpstr>05.18</vt:lpstr>
      <vt:lpstr>06.18</vt:lpstr>
      <vt:lpstr>07.18</vt:lpstr>
      <vt:lpstr>08.18</vt:lpstr>
      <vt:lpstr>09.18</vt:lpstr>
      <vt:lpstr>10.18</vt:lpstr>
      <vt:lpstr>11.18</vt:lpstr>
      <vt:lpstr>12.18</vt:lpstr>
      <vt:lpstr>'01.18'!Область_печати</vt:lpstr>
      <vt:lpstr>'02.18'!Область_печати</vt:lpstr>
      <vt:lpstr>'03.18'!Область_печати</vt:lpstr>
      <vt:lpstr>'04.18'!Область_печати</vt:lpstr>
      <vt:lpstr>'05.18'!Область_печати</vt:lpstr>
      <vt:lpstr>'06.18'!Область_печати</vt:lpstr>
      <vt:lpstr>'07.18'!Область_печати</vt:lpstr>
      <vt:lpstr>'08.18'!Область_печати</vt:lpstr>
      <vt:lpstr>'09.18'!Область_печати</vt:lpstr>
      <vt:lpstr>'10.18'!Область_печати</vt:lpstr>
      <vt:lpstr>'11.18'!Область_печати</vt:lpstr>
      <vt:lpstr>'12.18'!Область_печати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2017-12-15T07:08:37Z</cp:lastPrinted>
  <dcterms:created xsi:type="dcterms:W3CDTF">2016-03-25T08:33:47Z</dcterms:created>
  <dcterms:modified xsi:type="dcterms:W3CDTF">2019-01-22T07:13:40Z</dcterms:modified>
</cp:coreProperties>
</file>