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585" yWindow="-30" windowWidth="15480" windowHeight="8145" activeTab="11"/>
  </bookViews>
  <sheets>
    <sheet name="01.21" sheetId="28" r:id="rId1"/>
    <sheet name="02.21" sheetId="29" r:id="rId2"/>
    <sheet name="03.21" sheetId="30" r:id="rId3"/>
    <sheet name="04.21" sheetId="31" r:id="rId4"/>
    <sheet name="05.21" sheetId="32" r:id="rId5"/>
    <sheet name="06.21" sheetId="33" r:id="rId6"/>
    <sheet name="07.21" sheetId="34" r:id="rId7"/>
    <sheet name="08.21" sheetId="35" r:id="rId8"/>
    <sheet name="09.21" sheetId="36" r:id="rId9"/>
    <sheet name="10.21" sheetId="37" r:id="rId10"/>
    <sheet name="11.21" sheetId="38" r:id="rId11"/>
    <sheet name="12.21" sheetId="39" r:id="rId12"/>
  </sheets>
  <definedNames>
    <definedName name="_xlnm._FilterDatabase" localSheetId="0" hidden="1">'01.21'!$I$15:$I$102</definedName>
    <definedName name="_xlnm._FilterDatabase" localSheetId="1" hidden="1">'02.21'!$I$15:$I$101</definedName>
    <definedName name="_xlnm._FilterDatabase" localSheetId="2" hidden="1">'03.21'!$I$15:$I$99</definedName>
    <definedName name="_xlnm._FilterDatabase" localSheetId="3" hidden="1">'04.21'!$I$15:$I$95</definedName>
    <definedName name="_xlnm._FilterDatabase" localSheetId="4" hidden="1">'05.21'!$I$15:$I$94</definedName>
    <definedName name="_xlnm._FilterDatabase" localSheetId="5" hidden="1">'06.21'!$I$15:$I$95</definedName>
    <definedName name="_xlnm._FilterDatabase" localSheetId="6" hidden="1">'07.21'!$I$15:$I$92</definedName>
    <definedName name="_xlnm._FilterDatabase" localSheetId="7" hidden="1">'08.21'!$I$15:$I$97</definedName>
    <definedName name="_xlnm._FilterDatabase" localSheetId="8" hidden="1">'09.21'!$I$15:$I$97</definedName>
    <definedName name="_xlnm._FilterDatabase" localSheetId="9" hidden="1">'10.21'!$I$15:$I$98</definedName>
    <definedName name="_xlnm._FilterDatabase" localSheetId="10" hidden="1">'11.21'!$I$15:$I$98</definedName>
    <definedName name="_xlnm._FilterDatabase" localSheetId="11" hidden="1">'12.21'!$I$15:$I$103</definedName>
    <definedName name="_xlnm.Print_Area" localSheetId="0">'01.21'!$A$1:$I$121</definedName>
    <definedName name="_xlnm.Print_Area" localSheetId="1">'02.21'!$A$1:$I$120</definedName>
    <definedName name="_xlnm.Print_Area" localSheetId="2">'03.21'!$A$1:$I$118</definedName>
    <definedName name="_xlnm.Print_Area" localSheetId="3">'04.21'!$A$1:$I$114</definedName>
    <definedName name="_xlnm.Print_Area" localSheetId="4">'05.21'!$A$1:$I$113</definedName>
    <definedName name="_xlnm.Print_Area" localSheetId="5">'06.21'!$A$1:$I$114</definedName>
    <definedName name="_xlnm.Print_Area" localSheetId="6">'07.21'!$A$1:$I$111</definedName>
    <definedName name="_xlnm.Print_Area" localSheetId="7">'08.21'!$A$1:$I$116</definedName>
    <definedName name="_xlnm.Print_Area" localSheetId="8">'09.21'!$A$1:$I$116</definedName>
    <definedName name="_xlnm.Print_Area" localSheetId="9">'10.21'!$A$1:$I$117</definedName>
    <definedName name="_xlnm.Print_Area" localSheetId="10">'11.21'!$A$1:$I$117</definedName>
    <definedName name="_xlnm.Print_Area" localSheetId="11">'12.21'!$A$1:$I$122</definedName>
  </definedNames>
  <calcPr calcId="125725"/>
</workbook>
</file>

<file path=xl/calcChain.xml><?xml version="1.0" encoding="utf-8"?>
<calcChain xmlns="http://schemas.openxmlformats.org/spreadsheetml/2006/main">
  <c r="I84" i="29"/>
  <c r="I99" i="39" l="1"/>
  <c r="I62"/>
  <c r="I98"/>
  <c r="I97"/>
  <c r="I85" l="1"/>
  <c r="I94"/>
  <c r="I92"/>
  <c r="I91"/>
  <c r="I90"/>
  <c r="I89"/>
  <c r="I63"/>
  <c r="F63"/>
  <c r="I37"/>
  <c r="I87" i="38"/>
  <c r="I84" l="1"/>
  <c r="I94"/>
  <c r="I92"/>
  <c r="I90"/>
  <c r="I89"/>
  <c r="I88"/>
  <c r="F88"/>
  <c r="I57"/>
  <c r="I63"/>
  <c r="I37"/>
  <c r="I82" i="37"/>
  <c r="I94"/>
  <c r="I91"/>
  <c r="I89"/>
  <c r="I88"/>
  <c r="I87"/>
  <c r="I86"/>
  <c r="I85"/>
  <c r="I61"/>
  <c r="I93" i="36" l="1"/>
  <c r="I87"/>
  <c r="I92"/>
  <c r="I61"/>
  <c r="I91"/>
  <c r="I93" i="35" l="1"/>
  <c r="I92"/>
  <c r="I89" i="36"/>
  <c r="I85"/>
  <c r="I86"/>
  <c r="I82" i="35"/>
  <c r="I56"/>
  <c r="I91"/>
  <c r="I89"/>
  <c r="I87"/>
  <c r="I86"/>
  <c r="I85"/>
  <c r="I78"/>
  <c r="I83" i="34"/>
  <c r="I88"/>
  <c r="I61" i="31"/>
  <c r="I88" i="33"/>
  <c r="I87"/>
  <c r="F88"/>
  <c r="I89" i="32" l="1"/>
  <c r="I87"/>
  <c r="I88"/>
  <c r="I85"/>
  <c r="I88" i="31" l="1"/>
  <c r="I87"/>
  <c r="I86"/>
  <c r="H86"/>
  <c r="I38"/>
  <c r="I36" i="30"/>
  <c r="I92" l="1"/>
  <c r="I91"/>
  <c r="I90"/>
  <c r="I89"/>
  <c r="I88"/>
  <c r="I87"/>
  <c r="I86"/>
  <c r="H86"/>
  <c r="I79"/>
  <c r="I62"/>
  <c r="I57"/>
  <c r="I56" i="29"/>
  <c r="I93"/>
  <c r="I94"/>
  <c r="I91"/>
  <c r="I90"/>
  <c r="I89"/>
  <c r="I88"/>
  <c r="I36"/>
  <c r="I57" i="28" l="1"/>
  <c r="I79"/>
  <c r="I95"/>
  <c r="I94"/>
  <c r="I92"/>
  <c r="I91"/>
  <c r="I90"/>
  <c r="I89"/>
  <c r="I88"/>
  <c r="I87"/>
  <c r="I62" i="38"/>
  <c r="I60" i="37" l="1"/>
  <c r="I60" i="36"/>
  <c r="I56" i="32" l="1"/>
  <c r="I61" i="30"/>
  <c r="I42"/>
  <c r="I74" i="28" l="1"/>
  <c r="I73"/>
  <c r="I86"/>
  <c r="F86"/>
  <c r="I36"/>
  <c r="I88" i="39" l="1"/>
  <c r="F88"/>
  <c r="H88" s="1"/>
  <c r="I43"/>
  <c r="H43"/>
  <c r="F42"/>
  <c r="H42" s="1"/>
  <c r="F41"/>
  <c r="I41" s="1"/>
  <c r="F40"/>
  <c r="H40" s="1"/>
  <c r="I39"/>
  <c r="H39"/>
  <c r="F38"/>
  <c r="I38" s="1"/>
  <c r="H37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6" i="38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17" i="39" l="1"/>
  <c r="H38"/>
  <c r="H41"/>
  <c r="I40"/>
  <c r="I42"/>
  <c r="I18"/>
  <c r="H18"/>
  <c r="I16"/>
  <c r="I26"/>
  <c r="H17" i="38"/>
  <c r="I18"/>
  <c r="H18"/>
  <c r="I16"/>
  <c r="I26"/>
  <c r="F30" i="37"/>
  <c r="H30" s="1"/>
  <c r="F29"/>
  <c r="I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16" l="1"/>
  <c r="H26"/>
  <c r="H29"/>
  <c r="I30"/>
  <c r="I17"/>
  <c r="I18"/>
  <c r="F26" i="36" l="1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30" i="35"/>
  <c r="H30" s="1"/>
  <c r="F29"/>
  <c r="I29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56" i="34"/>
  <c r="F26"/>
  <c r="H26" s="1"/>
  <c r="F25"/>
  <c r="F24"/>
  <c r="F23"/>
  <c r="F22"/>
  <c r="F21"/>
  <c r="F20"/>
  <c r="F19"/>
  <c r="H19" s="1"/>
  <c r="E18"/>
  <c r="F18" s="1"/>
  <c r="F17"/>
  <c r="I17" s="1"/>
  <c r="F16"/>
  <c r="H16" s="1"/>
  <c r="F26" i="33"/>
  <c r="H26" s="1"/>
  <c r="F25"/>
  <c r="F24"/>
  <c r="F23"/>
  <c r="F22"/>
  <c r="F21"/>
  <c r="F20"/>
  <c r="F19"/>
  <c r="E18"/>
  <c r="F18" s="1"/>
  <c r="F17"/>
  <c r="I17" s="1"/>
  <c r="F16"/>
  <c r="H16" s="1"/>
  <c r="F26" i="32"/>
  <c r="H26" s="1"/>
  <c r="E18"/>
  <c r="F18" s="1"/>
  <c r="F17"/>
  <c r="H17" s="1"/>
  <c r="F16"/>
  <c r="I16" s="1"/>
  <c r="F26" i="31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6" i="30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6" i="29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6" i="28"/>
  <c r="H20" i="34" l="1"/>
  <c r="I20"/>
  <c r="H25"/>
  <c r="I25"/>
  <c r="H24"/>
  <c r="I24"/>
  <c r="H23"/>
  <c r="I23"/>
  <c r="H22"/>
  <c r="I22"/>
  <c r="H21"/>
  <c r="I21"/>
  <c r="I20" i="36"/>
  <c r="I21"/>
  <c r="H20" i="33"/>
  <c r="I20"/>
  <c r="H22"/>
  <c r="I22"/>
  <c r="H24"/>
  <c r="I24"/>
  <c r="H19"/>
  <c r="I19"/>
  <c r="H21"/>
  <c r="I21"/>
  <c r="H23"/>
  <c r="I23"/>
  <c r="H25"/>
  <c r="I25"/>
  <c r="H17" i="31"/>
  <c r="H17" i="30"/>
  <c r="H17" i="29"/>
  <c r="H17" i="36"/>
  <c r="I18"/>
  <c r="H18"/>
  <c r="I16"/>
  <c r="I26"/>
  <c r="H17" i="35"/>
  <c r="H29"/>
  <c r="I30"/>
  <c r="I18"/>
  <c r="H18"/>
  <c r="I16"/>
  <c r="I26"/>
  <c r="H17" i="34"/>
  <c r="I18"/>
  <c r="H18"/>
  <c r="I16"/>
  <c r="I26"/>
  <c r="H17" i="33"/>
  <c r="I18"/>
  <c r="H18"/>
  <c r="I16"/>
  <c r="I26"/>
  <c r="I26" i="32"/>
  <c r="H18"/>
  <c r="I18"/>
  <c r="H16"/>
  <c r="I17"/>
  <c r="I18" i="31"/>
  <c r="H18"/>
  <c r="I16"/>
  <c r="I26"/>
  <c r="I18" i="30"/>
  <c r="H18"/>
  <c r="I26"/>
  <c r="I16"/>
  <c r="I18" i="29"/>
  <c r="H18"/>
  <c r="I26"/>
  <c r="I16"/>
  <c r="I60" i="32"/>
  <c r="I87" i="29"/>
  <c r="I80" l="1"/>
  <c r="I57"/>
  <c r="I87" i="39"/>
  <c r="H87"/>
  <c r="I86" i="38"/>
  <c r="H86"/>
  <c r="I43"/>
  <c r="I56" i="37"/>
  <c r="I84"/>
  <c r="H84"/>
  <c r="I84" i="36" l="1"/>
  <c r="H84"/>
  <c r="I84" i="35" l="1"/>
  <c r="H84"/>
  <c r="I85" i="34" l="1"/>
  <c r="H85"/>
  <c r="I86" i="33" l="1"/>
  <c r="I91" s="1"/>
  <c r="H86"/>
  <c r="I56" i="31" l="1"/>
  <c r="I84" i="32"/>
  <c r="I90" s="1"/>
  <c r="H84"/>
  <c r="I85" i="31" l="1"/>
  <c r="I91" s="1"/>
  <c r="H85"/>
  <c r="I42"/>
  <c r="H87" i="29"/>
  <c r="I85" i="30"/>
  <c r="I95" s="1"/>
  <c r="H85"/>
  <c r="I42" i="29" l="1"/>
  <c r="I61" i="28"/>
  <c r="I42"/>
  <c r="I86" i="29" l="1"/>
  <c r="I97" s="1"/>
  <c r="H86"/>
  <c r="I61"/>
  <c r="H86" i="28"/>
  <c r="I85"/>
  <c r="I98" s="1"/>
  <c r="H85"/>
  <c r="I76"/>
  <c r="F84" i="39" l="1"/>
  <c r="I84" s="1"/>
  <c r="F83"/>
  <c r="H83" s="1"/>
  <c r="H81"/>
  <c r="H79"/>
  <c r="H78"/>
  <c r="I77"/>
  <c r="H77"/>
  <c r="H76"/>
  <c r="F75"/>
  <c r="H75" s="1"/>
  <c r="I73"/>
  <c r="H73"/>
  <c r="F71"/>
  <c r="I71" s="1"/>
  <c r="I69"/>
  <c r="F69"/>
  <c r="H69" s="1"/>
  <c r="F68"/>
  <c r="I68" s="1"/>
  <c r="F67"/>
  <c r="H67" s="1"/>
  <c r="F66"/>
  <c r="I66" s="1"/>
  <c r="F65"/>
  <c r="H65" s="1"/>
  <c r="F64"/>
  <c r="I64" s="1"/>
  <c r="H63"/>
  <c r="F62"/>
  <c r="H62" s="1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H35"/>
  <c r="H34"/>
  <c r="F33"/>
  <c r="I33" s="1"/>
  <c r="E33"/>
  <c r="F32"/>
  <c r="I32" s="1"/>
  <c r="F31"/>
  <c r="H31" s="1"/>
  <c r="F30"/>
  <c r="I30" s="1"/>
  <c r="F27"/>
  <c r="I27" s="1"/>
  <c r="F87" i="38"/>
  <c r="H87" s="1"/>
  <c r="F83"/>
  <c r="I83" s="1"/>
  <c r="F82"/>
  <c r="I82" s="1"/>
  <c r="H80"/>
  <c r="H78"/>
  <c r="H77"/>
  <c r="I76"/>
  <c r="H76"/>
  <c r="H75"/>
  <c r="F74"/>
  <c r="H74" s="1"/>
  <c r="I72"/>
  <c r="H72"/>
  <c r="F70"/>
  <c r="H70" s="1"/>
  <c r="I69"/>
  <c r="F69"/>
  <c r="H69" s="1"/>
  <c r="F68"/>
  <c r="H68" s="1"/>
  <c r="F67"/>
  <c r="I67" s="1"/>
  <c r="F66"/>
  <c r="H66" s="1"/>
  <c r="F65"/>
  <c r="I65" s="1"/>
  <c r="F64"/>
  <c r="H64" s="1"/>
  <c r="F63"/>
  <c r="H63" s="1"/>
  <c r="F62"/>
  <c r="H62" s="1"/>
  <c r="F60"/>
  <c r="H60" s="1"/>
  <c r="I58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H43"/>
  <c r="F42"/>
  <c r="F41"/>
  <c r="I41" s="1"/>
  <c r="F40"/>
  <c r="H40" s="1"/>
  <c r="I39"/>
  <c r="H39"/>
  <c r="F38"/>
  <c r="I38" s="1"/>
  <c r="H37"/>
  <c r="H35"/>
  <c r="H34"/>
  <c r="F33"/>
  <c r="H33" s="1"/>
  <c r="E33"/>
  <c r="F32"/>
  <c r="H32" s="1"/>
  <c r="F31"/>
  <c r="I31" s="1"/>
  <c r="F30"/>
  <c r="H30" s="1"/>
  <c r="F27"/>
  <c r="I27" s="1"/>
  <c r="H42" l="1"/>
  <c r="I42"/>
  <c r="H83"/>
  <c r="H27" i="39"/>
  <c r="H30"/>
  <c r="I31"/>
  <c r="H32"/>
  <c r="H33"/>
  <c r="I45"/>
  <c r="H46"/>
  <c r="I47"/>
  <c r="H48"/>
  <c r="I49"/>
  <c r="H50"/>
  <c r="I51"/>
  <c r="H57"/>
  <c r="H64"/>
  <c r="I65"/>
  <c r="H66"/>
  <c r="I67"/>
  <c r="H68"/>
  <c r="H71"/>
  <c r="I83"/>
  <c r="H84"/>
  <c r="H27" i="38"/>
  <c r="I30"/>
  <c r="H31"/>
  <c r="I32"/>
  <c r="I33"/>
  <c r="H38"/>
  <c r="I40"/>
  <c r="H41"/>
  <c r="H45"/>
  <c r="I46"/>
  <c r="H47"/>
  <c r="I48"/>
  <c r="H49"/>
  <c r="I50"/>
  <c r="H51"/>
  <c r="I64"/>
  <c r="H65"/>
  <c r="I66"/>
  <c r="H67"/>
  <c r="I68"/>
  <c r="I70"/>
  <c r="H82"/>
  <c r="I101" i="39" l="1"/>
  <c r="I96" i="38"/>
  <c r="F81" i="37" l="1"/>
  <c r="H81" s="1"/>
  <c r="F80"/>
  <c r="I80" s="1"/>
  <c r="H78"/>
  <c r="H76"/>
  <c r="H75"/>
  <c r="I74"/>
  <c r="H74"/>
  <c r="H73"/>
  <c r="F72"/>
  <c r="H72" s="1"/>
  <c r="I70"/>
  <c r="H70"/>
  <c r="F68"/>
  <c r="H68" s="1"/>
  <c r="I67"/>
  <c r="F67"/>
  <c r="H67" s="1"/>
  <c r="F66"/>
  <c r="H66" s="1"/>
  <c r="F65"/>
  <c r="I65" s="1"/>
  <c r="F64"/>
  <c r="H64" s="1"/>
  <c r="F63"/>
  <c r="I63" s="1"/>
  <c r="F62"/>
  <c r="H62" s="1"/>
  <c r="F61"/>
  <c r="H61" s="1"/>
  <c r="F60"/>
  <c r="H60" s="1"/>
  <c r="F58"/>
  <c r="H58" s="1"/>
  <c r="H56"/>
  <c r="F55"/>
  <c r="I55" s="1"/>
  <c r="I52"/>
  <c r="F52"/>
  <c r="H52" s="1"/>
  <c r="I51"/>
  <c r="F51"/>
  <c r="H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F38"/>
  <c r="I38" s="1"/>
  <c r="I37"/>
  <c r="H37"/>
  <c r="F36"/>
  <c r="H36" s="1"/>
  <c r="I35"/>
  <c r="H35"/>
  <c r="H33"/>
  <c r="H32"/>
  <c r="F31"/>
  <c r="I31" s="1"/>
  <c r="I67" i="36"/>
  <c r="F81"/>
  <c r="H81" s="1"/>
  <c r="F80"/>
  <c r="I80" s="1"/>
  <c r="H78"/>
  <c r="H76"/>
  <c r="H75"/>
  <c r="I74"/>
  <c r="H74"/>
  <c r="H73"/>
  <c r="F72"/>
  <c r="H72" s="1"/>
  <c r="I70"/>
  <c r="H70"/>
  <c r="F68"/>
  <c r="H68" s="1"/>
  <c r="F67"/>
  <c r="F66"/>
  <c r="H66" s="1"/>
  <c r="F65"/>
  <c r="I65" s="1"/>
  <c r="F64"/>
  <c r="H64" s="1"/>
  <c r="F63"/>
  <c r="I63" s="1"/>
  <c r="F62"/>
  <c r="H62" s="1"/>
  <c r="F61"/>
  <c r="H61" s="1"/>
  <c r="F60"/>
  <c r="H60" s="1"/>
  <c r="F58"/>
  <c r="H58" s="1"/>
  <c r="I56"/>
  <c r="H56"/>
  <c r="F55"/>
  <c r="I55" s="1"/>
  <c r="I52"/>
  <c r="F52"/>
  <c r="H52" s="1"/>
  <c r="I51"/>
  <c r="F51"/>
  <c r="H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F38"/>
  <c r="I38" s="1"/>
  <c r="I37"/>
  <c r="H37"/>
  <c r="F36"/>
  <c r="H36" s="1"/>
  <c r="I35"/>
  <c r="H35"/>
  <c r="H33"/>
  <c r="H32"/>
  <c r="F31"/>
  <c r="I31" s="1"/>
  <c r="F30"/>
  <c r="H30" s="1"/>
  <c r="F29"/>
  <c r="I29" s="1"/>
  <c r="F81" i="35"/>
  <c r="H81" s="1"/>
  <c r="F80"/>
  <c r="I80" s="1"/>
  <c r="H78"/>
  <c r="H76"/>
  <c r="H75"/>
  <c r="I74"/>
  <c r="H74"/>
  <c r="H73"/>
  <c r="F72"/>
  <c r="H72" s="1"/>
  <c r="I70"/>
  <c r="H70"/>
  <c r="F68"/>
  <c r="H68" s="1"/>
  <c r="F67"/>
  <c r="I67" s="1"/>
  <c r="F66"/>
  <c r="H66" s="1"/>
  <c r="F65"/>
  <c r="I65" s="1"/>
  <c r="F64"/>
  <c r="H64" s="1"/>
  <c r="F63"/>
  <c r="I63" s="1"/>
  <c r="F62"/>
  <c r="H62" s="1"/>
  <c r="F61"/>
  <c r="H61" s="1"/>
  <c r="F60"/>
  <c r="H60" s="1"/>
  <c r="F58"/>
  <c r="H58" s="1"/>
  <c r="H56"/>
  <c r="F55"/>
  <c r="I55" s="1"/>
  <c r="I52"/>
  <c r="F52"/>
  <c r="H52" s="1"/>
  <c r="I51"/>
  <c r="F51"/>
  <c r="H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F38"/>
  <c r="I38" s="1"/>
  <c r="I37"/>
  <c r="H37"/>
  <c r="F36"/>
  <c r="H36" s="1"/>
  <c r="I35"/>
  <c r="H35"/>
  <c r="H33"/>
  <c r="H32"/>
  <c r="F31"/>
  <c r="I31" s="1"/>
  <c r="F82" i="34"/>
  <c r="I82" s="1"/>
  <c r="F81"/>
  <c r="H81" s="1"/>
  <c r="H79"/>
  <c r="H77"/>
  <c r="H76"/>
  <c r="I75"/>
  <c r="H75"/>
  <c r="H74"/>
  <c r="F73"/>
  <c r="H73" s="1"/>
  <c r="I71"/>
  <c r="H71"/>
  <c r="F69"/>
  <c r="I69" s="1"/>
  <c r="F67"/>
  <c r="H67" s="1"/>
  <c r="F66"/>
  <c r="I66" s="1"/>
  <c r="F65"/>
  <c r="H65" s="1"/>
  <c r="F64"/>
  <c r="I64" s="1"/>
  <c r="F63"/>
  <c r="H63" s="1"/>
  <c r="F62"/>
  <c r="I62" s="1"/>
  <c r="F61"/>
  <c r="H61" s="1"/>
  <c r="F60"/>
  <c r="H60" s="1"/>
  <c r="F58"/>
  <c r="H58" s="1"/>
  <c r="F55"/>
  <c r="H55" s="1"/>
  <c r="I52"/>
  <c r="F52"/>
  <c r="H52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I37"/>
  <c r="H37"/>
  <c r="F36"/>
  <c r="I36" s="1"/>
  <c r="I35"/>
  <c r="H35"/>
  <c r="H33"/>
  <c r="H32"/>
  <c r="F31"/>
  <c r="H31" s="1"/>
  <c r="F30"/>
  <c r="I30" s="1"/>
  <c r="F29"/>
  <c r="H29" s="1"/>
  <c r="F83" i="33"/>
  <c r="I83" s="1"/>
  <c r="F82"/>
  <c r="H82" s="1"/>
  <c r="H80"/>
  <c r="H78"/>
  <c r="H77"/>
  <c r="I76"/>
  <c r="H76"/>
  <c r="H75"/>
  <c r="F74"/>
  <c r="H74" s="1"/>
  <c r="I72"/>
  <c r="H72"/>
  <c r="F70"/>
  <c r="I70" s="1"/>
  <c r="F68"/>
  <c r="H68" s="1"/>
  <c r="F67"/>
  <c r="I67" s="1"/>
  <c r="F66"/>
  <c r="H66" s="1"/>
  <c r="F65"/>
  <c r="I65" s="1"/>
  <c r="F64"/>
  <c r="H64" s="1"/>
  <c r="F63"/>
  <c r="I63" s="1"/>
  <c r="F62"/>
  <c r="H62" s="1"/>
  <c r="F61"/>
  <c r="H61" s="1"/>
  <c r="F59"/>
  <c r="H59" s="1"/>
  <c r="I57"/>
  <c r="H57"/>
  <c r="F56"/>
  <c r="H56" s="1"/>
  <c r="I53"/>
  <c r="F53"/>
  <c r="H53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I38"/>
  <c r="H38"/>
  <c r="F37"/>
  <c r="I37" s="1"/>
  <c r="I36"/>
  <c r="H36"/>
  <c r="H34"/>
  <c r="H33"/>
  <c r="F32"/>
  <c r="H32" s="1"/>
  <c r="F31"/>
  <c r="I31" s="1"/>
  <c r="F30"/>
  <c r="H30" s="1"/>
  <c r="F27"/>
  <c r="I27" s="1"/>
  <c r="I70" i="32"/>
  <c r="F31"/>
  <c r="H31" s="1"/>
  <c r="F30"/>
  <c r="H30" s="1"/>
  <c r="F29"/>
  <c r="H29" s="1"/>
  <c r="F25"/>
  <c r="I25" s="1"/>
  <c r="F24"/>
  <c r="I24" s="1"/>
  <c r="F23"/>
  <c r="H23" s="1"/>
  <c r="F22"/>
  <c r="H22" s="1"/>
  <c r="F21"/>
  <c r="H21" s="1"/>
  <c r="F20"/>
  <c r="H20" s="1"/>
  <c r="F19"/>
  <c r="H26" i="28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F81" i="32"/>
  <c r="I81" s="1"/>
  <c r="F80"/>
  <c r="I80" s="1"/>
  <c r="H78"/>
  <c r="H76"/>
  <c r="H75"/>
  <c r="I74"/>
  <c r="H74"/>
  <c r="H73"/>
  <c r="F72"/>
  <c r="H72" s="1"/>
  <c r="H70"/>
  <c r="F68"/>
  <c r="I68" s="1"/>
  <c r="F67"/>
  <c r="H67" s="1"/>
  <c r="F66"/>
  <c r="H66" s="1"/>
  <c r="F65"/>
  <c r="H65" s="1"/>
  <c r="F64"/>
  <c r="H64" s="1"/>
  <c r="F63"/>
  <c r="H63" s="1"/>
  <c r="F62"/>
  <c r="H62" s="1"/>
  <c r="F61"/>
  <c r="H61" s="1"/>
  <c r="F60"/>
  <c r="H60" s="1"/>
  <c r="F58"/>
  <c r="H58" s="1"/>
  <c r="H56"/>
  <c r="F55"/>
  <c r="I55" s="1"/>
  <c r="I52"/>
  <c r="F52"/>
  <c r="H52" s="1"/>
  <c r="I51"/>
  <c r="F51"/>
  <c r="H51" s="1"/>
  <c r="I50"/>
  <c r="H50"/>
  <c r="F49"/>
  <c r="I49" s="1"/>
  <c r="F48"/>
  <c r="I48" s="1"/>
  <c r="F47"/>
  <c r="I47" s="1"/>
  <c r="F46"/>
  <c r="H46" s="1"/>
  <c r="F45"/>
  <c r="H45" s="1"/>
  <c r="F44"/>
  <c r="H44" s="1"/>
  <c r="F43"/>
  <c r="H43" s="1"/>
  <c r="I41"/>
  <c r="H41"/>
  <c r="F40"/>
  <c r="I40" s="1"/>
  <c r="F39"/>
  <c r="I39" s="1"/>
  <c r="F38"/>
  <c r="I38" s="1"/>
  <c r="I37"/>
  <c r="H37"/>
  <c r="F36"/>
  <c r="I36" s="1"/>
  <c r="I35"/>
  <c r="H35"/>
  <c r="H33"/>
  <c r="H32"/>
  <c r="F82" i="31"/>
  <c r="H82" s="1"/>
  <c r="F81"/>
  <c r="I81" s="1"/>
  <c r="H79"/>
  <c r="H77"/>
  <c r="H76"/>
  <c r="I75"/>
  <c r="H75"/>
  <c r="H74"/>
  <c r="F73"/>
  <c r="H73" s="1"/>
  <c r="H71"/>
  <c r="F69"/>
  <c r="I69" s="1"/>
  <c r="F68"/>
  <c r="H68" s="1"/>
  <c r="F67"/>
  <c r="H67" s="1"/>
  <c r="F66"/>
  <c r="H66" s="1"/>
  <c r="F65"/>
  <c r="H65" s="1"/>
  <c r="F64"/>
  <c r="H64" s="1"/>
  <c r="F63"/>
  <c r="H63" s="1"/>
  <c r="F62"/>
  <c r="H62" s="1"/>
  <c r="F61"/>
  <c r="H61" s="1"/>
  <c r="F59"/>
  <c r="H59" s="1"/>
  <c r="I57"/>
  <c r="H57"/>
  <c r="F56"/>
  <c r="H56" s="1"/>
  <c r="I53"/>
  <c r="F53"/>
  <c r="H53" s="1"/>
  <c r="I52"/>
  <c r="F52"/>
  <c r="H52" s="1"/>
  <c r="I51"/>
  <c r="H51"/>
  <c r="F50"/>
  <c r="I50" s="1"/>
  <c r="F49"/>
  <c r="H49" s="1"/>
  <c r="F48"/>
  <c r="I48" s="1"/>
  <c r="F47"/>
  <c r="H47" s="1"/>
  <c r="F46"/>
  <c r="H46" s="1"/>
  <c r="F45"/>
  <c r="H45" s="1"/>
  <c r="F44"/>
  <c r="H44" s="1"/>
  <c r="H42"/>
  <c r="F41"/>
  <c r="F40"/>
  <c r="I40" s="1"/>
  <c r="F39"/>
  <c r="H39" s="1"/>
  <c r="H38"/>
  <c r="F37"/>
  <c r="H37" s="1"/>
  <c r="I36"/>
  <c r="H36"/>
  <c r="H34"/>
  <c r="H33"/>
  <c r="F31"/>
  <c r="H31" s="1"/>
  <c r="I51" i="30"/>
  <c r="F82"/>
  <c r="I82" s="1"/>
  <c r="F81"/>
  <c r="H81" s="1"/>
  <c r="H79"/>
  <c r="H77"/>
  <c r="H76"/>
  <c r="I75"/>
  <c r="H75"/>
  <c r="H74"/>
  <c r="F73"/>
  <c r="H73" s="1"/>
  <c r="H71"/>
  <c r="F69"/>
  <c r="H69" s="1"/>
  <c r="F68"/>
  <c r="H68" s="1"/>
  <c r="F67"/>
  <c r="H67" s="1"/>
  <c r="F66"/>
  <c r="H66" s="1"/>
  <c r="F65"/>
  <c r="H65" s="1"/>
  <c r="F64"/>
  <c r="H64" s="1"/>
  <c r="F63"/>
  <c r="H63" s="1"/>
  <c r="F62"/>
  <c r="H62" s="1"/>
  <c r="F61"/>
  <c r="H61" s="1"/>
  <c r="F59"/>
  <c r="H57"/>
  <c r="F56"/>
  <c r="I56" s="1"/>
  <c r="I53"/>
  <c r="F53"/>
  <c r="H53" s="1"/>
  <c r="I52"/>
  <c r="F52"/>
  <c r="H52" s="1"/>
  <c r="H51"/>
  <c r="F50"/>
  <c r="H50" s="1"/>
  <c r="F49"/>
  <c r="H49" s="1"/>
  <c r="F48"/>
  <c r="I48" s="1"/>
  <c r="F47"/>
  <c r="H47" s="1"/>
  <c r="F46"/>
  <c r="H46" s="1"/>
  <c r="F45"/>
  <c r="H45" s="1"/>
  <c r="F44"/>
  <c r="H44" s="1"/>
  <c r="H42"/>
  <c r="F41"/>
  <c r="I41" s="1"/>
  <c r="F40"/>
  <c r="I40" s="1"/>
  <c r="F39"/>
  <c r="H39" s="1"/>
  <c r="H38"/>
  <c r="F37"/>
  <c r="H37" s="1"/>
  <c r="H36"/>
  <c r="H34"/>
  <c r="H33"/>
  <c r="F31"/>
  <c r="H31" s="1"/>
  <c r="F83" i="29"/>
  <c r="I83" s="1"/>
  <c r="F82"/>
  <c r="I82" s="1"/>
  <c r="H80"/>
  <c r="H78"/>
  <c r="H77"/>
  <c r="I76"/>
  <c r="H76"/>
  <c r="H75"/>
  <c r="F74"/>
  <c r="H74" s="1"/>
  <c r="H72"/>
  <c r="F70"/>
  <c r="I70" s="1"/>
  <c r="F68"/>
  <c r="H68" s="1"/>
  <c r="F67"/>
  <c r="H67" s="1"/>
  <c r="F66"/>
  <c r="H66" s="1"/>
  <c r="F65"/>
  <c r="H65" s="1"/>
  <c r="F64"/>
  <c r="H64" s="1"/>
  <c r="F63"/>
  <c r="H63" s="1"/>
  <c r="F62"/>
  <c r="H62" s="1"/>
  <c r="F61"/>
  <c r="H61" s="1"/>
  <c r="F59"/>
  <c r="H59" s="1"/>
  <c r="H57"/>
  <c r="F56"/>
  <c r="H56" s="1"/>
  <c r="I53"/>
  <c r="F53"/>
  <c r="H53" s="1"/>
  <c r="I52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H42"/>
  <c r="F41"/>
  <c r="I41" s="1"/>
  <c r="F40"/>
  <c r="H40" s="1"/>
  <c r="F39"/>
  <c r="I39" s="1"/>
  <c r="H38"/>
  <c r="F37"/>
  <c r="I37" s="1"/>
  <c r="H36"/>
  <c r="H34"/>
  <c r="H33"/>
  <c r="F31"/>
  <c r="H31" s="1"/>
  <c r="F82" i="28"/>
  <c r="F81"/>
  <c r="H81" s="1"/>
  <c r="H79"/>
  <c r="H77"/>
  <c r="H76"/>
  <c r="I75"/>
  <c r="H75"/>
  <c r="H74"/>
  <c r="F73"/>
  <c r="H73" s="1"/>
  <c r="H71"/>
  <c r="F69"/>
  <c r="H69" s="1"/>
  <c r="F68"/>
  <c r="H68" s="1"/>
  <c r="F67"/>
  <c r="H67" s="1"/>
  <c r="F66"/>
  <c r="H66" s="1"/>
  <c r="F65"/>
  <c r="H65" s="1"/>
  <c r="F64"/>
  <c r="H64" s="1"/>
  <c r="F63"/>
  <c r="H63" s="1"/>
  <c r="F62"/>
  <c r="H62" s="1"/>
  <c r="F61"/>
  <c r="H61" s="1"/>
  <c r="F59"/>
  <c r="H59" s="1"/>
  <c r="H57"/>
  <c r="F56"/>
  <c r="H56" s="1"/>
  <c r="I53"/>
  <c r="F53"/>
  <c r="H53" s="1"/>
  <c r="I52"/>
  <c r="F52"/>
  <c r="H52" s="1"/>
  <c r="H51"/>
  <c r="F50"/>
  <c r="H50" s="1"/>
  <c r="F49"/>
  <c r="H49" s="1"/>
  <c r="F48"/>
  <c r="I48" s="1"/>
  <c r="F47"/>
  <c r="H47" s="1"/>
  <c r="F46"/>
  <c r="H46" s="1"/>
  <c r="F45"/>
  <c r="H45" s="1"/>
  <c r="F44"/>
  <c r="H44" s="1"/>
  <c r="H42"/>
  <c r="F41"/>
  <c r="F40"/>
  <c r="I40" s="1"/>
  <c r="F39"/>
  <c r="H39" s="1"/>
  <c r="H38"/>
  <c r="F37"/>
  <c r="H37" s="1"/>
  <c r="H36"/>
  <c r="H34"/>
  <c r="H33"/>
  <c r="F31"/>
  <c r="H31" s="1"/>
  <c r="H59" i="30" l="1"/>
  <c r="I59"/>
  <c r="H40" i="35"/>
  <c r="H38"/>
  <c r="H41" i="31"/>
  <c r="I41"/>
  <c r="H81"/>
  <c r="H69"/>
  <c r="H41" i="30"/>
  <c r="H41" i="28"/>
  <c r="I41"/>
  <c r="H19" i="32"/>
  <c r="I19"/>
  <c r="H24"/>
  <c r="H25"/>
  <c r="I21"/>
  <c r="I22"/>
  <c r="I31"/>
  <c r="I45"/>
  <c r="I43"/>
  <c r="I62"/>
  <c r="I66"/>
  <c r="I64"/>
  <c r="H81"/>
  <c r="I20"/>
  <c r="I23"/>
  <c r="I29"/>
  <c r="I30"/>
  <c r="I46"/>
  <c r="I82" s="1"/>
  <c r="I44"/>
  <c r="I67"/>
  <c r="I65"/>
  <c r="I63"/>
  <c r="H64" i="34"/>
  <c r="H83" i="29"/>
  <c r="H17" i="28"/>
  <c r="H31" i="37"/>
  <c r="I36"/>
  <c r="H38"/>
  <c r="I39"/>
  <c r="H40"/>
  <c r="I43"/>
  <c r="H44"/>
  <c r="I45"/>
  <c r="H46"/>
  <c r="I47"/>
  <c r="H48"/>
  <c r="I49"/>
  <c r="H55"/>
  <c r="I62"/>
  <c r="H63"/>
  <c r="I64"/>
  <c r="H65"/>
  <c r="I66"/>
  <c r="I68"/>
  <c r="H80"/>
  <c r="I81"/>
  <c r="H29" i="36"/>
  <c r="I30"/>
  <c r="H31"/>
  <c r="I36"/>
  <c r="H38"/>
  <c r="I39"/>
  <c r="H40"/>
  <c r="I43"/>
  <c r="H44"/>
  <c r="I45"/>
  <c r="H46"/>
  <c r="I47"/>
  <c r="H48"/>
  <c r="I49"/>
  <c r="H55"/>
  <c r="I62"/>
  <c r="H63"/>
  <c r="I64"/>
  <c r="H65"/>
  <c r="I66"/>
  <c r="H67"/>
  <c r="I68"/>
  <c r="H80"/>
  <c r="I81"/>
  <c r="I82" s="1"/>
  <c r="H31" i="35"/>
  <c r="I36"/>
  <c r="I39"/>
  <c r="I43"/>
  <c r="H44"/>
  <c r="I45"/>
  <c r="H46"/>
  <c r="I47"/>
  <c r="H48"/>
  <c r="I49"/>
  <c r="H55"/>
  <c r="I62"/>
  <c r="H63"/>
  <c r="I64"/>
  <c r="H65"/>
  <c r="I66"/>
  <c r="H67"/>
  <c r="I68"/>
  <c r="H80"/>
  <c r="I81"/>
  <c r="I29" i="34"/>
  <c r="H30"/>
  <c r="I31"/>
  <c r="H36"/>
  <c r="I38"/>
  <c r="H39"/>
  <c r="I40"/>
  <c r="H43"/>
  <c r="I44"/>
  <c r="H45"/>
  <c r="I46"/>
  <c r="H47"/>
  <c r="I48"/>
  <c r="H49"/>
  <c r="I55"/>
  <c r="H62"/>
  <c r="I63"/>
  <c r="I65"/>
  <c r="H66"/>
  <c r="I67"/>
  <c r="H69"/>
  <c r="I81"/>
  <c r="H82"/>
  <c r="H27" i="33"/>
  <c r="I30"/>
  <c r="H31"/>
  <c r="I32"/>
  <c r="H37"/>
  <c r="I39"/>
  <c r="H40"/>
  <c r="I41"/>
  <c r="H44"/>
  <c r="I45"/>
  <c r="H46"/>
  <c r="I47"/>
  <c r="H48"/>
  <c r="I49"/>
  <c r="H50"/>
  <c r="I56"/>
  <c r="H63"/>
  <c r="I64"/>
  <c r="H65"/>
  <c r="I66"/>
  <c r="H67"/>
  <c r="I68"/>
  <c r="H70"/>
  <c r="I82"/>
  <c r="I84" s="1"/>
  <c r="H83"/>
  <c r="H55" i="32"/>
  <c r="H38"/>
  <c r="H40"/>
  <c r="H48"/>
  <c r="I26" i="28"/>
  <c r="H18"/>
  <c r="I18"/>
  <c r="H16"/>
  <c r="H36" i="32"/>
  <c r="H39"/>
  <c r="H47"/>
  <c r="H49"/>
  <c r="H68"/>
  <c r="H80"/>
  <c r="I37" i="31"/>
  <c r="I39"/>
  <c r="H40"/>
  <c r="H48"/>
  <c r="I49"/>
  <c r="H50"/>
  <c r="I82"/>
  <c r="I49" i="30"/>
  <c r="I50"/>
  <c r="H82"/>
  <c r="I37"/>
  <c r="I39"/>
  <c r="H40"/>
  <c r="H48"/>
  <c r="H56"/>
  <c r="I69"/>
  <c r="I81"/>
  <c r="I83" s="1"/>
  <c r="H37" i="29"/>
  <c r="H39"/>
  <c r="I40"/>
  <c r="H41"/>
  <c r="I48"/>
  <c r="H70"/>
  <c r="H82"/>
  <c r="H40" i="28"/>
  <c r="H48"/>
  <c r="H82"/>
  <c r="I82"/>
  <c r="I81"/>
  <c r="I69"/>
  <c r="I56"/>
  <c r="I37"/>
  <c r="I39"/>
  <c r="I95" i="35" l="1"/>
  <c r="I83" i="28"/>
  <c r="I100" s="1"/>
  <c r="I95" i="36"/>
  <c r="I96" i="37"/>
  <c r="I83" i="31"/>
  <c r="I93" s="1"/>
  <c r="I92" i="32"/>
  <c r="I90" i="34"/>
  <c r="I99" i="29"/>
  <c r="I93" i="33"/>
  <c r="I97" i="30"/>
</calcChain>
</file>

<file path=xl/sharedStrings.xml><?xml version="1.0" encoding="utf-8"?>
<sst xmlns="http://schemas.openxmlformats.org/spreadsheetml/2006/main" count="2701" uniqueCount="310">
  <si>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</si>
  <si>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</si>
  <si>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</si>
  <si>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</si>
  <si>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</si>
  <si>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</si>
  <si>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</si>
  <si>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</si>
  <si>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</si>
  <si>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</si>
  <si>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</si>
  <si>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</si>
  <si>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</si>
  <si>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</si>
  <si>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</si>
  <si>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</si>
  <si>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</si>
  <si>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</si>
  <si>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</si>
  <si>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</si>
  <si>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</si>
  <si>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</si>
  <si>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</si>
  <si>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</si>
  <si>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</si>
  <si>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</si>
  <si>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</si>
  <si>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</si>
  <si>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</si>
  <si>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</si>
  <si>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</si>
  <si>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</si>
  <si>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</si>
  <si>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</si>
  <si>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</si>
  <si>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</si>
  <si>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</si>
  <si>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</si>
  <si>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</si>
  <si>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</si>
  <si>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</si>
  <si>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</si>
  <si>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</si>
  <si>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</si>
  <si>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</si>
  <si>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</si>
  <si>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</si>
  <si>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</si>
  <si>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</si>
  <si>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</si>
  <si>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</si>
  <si>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</si>
  <si>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</si>
  <si>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</si>
  <si>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</si>
  <si>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</si>
  <si>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</si>
  <si>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Работы по текущему ремонту и по заявкам</t>
  </si>
  <si>
    <t>пгт. Ярега</t>
  </si>
  <si>
    <t>155 раз</t>
  </si>
  <si>
    <t xml:space="preserve">Погрузка травы, ветвей </t>
  </si>
  <si>
    <t>по необходимости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</si>
  <si>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</si>
  <si>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</si>
  <si>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</si>
  <si>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</si>
  <si>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</si>
  <si>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</si>
  <si>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</si>
  <si>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</si>
  <si>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</si>
  <si>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</si>
  <si>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</si>
  <si>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</si>
  <si>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</si>
  <si>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II. Уборка земельного участка </t>
  </si>
  <si>
    <t>Влажное подметание лестничных клеток 1 этажа</t>
  </si>
  <si>
    <t>Влажное подметание лестничных клеток 2-4 этажа</t>
  </si>
  <si>
    <t>Мытье лестничных  площадок и маршей 1-4 этаж.</t>
  </si>
  <si>
    <t>III. Содержание общего имущества</t>
  </si>
  <si>
    <t>Работа автовышки</t>
  </si>
  <si>
    <t>ТО внутренних сетей водопровода и канализации</t>
  </si>
  <si>
    <t>Замена ламп ДРЛ</t>
  </si>
  <si>
    <t>Смена арматуры - вентилей и клапанов обратных муфтовых диаметром до 20 мм</t>
  </si>
  <si>
    <t>1 шт</t>
  </si>
  <si>
    <t xml:space="preserve">приемки оказанных услуг и выполненных работ по содержанию и текущему ремонту
общего имущества в многоквартирном доме №1 по ул.Космонавтов пгт.Ярега
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</si>
  <si>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</si>
  <si>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</si>
  <si>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</si>
  <si>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</si>
  <si>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</si>
  <si>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</si>
  <si>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</si>
  <si>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</si>
  <si>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</si>
  <si>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</si>
  <si>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шт</t>
  </si>
  <si>
    <t>100м3</t>
  </si>
  <si>
    <t>1000м3</t>
  </si>
  <si>
    <t>Вода для промывки СО</t>
  </si>
  <si>
    <t>Сброс воды после промывки СО в канализацию</t>
  </si>
  <si>
    <t>руб/м2 в мес</t>
  </si>
  <si>
    <t>Техническое обслуживание наружных газопроводов</t>
  </si>
  <si>
    <t>ТО внутридомового газ.оборудования</t>
  </si>
  <si>
    <t>Смена светодиодных светильников в.о.</t>
  </si>
  <si>
    <t>1 шт.</t>
  </si>
  <si>
    <t>Стоимость светодиодного светильника</t>
  </si>
  <si>
    <t>руб.</t>
  </si>
  <si>
    <t>Прочистка каналов</t>
  </si>
  <si>
    <t>1000м2</t>
  </si>
  <si>
    <t>Вывоз смета,травы,ветвей и т.п.- м/ч</t>
  </si>
  <si>
    <t>Сдвигание снега в дни снегопада (проезд)</t>
  </si>
  <si>
    <t>Вывоз снега с придомовой территории</t>
  </si>
  <si>
    <t>1м3</t>
  </si>
  <si>
    <t>155 раз за сезон</t>
  </si>
  <si>
    <t>24 раза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</si>
  <si>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</si>
  <si>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</si>
  <si>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</si>
  <si>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</si>
  <si>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</si>
  <si>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</si>
  <si>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</si>
  <si>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Аварийно-диспетчерское обслуживание</t>
  </si>
  <si>
    <t>IV. Содержание общего имущества</t>
  </si>
  <si>
    <t>АКТ №1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</si>
  <si>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</si>
  <si>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</si>
  <si>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</si>
  <si>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</si>
  <si>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</si>
  <si>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</si>
  <si>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</si>
  <si>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IV. Прочие услуги</t>
  </si>
  <si>
    <t>АКТ №9</t>
  </si>
  <si>
    <t>АКТ №10</t>
  </si>
  <si>
    <t>Летняя уборка</t>
  </si>
  <si>
    <t>52 раза в сезон</t>
  </si>
  <si>
    <t>78 раз за сезон</t>
  </si>
  <si>
    <t>Обязательные работы по содержанию общего имущества собственников помещений в многоквартирном доме</t>
  </si>
  <si>
    <t>Уборка газонов, грунта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</si>
  <si>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</si>
  <si>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</si>
  <si>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24 раз за сезон</t>
  </si>
  <si>
    <t xml:space="preserve">Подметание снега с вход.площадок, конт. площадок </t>
  </si>
  <si>
    <t>18 раз за сезон</t>
  </si>
  <si>
    <t>III. Плановые осмотры и мелкий ремонт</t>
  </si>
  <si>
    <t>5 раз в год</t>
  </si>
  <si>
    <t>V. Прочие услуги</t>
  </si>
  <si>
    <t>Итого затраты за месяц</t>
  </si>
  <si>
    <t>10 м2</t>
  </si>
  <si>
    <t>II. Уборка земельного участка</t>
  </si>
  <si>
    <t>АКТ №11</t>
  </si>
  <si>
    <t>АКТ №12</t>
  </si>
  <si>
    <t>Дератизация</t>
  </si>
  <si>
    <t>м2</t>
  </si>
  <si>
    <t>Очистка канализационной сети внутренней</t>
  </si>
  <si>
    <t>час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</si>
  <si>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д.1</t>
    </r>
  </si>
  <si>
    <t>ООО «Движение»</t>
  </si>
  <si>
    <t>Очистка от снега люков водопроводных и канализационных колодцев</t>
  </si>
  <si>
    <t>Работа ротенбергера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</si>
  <si>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</si>
  <si>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</si>
  <si>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м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</si>
  <si>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</si>
  <si>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</si>
  <si>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</si>
  <si>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</si>
  <si>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</si>
  <si>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4 раза</t>
  </si>
  <si>
    <t>25 аз</t>
  </si>
  <si>
    <t>3 раза</t>
  </si>
  <si>
    <t>1 раз</t>
  </si>
  <si>
    <t>1 м/час</t>
  </si>
  <si>
    <t xml:space="preserve">1 раз      </t>
  </si>
  <si>
    <t xml:space="preserve">1 раз   </t>
  </si>
  <si>
    <t>маш/час</t>
  </si>
  <si>
    <t xml:space="preserve">1 раз </t>
  </si>
  <si>
    <t>25 раз</t>
  </si>
  <si>
    <t>под.№4 тамбур</t>
  </si>
  <si>
    <t>Водоснабжение и канализация</t>
  </si>
  <si>
    <t>25 марта</t>
  </si>
  <si>
    <t xml:space="preserve">Осмотр водопроводов, канализации, отопления </t>
  </si>
  <si>
    <t>100 м</t>
  </si>
  <si>
    <t>руб</t>
  </si>
  <si>
    <t>5 раз</t>
  </si>
  <si>
    <r>
      <t xml:space="preserve">    Собственники   помещений   в многоквартирном доме, расположенном по адресу:  пгт.Ярега, ул.Космонавтов, д.1,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09.09.2016г. стороны,  и ООО «Движение», именуемое в дальнейшем "Исполнитель",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</si>
  <si>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генеральный директор Кочанова И.Л.</t>
  </si>
  <si>
    <t>Установка заглушек диаметром трубопроводов до 100 мм</t>
  </si>
  <si>
    <t>заглушка</t>
  </si>
  <si>
    <t>за период с 01.01.2021 г. по 31.01.2021 г.</t>
  </si>
  <si>
    <t>Демонтаж полов в тамбуре под.№ 1</t>
  </si>
  <si>
    <t>Отогрев ХВС+ трансформатор</t>
  </si>
  <si>
    <t>Смена арматуры - вентилей и клапанов обратных муфтовых диаметром до 32 мм</t>
  </si>
  <si>
    <t>Утепление трубопроводов минеральной ватой УРСА</t>
  </si>
  <si>
    <t>I МЗ</t>
  </si>
  <si>
    <t>Демонтаж деревянного настила</t>
  </si>
  <si>
    <t>Внеплановая проверка дымоходов</t>
  </si>
  <si>
    <t>Внеплановая проверка вентканалов</t>
  </si>
  <si>
    <t>16 м</t>
  </si>
  <si>
    <t>1 шт. с/о кв.48; п/с кв.16-1 шт.</t>
  </si>
  <si>
    <t>1 шт. ХВС под. кв.4</t>
  </si>
  <si>
    <t>под.№1</t>
  </si>
  <si>
    <t>кв.27,63,57</t>
  </si>
  <si>
    <t>кв.63,57</t>
  </si>
  <si>
    <t>2. Всего за период с 01.01.2021 г. по 31.01.2021 г. выполнено работ (оказано услуг) на общую сумму: 52073,33 руб.</t>
  </si>
  <si>
    <t>( пятьдесят две тысячи семьдесят три рубля 33 копейки)</t>
  </si>
  <si>
    <t>за период с 01.02.2021 г. по 29.02.2021 г.</t>
  </si>
  <si>
    <t>29.02.2021</t>
  </si>
  <si>
    <t>0,8 ч (3 и 5 февр)</t>
  </si>
  <si>
    <t>Смена внутренних трубопроводов на полиропиленовые трубы ПП 32*5,4</t>
  </si>
  <si>
    <t>Отогрев ХВС</t>
  </si>
  <si>
    <t>Очистка канализационного лежака</t>
  </si>
  <si>
    <t>Пристрожка полотна по кромкам</t>
  </si>
  <si>
    <t>1 полотно</t>
  </si>
  <si>
    <t>кв.27</t>
  </si>
  <si>
    <t>ХВС с кв.4 до тех. подполья</t>
  </si>
  <si>
    <t>6 м</t>
  </si>
  <si>
    <t>10 м</t>
  </si>
  <si>
    <t>под.№1, тамбур</t>
  </si>
  <si>
    <t>кв.36</t>
  </si>
  <si>
    <t>2. Всего за период с 01.02.2021 г. по 29.02.2021 г. выполнено работ (оказано услуг) на общую сумму: 82491,01 руб.</t>
  </si>
  <si>
    <t>(восемьдесят две тысячи четыреста девяносто один рубль 01 копейка)</t>
  </si>
  <si>
    <t>за период с 01.03.2021 г. по 31.03.2021 г.</t>
  </si>
  <si>
    <t>11 марта</t>
  </si>
  <si>
    <t>2 м/часа</t>
  </si>
  <si>
    <t>Очистка оголовков от наледи и снега</t>
  </si>
  <si>
    <t>Замена манжеты</t>
  </si>
  <si>
    <t>Воссановление пола в тамбуре после работ ВДИС</t>
  </si>
  <si>
    <t>7 марта</t>
  </si>
  <si>
    <t>кв.36,37</t>
  </si>
  <si>
    <t>26 м</t>
  </si>
  <si>
    <t>кв.6</t>
  </si>
  <si>
    <t>31,15,25</t>
  </si>
  <si>
    <t>2. Всего за период с 01.03.2021 г. по 31.03.2021 г. выполнено работ (оказано услуг) на общую сумму: 45913,41 руб.</t>
  </si>
  <si>
    <t>(сорок пять тысяч девятсот тринадцать рублей 41 копейка)</t>
  </si>
  <si>
    <t>за период с 01.04.2021 г. по 30.04.2021 г.</t>
  </si>
  <si>
    <t>13 м3 ( 7 апр)</t>
  </si>
  <si>
    <t>Укрепление оконных и дверных приборов - проушин</t>
  </si>
  <si>
    <t>Работа гона</t>
  </si>
  <si>
    <t>16м</t>
  </si>
  <si>
    <t>0,5 м/час</t>
  </si>
  <si>
    <t>1 шт. под. № 3 р/у;  под.№ 4 черд.</t>
  </si>
  <si>
    <t>за период с 01.05.2021 г. по 31.05.2021 г.</t>
  </si>
  <si>
    <r>
      <t xml:space="preserve">    Собственники   помещений   в многоквартирном доме, расположенном по адресу:  пгт.Ярега, ул.Космонавтов, д.1,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09.09.2016г. стороны,  и ООО «Движение», именуемое в дальнейшем "Исполнитель", в лице генерального директора Кочановой Ирины Леоидовны,  действующего на основании Устава,  с другой стороны,  совместно именуемые "Стороны", составили настоящий Акт о нижеследующем:</t>
    </r>
  </si>
  <si>
    <t>Установка щита перед под.№1</t>
  </si>
  <si>
    <t>2. Всего за период с 01.05.2021 г. по 31.05.2021 г. выполнено работ (оказано услуг) на общую сумму: 69566,98 руб.</t>
  </si>
  <si>
    <t>(шестьдесят девять тысяч пятьсот шестьдесят шесть рублей 98 копеек)</t>
  </si>
  <si>
    <t>за период с 01.06.2021 г. по 30.06.2021 г.</t>
  </si>
  <si>
    <t>Очистка отмостки и цоколя от растительности</t>
  </si>
  <si>
    <t>Прочистка аэратора</t>
  </si>
  <si>
    <t>3м</t>
  </si>
  <si>
    <t>кв.62</t>
  </si>
  <si>
    <t>1 шт. ХВС кв.62</t>
  </si>
  <si>
    <t>2. Всего за период с 01.06.2021 г. по 30.06.2021 г. выполнено работ (оказано услуг) на общую сумму: 32851,79 руб.</t>
  </si>
  <si>
    <t>(тридцать две тысячи восемьсот пятьдесят один рубль 79 копеек)</t>
  </si>
  <si>
    <t>2. Всего за период с 01.04.2021 г. по 30.04.2021 г. выполнено работ (оказано услуг) на общую сумму: 38498,95 руб.</t>
  </si>
  <si>
    <t>(тридцать восемь тысяч четыреста девяносто восемь рублей 95 копеек)</t>
  </si>
  <si>
    <t>за период с 01.07.2021 г. по 31.07.2021 г.</t>
  </si>
  <si>
    <t xml:space="preserve">1 раз    </t>
  </si>
  <si>
    <t>3 м</t>
  </si>
  <si>
    <t>2. Всего за период с 01.07.2021 г. по 31.07.2021 г. выполнено работ (оказано услуг) на общую сумму: 118475,37 руб.</t>
  </si>
  <si>
    <t>(сто восемнадцать тысяч четыреста семьдесят пять рублей 37 копеек)</t>
  </si>
  <si>
    <t>за период с 01.08.2021 г. по 31.08.2021 г.</t>
  </si>
  <si>
    <t>Восстановление вентиляционной шахты</t>
  </si>
  <si>
    <t>Покос травы</t>
  </si>
  <si>
    <t>2 м/час</t>
  </si>
  <si>
    <t>кв.50</t>
  </si>
  <si>
    <t>с/о кв.8</t>
  </si>
  <si>
    <t>96,6 м2</t>
  </si>
  <si>
    <t>37 м</t>
  </si>
  <si>
    <t>за период с 01.09.2021 г. по 30.09.2021 г.</t>
  </si>
  <si>
    <t>Ремонт разделки к вентиляционной шахте</t>
  </si>
  <si>
    <t>Нумерация подъездов и квартир</t>
  </si>
  <si>
    <t>Смена внутренних трубопроводов на полипропиленовые трубы PN 25 Dу 25</t>
  </si>
  <si>
    <t>23м</t>
  </si>
  <si>
    <t>Ремонт отмостки</t>
  </si>
  <si>
    <t>49 м2</t>
  </si>
  <si>
    <t>2. Всего за период с 01.08.2021 г. по 31.08.2021 г. выполнено работ (оказано услуг) на общую сумму: 178859,93 руб.</t>
  </si>
  <si>
    <t>(сто семьдесят восемь тысяч восемьсот пятьдесят девять рублей 93 копейки )</t>
  </si>
  <si>
    <t>Подключение/ отключение электрооборудования</t>
  </si>
  <si>
    <t>2 шт.с/о чердак</t>
  </si>
  <si>
    <t>с/о чердак 7 м</t>
  </si>
  <si>
    <t>2. Всего за период с 01.09.2021 г. по 30.09.2021 г. выполнено работ (оказано услуг) на общую сумму: 61788,49 руб.</t>
  </si>
  <si>
    <t>(шестьдесят одна тысяча семьсот восемьдесят восемь рублей 49 копеек)</t>
  </si>
  <si>
    <t>за период с 01.10.2021 г. по 31.10.2021 г.</t>
  </si>
  <si>
    <t>Подборка мусора налетевшего с конт.площадки</t>
  </si>
  <si>
    <t>Смена внутренних трубопроводов на полипропиленовые трубы PN 25 Dу 20</t>
  </si>
  <si>
    <t>Осмотр электросетей, армазуры и электрооборудования на лестничных клетках</t>
  </si>
  <si>
    <t>1 шт. с/о кв.49</t>
  </si>
  <si>
    <t>1 шт. с о чердак</t>
  </si>
  <si>
    <t>2. Всего за период с 01.10.2021 г. по 31.10.2021 г. выполнено работ (оказано услуг) на общую сумму: 34264,15 руб.</t>
  </si>
  <si>
    <t>(тридцать четыре тысячи двести шестьдесят четыре рубля 15 копеек)</t>
  </si>
  <si>
    <t>за период с 01.11.2021 г. по 30.11.2021 г.</t>
  </si>
  <si>
    <t>Герметизация стыков трубопроводов</t>
  </si>
  <si>
    <t>1 место</t>
  </si>
  <si>
    <t>Герметик</t>
  </si>
  <si>
    <t>кв.31 кан-ция</t>
  </si>
  <si>
    <t>13 м</t>
  </si>
  <si>
    <t>2. Всего за период с 01.11.2021 г. по 30.11.2021 г. выполнено работ (оказано услуг) на общую сумму: 67354,50 руб.</t>
  </si>
  <si>
    <t>(шестьдесят семь тысяч триста пятьдесят четыре рубля 50 копеек)</t>
  </si>
  <si>
    <t>за период с 01.12.2021 г. по 31.12.2021 г.</t>
  </si>
  <si>
    <t>1 шт. чердак с/о</t>
  </si>
  <si>
    <t>2 м с/о кв.64</t>
  </si>
  <si>
    <t>кв.30, 36</t>
  </si>
  <si>
    <t>Смена радиаторов отопительных</t>
  </si>
  <si>
    <t>1 шт. кв.48</t>
  </si>
  <si>
    <t>2. Всего за период с 01.12.2021 г. по 31.12.2021 г. выполнено работ (оказано услуг) на общую сумму: 57422,72 руб.</t>
  </si>
  <si>
    <t>(пятьдесят семь тысяч четыреста двадцать два рубля 72 копейки)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</si>
</sst>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7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9" fillId="0" borderId="0" xfId="0" applyFont="1"/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top"/>
    </xf>
    <xf numFmtId="0" fontId="15" fillId="0" borderId="0" xfId="0" applyFont="1" applyAlignment="1"/>
    <xf numFmtId="14" fontId="1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7" fillId="0" borderId="0" xfId="0" applyFont="1"/>
    <xf numFmtId="0" fontId="2" fillId="0" borderId="0" xfId="0" applyFont="1" applyBorder="1" applyAlignment="1">
      <alignment vertical="top" wrapText="1"/>
    </xf>
    <xf numFmtId="0" fontId="19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164" fontId="11" fillId="0" borderId="3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4" fontId="18" fillId="0" borderId="8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165" fontId="11" fillId="0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2" fontId="13" fillId="0" borderId="12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14" fontId="11" fillId="0" borderId="8" xfId="0" applyNumberFormat="1" applyFont="1" applyFill="1" applyBorder="1" applyAlignment="1">
      <alignment horizontal="left" vertical="center" wrapText="1"/>
    </xf>
    <xf numFmtId="4" fontId="11" fillId="4" borderId="8" xfId="0" applyNumberFormat="1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22" xfId="0" applyNumberFormat="1" applyFont="1" applyFill="1" applyBorder="1" applyAlignment="1">
      <alignment horizontal="center" vertical="center"/>
    </xf>
    <xf numFmtId="4" fontId="11" fillId="0" borderId="23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165" fontId="11" fillId="2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4" fontId="22" fillId="2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14" fontId="1" fillId="0" borderId="0" xfId="0" applyNumberFormat="1" applyFont="1" applyAlignment="1">
      <alignment horizontal="right" wrapText="1"/>
    </xf>
    <xf numFmtId="0" fontId="11" fillId="2" borderId="12" xfId="0" applyNumberFormat="1" applyFont="1" applyFill="1" applyBorder="1" applyAlignment="1" applyProtection="1">
      <alignment horizontal="left" vertical="center" wrapText="1"/>
    </xf>
    <xf numFmtId="0" fontId="11" fillId="2" borderId="12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4" fontId="22" fillId="4" borderId="3" xfId="0" applyNumberFormat="1" applyFont="1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1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3"/>
  <sheetViews>
    <sheetView topLeftCell="A60" workbookViewId="0">
      <selection activeCell="G86" sqref="G8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159</v>
      </c>
      <c r="I1" s="32"/>
    </row>
    <row r="2" spans="1:15" s="58" customFormat="1" ht="15.75" customHeight="1">
      <c r="A2" s="30" t="s">
        <v>58</v>
      </c>
      <c r="J2" s="1"/>
      <c r="K2" s="1"/>
      <c r="L2" s="1"/>
      <c r="M2" s="1"/>
    </row>
    <row r="3" spans="1:15" s="58" customFormat="1" ht="15.75" customHeight="1">
      <c r="A3" s="150" t="s">
        <v>125</v>
      </c>
      <c r="B3" s="150"/>
      <c r="C3" s="150"/>
      <c r="D3" s="150"/>
      <c r="E3" s="150"/>
      <c r="F3" s="150"/>
      <c r="G3" s="150"/>
      <c r="H3" s="150"/>
      <c r="I3" s="150"/>
      <c r="J3" s="2"/>
      <c r="K3" s="2"/>
      <c r="L3" s="2"/>
      <c r="M3" s="2"/>
    </row>
    <row r="4" spans="1:15" s="58" customFormat="1" ht="31.5" customHeight="1">
      <c r="A4" s="151" t="s">
        <v>85</v>
      </c>
      <c r="B4" s="151"/>
      <c r="C4" s="151"/>
      <c r="D4" s="151"/>
      <c r="E4" s="151"/>
      <c r="F4" s="151"/>
      <c r="G4" s="151"/>
      <c r="H4" s="151"/>
      <c r="I4" s="151"/>
      <c r="J4" s="3"/>
      <c r="K4" s="3"/>
      <c r="L4" s="3"/>
      <c r="M4" s="3"/>
    </row>
    <row r="5" spans="1:15" s="58" customFormat="1" ht="15.75" customHeight="1">
      <c r="A5" s="150" t="s">
        <v>191</v>
      </c>
      <c r="B5" s="152"/>
      <c r="C5" s="152"/>
      <c r="D5" s="152"/>
      <c r="E5" s="152"/>
      <c r="F5" s="152"/>
      <c r="G5" s="152"/>
      <c r="H5" s="152"/>
      <c r="I5" s="152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44227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53" t="s">
        <v>187</v>
      </c>
      <c r="B8" s="153"/>
      <c r="C8" s="153"/>
      <c r="D8" s="153"/>
      <c r="E8" s="153"/>
      <c r="F8" s="153"/>
      <c r="G8" s="153"/>
      <c r="H8" s="153"/>
      <c r="I8" s="15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54" t="s">
        <v>158</v>
      </c>
      <c r="B10" s="154"/>
      <c r="C10" s="154"/>
      <c r="D10" s="154"/>
      <c r="E10" s="154"/>
      <c r="F10" s="154"/>
      <c r="G10" s="154"/>
      <c r="H10" s="154"/>
      <c r="I10" s="15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48" t="s">
        <v>139</v>
      </c>
      <c r="B14" s="149"/>
      <c r="C14" s="149"/>
      <c r="D14" s="149"/>
      <c r="E14" s="149"/>
      <c r="F14" s="149"/>
      <c r="G14" s="149"/>
      <c r="H14" s="149"/>
      <c r="I14" s="149"/>
      <c r="J14" s="114"/>
      <c r="K14" s="114"/>
      <c r="L14" s="10"/>
      <c r="M14" s="10"/>
      <c r="N14" s="10"/>
      <c r="O14" s="10"/>
    </row>
    <row r="15" spans="1:15" ht="15.75" customHeight="1">
      <c r="A15" s="145" t="s">
        <v>4</v>
      </c>
      <c r="B15" s="146"/>
      <c r="C15" s="146"/>
      <c r="D15" s="146"/>
      <c r="E15" s="146"/>
      <c r="F15" s="146"/>
      <c r="G15" s="146"/>
      <c r="H15" s="146"/>
      <c r="I15" s="147"/>
    </row>
    <row r="16" spans="1:15" ht="15.75" customHeight="1">
      <c r="A16" s="31">
        <v>1</v>
      </c>
      <c r="B16" s="69" t="s">
        <v>76</v>
      </c>
      <c r="C16" s="76" t="s">
        <v>86</v>
      </c>
      <c r="D16" s="69" t="s">
        <v>166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77</v>
      </c>
      <c r="C17" s="76" t="s">
        <v>86</v>
      </c>
      <c r="D17" s="69" t="s">
        <v>167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78</v>
      </c>
      <c r="C18" s="76" t="s">
        <v>86</v>
      </c>
      <c r="D18" s="69" t="s">
        <v>168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/>
      <c r="B19" s="69" t="s">
        <v>87</v>
      </c>
      <c r="C19" s="76" t="s">
        <v>88</v>
      </c>
      <c r="D19" s="69" t="s">
        <v>89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/>
      <c r="B20" s="69" t="s">
        <v>90</v>
      </c>
      <c r="C20" s="76" t="s">
        <v>86</v>
      </c>
      <c r="D20" s="69" t="s">
        <v>40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/>
      <c r="B21" s="69" t="s">
        <v>91</v>
      </c>
      <c r="C21" s="76" t="s">
        <v>86</v>
      </c>
      <c r="D21" s="69" t="s">
        <v>40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/>
      <c r="B22" s="69" t="s">
        <v>92</v>
      </c>
      <c r="C22" s="76" t="s">
        <v>51</v>
      </c>
      <c r="D22" s="69" t="s">
        <v>89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/>
      <c r="B23" s="69" t="s">
        <v>93</v>
      </c>
      <c r="C23" s="76" t="s">
        <v>51</v>
      </c>
      <c r="D23" s="69" t="s">
        <v>89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/>
      <c r="B24" s="69" t="s">
        <v>94</v>
      </c>
      <c r="C24" s="76" t="s">
        <v>51</v>
      </c>
      <c r="D24" s="82" t="s">
        <v>89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/>
      <c r="B25" s="69" t="s">
        <v>95</v>
      </c>
      <c r="C25" s="76" t="s">
        <v>51</v>
      </c>
      <c r="D25" s="69" t="s">
        <v>89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customHeight="1">
      <c r="A26" s="31">
        <v>4</v>
      </c>
      <c r="B26" s="37" t="s">
        <v>165</v>
      </c>
      <c r="C26" s="46" t="s">
        <v>155</v>
      </c>
      <c r="D26" s="37" t="s">
        <v>169</v>
      </c>
      <c r="E26" s="122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5" t="s">
        <v>75</v>
      </c>
      <c r="B27" s="146"/>
      <c r="C27" s="146"/>
      <c r="D27" s="146"/>
      <c r="E27" s="146"/>
      <c r="F27" s="146"/>
      <c r="G27" s="146"/>
      <c r="H27" s="146"/>
      <c r="I27" s="147"/>
      <c r="J27" s="27"/>
      <c r="K27" s="10"/>
      <c r="L27" s="10"/>
      <c r="M27" s="10"/>
    </row>
    <row r="28" spans="1:13" ht="15.75" hidden="1" customHeight="1">
      <c r="A28" s="47"/>
      <c r="B28" s="55" t="s">
        <v>136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hidden="1" customHeight="1">
      <c r="A29" s="68">
        <v>6</v>
      </c>
      <c r="B29" s="37" t="s">
        <v>140</v>
      </c>
      <c r="C29" s="46" t="s">
        <v>109</v>
      </c>
      <c r="D29" s="37" t="s">
        <v>137</v>
      </c>
      <c r="E29" s="101"/>
      <c r="F29" s="112"/>
      <c r="G29" s="36">
        <v>193.97</v>
      </c>
      <c r="H29" s="113"/>
      <c r="I29" s="95">
        <v>109.44</v>
      </c>
      <c r="J29" s="27"/>
      <c r="K29" s="10"/>
      <c r="L29" s="10"/>
      <c r="M29" s="10"/>
    </row>
    <row r="30" spans="1:13" ht="31.5" hidden="1" customHeight="1">
      <c r="A30" s="68">
        <v>7</v>
      </c>
      <c r="B30" s="37" t="s">
        <v>141</v>
      </c>
      <c r="C30" s="46" t="s">
        <v>109</v>
      </c>
      <c r="D30" s="37" t="s">
        <v>138</v>
      </c>
      <c r="E30" s="101"/>
      <c r="F30" s="112"/>
      <c r="G30" s="36">
        <v>321.82</v>
      </c>
      <c r="H30" s="113"/>
      <c r="I30" s="95">
        <v>272.36</v>
      </c>
      <c r="J30" s="27"/>
      <c r="K30" s="10"/>
      <c r="L30" s="10"/>
      <c r="M30" s="10"/>
    </row>
    <row r="31" spans="1:13" ht="15.75" hidden="1" customHeight="1">
      <c r="A31" s="68"/>
      <c r="B31" s="69" t="s">
        <v>27</v>
      </c>
      <c r="C31" s="76" t="s">
        <v>109</v>
      </c>
      <c r="D31" s="69" t="s">
        <v>52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ref="H31" si="2">SUM(F31*G31/1000)</f>
        <v>0.24466402799999998</v>
      </c>
      <c r="I31" s="17">
        <v>0</v>
      </c>
      <c r="J31" s="27"/>
      <c r="K31" s="10"/>
      <c r="L31" s="10"/>
      <c r="M31" s="10"/>
    </row>
    <row r="32" spans="1:13" ht="15.75" hidden="1" customHeight="1">
      <c r="A32" s="68">
        <v>8</v>
      </c>
      <c r="B32" s="37" t="s">
        <v>142</v>
      </c>
      <c r="C32" s="46" t="s">
        <v>29</v>
      </c>
      <c r="D32" s="37" t="s">
        <v>59</v>
      </c>
      <c r="E32" s="101"/>
      <c r="F32" s="112"/>
      <c r="G32" s="36">
        <v>70.540000000000006</v>
      </c>
      <c r="H32" s="113"/>
      <c r="I32" s="95">
        <v>303.70999999999998</v>
      </c>
      <c r="J32" s="27"/>
      <c r="K32" s="10"/>
      <c r="L32" s="10"/>
      <c r="M32" s="10"/>
    </row>
    <row r="33" spans="1:13" ht="15.75" hidden="1" customHeight="1">
      <c r="A33" s="68"/>
      <c r="B33" s="69" t="s">
        <v>60</v>
      </c>
      <c r="C33" s="76" t="s">
        <v>31</v>
      </c>
      <c r="D33" s="69" t="s">
        <v>61</v>
      </c>
      <c r="E33" s="77"/>
      <c r="F33" s="78">
        <v>1</v>
      </c>
      <c r="G33" s="78">
        <v>238.07</v>
      </c>
      <c r="H33" s="79">
        <f t="shared" ref="H33:H34" si="3">SUM(F33*G33/1000)</f>
        <v>0.23807</v>
      </c>
      <c r="I33" s="17">
        <v>0</v>
      </c>
      <c r="J33" s="27"/>
      <c r="K33" s="10"/>
      <c r="L33" s="10"/>
      <c r="M33" s="10"/>
    </row>
    <row r="34" spans="1:13" ht="15.75" hidden="1" customHeight="1">
      <c r="A34" s="68"/>
      <c r="B34" s="69" t="s">
        <v>110</v>
      </c>
      <c r="C34" s="76" t="s">
        <v>30</v>
      </c>
      <c r="D34" s="69" t="s">
        <v>61</v>
      </c>
      <c r="E34" s="77"/>
      <c r="F34" s="78">
        <v>1</v>
      </c>
      <c r="G34" s="78">
        <v>1413.96</v>
      </c>
      <c r="H34" s="79">
        <f t="shared" si="3"/>
        <v>1.4139600000000001</v>
      </c>
      <c r="I34" s="17">
        <v>0</v>
      </c>
      <c r="J34" s="27"/>
      <c r="K34" s="10"/>
      <c r="L34" s="10"/>
      <c r="M34" s="10"/>
    </row>
    <row r="35" spans="1:13" ht="15.75" customHeight="1">
      <c r="A35" s="47"/>
      <c r="B35" s="55" t="s">
        <v>5</v>
      </c>
      <c r="C35" s="47"/>
      <c r="D35" s="47"/>
      <c r="E35" s="16"/>
      <c r="F35" s="16"/>
      <c r="G35" s="18"/>
      <c r="H35" s="18"/>
      <c r="I35" s="64"/>
      <c r="J35" s="27"/>
      <c r="K35" s="10"/>
      <c r="L35" s="10"/>
      <c r="M35" s="10"/>
    </row>
    <row r="36" spans="1:13" ht="16.5" hidden="1" customHeight="1">
      <c r="A36" s="38">
        <v>5</v>
      </c>
      <c r="B36" s="69" t="s">
        <v>26</v>
      </c>
      <c r="C36" s="76" t="s">
        <v>30</v>
      </c>
      <c r="D36" s="69"/>
      <c r="E36" s="77"/>
      <c r="F36" s="78">
        <v>2</v>
      </c>
      <c r="G36" s="78">
        <v>1900.37</v>
      </c>
      <c r="H36" s="79">
        <f t="shared" ref="H36:H42" si="4">SUM(F36*G36/1000)</f>
        <v>3.8007399999999998</v>
      </c>
      <c r="I36" s="17">
        <f>G36*0.6</f>
        <v>1140.222</v>
      </c>
      <c r="J36" s="27"/>
      <c r="K36" s="10"/>
      <c r="L36" s="10"/>
      <c r="M36" s="10"/>
    </row>
    <row r="37" spans="1:13" ht="15.75" customHeight="1">
      <c r="A37" s="38">
        <v>5</v>
      </c>
      <c r="B37" s="69" t="s">
        <v>111</v>
      </c>
      <c r="C37" s="76" t="s">
        <v>28</v>
      </c>
      <c r="D37" s="69" t="s">
        <v>170</v>
      </c>
      <c r="E37" s="77">
        <v>65.099999999999994</v>
      </c>
      <c r="F37" s="78">
        <f>E37*24/1000</f>
        <v>1.5623999999999998</v>
      </c>
      <c r="G37" s="78">
        <v>2616.4899999999998</v>
      </c>
      <c r="H37" s="79">
        <f>G37*F37/1000</f>
        <v>4.0880039759999987</v>
      </c>
      <c r="I37" s="17">
        <f>F37/6*G37</f>
        <v>681.33399599999984</v>
      </c>
      <c r="J37" s="27"/>
      <c r="K37" s="10"/>
      <c r="L37" s="10"/>
      <c r="M37" s="10"/>
    </row>
    <row r="38" spans="1:13" ht="15.75" hidden="1" customHeight="1">
      <c r="A38" s="38"/>
      <c r="B38" s="69" t="s">
        <v>112</v>
      </c>
      <c r="C38" s="76" t="s">
        <v>113</v>
      </c>
      <c r="D38" s="69" t="s">
        <v>61</v>
      </c>
      <c r="E38" s="77"/>
      <c r="F38" s="78">
        <v>13</v>
      </c>
      <c r="G38" s="78">
        <v>226.84</v>
      </c>
      <c r="H38" s="79">
        <f>G38*F38/1000</f>
        <v>2.9489200000000002</v>
      </c>
      <c r="I38" s="17">
        <v>0</v>
      </c>
      <c r="J38" s="27"/>
      <c r="K38" s="10"/>
      <c r="L38" s="10"/>
      <c r="M38" s="10"/>
    </row>
    <row r="39" spans="1:13" ht="15.75" customHeight="1">
      <c r="A39" s="38">
        <v>6</v>
      </c>
      <c r="B39" s="69" t="s">
        <v>144</v>
      </c>
      <c r="C39" s="76" t="s">
        <v>28</v>
      </c>
      <c r="D39" s="69" t="s">
        <v>171</v>
      </c>
      <c r="E39" s="78">
        <v>65.099999999999994</v>
      </c>
      <c r="F39" s="78">
        <f>SUM(E39*155/1000)</f>
        <v>10.0905</v>
      </c>
      <c r="G39" s="78">
        <v>436.45</v>
      </c>
      <c r="H39" s="79">
        <f t="shared" si="4"/>
        <v>4.4039987250000001</v>
      </c>
      <c r="I39" s="17">
        <f>F39/6*G39</f>
        <v>733.99978750000002</v>
      </c>
      <c r="J39" s="27"/>
      <c r="K39" s="10"/>
      <c r="L39" s="10"/>
      <c r="M39" s="10"/>
    </row>
    <row r="40" spans="1:13" ht="47.25" customHeight="1">
      <c r="A40" s="38">
        <v>7</v>
      </c>
      <c r="B40" s="69" t="s">
        <v>74</v>
      </c>
      <c r="C40" s="76" t="s">
        <v>109</v>
      </c>
      <c r="D40" s="69" t="s">
        <v>170</v>
      </c>
      <c r="E40" s="78">
        <v>65.099999999999994</v>
      </c>
      <c r="F40" s="78">
        <f>SUM(E40*24/1000)</f>
        <v>1.5623999999999998</v>
      </c>
      <c r="G40" s="78">
        <v>7221.21</v>
      </c>
      <c r="H40" s="79">
        <f t="shared" si="4"/>
        <v>11.282418503999999</v>
      </c>
      <c r="I40" s="17">
        <f>F40/6*G40</f>
        <v>1880.4030839999998</v>
      </c>
      <c r="J40" s="27"/>
      <c r="K40" s="10"/>
      <c r="L40" s="10"/>
      <c r="M40" s="10"/>
    </row>
    <row r="41" spans="1:13" ht="15.75" hidden="1" customHeight="1">
      <c r="A41" s="38">
        <v>8</v>
      </c>
      <c r="B41" s="69" t="s">
        <v>116</v>
      </c>
      <c r="C41" s="76" t="s">
        <v>109</v>
      </c>
      <c r="D41" s="69" t="s">
        <v>172</v>
      </c>
      <c r="E41" s="78">
        <v>65.099999999999994</v>
      </c>
      <c r="F41" s="78">
        <f>SUM(E41*18/1000)</f>
        <v>1.1718</v>
      </c>
      <c r="G41" s="78">
        <v>533.45000000000005</v>
      </c>
      <c r="H41" s="79">
        <f t="shared" si="4"/>
        <v>0.62509671</v>
      </c>
      <c r="I41" s="17">
        <f>F41/7.5*G41</f>
        <v>83.346227999999996</v>
      </c>
      <c r="J41" s="27"/>
      <c r="K41" s="10"/>
      <c r="L41" s="10"/>
      <c r="M41" s="10"/>
    </row>
    <row r="42" spans="1:13" ht="15.75" hidden="1" customHeight="1">
      <c r="A42" s="38">
        <v>9</v>
      </c>
      <c r="B42" s="69" t="s">
        <v>62</v>
      </c>
      <c r="C42" s="76" t="s">
        <v>31</v>
      </c>
      <c r="D42" s="69"/>
      <c r="E42" s="77"/>
      <c r="F42" s="78">
        <v>0.4</v>
      </c>
      <c r="G42" s="78">
        <v>992.97</v>
      </c>
      <c r="H42" s="79">
        <f t="shared" si="4"/>
        <v>0.39718800000000004</v>
      </c>
      <c r="I42" s="17">
        <f>F42/7.5*G42</f>
        <v>52.958400000000005</v>
      </c>
      <c r="J42" s="27"/>
      <c r="K42" s="10"/>
      <c r="L42" s="10"/>
      <c r="M42" s="10"/>
    </row>
    <row r="43" spans="1:13" ht="15.75" customHeight="1">
      <c r="A43" s="168" t="s">
        <v>146</v>
      </c>
      <c r="B43" s="169"/>
      <c r="C43" s="169"/>
      <c r="D43" s="169"/>
      <c r="E43" s="169"/>
      <c r="F43" s="169"/>
      <c r="G43" s="169"/>
      <c r="H43" s="169"/>
      <c r="I43" s="170"/>
      <c r="J43" s="27"/>
      <c r="K43" s="10"/>
      <c r="L43" s="10"/>
      <c r="M43" s="10"/>
    </row>
    <row r="44" spans="1:13" ht="15.75" hidden="1" customHeight="1">
      <c r="A44" s="47">
        <v>16</v>
      </c>
      <c r="B44" s="69" t="s">
        <v>117</v>
      </c>
      <c r="C44" s="76" t="s">
        <v>109</v>
      </c>
      <c r="D44" s="69" t="s">
        <v>40</v>
      </c>
      <c r="E44" s="77">
        <v>1060.4000000000001</v>
      </c>
      <c r="F44" s="78">
        <f>SUM(E44*2/1000)</f>
        <v>2.1208</v>
      </c>
      <c r="G44" s="17">
        <v>1283.46</v>
      </c>
      <c r="H44" s="79">
        <f t="shared" ref="H44:H53" si="5">SUM(F44*G44/1000)</f>
        <v>2.721961968</v>
      </c>
      <c r="I44" s="17">
        <v>0</v>
      </c>
      <c r="J44" s="27"/>
      <c r="K44" s="10"/>
      <c r="L44" s="10"/>
      <c r="M44" s="10"/>
    </row>
    <row r="45" spans="1:13" ht="15.75" hidden="1" customHeight="1">
      <c r="A45" s="47">
        <v>19</v>
      </c>
      <c r="B45" s="69" t="s">
        <v>34</v>
      </c>
      <c r="C45" s="76" t="s">
        <v>109</v>
      </c>
      <c r="D45" s="69" t="s">
        <v>40</v>
      </c>
      <c r="E45" s="77">
        <v>1251.6199999999999</v>
      </c>
      <c r="F45" s="78">
        <f>SUM(E45*2/1000)</f>
        <v>2.5032399999999999</v>
      </c>
      <c r="G45" s="17">
        <v>1712.28</v>
      </c>
      <c r="H45" s="79">
        <f t="shared" si="5"/>
        <v>4.2862477871999998</v>
      </c>
      <c r="I45" s="17">
        <v>0</v>
      </c>
      <c r="J45" s="27"/>
      <c r="K45" s="10"/>
      <c r="L45" s="10"/>
      <c r="M45" s="10"/>
    </row>
    <row r="46" spans="1:13" ht="15.75" hidden="1" customHeight="1">
      <c r="A46" s="47">
        <v>20</v>
      </c>
      <c r="B46" s="69" t="s">
        <v>35</v>
      </c>
      <c r="C46" s="76" t="s">
        <v>109</v>
      </c>
      <c r="D46" s="69" t="s">
        <v>40</v>
      </c>
      <c r="E46" s="77">
        <v>1295.68</v>
      </c>
      <c r="F46" s="78">
        <f>SUM(E46*2/1000)</f>
        <v>2.5913600000000003</v>
      </c>
      <c r="G46" s="17">
        <v>1179.73</v>
      </c>
      <c r="H46" s="79">
        <f t="shared" si="5"/>
        <v>3.0571051328000003</v>
      </c>
      <c r="I46" s="17">
        <v>0</v>
      </c>
      <c r="J46" s="27"/>
      <c r="K46" s="10"/>
      <c r="L46" s="10"/>
      <c r="M46" s="10"/>
    </row>
    <row r="47" spans="1:13" ht="15.75" hidden="1" customHeight="1">
      <c r="A47" s="47">
        <v>17</v>
      </c>
      <c r="B47" s="69" t="s">
        <v>32</v>
      </c>
      <c r="C47" s="76" t="s">
        <v>33</v>
      </c>
      <c r="D47" s="69" t="s">
        <v>40</v>
      </c>
      <c r="E47" s="77">
        <v>85.84</v>
      </c>
      <c r="F47" s="78">
        <f>E47*2/100</f>
        <v>1.7168000000000001</v>
      </c>
      <c r="G47" s="17">
        <v>90.61</v>
      </c>
      <c r="H47" s="79">
        <f t="shared" si="5"/>
        <v>0.15555924799999998</v>
      </c>
      <c r="I47" s="17">
        <v>0</v>
      </c>
      <c r="J47" s="27"/>
      <c r="K47" s="10"/>
      <c r="L47" s="10"/>
      <c r="M47" s="10"/>
    </row>
    <row r="48" spans="1:13" ht="15.75" customHeight="1">
      <c r="A48" s="47">
        <v>8</v>
      </c>
      <c r="B48" s="69" t="s">
        <v>54</v>
      </c>
      <c r="C48" s="76" t="s">
        <v>109</v>
      </c>
      <c r="D48" s="69" t="s">
        <v>173</v>
      </c>
      <c r="E48" s="77">
        <v>2549.5</v>
      </c>
      <c r="F48" s="78">
        <f>SUM(E48*5/1000)</f>
        <v>12.7475</v>
      </c>
      <c r="G48" s="17">
        <v>1711.28</v>
      </c>
      <c r="H48" s="79">
        <f t="shared" si="5"/>
        <v>21.814541800000001</v>
      </c>
      <c r="I48" s="17">
        <f>F48/5*G48</f>
        <v>4362.9083600000004</v>
      </c>
      <c r="J48" s="27"/>
      <c r="K48" s="10"/>
      <c r="L48" s="10"/>
      <c r="M48" s="10"/>
    </row>
    <row r="49" spans="1:14" ht="31.5" hidden="1" customHeight="1">
      <c r="A49" s="47">
        <v>22</v>
      </c>
      <c r="B49" s="69" t="s">
        <v>118</v>
      </c>
      <c r="C49" s="76" t="s">
        <v>109</v>
      </c>
      <c r="D49" s="69" t="s">
        <v>40</v>
      </c>
      <c r="E49" s="77">
        <v>2549.5</v>
      </c>
      <c r="F49" s="78">
        <f>SUM(E49*2/1000)</f>
        <v>5.0990000000000002</v>
      </c>
      <c r="G49" s="17">
        <v>1510.06</v>
      </c>
      <c r="H49" s="79">
        <f t="shared" si="5"/>
        <v>7.6997959399999996</v>
      </c>
      <c r="I49" s="17">
        <v>0</v>
      </c>
      <c r="J49" s="27"/>
      <c r="K49" s="10"/>
      <c r="L49" s="10"/>
      <c r="M49" s="10"/>
    </row>
    <row r="50" spans="1:14" ht="31.5" hidden="1" customHeight="1">
      <c r="A50" s="47">
        <v>23</v>
      </c>
      <c r="B50" s="69" t="s">
        <v>119</v>
      </c>
      <c r="C50" s="76" t="s">
        <v>36</v>
      </c>
      <c r="D50" s="69" t="s">
        <v>40</v>
      </c>
      <c r="E50" s="77">
        <v>16</v>
      </c>
      <c r="F50" s="78">
        <f>SUM(E50*2/100)</f>
        <v>0.32</v>
      </c>
      <c r="G50" s="17">
        <v>3850.4</v>
      </c>
      <c r="H50" s="79">
        <f t="shared" si="5"/>
        <v>1.2321280000000001</v>
      </c>
      <c r="I50" s="17">
        <v>0</v>
      </c>
      <c r="J50" s="27"/>
      <c r="K50" s="10"/>
    </row>
    <row r="51" spans="1:14" ht="25.5" hidden="1" customHeight="1">
      <c r="A51" s="47">
        <v>24</v>
      </c>
      <c r="B51" s="69" t="s">
        <v>37</v>
      </c>
      <c r="C51" s="76" t="s">
        <v>38</v>
      </c>
      <c r="D51" s="69" t="s">
        <v>40</v>
      </c>
      <c r="E51" s="77">
        <v>1</v>
      </c>
      <c r="F51" s="78">
        <v>0.02</v>
      </c>
      <c r="G51" s="17">
        <v>7033.13</v>
      </c>
      <c r="H51" s="79">
        <f t="shared" si="5"/>
        <v>0.1406626</v>
      </c>
      <c r="I51" s="17">
        <v>0</v>
      </c>
      <c r="J51" s="75"/>
    </row>
    <row r="52" spans="1:14" ht="23.25" hidden="1" customHeight="1">
      <c r="A52" s="47">
        <v>13</v>
      </c>
      <c r="B52" s="69" t="s">
        <v>120</v>
      </c>
      <c r="C52" s="76" t="s">
        <v>96</v>
      </c>
      <c r="D52" s="69" t="s">
        <v>63</v>
      </c>
      <c r="E52" s="77">
        <v>64</v>
      </c>
      <c r="F52" s="78">
        <f>E52*3</f>
        <v>192</v>
      </c>
      <c r="G52" s="17">
        <v>175.6</v>
      </c>
      <c r="H52" s="79">
        <f t="shared" si="5"/>
        <v>33.715199999999996</v>
      </c>
      <c r="I52" s="17">
        <f>E52*G52</f>
        <v>11238.4</v>
      </c>
      <c r="J52" s="75"/>
    </row>
    <row r="53" spans="1:14" ht="24" hidden="1" customHeight="1">
      <c r="A53" s="47">
        <v>14</v>
      </c>
      <c r="B53" s="69" t="s">
        <v>39</v>
      </c>
      <c r="C53" s="76" t="s">
        <v>96</v>
      </c>
      <c r="D53" s="69" t="s">
        <v>63</v>
      </c>
      <c r="E53" s="77">
        <v>128</v>
      </c>
      <c r="F53" s="78">
        <f>SUM(E53)*3</f>
        <v>384</v>
      </c>
      <c r="G53" s="17">
        <v>81.73</v>
      </c>
      <c r="H53" s="79">
        <f t="shared" si="5"/>
        <v>31.384319999999999</v>
      </c>
      <c r="I53" s="17">
        <f>E53*G53</f>
        <v>10461.44</v>
      </c>
      <c r="J53" s="75"/>
    </row>
    <row r="54" spans="1:14" ht="15.75" customHeight="1">
      <c r="A54" s="159" t="s">
        <v>124</v>
      </c>
      <c r="B54" s="160"/>
      <c r="C54" s="160"/>
      <c r="D54" s="160"/>
      <c r="E54" s="160"/>
      <c r="F54" s="160"/>
      <c r="G54" s="160"/>
      <c r="H54" s="160"/>
      <c r="I54" s="161"/>
      <c r="J54" s="75"/>
    </row>
    <row r="55" spans="1:14" ht="18" customHeight="1">
      <c r="A55" s="100"/>
      <c r="B55" s="54" t="s">
        <v>41</v>
      </c>
      <c r="C55" s="21"/>
      <c r="D55" s="65"/>
      <c r="E55" s="16"/>
      <c r="F55" s="16"/>
      <c r="G55" s="31"/>
      <c r="H55" s="31"/>
      <c r="I55" s="64"/>
      <c r="J55" s="75"/>
    </row>
    <row r="56" spans="1:14" ht="32.25" hidden="1" customHeight="1">
      <c r="A56" s="47">
        <v>11</v>
      </c>
      <c r="B56" s="69" t="s">
        <v>121</v>
      </c>
      <c r="C56" s="76" t="s">
        <v>86</v>
      </c>
      <c r="D56" s="69"/>
      <c r="E56" s="77">
        <v>8</v>
      </c>
      <c r="F56" s="78">
        <f>SUM(E56*6/100)</f>
        <v>0.48</v>
      </c>
      <c r="G56" s="17">
        <v>2306.62</v>
      </c>
      <c r="H56" s="79">
        <f>SUM(F56*G56/1000)</f>
        <v>1.1071776</v>
      </c>
      <c r="I56" s="17">
        <f>F56/6*G56</f>
        <v>184.52959999999999</v>
      </c>
      <c r="J56" s="75"/>
    </row>
    <row r="57" spans="1:14" ht="18" customHeight="1">
      <c r="A57" s="47">
        <v>9</v>
      </c>
      <c r="B57" s="88" t="s">
        <v>80</v>
      </c>
      <c r="C57" s="87" t="s">
        <v>30</v>
      </c>
      <c r="D57" s="88" t="s">
        <v>174</v>
      </c>
      <c r="E57" s="89"/>
      <c r="F57" s="90">
        <v>1</v>
      </c>
      <c r="G57" s="17">
        <v>1501</v>
      </c>
      <c r="H57" s="79">
        <f>SUM(F57*G57/1000)</f>
        <v>1.5009999999999999</v>
      </c>
      <c r="I57" s="17">
        <f>G57*2</f>
        <v>3002</v>
      </c>
      <c r="J57" s="75"/>
    </row>
    <row r="58" spans="1:14" ht="17.25" hidden="1" customHeight="1">
      <c r="A58" s="47"/>
      <c r="B58" s="71" t="s">
        <v>42</v>
      </c>
      <c r="C58" s="39"/>
      <c r="D58" s="39"/>
      <c r="E58" s="16"/>
      <c r="F58" s="16"/>
      <c r="G58" s="40"/>
      <c r="H58" s="40"/>
      <c r="I58" s="64"/>
      <c r="J58" s="75"/>
      <c r="L58" s="24"/>
      <c r="M58" s="25"/>
      <c r="N58" s="26"/>
    </row>
    <row r="59" spans="1:14" ht="15.75" hidden="1" customHeight="1">
      <c r="A59" s="47">
        <v>29</v>
      </c>
      <c r="B59" s="88" t="s">
        <v>43</v>
      </c>
      <c r="C59" s="87" t="s">
        <v>51</v>
      </c>
      <c r="D59" s="88" t="s">
        <v>52</v>
      </c>
      <c r="E59" s="89">
        <v>7.4</v>
      </c>
      <c r="F59" s="17">
        <f>SUM(E59/100)</f>
        <v>7.400000000000001E-2</v>
      </c>
      <c r="G59" s="17">
        <v>987.51</v>
      </c>
      <c r="H59" s="91">
        <f>F59*G59/1000</f>
        <v>7.3075740000000014E-2</v>
      </c>
      <c r="I59" s="17">
        <v>0</v>
      </c>
      <c r="J59" s="75"/>
      <c r="L59" s="24"/>
      <c r="M59" s="25"/>
      <c r="N59" s="26"/>
    </row>
    <row r="60" spans="1:14" ht="15.75" customHeight="1">
      <c r="A60" s="47"/>
      <c r="B60" s="71" t="s">
        <v>44</v>
      </c>
      <c r="C60" s="21"/>
      <c r="D60" s="66"/>
      <c r="E60" s="16"/>
      <c r="F60" s="16"/>
      <c r="G60" s="31"/>
      <c r="H60" s="31"/>
      <c r="I60" s="64"/>
      <c r="J60" s="75"/>
      <c r="L60" s="24"/>
      <c r="M60" s="25"/>
      <c r="N60" s="26"/>
    </row>
    <row r="61" spans="1:14" ht="15.75" hidden="1" customHeight="1">
      <c r="A61" s="47">
        <v>13</v>
      </c>
      <c r="B61" s="19" t="s">
        <v>45</v>
      </c>
      <c r="C61" s="21" t="s">
        <v>96</v>
      </c>
      <c r="D61" s="19" t="s">
        <v>173</v>
      </c>
      <c r="E61" s="23">
        <v>1</v>
      </c>
      <c r="F61" s="17">
        <f>SUM(E61)</f>
        <v>1</v>
      </c>
      <c r="G61" s="17">
        <v>276.74</v>
      </c>
      <c r="H61" s="80">
        <f t="shared" ref="H61:H69" si="6">SUM(F61*G61/1000)</f>
        <v>0.27673999999999999</v>
      </c>
      <c r="I61" s="17">
        <f>G61</f>
        <v>276.74</v>
      </c>
      <c r="J61" s="75"/>
      <c r="L61" s="24"/>
      <c r="M61" s="25"/>
      <c r="N61" s="26"/>
    </row>
    <row r="62" spans="1:14" ht="15.75" hidden="1" customHeight="1">
      <c r="A62" s="67"/>
      <c r="B62" s="19" t="s">
        <v>46</v>
      </c>
      <c r="C62" s="21" t="s">
        <v>96</v>
      </c>
      <c r="D62" s="19" t="s">
        <v>61</v>
      </c>
      <c r="E62" s="23">
        <v>2</v>
      </c>
      <c r="F62" s="17">
        <f>SUM(E62)</f>
        <v>2</v>
      </c>
      <c r="G62" s="17">
        <v>94.89</v>
      </c>
      <c r="H62" s="80">
        <f t="shared" si="6"/>
        <v>0.18978</v>
      </c>
      <c r="I62" s="17">
        <v>0</v>
      </c>
      <c r="J62" s="75"/>
      <c r="L62" s="24"/>
      <c r="M62" s="25"/>
      <c r="N62" s="26"/>
    </row>
    <row r="63" spans="1:14" ht="15.75" hidden="1" customHeight="1">
      <c r="A63" s="67"/>
      <c r="B63" s="19" t="s">
        <v>47</v>
      </c>
      <c r="C63" s="21" t="s">
        <v>97</v>
      </c>
      <c r="D63" s="19" t="s">
        <v>52</v>
      </c>
      <c r="E63" s="77">
        <v>10052</v>
      </c>
      <c r="F63" s="17">
        <f>SUM(E63/100)</f>
        <v>100.52</v>
      </c>
      <c r="G63" s="17">
        <v>263.99</v>
      </c>
      <c r="H63" s="80">
        <f t="shared" si="6"/>
        <v>26.536274799999997</v>
      </c>
      <c r="I63" s="17">
        <v>0</v>
      </c>
      <c r="J63" s="75"/>
      <c r="L63" s="24"/>
      <c r="M63" s="25"/>
      <c r="N63" s="26"/>
    </row>
    <row r="64" spans="1:14" ht="15.75" hidden="1" customHeight="1">
      <c r="A64" s="67"/>
      <c r="B64" s="19" t="s">
        <v>48</v>
      </c>
      <c r="C64" s="21" t="s">
        <v>98</v>
      </c>
      <c r="D64" s="19"/>
      <c r="E64" s="77">
        <v>10052</v>
      </c>
      <c r="F64" s="17">
        <f>SUM(E64/1000)</f>
        <v>10.052</v>
      </c>
      <c r="G64" s="17">
        <v>205.57</v>
      </c>
      <c r="H64" s="80">
        <f t="shared" si="6"/>
        <v>2.0663896399999997</v>
      </c>
      <c r="I64" s="17">
        <v>0</v>
      </c>
      <c r="J64" s="75"/>
      <c r="L64" s="24"/>
      <c r="M64" s="25"/>
      <c r="N64" s="26"/>
    </row>
    <row r="65" spans="1:14" ht="15.75" hidden="1" customHeight="1">
      <c r="A65" s="67"/>
      <c r="B65" s="19" t="s">
        <v>49</v>
      </c>
      <c r="C65" s="21" t="s">
        <v>69</v>
      </c>
      <c r="D65" s="19" t="s">
        <v>52</v>
      </c>
      <c r="E65" s="77">
        <v>2200</v>
      </c>
      <c r="F65" s="17">
        <f>SUM(E65/100)</f>
        <v>22</v>
      </c>
      <c r="G65" s="17">
        <v>2581.5300000000002</v>
      </c>
      <c r="H65" s="80">
        <f t="shared" si="6"/>
        <v>56.793660000000003</v>
      </c>
      <c r="I65" s="17">
        <v>0</v>
      </c>
      <c r="J65" s="75"/>
      <c r="L65" s="24"/>
      <c r="M65" s="25"/>
      <c r="N65" s="26"/>
    </row>
    <row r="66" spans="1:14" ht="15.75" hidden="1" customHeight="1">
      <c r="A66" s="67"/>
      <c r="B66" s="92" t="s">
        <v>99</v>
      </c>
      <c r="C66" s="21" t="s">
        <v>31</v>
      </c>
      <c r="D66" s="19"/>
      <c r="E66" s="77">
        <v>9.4</v>
      </c>
      <c r="F66" s="17">
        <f>SUM(E66)</f>
        <v>9.4</v>
      </c>
      <c r="G66" s="17">
        <v>47.45</v>
      </c>
      <c r="H66" s="80">
        <f t="shared" si="6"/>
        <v>0.44603000000000004</v>
      </c>
      <c r="I66" s="17">
        <v>0</v>
      </c>
      <c r="J66" s="75"/>
      <c r="L66" s="24"/>
      <c r="M66" s="25"/>
      <c r="N66" s="26"/>
    </row>
    <row r="67" spans="1:14" ht="15.75" hidden="1" customHeight="1">
      <c r="A67" s="67"/>
      <c r="B67" s="92" t="s">
        <v>100</v>
      </c>
      <c r="C67" s="21" t="s">
        <v>31</v>
      </c>
      <c r="D67" s="19"/>
      <c r="E67" s="77">
        <v>9.4</v>
      </c>
      <c r="F67" s="17">
        <f>SUM(E67)</f>
        <v>9.4</v>
      </c>
      <c r="G67" s="17">
        <v>44.27</v>
      </c>
      <c r="H67" s="80">
        <f t="shared" si="6"/>
        <v>0.41613800000000001</v>
      </c>
      <c r="I67" s="17">
        <v>0</v>
      </c>
      <c r="J67" s="75"/>
      <c r="L67" s="24"/>
      <c r="M67" s="25"/>
      <c r="N67" s="26"/>
    </row>
    <row r="68" spans="1:14" ht="15.75" hidden="1" customHeight="1">
      <c r="A68" s="67"/>
      <c r="B68" s="19" t="s">
        <v>55</v>
      </c>
      <c r="C68" s="21" t="s">
        <v>56</v>
      </c>
      <c r="D68" s="19" t="s">
        <v>52</v>
      </c>
      <c r="E68" s="23">
        <v>2</v>
      </c>
      <c r="F68" s="17">
        <f>SUM(E68)</f>
        <v>2</v>
      </c>
      <c r="G68" s="17">
        <v>62.07</v>
      </c>
      <c r="H68" s="80">
        <f t="shared" si="6"/>
        <v>0.12414</v>
      </c>
      <c r="I68" s="17">
        <v>0</v>
      </c>
      <c r="J68" s="75"/>
      <c r="L68" s="24"/>
      <c r="M68" s="25"/>
      <c r="N68" s="26"/>
    </row>
    <row r="69" spans="1:14" ht="15.75" customHeight="1">
      <c r="A69" s="68">
        <v>10</v>
      </c>
      <c r="B69" s="19" t="s">
        <v>81</v>
      </c>
      <c r="C69" s="31" t="s">
        <v>101</v>
      </c>
      <c r="D69" s="19"/>
      <c r="E69" s="23">
        <v>2549.5</v>
      </c>
      <c r="F69" s="17">
        <f>SUM(E69*12)</f>
        <v>30594</v>
      </c>
      <c r="G69" s="17">
        <v>2.16</v>
      </c>
      <c r="H69" s="80">
        <f t="shared" si="6"/>
        <v>66.083040000000011</v>
      </c>
      <c r="I69" s="17">
        <f>F69/12*G69</f>
        <v>5506.92</v>
      </c>
      <c r="J69" s="75"/>
      <c r="L69" s="24"/>
      <c r="M69" s="25"/>
      <c r="N69" s="26"/>
    </row>
    <row r="70" spans="1:14" ht="15.75" hidden="1" customHeight="1">
      <c r="A70" s="61"/>
      <c r="B70" s="71" t="s">
        <v>102</v>
      </c>
      <c r="C70" s="71"/>
      <c r="D70" s="71"/>
      <c r="E70" s="71"/>
      <c r="F70" s="71"/>
      <c r="G70" s="71"/>
      <c r="H70" s="71"/>
      <c r="I70" s="23"/>
      <c r="J70" s="75"/>
      <c r="L70" s="24"/>
      <c r="M70" s="25"/>
      <c r="N70" s="26"/>
    </row>
    <row r="71" spans="1:14" ht="15.75" hidden="1" customHeight="1">
      <c r="A71" s="31">
        <v>36</v>
      </c>
      <c r="B71" s="69" t="s">
        <v>103</v>
      </c>
      <c r="C71" s="21"/>
      <c r="D71" s="19"/>
      <c r="E71" s="94"/>
      <c r="F71" s="17">
        <v>1</v>
      </c>
      <c r="G71" s="17">
        <v>22720</v>
      </c>
      <c r="H71" s="80">
        <f>G71*F71/1000</f>
        <v>22.72</v>
      </c>
      <c r="I71" s="17">
        <v>0</v>
      </c>
      <c r="J71" s="75"/>
      <c r="L71" s="24"/>
      <c r="M71" s="25"/>
      <c r="N71" s="26"/>
    </row>
    <row r="72" spans="1:14" ht="15.75" hidden="1" customHeight="1">
      <c r="A72" s="68"/>
      <c r="B72" s="71" t="s">
        <v>64</v>
      </c>
      <c r="C72" s="21"/>
      <c r="D72" s="19"/>
      <c r="E72" s="16"/>
      <c r="F72" s="16"/>
      <c r="G72" s="31"/>
      <c r="H72" s="31"/>
      <c r="I72" s="64"/>
      <c r="J72" s="75"/>
      <c r="L72" s="24"/>
      <c r="M72" s="25"/>
      <c r="N72" s="26"/>
    </row>
    <row r="73" spans="1:14" ht="15.75" hidden="1" customHeight="1">
      <c r="A73" s="68">
        <v>11</v>
      </c>
      <c r="B73" s="19" t="s">
        <v>104</v>
      </c>
      <c r="C73" s="21" t="s">
        <v>105</v>
      </c>
      <c r="D73" s="19" t="s">
        <v>180</v>
      </c>
      <c r="E73" s="23">
        <v>1</v>
      </c>
      <c r="F73" s="17">
        <f>E73</f>
        <v>1</v>
      </c>
      <c r="G73" s="17">
        <v>976.4</v>
      </c>
      <c r="H73" s="80">
        <f t="shared" ref="H73:H75" si="7">SUM(F73*G73/1000)</f>
        <v>0.97639999999999993</v>
      </c>
      <c r="I73" s="17">
        <f>G73*1</f>
        <v>976.4</v>
      </c>
      <c r="J73" s="75"/>
      <c r="L73" s="24"/>
      <c r="M73" s="25"/>
      <c r="N73" s="26"/>
    </row>
    <row r="74" spans="1:14" ht="15.75" hidden="1" customHeight="1">
      <c r="A74" s="68">
        <v>12</v>
      </c>
      <c r="B74" s="19" t="s">
        <v>106</v>
      </c>
      <c r="C74" s="21" t="s">
        <v>107</v>
      </c>
      <c r="D74" s="19"/>
      <c r="E74" s="23">
        <v>1</v>
      </c>
      <c r="F74" s="17">
        <v>1</v>
      </c>
      <c r="G74" s="17">
        <v>735</v>
      </c>
      <c r="H74" s="80">
        <f t="shared" si="7"/>
        <v>0.73499999999999999</v>
      </c>
      <c r="I74" s="17">
        <f>G74*1</f>
        <v>735</v>
      </c>
      <c r="J74" s="75"/>
      <c r="L74" s="24"/>
      <c r="M74" s="25"/>
      <c r="N74" s="26"/>
    </row>
    <row r="75" spans="1:14" ht="15.75" hidden="1" customHeight="1">
      <c r="A75" s="68">
        <v>18</v>
      </c>
      <c r="B75" s="19" t="s">
        <v>65</v>
      </c>
      <c r="C75" s="21" t="s">
        <v>67</v>
      </c>
      <c r="D75" s="19" t="s">
        <v>61</v>
      </c>
      <c r="E75" s="23">
        <v>3</v>
      </c>
      <c r="F75" s="17">
        <v>0.3</v>
      </c>
      <c r="G75" s="17">
        <v>624.16999999999996</v>
      </c>
      <c r="H75" s="80">
        <f t="shared" si="7"/>
        <v>0.18725099999999997</v>
      </c>
      <c r="I75" s="17">
        <f>G75*0.2</f>
        <v>124.834</v>
      </c>
      <c r="J75" s="75"/>
      <c r="L75" s="24"/>
      <c r="M75" s="25"/>
      <c r="N75" s="26"/>
    </row>
    <row r="76" spans="1:14" ht="15.75" hidden="1" customHeight="1">
      <c r="A76" s="68">
        <v>17</v>
      </c>
      <c r="B76" s="19" t="s">
        <v>66</v>
      </c>
      <c r="C76" s="21" t="s">
        <v>29</v>
      </c>
      <c r="D76" s="19" t="s">
        <v>61</v>
      </c>
      <c r="E76" s="23">
        <v>1</v>
      </c>
      <c r="F76" s="93">
        <v>1</v>
      </c>
      <c r="G76" s="17">
        <v>1061.4100000000001</v>
      </c>
      <c r="H76" s="80">
        <f>F76*G76/1000</f>
        <v>1.0614100000000002</v>
      </c>
      <c r="I76" s="17">
        <f>G76</f>
        <v>1061.4100000000001</v>
      </c>
      <c r="J76" s="75"/>
      <c r="L76" s="24"/>
      <c r="M76" s="25"/>
      <c r="N76" s="26"/>
    </row>
    <row r="77" spans="1:14" ht="1.5" customHeight="1">
      <c r="A77" s="68"/>
      <c r="B77" s="19" t="s">
        <v>82</v>
      </c>
      <c r="C77" s="21" t="s">
        <v>29</v>
      </c>
      <c r="D77" s="19" t="s">
        <v>61</v>
      </c>
      <c r="E77" s="23">
        <v>1</v>
      </c>
      <c r="F77" s="17">
        <v>1</v>
      </c>
      <c r="G77" s="17">
        <v>446.12</v>
      </c>
      <c r="H77" s="80">
        <f>G77*F77/1000</f>
        <v>0.44612000000000002</v>
      </c>
      <c r="I77" s="17">
        <v>0</v>
      </c>
      <c r="J77" s="75"/>
      <c r="L77" s="24"/>
      <c r="M77" s="25"/>
      <c r="N77" s="26"/>
    </row>
    <row r="78" spans="1:14" ht="15.75" customHeight="1">
      <c r="A78" s="68"/>
      <c r="B78" s="56" t="s">
        <v>68</v>
      </c>
      <c r="C78" s="44"/>
      <c r="D78" s="43"/>
      <c r="E78" s="23"/>
      <c r="F78" s="23"/>
      <c r="G78" s="42"/>
      <c r="H78" s="42"/>
      <c r="I78" s="64"/>
      <c r="J78" s="75"/>
      <c r="L78" s="24"/>
      <c r="M78" s="25"/>
      <c r="N78" s="26"/>
    </row>
    <row r="79" spans="1:14" ht="15.75" customHeight="1">
      <c r="A79" s="68">
        <v>11</v>
      </c>
      <c r="B79" s="57" t="s">
        <v>108</v>
      </c>
      <c r="C79" s="21" t="s">
        <v>69</v>
      </c>
      <c r="D79" s="19" t="s">
        <v>205</v>
      </c>
      <c r="E79" s="23"/>
      <c r="F79" s="17">
        <v>1</v>
      </c>
      <c r="G79" s="17">
        <v>3433.68</v>
      </c>
      <c r="H79" s="80">
        <f t="shared" ref="H79" si="8">SUM(F79*G79/1000)</f>
        <v>3.4336799999999998</v>
      </c>
      <c r="I79" s="17">
        <f>G79*0.12</f>
        <v>412.04159999999996</v>
      </c>
      <c r="J79" s="75"/>
      <c r="L79" s="24"/>
      <c r="M79" s="25"/>
      <c r="N79" s="26"/>
    </row>
    <row r="80" spans="1:14" ht="15.75" customHeight="1">
      <c r="A80" s="165" t="s">
        <v>148</v>
      </c>
      <c r="B80" s="166"/>
      <c r="C80" s="166"/>
      <c r="D80" s="166"/>
      <c r="E80" s="166"/>
      <c r="F80" s="166"/>
      <c r="G80" s="166"/>
      <c r="H80" s="166"/>
      <c r="I80" s="167"/>
      <c r="J80" s="75"/>
      <c r="L80" s="24"/>
      <c r="M80" s="25"/>
      <c r="N80" s="26"/>
    </row>
    <row r="81" spans="1:14" ht="15.75" customHeight="1">
      <c r="A81" s="68">
        <v>12</v>
      </c>
      <c r="B81" s="69" t="s">
        <v>123</v>
      </c>
      <c r="C81" s="21" t="s">
        <v>53</v>
      </c>
      <c r="D81" s="19"/>
      <c r="E81" s="17">
        <v>2549.5</v>
      </c>
      <c r="F81" s="17">
        <f>SUM(E81*12)</f>
        <v>30594</v>
      </c>
      <c r="G81" s="17">
        <v>2.95</v>
      </c>
      <c r="H81" s="80">
        <f>SUM(F81*G81/1000)</f>
        <v>90.252300000000005</v>
      </c>
      <c r="I81" s="17">
        <f>F81/12*G81</f>
        <v>7521.0250000000005</v>
      </c>
      <c r="J81" s="75"/>
      <c r="L81" s="24"/>
      <c r="M81" s="25"/>
      <c r="N81" s="26"/>
    </row>
    <row r="82" spans="1:14" ht="31.5" customHeight="1">
      <c r="A82" s="31">
        <v>13</v>
      </c>
      <c r="B82" s="19" t="s">
        <v>70</v>
      </c>
      <c r="C82" s="21"/>
      <c r="D82" s="19"/>
      <c r="E82" s="77">
        <v>2549.5</v>
      </c>
      <c r="F82" s="17">
        <f>E82*12</f>
        <v>30594</v>
      </c>
      <c r="G82" s="17">
        <v>3.05</v>
      </c>
      <c r="H82" s="80">
        <f>F82*G82/1000</f>
        <v>93.311700000000002</v>
      </c>
      <c r="I82" s="17">
        <f>F82/12*G82</f>
        <v>7775.9749999999995</v>
      </c>
      <c r="J82" s="75"/>
      <c r="L82" s="24"/>
      <c r="M82" s="25"/>
      <c r="N82" s="26"/>
    </row>
    <row r="83" spans="1:14" ht="15.75" customHeight="1">
      <c r="A83" s="61"/>
      <c r="B83" s="45" t="s">
        <v>72</v>
      </c>
      <c r="C83" s="47"/>
      <c r="D83" s="20"/>
      <c r="E83" s="20"/>
      <c r="F83" s="20"/>
      <c r="G83" s="23"/>
      <c r="H83" s="23"/>
      <c r="I83" s="35">
        <f>I82+I81+I79+I69+I57+I48+I40+I39+I37+I26+I18+I17+I16</f>
        <v>42427.130777500002</v>
      </c>
      <c r="J83" s="75"/>
      <c r="L83" s="24"/>
      <c r="M83" s="25"/>
      <c r="N83" s="26"/>
    </row>
    <row r="84" spans="1:14" ht="15.75" customHeight="1">
      <c r="A84" s="162" t="s">
        <v>57</v>
      </c>
      <c r="B84" s="163"/>
      <c r="C84" s="163"/>
      <c r="D84" s="163"/>
      <c r="E84" s="163"/>
      <c r="F84" s="163"/>
      <c r="G84" s="163"/>
      <c r="H84" s="163"/>
      <c r="I84" s="164"/>
      <c r="J84" s="75"/>
      <c r="L84" s="24"/>
      <c r="M84" s="25"/>
      <c r="N84" s="26"/>
    </row>
    <row r="85" spans="1:14" ht="15.75" customHeight="1">
      <c r="A85" s="68">
        <v>14</v>
      </c>
      <c r="B85" s="129" t="s">
        <v>154</v>
      </c>
      <c r="C85" s="130" t="s">
        <v>155</v>
      </c>
      <c r="D85" s="129"/>
      <c r="E85" s="131"/>
      <c r="F85" s="132">
        <v>48</v>
      </c>
      <c r="G85" s="113">
        <v>1.4</v>
      </c>
      <c r="H85" s="90">
        <f>F85*G85/1000</f>
        <v>6.7199999999999982E-2</v>
      </c>
      <c r="I85" s="17">
        <f>G85*48</f>
        <v>67.199999999999989</v>
      </c>
      <c r="J85" s="75"/>
      <c r="L85" s="24"/>
      <c r="M85" s="25"/>
      <c r="N85" s="26"/>
    </row>
    <row r="86" spans="1:14" ht="31.5" customHeight="1">
      <c r="A86" s="68">
        <v>15</v>
      </c>
      <c r="B86" s="117" t="s">
        <v>160</v>
      </c>
      <c r="C86" s="118" t="s">
        <v>28</v>
      </c>
      <c r="D86" s="43"/>
      <c r="E86" s="22"/>
      <c r="F86" s="133">
        <f>0.599*8/1000</f>
        <v>4.7919999999999994E-3</v>
      </c>
      <c r="G86" s="135">
        <v>21369.24</v>
      </c>
      <c r="H86" s="80">
        <f>G86*F86/1000</f>
        <v>0.10240139808</v>
      </c>
      <c r="I86" s="96">
        <f>G86*0.599*8/1000</f>
        <v>102.40139807999999</v>
      </c>
      <c r="J86" s="75"/>
      <c r="L86" s="24"/>
      <c r="M86" s="25"/>
      <c r="N86" s="26"/>
    </row>
    <row r="87" spans="1:14" ht="31.5" customHeight="1">
      <c r="A87" s="68">
        <v>16</v>
      </c>
      <c r="B87" s="117" t="s">
        <v>162</v>
      </c>
      <c r="C87" s="118" t="s">
        <v>163</v>
      </c>
      <c r="D87" s="43" t="s">
        <v>201</v>
      </c>
      <c r="E87" s="22"/>
      <c r="F87" s="41">
        <v>2</v>
      </c>
      <c r="G87" s="41">
        <v>64.040000000000006</v>
      </c>
      <c r="H87" s="80"/>
      <c r="I87" s="96">
        <f>G87*2</f>
        <v>128.08000000000001</v>
      </c>
      <c r="J87" s="75"/>
      <c r="L87" s="24"/>
      <c r="M87" s="25"/>
      <c r="N87" s="26"/>
    </row>
    <row r="88" spans="1:14" ht="15.75" customHeight="1">
      <c r="A88" s="68">
        <v>17</v>
      </c>
      <c r="B88" s="117" t="s">
        <v>192</v>
      </c>
      <c r="C88" s="118" t="s">
        <v>185</v>
      </c>
      <c r="D88" s="43"/>
      <c r="E88" s="22"/>
      <c r="F88" s="41">
        <v>1</v>
      </c>
      <c r="G88" s="41">
        <v>345.08</v>
      </c>
      <c r="H88" s="80"/>
      <c r="I88" s="96">
        <f>G88*1</f>
        <v>345.08</v>
      </c>
      <c r="J88" s="75"/>
      <c r="L88" s="24"/>
      <c r="M88" s="25"/>
      <c r="N88" s="26"/>
    </row>
    <row r="89" spans="1:14" ht="15.75" customHeight="1">
      <c r="A89" s="68">
        <v>18</v>
      </c>
      <c r="B89" s="136" t="s">
        <v>193</v>
      </c>
      <c r="C89" s="31" t="s">
        <v>177</v>
      </c>
      <c r="D89" s="43"/>
      <c r="E89" s="22"/>
      <c r="F89" s="41">
        <v>1</v>
      </c>
      <c r="G89" s="41">
        <v>4402.3500000000004</v>
      </c>
      <c r="H89" s="80"/>
      <c r="I89" s="96">
        <f>G89*1</f>
        <v>4402.3500000000004</v>
      </c>
      <c r="J89" s="75"/>
      <c r="L89" s="24"/>
      <c r="M89" s="25"/>
      <c r="N89" s="26"/>
    </row>
    <row r="90" spans="1:14" ht="15" customHeight="1">
      <c r="A90" s="68">
        <v>19</v>
      </c>
      <c r="B90" s="117" t="s">
        <v>73</v>
      </c>
      <c r="C90" s="118" t="s">
        <v>96</v>
      </c>
      <c r="D90" s="43"/>
      <c r="E90" s="22"/>
      <c r="F90" s="41">
        <v>2</v>
      </c>
      <c r="G90" s="41">
        <v>224.48</v>
      </c>
      <c r="H90" s="80"/>
      <c r="I90" s="96">
        <f>G90*2</f>
        <v>448.96</v>
      </c>
      <c r="J90" s="75"/>
      <c r="L90" s="24"/>
      <c r="M90" s="25"/>
      <c r="N90" s="26"/>
    </row>
    <row r="91" spans="1:14" ht="33.75" customHeight="1">
      <c r="A91" s="68">
        <v>20</v>
      </c>
      <c r="B91" s="117" t="s">
        <v>194</v>
      </c>
      <c r="C91" s="118" t="s">
        <v>84</v>
      </c>
      <c r="D91" s="43" t="s">
        <v>202</v>
      </c>
      <c r="E91" s="22"/>
      <c r="F91" s="41">
        <v>1</v>
      </c>
      <c r="G91" s="41">
        <v>949.97</v>
      </c>
      <c r="H91" s="80"/>
      <c r="I91" s="96">
        <f>G91*1</f>
        <v>949.97</v>
      </c>
      <c r="J91" s="75"/>
      <c r="L91" s="24"/>
      <c r="M91" s="25"/>
      <c r="N91" s="26"/>
    </row>
    <row r="92" spans="1:14" ht="15" customHeight="1">
      <c r="A92" s="68">
        <v>21</v>
      </c>
      <c r="B92" s="117" t="s">
        <v>195</v>
      </c>
      <c r="C92" s="137" t="s">
        <v>196</v>
      </c>
      <c r="D92" s="43"/>
      <c r="E92" s="22"/>
      <c r="F92" s="41">
        <v>0.5</v>
      </c>
      <c r="G92" s="41">
        <v>5251.09</v>
      </c>
      <c r="H92" s="80"/>
      <c r="I92" s="96">
        <f>G92*0.5</f>
        <v>2625.5450000000001</v>
      </c>
      <c r="J92" s="75"/>
      <c r="L92" s="24"/>
      <c r="M92" s="25"/>
      <c r="N92" s="26"/>
    </row>
    <row r="93" spans="1:14" ht="15" customHeight="1">
      <c r="A93" s="68">
        <v>22</v>
      </c>
      <c r="B93" s="117" t="s">
        <v>156</v>
      </c>
      <c r="C93" s="118" t="s">
        <v>164</v>
      </c>
      <c r="D93" s="43" t="s">
        <v>200</v>
      </c>
      <c r="E93" s="22"/>
      <c r="F93" s="41">
        <v>16</v>
      </c>
      <c r="G93" s="41">
        <v>295.36</v>
      </c>
      <c r="H93" s="80"/>
      <c r="I93" s="96">
        <v>0</v>
      </c>
      <c r="J93" s="75"/>
      <c r="L93" s="24"/>
      <c r="M93" s="25"/>
      <c r="N93" s="26"/>
    </row>
    <row r="94" spans="1:14" ht="15" customHeight="1">
      <c r="A94" s="68">
        <v>23</v>
      </c>
      <c r="B94" s="117" t="s">
        <v>161</v>
      </c>
      <c r="C94" s="118" t="s">
        <v>157</v>
      </c>
      <c r="D94" s="43"/>
      <c r="E94" s="22"/>
      <c r="F94" s="41">
        <v>1</v>
      </c>
      <c r="G94" s="41">
        <v>236.08</v>
      </c>
      <c r="H94" s="80"/>
      <c r="I94" s="96">
        <f>G94*1</f>
        <v>236.08</v>
      </c>
      <c r="J94" s="75"/>
      <c r="L94" s="24"/>
      <c r="M94" s="25"/>
      <c r="N94" s="26"/>
    </row>
    <row r="95" spans="1:14" ht="15" customHeight="1">
      <c r="A95" s="68">
        <v>24</v>
      </c>
      <c r="B95" s="117" t="s">
        <v>197</v>
      </c>
      <c r="C95" s="118" t="s">
        <v>184</v>
      </c>
      <c r="D95" s="43" t="s">
        <v>203</v>
      </c>
      <c r="E95" s="22"/>
      <c r="F95" s="41">
        <v>2</v>
      </c>
      <c r="G95" s="41">
        <v>17026.400000000001</v>
      </c>
      <c r="H95" s="80"/>
      <c r="I95" s="96">
        <f>G95*0.02</f>
        <v>340.52800000000002</v>
      </c>
      <c r="J95" s="75"/>
      <c r="L95" s="24"/>
      <c r="M95" s="25"/>
      <c r="N95" s="26"/>
    </row>
    <row r="96" spans="1:14" ht="15" customHeight="1">
      <c r="A96" s="68">
        <v>25</v>
      </c>
      <c r="B96" s="117" t="s">
        <v>198</v>
      </c>
      <c r="C96" s="118" t="s">
        <v>96</v>
      </c>
      <c r="D96" s="43" t="s">
        <v>205</v>
      </c>
      <c r="E96" s="22"/>
      <c r="F96" s="41">
        <v>2</v>
      </c>
      <c r="G96" s="41">
        <v>218.81</v>
      </c>
      <c r="H96" s="80"/>
      <c r="I96" s="96">
        <v>0</v>
      </c>
      <c r="J96" s="75"/>
      <c r="L96" s="24"/>
      <c r="M96" s="25"/>
      <c r="N96" s="26"/>
    </row>
    <row r="97" spans="1:22" ht="15" customHeight="1">
      <c r="A97" s="68">
        <v>26</v>
      </c>
      <c r="B97" s="117" t="s">
        <v>199</v>
      </c>
      <c r="C97" s="118" t="s">
        <v>96</v>
      </c>
      <c r="D97" s="43" t="s">
        <v>204</v>
      </c>
      <c r="E97" s="22"/>
      <c r="F97" s="41">
        <v>3</v>
      </c>
      <c r="G97" s="41">
        <v>101.85</v>
      </c>
      <c r="H97" s="80"/>
      <c r="I97" s="96">
        <v>0</v>
      </c>
      <c r="J97" s="75"/>
      <c r="L97" s="24"/>
      <c r="M97" s="25"/>
      <c r="N97" s="26"/>
    </row>
    <row r="98" spans="1:22" ht="15.75" customHeight="1">
      <c r="A98" s="31"/>
      <c r="B98" s="52" t="s">
        <v>50</v>
      </c>
      <c r="C98" s="48"/>
      <c r="D98" s="62"/>
      <c r="E98" s="48">
        <v>1</v>
      </c>
      <c r="F98" s="48"/>
      <c r="G98" s="48"/>
      <c r="H98" s="48"/>
      <c r="I98" s="35">
        <f>SUM(I85:I97)</f>
        <v>9646.1943980800006</v>
      </c>
      <c r="J98" s="75"/>
      <c r="L98" s="24"/>
      <c r="M98" s="25"/>
      <c r="N98" s="26"/>
    </row>
    <row r="99" spans="1:22" ht="15.75" customHeight="1">
      <c r="A99" s="31"/>
      <c r="B99" s="57" t="s">
        <v>71</v>
      </c>
      <c r="C99" s="20"/>
      <c r="D99" s="20"/>
      <c r="E99" s="49"/>
      <c r="F99" s="49"/>
      <c r="G99" s="50"/>
      <c r="H99" s="50"/>
      <c r="I99" s="22">
        <v>0</v>
      </c>
      <c r="J99" s="75"/>
      <c r="L99" s="24"/>
      <c r="M99" s="25"/>
      <c r="N99" s="26"/>
    </row>
    <row r="100" spans="1:22" ht="15.75" customHeight="1">
      <c r="A100" s="63"/>
      <c r="B100" s="53" t="s">
        <v>149</v>
      </c>
      <c r="C100" s="39"/>
      <c r="D100" s="39"/>
      <c r="E100" s="39"/>
      <c r="F100" s="39"/>
      <c r="G100" s="39"/>
      <c r="H100" s="39"/>
      <c r="I100" s="51">
        <f>I83+I98</f>
        <v>52073.325175580001</v>
      </c>
      <c r="J100" s="75"/>
      <c r="L100" s="24"/>
    </row>
    <row r="101" spans="1:22" ht="15.75">
      <c r="A101" s="157" t="s">
        <v>206</v>
      </c>
      <c r="B101" s="157"/>
      <c r="C101" s="157"/>
      <c r="D101" s="157"/>
      <c r="E101" s="157"/>
      <c r="F101" s="157"/>
      <c r="G101" s="157"/>
      <c r="H101" s="157"/>
      <c r="I101" s="157"/>
    </row>
    <row r="102" spans="1:22" ht="15.75">
      <c r="A102" s="12"/>
      <c r="B102" s="158" t="s">
        <v>207</v>
      </c>
      <c r="C102" s="158"/>
      <c r="D102" s="158"/>
      <c r="E102" s="158"/>
      <c r="F102" s="158"/>
      <c r="G102" s="158"/>
      <c r="H102" s="98"/>
      <c r="I102" s="4"/>
    </row>
    <row r="103" spans="1:22" ht="15.75">
      <c r="A103" s="70"/>
      <c r="B103" s="173" t="s">
        <v>6</v>
      </c>
      <c r="C103" s="173"/>
      <c r="D103" s="173"/>
      <c r="E103" s="173"/>
      <c r="F103" s="173"/>
      <c r="G103" s="173"/>
      <c r="H103" s="74"/>
      <c r="I103" s="59"/>
    </row>
    <row r="104" spans="1:22" ht="15.7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11"/>
    </row>
    <row r="105" spans="1:22" ht="15.75" customHeight="1">
      <c r="A105" s="174" t="s">
        <v>7</v>
      </c>
      <c r="B105" s="174"/>
      <c r="C105" s="174"/>
      <c r="D105" s="174"/>
      <c r="E105" s="174"/>
      <c r="F105" s="174"/>
      <c r="G105" s="174"/>
      <c r="H105" s="174"/>
      <c r="I105" s="174"/>
      <c r="J105" s="29"/>
      <c r="K105" s="29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2" ht="15.75">
      <c r="A106" s="174" t="s">
        <v>8</v>
      </c>
      <c r="B106" s="174"/>
      <c r="C106" s="174"/>
      <c r="D106" s="174"/>
      <c r="E106" s="174"/>
      <c r="F106" s="174"/>
      <c r="G106" s="174"/>
      <c r="H106" s="174"/>
      <c r="I106" s="174"/>
      <c r="J106" s="4"/>
      <c r="K106" s="4"/>
      <c r="L106" s="4"/>
      <c r="M106" s="4"/>
      <c r="N106" s="4"/>
      <c r="O106" s="4"/>
      <c r="P106" s="4"/>
      <c r="Q106" s="4"/>
      <c r="S106" s="4"/>
      <c r="T106" s="4"/>
      <c r="U106" s="4"/>
    </row>
    <row r="107" spans="1:22" ht="15.75">
      <c r="A107" s="157" t="s">
        <v>9</v>
      </c>
      <c r="B107" s="157"/>
      <c r="C107" s="157"/>
      <c r="D107" s="157"/>
      <c r="E107" s="157"/>
      <c r="F107" s="157"/>
      <c r="G107" s="157"/>
      <c r="H107" s="157"/>
      <c r="I107" s="157"/>
      <c r="J107" s="6"/>
      <c r="K107" s="6"/>
      <c r="L107" s="6"/>
      <c r="M107" s="6"/>
      <c r="N107" s="6"/>
      <c r="O107" s="6"/>
      <c r="P107" s="6"/>
      <c r="Q107" s="6"/>
      <c r="R107" s="155"/>
      <c r="S107" s="155"/>
      <c r="T107" s="155"/>
      <c r="U107" s="155"/>
    </row>
    <row r="108" spans="1:22" ht="15.75">
      <c r="A108" s="13"/>
      <c r="B108" s="58"/>
      <c r="C108" s="58"/>
      <c r="D108" s="58"/>
      <c r="E108" s="58"/>
      <c r="F108" s="58"/>
      <c r="G108" s="58"/>
      <c r="H108" s="58"/>
      <c r="I108" s="58"/>
    </row>
    <row r="109" spans="1:22" ht="15.75">
      <c r="A109" s="156" t="s">
        <v>10</v>
      </c>
      <c r="B109" s="156"/>
      <c r="C109" s="156"/>
      <c r="D109" s="156"/>
      <c r="E109" s="156"/>
      <c r="F109" s="156"/>
      <c r="G109" s="156"/>
      <c r="H109" s="156"/>
      <c r="I109" s="156"/>
    </row>
    <row r="110" spans="1:22" ht="15.75" customHeight="1">
      <c r="A110" s="5"/>
    </row>
    <row r="111" spans="1:22" ht="15.75">
      <c r="A111" s="157" t="s">
        <v>11</v>
      </c>
      <c r="B111" s="157"/>
      <c r="C111" s="175" t="s">
        <v>188</v>
      </c>
      <c r="D111" s="175"/>
      <c r="E111" s="175"/>
      <c r="F111" s="72"/>
      <c r="I111" s="103"/>
    </row>
    <row r="112" spans="1:22">
      <c r="A112" s="104"/>
      <c r="C112" s="171" t="s">
        <v>12</v>
      </c>
      <c r="D112" s="171"/>
      <c r="E112" s="171"/>
      <c r="F112" s="28"/>
      <c r="I112" s="102" t="s">
        <v>13</v>
      </c>
    </row>
    <row r="113" spans="1:9" ht="15.75">
      <c r="A113" s="29"/>
      <c r="C113" s="14"/>
      <c r="D113" s="14"/>
      <c r="G113" s="14"/>
      <c r="H113" s="14"/>
    </row>
    <row r="114" spans="1:9" ht="15.75" customHeight="1">
      <c r="A114" s="157" t="s">
        <v>14</v>
      </c>
      <c r="B114" s="157"/>
      <c r="C114" s="172"/>
      <c r="D114" s="172"/>
      <c r="E114" s="172"/>
      <c r="F114" s="73"/>
      <c r="I114" s="103"/>
    </row>
    <row r="115" spans="1:9">
      <c r="A115" s="104"/>
      <c r="C115" s="155" t="s">
        <v>12</v>
      </c>
      <c r="D115" s="155"/>
      <c r="E115" s="155"/>
      <c r="F115" s="104"/>
      <c r="I115" s="102" t="s">
        <v>13</v>
      </c>
    </row>
    <row r="116" spans="1:9" ht="15.75">
      <c r="A116" s="5" t="s">
        <v>15</v>
      </c>
    </row>
    <row r="117" spans="1:9">
      <c r="A117" s="176" t="s">
        <v>16</v>
      </c>
      <c r="B117" s="176"/>
      <c r="C117" s="176"/>
      <c r="D117" s="176"/>
      <c r="E117" s="176"/>
      <c r="F117" s="176"/>
      <c r="G117" s="176"/>
      <c r="H117" s="176"/>
      <c r="I117" s="176"/>
    </row>
    <row r="118" spans="1:9" ht="45" customHeight="1">
      <c r="A118" s="177" t="s">
        <v>17</v>
      </c>
      <c r="B118" s="177"/>
      <c r="C118" s="177"/>
      <c r="D118" s="177"/>
      <c r="E118" s="177"/>
      <c r="F118" s="177"/>
      <c r="G118" s="177"/>
      <c r="H118" s="177"/>
      <c r="I118" s="177"/>
    </row>
    <row r="119" spans="1:9" ht="30" customHeight="1">
      <c r="A119" s="177" t="s">
        <v>18</v>
      </c>
      <c r="B119" s="177"/>
      <c r="C119" s="177"/>
      <c r="D119" s="177"/>
      <c r="E119" s="177"/>
      <c r="F119" s="177"/>
      <c r="G119" s="177"/>
      <c r="H119" s="177"/>
      <c r="I119" s="177"/>
    </row>
    <row r="120" spans="1:9" ht="30" customHeight="1">
      <c r="A120" s="177" t="s">
        <v>22</v>
      </c>
      <c r="B120" s="177"/>
      <c r="C120" s="177"/>
      <c r="D120" s="177"/>
      <c r="E120" s="177"/>
      <c r="F120" s="177"/>
      <c r="G120" s="177"/>
      <c r="H120" s="177"/>
      <c r="I120" s="177"/>
    </row>
    <row r="121" spans="1:9" ht="15" customHeight="1">
      <c r="A121" s="177" t="s">
        <v>21</v>
      </c>
      <c r="B121" s="177"/>
      <c r="C121" s="177"/>
      <c r="D121" s="177"/>
      <c r="E121" s="177"/>
      <c r="F121" s="177"/>
      <c r="G121" s="177"/>
      <c r="H121" s="177"/>
      <c r="I121" s="177"/>
    </row>
    <row r="123" spans="1:9">
      <c r="A123" s="15"/>
      <c r="B123" s="15"/>
      <c r="C123" s="15"/>
      <c r="D123" s="15"/>
      <c r="E123" s="15"/>
      <c r="F123" s="15"/>
      <c r="G123" s="15"/>
      <c r="H123" s="15"/>
    </row>
  </sheetData>
  <autoFilter ref="I15:I102"/>
  <mergeCells count="31">
    <mergeCell ref="A117:I117"/>
    <mergeCell ref="A118:I118"/>
    <mergeCell ref="A119:I119"/>
    <mergeCell ref="A120:I120"/>
    <mergeCell ref="A121:I121"/>
    <mergeCell ref="C112:E112"/>
    <mergeCell ref="A114:B114"/>
    <mergeCell ref="C114:E114"/>
    <mergeCell ref="C115:E115"/>
    <mergeCell ref="B103:G103"/>
    <mergeCell ref="A105:I105"/>
    <mergeCell ref="A106:I106"/>
    <mergeCell ref="A107:I107"/>
    <mergeCell ref="A111:B111"/>
    <mergeCell ref="C111:E111"/>
    <mergeCell ref="R107:U107"/>
    <mergeCell ref="A109:I109"/>
    <mergeCell ref="A27:I27"/>
    <mergeCell ref="A101:I101"/>
    <mergeCell ref="B102:G102"/>
    <mergeCell ref="A54:I54"/>
    <mergeCell ref="A84:I84"/>
    <mergeCell ref="A80:I80"/>
    <mergeCell ref="A43:I43"/>
    <mergeCell ref="A15:I15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I100" sqref="I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159</v>
      </c>
      <c r="I1" s="32"/>
    </row>
    <row r="2" spans="1:15" s="58" customFormat="1" ht="15.75" customHeight="1">
      <c r="A2" s="30" t="s">
        <v>58</v>
      </c>
      <c r="J2" s="1"/>
      <c r="K2" s="1"/>
      <c r="L2" s="1"/>
      <c r="M2" s="1"/>
    </row>
    <row r="3" spans="1:15" s="58" customFormat="1" ht="15.75" customHeight="1">
      <c r="A3" s="150" t="s">
        <v>135</v>
      </c>
      <c r="B3" s="150"/>
      <c r="C3" s="150"/>
      <c r="D3" s="150"/>
      <c r="E3" s="150"/>
      <c r="F3" s="150"/>
      <c r="G3" s="150"/>
      <c r="H3" s="150"/>
      <c r="I3" s="150"/>
      <c r="J3" s="2"/>
      <c r="K3" s="2"/>
      <c r="L3" s="2"/>
      <c r="M3" s="2"/>
    </row>
    <row r="4" spans="1:15" s="58" customFormat="1" ht="31.5" customHeight="1">
      <c r="A4" s="151" t="s">
        <v>85</v>
      </c>
      <c r="B4" s="151"/>
      <c r="C4" s="151"/>
      <c r="D4" s="151"/>
      <c r="E4" s="151"/>
      <c r="F4" s="151"/>
      <c r="G4" s="151"/>
      <c r="H4" s="151"/>
      <c r="I4" s="151"/>
      <c r="J4" s="3"/>
      <c r="K4" s="3"/>
      <c r="L4" s="3"/>
      <c r="M4" s="3"/>
    </row>
    <row r="5" spans="1:15" s="58" customFormat="1" ht="15.75" customHeight="1">
      <c r="A5" s="150" t="s">
        <v>286</v>
      </c>
      <c r="B5" s="152"/>
      <c r="C5" s="152"/>
      <c r="D5" s="152"/>
      <c r="E5" s="152"/>
      <c r="F5" s="152"/>
      <c r="G5" s="152"/>
      <c r="H5" s="152"/>
      <c r="I5" s="152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44500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53" t="s">
        <v>187</v>
      </c>
      <c r="B8" s="153"/>
      <c r="C8" s="153"/>
      <c r="D8" s="153"/>
      <c r="E8" s="153"/>
      <c r="F8" s="153"/>
      <c r="G8" s="153"/>
      <c r="H8" s="153"/>
      <c r="I8" s="15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54" t="s">
        <v>158</v>
      </c>
      <c r="B10" s="154"/>
      <c r="C10" s="154"/>
      <c r="D10" s="154"/>
      <c r="E10" s="154"/>
      <c r="F10" s="154"/>
      <c r="G10" s="154"/>
      <c r="H10" s="154"/>
      <c r="I10" s="15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48" t="s">
        <v>139</v>
      </c>
      <c r="B14" s="149"/>
      <c r="C14" s="149"/>
      <c r="D14" s="149"/>
      <c r="E14" s="149"/>
      <c r="F14" s="149"/>
      <c r="G14" s="149"/>
      <c r="H14" s="149"/>
      <c r="I14" s="149"/>
      <c r="J14" s="114"/>
      <c r="K14" s="114"/>
      <c r="L14" s="10"/>
      <c r="M14" s="10"/>
      <c r="N14" s="10"/>
      <c r="O14" s="10"/>
    </row>
    <row r="15" spans="1:15" ht="15.75" customHeight="1">
      <c r="A15" s="145" t="s">
        <v>4</v>
      </c>
      <c r="B15" s="146"/>
      <c r="C15" s="146"/>
      <c r="D15" s="146"/>
      <c r="E15" s="146"/>
      <c r="F15" s="146"/>
      <c r="G15" s="146"/>
      <c r="H15" s="146"/>
      <c r="I15" s="147"/>
      <c r="J15" s="11"/>
      <c r="K15" s="11"/>
    </row>
    <row r="16" spans="1:15" ht="15.75" customHeight="1">
      <c r="A16" s="31">
        <v>1</v>
      </c>
      <c r="B16" s="69" t="s">
        <v>76</v>
      </c>
      <c r="C16" s="76" t="s">
        <v>86</v>
      </c>
      <c r="D16" s="69" t="s">
        <v>166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77</v>
      </c>
      <c r="C17" s="76" t="s">
        <v>86</v>
      </c>
      <c r="D17" s="69" t="s">
        <v>167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78</v>
      </c>
      <c r="C18" s="76" t="s">
        <v>86</v>
      </c>
      <c r="D18" s="69" t="s">
        <v>168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69" t="s">
        <v>87</v>
      </c>
      <c r="C19" s="76" t="s">
        <v>88</v>
      </c>
      <c r="D19" s="69" t="s">
        <v>89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>
        <v>5</v>
      </c>
      <c r="B20" s="69" t="s">
        <v>90</v>
      </c>
      <c r="C20" s="76" t="s">
        <v>86</v>
      </c>
      <c r="D20" s="69" t="s">
        <v>40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>
        <v>6</v>
      </c>
      <c r="B21" s="69" t="s">
        <v>91</v>
      </c>
      <c r="C21" s="76" t="s">
        <v>86</v>
      </c>
      <c r="D21" s="69" t="s">
        <v>40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>
        <v>7</v>
      </c>
      <c r="B22" s="69" t="s">
        <v>92</v>
      </c>
      <c r="C22" s="76" t="s">
        <v>51</v>
      </c>
      <c r="D22" s="69" t="s">
        <v>89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>
        <v>8</v>
      </c>
      <c r="B23" s="69" t="s">
        <v>93</v>
      </c>
      <c r="C23" s="76" t="s">
        <v>51</v>
      </c>
      <c r="D23" s="69" t="s">
        <v>89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>
        <v>9</v>
      </c>
      <c r="B24" s="69" t="s">
        <v>94</v>
      </c>
      <c r="C24" s="76" t="s">
        <v>51</v>
      </c>
      <c r="D24" s="82" t="s">
        <v>89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>
        <v>10</v>
      </c>
      <c r="B25" s="69" t="s">
        <v>95</v>
      </c>
      <c r="C25" s="76" t="s">
        <v>51</v>
      </c>
      <c r="D25" s="69" t="s">
        <v>89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hidden="1" customHeight="1">
      <c r="A26" s="31">
        <v>4</v>
      </c>
      <c r="B26" s="37" t="s">
        <v>165</v>
      </c>
      <c r="C26" s="46" t="s">
        <v>155</v>
      </c>
      <c r="D26" s="37" t="s">
        <v>169</v>
      </c>
      <c r="E26" s="122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5" t="s">
        <v>151</v>
      </c>
      <c r="B27" s="146"/>
      <c r="C27" s="146"/>
      <c r="D27" s="146"/>
      <c r="E27" s="146"/>
      <c r="F27" s="146"/>
      <c r="G27" s="146"/>
      <c r="H27" s="146"/>
      <c r="I27" s="147"/>
      <c r="J27" s="27"/>
      <c r="K27" s="10"/>
      <c r="L27" s="10"/>
      <c r="M27" s="10"/>
    </row>
    <row r="28" spans="1:13" ht="15.75" customHeight="1">
      <c r="A28" s="47"/>
      <c r="B28" s="55" t="s">
        <v>136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customHeight="1">
      <c r="A29" s="68">
        <v>4</v>
      </c>
      <c r="B29" s="69" t="s">
        <v>140</v>
      </c>
      <c r="C29" s="76" t="s">
        <v>109</v>
      </c>
      <c r="D29" s="69" t="s">
        <v>167</v>
      </c>
      <c r="E29" s="78">
        <v>65.099999999999994</v>
      </c>
      <c r="F29" s="78">
        <f>SUM(E29*52/1000)</f>
        <v>3.3851999999999998</v>
      </c>
      <c r="G29" s="78">
        <v>193.97</v>
      </c>
      <c r="H29" s="79">
        <f t="shared" ref="H29:H30" si="2">SUM(F29*G29/1000)</f>
        <v>0.65662724399999994</v>
      </c>
      <c r="I29" s="17">
        <f>F29/6*G29</f>
        <v>109.43787399999998</v>
      </c>
      <c r="J29" s="27"/>
      <c r="K29" s="10"/>
      <c r="L29" s="10"/>
      <c r="M29" s="10"/>
    </row>
    <row r="30" spans="1:13" ht="31.5" customHeight="1">
      <c r="A30" s="68">
        <v>5</v>
      </c>
      <c r="B30" s="69" t="s">
        <v>141</v>
      </c>
      <c r="C30" s="76" t="s">
        <v>109</v>
      </c>
      <c r="D30" s="69" t="s">
        <v>166</v>
      </c>
      <c r="E30" s="78">
        <v>65.099999999999994</v>
      </c>
      <c r="F30" s="78">
        <f>SUM(E30*78/1000)</f>
        <v>5.077799999999999</v>
      </c>
      <c r="G30" s="78">
        <v>321.82</v>
      </c>
      <c r="H30" s="79">
        <f t="shared" si="2"/>
        <v>1.6341375959999995</v>
      </c>
      <c r="I30" s="17">
        <f t="shared" ref="I30" si="3">F30/6*G30</f>
        <v>272.35626599999995</v>
      </c>
      <c r="J30" s="27"/>
      <c r="K30" s="10"/>
      <c r="L30" s="10"/>
      <c r="M30" s="10"/>
    </row>
    <row r="31" spans="1:13" ht="15.75" hidden="1" customHeight="1">
      <c r="A31" s="68">
        <v>15</v>
      </c>
      <c r="B31" s="69" t="s">
        <v>27</v>
      </c>
      <c r="C31" s="76" t="s">
        <v>109</v>
      </c>
      <c r="D31" s="69" t="s">
        <v>52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ref="H31:H33" si="4">SUM(F31*G31/1000)</f>
        <v>0.24466402799999998</v>
      </c>
      <c r="I31" s="17">
        <f>F31*G31</f>
        <v>244.66402799999997</v>
      </c>
      <c r="J31" s="27"/>
      <c r="K31" s="10"/>
      <c r="L31" s="10"/>
      <c r="M31" s="10"/>
    </row>
    <row r="32" spans="1:13" ht="15.75" hidden="1" customHeight="1">
      <c r="A32" s="68"/>
      <c r="B32" s="69" t="s">
        <v>60</v>
      </c>
      <c r="C32" s="76" t="s">
        <v>31</v>
      </c>
      <c r="D32" s="69" t="s">
        <v>61</v>
      </c>
      <c r="E32" s="77"/>
      <c r="F32" s="78">
        <v>1</v>
      </c>
      <c r="G32" s="78">
        <v>238.07</v>
      </c>
      <c r="H32" s="79">
        <f t="shared" si="4"/>
        <v>0.23807</v>
      </c>
      <c r="I32" s="17">
        <v>0</v>
      </c>
      <c r="J32" s="27"/>
      <c r="K32" s="10"/>
      <c r="L32" s="10"/>
      <c r="M32" s="10"/>
    </row>
    <row r="33" spans="1:13" ht="15.75" hidden="1" customHeight="1">
      <c r="A33" s="68"/>
      <c r="B33" s="69" t="s">
        <v>110</v>
      </c>
      <c r="C33" s="76" t="s">
        <v>30</v>
      </c>
      <c r="D33" s="69" t="s">
        <v>61</v>
      </c>
      <c r="E33" s="77"/>
      <c r="F33" s="78">
        <v>1</v>
      </c>
      <c r="G33" s="78">
        <v>1413.96</v>
      </c>
      <c r="H33" s="79">
        <f t="shared" si="4"/>
        <v>1.4139600000000001</v>
      </c>
      <c r="I33" s="17">
        <v>0</v>
      </c>
      <c r="J33" s="27"/>
      <c r="K33" s="10"/>
      <c r="L33" s="10"/>
      <c r="M33" s="10"/>
    </row>
    <row r="34" spans="1:13" ht="15.75" hidden="1" customHeight="1">
      <c r="A34" s="47"/>
      <c r="B34" s="55" t="s">
        <v>5</v>
      </c>
      <c r="C34" s="47"/>
      <c r="D34" s="47"/>
      <c r="E34" s="16"/>
      <c r="F34" s="16"/>
      <c r="G34" s="18"/>
      <c r="H34" s="18"/>
      <c r="I34" s="64"/>
      <c r="J34" s="27"/>
      <c r="K34" s="10"/>
      <c r="L34" s="10"/>
      <c r="M34" s="10"/>
    </row>
    <row r="35" spans="1:13" ht="15.75" hidden="1" customHeight="1">
      <c r="A35" s="38">
        <v>6</v>
      </c>
      <c r="B35" s="69" t="s">
        <v>26</v>
      </c>
      <c r="C35" s="76" t="s">
        <v>30</v>
      </c>
      <c r="D35" s="69"/>
      <c r="E35" s="77"/>
      <c r="F35" s="78">
        <v>2</v>
      </c>
      <c r="G35" s="78">
        <v>1900.37</v>
      </c>
      <c r="H35" s="79">
        <f t="shared" ref="H35:H41" si="5">SUM(F35*G35/1000)</f>
        <v>3.8007399999999998</v>
      </c>
      <c r="I35" s="17">
        <f>F35/6*G35</f>
        <v>633.45666666666659</v>
      </c>
      <c r="J35" s="27"/>
      <c r="K35" s="10"/>
      <c r="L35" s="10"/>
      <c r="M35" s="10"/>
    </row>
    <row r="36" spans="1:13" ht="15.75" hidden="1" customHeight="1">
      <c r="A36" s="38">
        <v>7</v>
      </c>
      <c r="B36" s="69" t="s">
        <v>111</v>
      </c>
      <c r="C36" s="76" t="s">
        <v>28</v>
      </c>
      <c r="D36" s="69" t="s">
        <v>143</v>
      </c>
      <c r="E36" s="77">
        <v>65.099999999999994</v>
      </c>
      <c r="F36" s="78">
        <f>E36*24/1000</f>
        <v>1.5623999999999998</v>
      </c>
      <c r="G36" s="78">
        <v>2616.4899999999998</v>
      </c>
      <c r="H36" s="79">
        <f>G36*F36/1000</f>
        <v>4.0880039759999987</v>
      </c>
      <c r="I36" s="17">
        <f>F36/6*G36</f>
        <v>681.33399599999984</v>
      </c>
      <c r="J36" s="27"/>
      <c r="K36" s="10"/>
      <c r="L36" s="10"/>
      <c r="M36" s="10"/>
    </row>
    <row r="37" spans="1:13" ht="15.75" hidden="1" customHeight="1">
      <c r="A37" s="38">
        <v>8</v>
      </c>
      <c r="B37" s="69" t="s">
        <v>112</v>
      </c>
      <c r="C37" s="76" t="s">
        <v>113</v>
      </c>
      <c r="D37" s="69" t="s">
        <v>61</v>
      </c>
      <c r="E37" s="77"/>
      <c r="F37" s="78">
        <v>13</v>
      </c>
      <c r="G37" s="78">
        <v>226.84</v>
      </c>
      <c r="H37" s="79">
        <f>G37*F37/1000</f>
        <v>2.9489200000000002</v>
      </c>
      <c r="I37" s="17">
        <f>G37*26</f>
        <v>5897.84</v>
      </c>
      <c r="J37" s="27"/>
      <c r="K37" s="10"/>
      <c r="L37" s="10"/>
      <c r="M37" s="10"/>
    </row>
    <row r="38" spans="1:13" ht="15.75" hidden="1" customHeight="1">
      <c r="A38" s="38">
        <v>9</v>
      </c>
      <c r="B38" s="69" t="s">
        <v>144</v>
      </c>
      <c r="C38" s="76" t="s">
        <v>28</v>
      </c>
      <c r="D38" s="69" t="s">
        <v>114</v>
      </c>
      <c r="E38" s="78">
        <v>65.099999999999994</v>
      </c>
      <c r="F38" s="78">
        <f>SUM(E38*155/1000)</f>
        <v>10.0905</v>
      </c>
      <c r="G38" s="78">
        <v>436.45</v>
      </c>
      <c r="H38" s="79">
        <f t="shared" si="5"/>
        <v>4.4039987250000001</v>
      </c>
      <c r="I38" s="17">
        <f>F38/6*G38</f>
        <v>733.99978750000002</v>
      </c>
      <c r="J38" s="27"/>
      <c r="K38" s="10"/>
      <c r="L38" s="10"/>
      <c r="M38" s="10"/>
    </row>
    <row r="39" spans="1:13" ht="47.25" hidden="1" customHeight="1">
      <c r="A39" s="38">
        <v>10</v>
      </c>
      <c r="B39" s="69" t="s">
        <v>74</v>
      </c>
      <c r="C39" s="76" t="s">
        <v>109</v>
      </c>
      <c r="D39" s="69" t="s">
        <v>115</v>
      </c>
      <c r="E39" s="78">
        <v>65.099999999999994</v>
      </c>
      <c r="F39" s="78">
        <f>SUM(E39*24/1000)</f>
        <v>1.5623999999999998</v>
      </c>
      <c r="G39" s="78">
        <v>7221.21</v>
      </c>
      <c r="H39" s="79">
        <f t="shared" si="5"/>
        <v>11.282418503999999</v>
      </c>
      <c r="I39" s="17">
        <f>F39/6*G39</f>
        <v>1880.4030839999998</v>
      </c>
      <c r="J39" s="27"/>
      <c r="K39" s="10"/>
      <c r="L39" s="10"/>
      <c r="M39" s="10"/>
    </row>
    <row r="40" spans="1:13" ht="15.75" hidden="1" customHeight="1">
      <c r="A40" s="38">
        <v>11</v>
      </c>
      <c r="B40" s="69" t="s">
        <v>116</v>
      </c>
      <c r="C40" s="76" t="s">
        <v>109</v>
      </c>
      <c r="D40" s="69" t="s">
        <v>145</v>
      </c>
      <c r="E40" s="78">
        <v>65.099999999999994</v>
      </c>
      <c r="F40" s="78">
        <f>SUM(E40*18/1000)</f>
        <v>1.1718</v>
      </c>
      <c r="G40" s="78">
        <v>533.45000000000005</v>
      </c>
      <c r="H40" s="79">
        <f t="shared" si="5"/>
        <v>0.62509671</v>
      </c>
      <c r="I40" s="17">
        <f>F40/6*G40</f>
        <v>104.18278500000001</v>
      </c>
      <c r="J40" s="27"/>
      <c r="K40" s="10"/>
      <c r="L40" s="10"/>
      <c r="M40" s="10"/>
    </row>
    <row r="41" spans="1:13" ht="15.75" hidden="1" customHeight="1">
      <c r="A41" s="38">
        <v>12</v>
      </c>
      <c r="B41" s="69" t="s">
        <v>62</v>
      </c>
      <c r="C41" s="76" t="s">
        <v>31</v>
      </c>
      <c r="D41" s="69"/>
      <c r="E41" s="77"/>
      <c r="F41" s="78">
        <v>0.4</v>
      </c>
      <c r="G41" s="78">
        <v>992.97</v>
      </c>
      <c r="H41" s="79">
        <f t="shared" si="5"/>
        <v>0.39718800000000004</v>
      </c>
      <c r="I41" s="17">
        <f>F41/6*G41</f>
        <v>66.198000000000008</v>
      </c>
      <c r="J41" s="27"/>
      <c r="K41" s="10"/>
      <c r="L41" s="10"/>
      <c r="M41" s="10"/>
    </row>
    <row r="42" spans="1:13" ht="17.25" hidden="1" customHeight="1">
      <c r="A42" s="168" t="s">
        <v>146</v>
      </c>
      <c r="B42" s="169"/>
      <c r="C42" s="169"/>
      <c r="D42" s="169"/>
      <c r="E42" s="169"/>
      <c r="F42" s="169"/>
      <c r="G42" s="169"/>
      <c r="H42" s="169"/>
      <c r="I42" s="170"/>
      <c r="J42" s="27"/>
      <c r="K42" s="10"/>
      <c r="L42" s="10"/>
      <c r="M42" s="10"/>
    </row>
    <row r="43" spans="1:13" ht="29.25" hidden="1" customHeight="1">
      <c r="A43" s="47">
        <v>9</v>
      </c>
      <c r="B43" s="69" t="s">
        <v>117</v>
      </c>
      <c r="C43" s="76" t="s">
        <v>109</v>
      </c>
      <c r="D43" s="69" t="s">
        <v>40</v>
      </c>
      <c r="E43" s="77">
        <v>1060.4000000000001</v>
      </c>
      <c r="F43" s="78">
        <f>SUM(E43*2/1000)</f>
        <v>2.1208</v>
      </c>
      <c r="G43" s="17">
        <v>1283.46</v>
      </c>
      <c r="H43" s="79">
        <f t="shared" ref="H43:H52" si="6">SUM(F43*G43/1000)</f>
        <v>2.721961968</v>
      </c>
      <c r="I43" s="17">
        <f t="shared" ref="I43:I45" si="7">F43/2*G43</f>
        <v>1360.980984</v>
      </c>
      <c r="J43" s="27"/>
      <c r="K43" s="10"/>
      <c r="L43" s="10"/>
      <c r="M43" s="10"/>
    </row>
    <row r="44" spans="1:13" ht="27" hidden="1" customHeight="1">
      <c r="A44" s="47">
        <v>10</v>
      </c>
      <c r="B44" s="69" t="s">
        <v>34</v>
      </c>
      <c r="C44" s="76" t="s">
        <v>109</v>
      </c>
      <c r="D44" s="69" t="s">
        <v>40</v>
      </c>
      <c r="E44" s="77">
        <v>1251.6199999999999</v>
      </c>
      <c r="F44" s="78">
        <f>SUM(E44*2/1000)</f>
        <v>2.5032399999999999</v>
      </c>
      <c r="G44" s="17">
        <v>1712.28</v>
      </c>
      <c r="H44" s="79">
        <f t="shared" si="6"/>
        <v>4.2862477871999998</v>
      </c>
      <c r="I44" s="17">
        <f t="shared" si="7"/>
        <v>2143.1238936</v>
      </c>
      <c r="J44" s="27"/>
      <c r="K44" s="10"/>
      <c r="L44" s="10"/>
      <c r="M44" s="10"/>
    </row>
    <row r="45" spans="1:13" ht="30" hidden="1" customHeight="1">
      <c r="A45" s="47">
        <v>11</v>
      </c>
      <c r="B45" s="69" t="s">
        <v>35</v>
      </c>
      <c r="C45" s="76" t="s">
        <v>109</v>
      </c>
      <c r="D45" s="69" t="s">
        <v>40</v>
      </c>
      <c r="E45" s="77">
        <v>1295.68</v>
      </c>
      <c r="F45" s="78">
        <f>SUM(E45*2/1000)</f>
        <v>2.5913600000000003</v>
      </c>
      <c r="G45" s="17">
        <v>1179.73</v>
      </c>
      <c r="H45" s="79">
        <f t="shared" si="6"/>
        <v>3.0571051328000003</v>
      </c>
      <c r="I45" s="17">
        <f t="shared" si="7"/>
        <v>1528.5525664000002</v>
      </c>
      <c r="J45" s="27"/>
      <c r="K45" s="10"/>
      <c r="L45" s="10"/>
      <c r="M45" s="10"/>
    </row>
    <row r="46" spans="1:13" ht="26.25" hidden="1" customHeight="1">
      <c r="A46" s="47">
        <v>12</v>
      </c>
      <c r="B46" s="69" t="s">
        <v>32</v>
      </c>
      <c r="C46" s="76" t="s">
        <v>33</v>
      </c>
      <c r="D46" s="69" t="s">
        <v>40</v>
      </c>
      <c r="E46" s="77">
        <v>85.84</v>
      </c>
      <c r="F46" s="78">
        <f>E46*2/100</f>
        <v>1.7168000000000001</v>
      </c>
      <c r="G46" s="17">
        <v>90.61</v>
      </c>
      <c r="H46" s="79">
        <f t="shared" si="6"/>
        <v>0.15555924799999998</v>
      </c>
      <c r="I46" s="17">
        <f>F46/2*G46</f>
        <v>77.779623999999998</v>
      </c>
      <c r="J46" s="27"/>
      <c r="K46" s="10"/>
      <c r="L46" s="10"/>
      <c r="M46" s="10"/>
    </row>
    <row r="47" spans="1:13" ht="25.5" hidden="1" customHeight="1">
      <c r="A47" s="47">
        <v>13</v>
      </c>
      <c r="B47" s="69" t="s">
        <v>54</v>
      </c>
      <c r="C47" s="76" t="s">
        <v>109</v>
      </c>
      <c r="D47" s="69" t="s">
        <v>147</v>
      </c>
      <c r="E47" s="77">
        <v>2549.5</v>
      </c>
      <c r="F47" s="78">
        <f>SUM(E47*5/1000)</f>
        <v>12.7475</v>
      </c>
      <c r="G47" s="17">
        <v>1711.28</v>
      </c>
      <c r="H47" s="79">
        <f t="shared" si="6"/>
        <v>21.814541800000001</v>
      </c>
      <c r="I47" s="17">
        <f>F47/5*G47</f>
        <v>4362.9083600000004</v>
      </c>
      <c r="J47" s="27"/>
      <c r="K47" s="10"/>
      <c r="L47" s="10"/>
      <c r="M47" s="10"/>
    </row>
    <row r="48" spans="1:13" ht="33" hidden="1" customHeight="1">
      <c r="A48" s="47">
        <v>9</v>
      </c>
      <c r="B48" s="69" t="s">
        <v>118</v>
      </c>
      <c r="C48" s="76" t="s">
        <v>109</v>
      </c>
      <c r="D48" s="69" t="s">
        <v>40</v>
      </c>
      <c r="E48" s="77">
        <v>2549.5</v>
      </c>
      <c r="F48" s="78">
        <f>SUM(E48*2/1000)</f>
        <v>5.0990000000000002</v>
      </c>
      <c r="G48" s="17">
        <v>1510.06</v>
      </c>
      <c r="H48" s="79">
        <f t="shared" si="6"/>
        <v>7.6997959399999996</v>
      </c>
      <c r="I48" s="17">
        <f>F48/2*G48</f>
        <v>3849.89797</v>
      </c>
      <c r="J48" s="27"/>
      <c r="K48" s="10"/>
      <c r="L48" s="10"/>
      <c r="M48" s="10"/>
    </row>
    <row r="49" spans="1:14" ht="28.5" hidden="1" customHeight="1">
      <c r="A49" s="47">
        <v>10</v>
      </c>
      <c r="B49" s="69" t="s">
        <v>119</v>
      </c>
      <c r="C49" s="76" t="s">
        <v>36</v>
      </c>
      <c r="D49" s="69" t="s">
        <v>40</v>
      </c>
      <c r="E49" s="77">
        <v>16</v>
      </c>
      <c r="F49" s="78">
        <f>SUM(E49*2/100)</f>
        <v>0.32</v>
      </c>
      <c r="G49" s="17">
        <v>3850.4</v>
      </c>
      <c r="H49" s="79">
        <f t="shared" si="6"/>
        <v>1.2321280000000001</v>
      </c>
      <c r="I49" s="17">
        <f t="shared" ref="I49:I50" si="8">F49/2*G49</f>
        <v>616.06400000000008</v>
      </c>
      <c r="J49" s="27"/>
      <c r="K49" s="10"/>
    </row>
    <row r="50" spans="1:14" ht="25.5" hidden="1" customHeight="1">
      <c r="A50" s="47">
        <v>11</v>
      </c>
      <c r="B50" s="69" t="s">
        <v>37</v>
      </c>
      <c r="C50" s="76" t="s">
        <v>38</v>
      </c>
      <c r="D50" s="69" t="s">
        <v>40</v>
      </c>
      <c r="E50" s="77">
        <v>1</v>
      </c>
      <c r="F50" s="78">
        <v>0.02</v>
      </c>
      <c r="G50" s="17">
        <v>7033.13</v>
      </c>
      <c r="H50" s="79">
        <f t="shared" si="6"/>
        <v>0.1406626</v>
      </c>
      <c r="I50" s="17">
        <f t="shared" si="8"/>
        <v>70.331299999999999</v>
      </c>
      <c r="J50" s="75"/>
    </row>
    <row r="51" spans="1:14" ht="23.25" hidden="1" customHeight="1">
      <c r="A51" s="47">
        <v>17</v>
      </c>
      <c r="B51" s="69" t="s">
        <v>120</v>
      </c>
      <c r="C51" s="76" t="s">
        <v>96</v>
      </c>
      <c r="D51" s="69" t="s">
        <v>63</v>
      </c>
      <c r="E51" s="77">
        <v>64</v>
      </c>
      <c r="F51" s="78">
        <f>E51*3</f>
        <v>192</v>
      </c>
      <c r="G51" s="17">
        <v>175.6</v>
      </c>
      <c r="H51" s="79">
        <f t="shared" si="6"/>
        <v>33.715199999999996</v>
      </c>
      <c r="I51" s="17">
        <f>E51*G51</f>
        <v>11238.4</v>
      </c>
      <c r="J51" s="75"/>
    </row>
    <row r="52" spans="1:14" ht="18.75" hidden="1" customHeight="1">
      <c r="A52" s="47">
        <v>18</v>
      </c>
      <c r="B52" s="69" t="s">
        <v>39</v>
      </c>
      <c r="C52" s="76" t="s">
        <v>96</v>
      </c>
      <c r="D52" s="69" t="s">
        <v>63</v>
      </c>
      <c r="E52" s="77">
        <v>128</v>
      </c>
      <c r="F52" s="78">
        <f>SUM(E52)*3</f>
        <v>384</v>
      </c>
      <c r="G52" s="17">
        <v>81.73</v>
      </c>
      <c r="H52" s="79">
        <f t="shared" si="6"/>
        <v>31.384319999999999</v>
      </c>
      <c r="I52" s="17">
        <f>E52*G52</f>
        <v>10461.44</v>
      </c>
      <c r="J52" s="75"/>
    </row>
    <row r="53" spans="1:14" ht="15.75" customHeight="1">
      <c r="A53" s="159" t="s">
        <v>79</v>
      </c>
      <c r="B53" s="160"/>
      <c r="C53" s="160"/>
      <c r="D53" s="160"/>
      <c r="E53" s="160"/>
      <c r="F53" s="160"/>
      <c r="G53" s="160"/>
      <c r="H53" s="160"/>
      <c r="I53" s="161"/>
      <c r="J53" s="75"/>
    </row>
    <row r="54" spans="1:14" ht="14.25" hidden="1" customHeight="1">
      <c r="A54" s="100"/>
      <c r="B54" s="54" t="s">
        <v>41</v>
      </c>
      <c r="C54" s="21"/>
      <c r="D54" s="65"/>
      <c r="E54" s="16"/>
      <c r="F54" s="16"/>
      <c r="G54" s="31"/>
      <c r="H54" s="31"/>
      <c r="I54" s="64"/>
      <c r="J54" s="75"/>
    </row>
    <row r="55" spans="1:14" ht="17.25" hidden="1" customHeight="1">
      <c r="A55" s="47">
        <v>13</v>
      </c>
      <c r="B55" s="69" t="s">
        <v>121</v>
      </c>
      <c r="C55" s="76" t="s">
        <v>86</v>
      </c>
      <c r="D55" s="69" t="s">
        <v>122</v>
      </c>
      <c r="E55" s="77">
        <v>8</v>
      </c>
      <c r="F55" s="78">
        <f>SUM(E55*6/100)</f>
        <v>0.48</v>
      </c>
      <c r="G55" s="17">
        <v>2306.62</v>
      </c>
      <c r="H55" s="79">
        <f>SUM(F55*G55/1000)</f>
        <v>1.1071776</v>
      </c>
      <c r="I55" s="17">
        <f>F55/6*G55</f>
        <v>184.52959999999999</v>
      </c>
      <c r="J55" s="75"/>
    </row>
    <row r="56" spans="1:14" ht="17.25" hidden="1" customHeight="1">
      <c r="A56" s="47">
        <v>12</v>
      </c>
      <c r="B56" s="88" t="s">
        <v>80</v>
      </c>
      <c r="C56" s="87" t="s">
        <v>30</v>
      </c>
      <c r="D56" s="88" t="s">
        <v>61</v>
      </c>
      <c r="E56" s="89"/>
      <c r="F56" s="90">
        <v>1</v>
      </c>
      <c r="G56" s="17">
        <v>1501</v>
      </c>
      <c r="H56" s="79">
        <f>SUM(F56*G56/1000)</f>
        <v>1.5009999999999999</v>
      </c>
      <c r="I56" s="17">
        <f>G56*3</f>
        <v>4503</v>
      </c>
      <c r="J56" s="75"/>
    </row>
    <row r="57" spans="1:14" ht="23.25" hidden="1" customHeight="1">
      <c r="A57" s="47"/>
      <c r="B57" s="71" t="s">
        <v>42</v>
      </c>
      <c r="C57" s="39"/>
      <c r="D57" s="39"/>
      <c r="E57" s="16"/>
      <c r="F57" s="16"/>
      <c r="G57" s="40"/>
      <c r="H57" s="40"/>
      <c r="I57" s="64"/>
      <c r="J57" s="75"/>
      <c r="L57" s="24"/>
      <c r="M57" s="25"/>
      <c r="N57" s="26"/>
    </row>
    <row r="58" spans="1:14" ht="24" hidden="1" customHeight="1">
      <c r="A58" s="47">
        <v>29</v>
      </c>
      <c r="B58" s="88" t="s">
        <v>43</v>
      </c>
      <c r="C58" s="87" t="s">
        <v>51</v>
      </c>
      <c r="D58" s="88" t="s">
        <v>52</v>
      </c>
      <c r="E58" s="89">
        <v>7.4</v>
      </c>
      <c r="F58" s="17">
        <f>SUM(E58/100)</f>
        <v>7.400000000000001E-2</v>
      </c>
      <c r="G58" s="17">
        <v>987.51</v>
      </c>
      <c r="H58" s="91">
        <f>F58*G58/1000</f>
        <v>7.3075740000000014E-2</v>
      </c>
      <c r="I58" s="17">
        <v>0</v>
      </c>
      <c r="J58" s="75"/>
      <c r="L58" s="24"/>
      <c r="M58" s="25"/>
      <c r="N58" s="26"/>
    </row>
    <row r="59" spans="1:14" ht="15.75" customHeight="1">
      <c r="A59" s="47"/>
      <c r="B59" s="71" t="s">
        <v>44</v>
      </c>
      <c r="C59" s="21"/>
      <c r="D59" s="66"/>
      <c r="E59" s="16"/>
      <c r="F59" s="16"/>
      <c r="G59" s="31"/>
      <c r="H59" s="31"/>
      <c r="I59" s="64"/>
      <c r="J59" s="75"/>
      <c r="L59" s="24"/>
      <c r="M59" s="25"/>
      <c r="N59" s="26"/>
    </row>
    <row r="60" spans="1:14" ht="15.75" hidden="1" customHeight="1">
      <c r="A60" s="47">
        <v>7</v>
      </c>
      <c r="B60" s="19" t="s">
        <v>45</v>
      </c>
      <c r="C60" s="21" t="s">
        <v>96</v>
      </c>
      <c r="D60" s="19" t="s">
        <v>173</v>
      </c>
      <c r="E60" s="23">
        <v>1</v>
      </c>
      <c r="F60" s="17">
        <f>SUM(E60)</f>
        <v>1</v>
      </c>
      <c r="G60" s="17">
        <v>276.74</v>
      </c>
      <c r="H60" s="80">
        <f t="shared" ref="H60:H68" si="9">SUM(F60*G60/1000)</f>
        <v>0.27673999999999999</v>
      </c>
      <c r="I60" s="17">
        <f>G60*1</f>
        <v>276.74</v>
      </c>
      <c r="J60" s="75"/>
      <c r="L60" s="24"/>
      <c r="M60" s="25"/>
      <c r="N60" s="26"/>
    </row>
    <row r="61" spans="1:14" ht="15.75" customHeight="1">
      <c r="A61" s="67">
        <v>6</v>
      </c>
      <c r="B61" s="19" t="s">
        <v>46</v>
      </c>
      <c r="C61" s="21" t="s">
        <v>96</v>
      </c>
      <c r="D61" s="19" t="s">
        <v>173</v>
      </c>
      <c r="E61" s="23">
        <v>2</v>
      </c>
      <c r="F61" s="17">
        <f>SUM(E61)</f>
        <v>2</v>
      </c>
      <c r="G61" s="17">
        <v>94.89</v>
      </c>
      <c r="H61" s="80">
        <f t="shared" si="9"/>
        <v>0.18978</v>
      </c>
      <c r="I61" s="17">
        <f>G61*1</f>
        <v>94.89</v>
      </c>
      <c r="J61" s="75"/>
      <c r="L61" s="24"/>
      <c r="M61" s="25"/>
      <c r="N61" s="26"/>
    </row>
    <row r="62" spans="1:14" ht="15.75" hidden="1" customHeight="1">
      <c r="A62" s="67">
        <v>25</v>
      </c>
      <c r="B62" s="19" t="s">
        <v>47</v>
      </c>
      <c r="C62" s="21" t="s">
        <v>97</v>
      </c>
      <c r="D62" s="19" t="s">
        <v>52</v>
      </c>
      <c r="E62" s="77">
        <v>10052</v>
      </c>
      <c r="F62" s="17">
        <f>SUM(E62/100)</f>
        <v>100.52</v>
      </c>
      <c r="G62" s="17">
        <v>263.99</v>
      </c>
      <c r="H62" s="80">
        <f t="shared" si="9"/>
        <v>26.536274799999997</v>
      </c>
      <c r="I62" s="17">
        <f>F62*G62</f>
        <v>26536.274799999999</v>
      </c>
      <c r="J62" s="75"/>
      <c r="L62" s="24"/>
      <c r="M62" s="25"/>
      <c r="N62" s="26"/>
    </row>
    <row r="63" spans="1:14" ht="15.75" hidden="1" customHeight="1">
      <c r="A63" s="67">
        <v>26</v>
      </c>
      <c r="B63" s="19" t="s">
        <v>48</v>
      </c>
      <c r="C63" s="21" t="s">
        <v>98</v>
      </c>
      <c r="D63" s="19"/>
      <c r="E63" s="77">
        <v>10052</v>
      </c>
      <c r="F63" s="17">
        <f>SUM(E63/1000)</f>
        <v>10.052</v>
      </c>
      <c r="G63" s="17">
        <v>205.57</v>
      </c>
      <c r="H63" s="80">
        <f t="shared" si="9"/>
        <v>2.0663896399999997</v>
      </c>
      <c r="I63" s="17">
        <f t="shared" ref="I63:I66" si="10">F63*G63</f>
        <v>2066.3896399999999</v>
      </c>
      <c r="J63" s="75"/>
      <c r="L63" s="24"/>
      <c r="M63" s="25"/>
      <c r="N63" s="26"/>
    </row>
    <row r="64" spans="1:14" ht="15.75" hidden="1" customHeight="1">
      <c r="A64" s="67">
        <v>27</v>
      </c>
      <c r="B64" s="19" t="s">
        <v>49</v>
      </c>
      <c r="C64" s="21" t="s">
        <v>69</v>
      </c>
      <c r="D64" s="19" t="s">
        <v>52</v>
      </c>
      <c r="E64" s="77">
        <v>2200</v>
      </c>
      <c r="F64" s="17">
        <f>SUM(E64/100)</f>
        <v>22</v>
      </c>
      <c r="G64" s="17">
        <v>2581.5300000000002</v>
      </c>
      <c r="H64" s="80">
        <f t="shared" si="9"/>
        <v>56.793660000000003</v>
      </c>
      <c r="I64" s="17">
        <f t="shared" si="10"/>
        <v>56793.66</v>
      </c>
      <c r="J64" s="75"/>
      <c r="L64" s="24"/>
      <c r="M64" s="25"/>
      <c r="N64" s="26"/>
    </row>
    <row r="65" spans="1:14" ht="15.75" hidden="1" customHeight="1">
      <c r="A65" s="67">
        <v>28</v>
      </c>
      <c r="B65" s="92" t="s">
        <v>99</v>
      </c>
      <c r="C65" s="21" t="s">
        <v>31</v>
      </c>
      <c r="D65" s="19"/>
      <c r="E65" s="77">
        <v>9.4</v>
      </c>
      <c r="F65" s="17">
        <f>SUM(E65)</f>
        <v>9.4</v>
      </c>
      <c r="G65" s="17">
        <v>47.45</v>
      </c>
      <c r="H65" s="80">
        <f t="shared" si="9"/>
        <v>0.44603000000000004</v>
      </c>
      <c r="I65" s="17">
        <f t="shared" si="10"/>
        <v>446.03000000000003</v>
      </c>
      <c r="J65" s="75"/>
      <c r="L65" s="24"/>
      <c r="M65" s="25"/>
      <c r="N65" s="26"/>
    </row>
    <row r="66" spans="1:14" ht="15.75" hidden="1" customHeight="1">
      <c r="A66" s="67">
        <v>29</v>
      </c>
      <c r="B66" s="92" t="s">
        <v>100</v>
      </c>
      <c r="C66" s="21" t="s">
        <v>31</v>
      </c>
      <c r="D66" s="19"/>
      <c r="E66" s="77">
        <v>9.4</v>
      </c>
      <c r="F66" s="17">
        <f>SUM(E66)</f>
        <v>9.4</v>
      </c>
      <c r="G66" s="17">
        <v>44.27</v>
      </c>
      <c r="H66" s="80">
        <f t="shared" si="9"/>
        <v>0.41613800000000001</v>
      </c>
      <c r="I66" s="17">
        <f t="shared" si="10"/>
        <v>416.13800000000003</v>
      </c>
      <c r="J66" s="75"/>
      <c r="L66" s="24"/>
      <c r="M66" s="25"/>
      <c r="N66" s="26"/>
    </row>
    <row r="67" spans="1:14" ht="15.75" hidden="1" customHeight="1">
      <c r="A67" s="67">
        <v>19</v>
      </c>
      <c r="B67" s="19" t="s">
        <v>55</v>
      </c>
      <c r="C67" s="21" t="s">
        <v>56</v>
      </c>
      <c r="D67" s="19" t="s">
        <v>52</v>
      </c>
      <c r="E67" s="23">
        <v>2</v>
      </c>
      <c r="F67" s="17">
        <f>SUM(E67)</f>
        <v>2</v>
      </c>
      <c r="G67" s="17">
        <v>62.07</v>
      </c>
      <c r="H67" s="80">
        <f t="shared" si="9"/>
        <v>0.12414</v>
      </c>
      <c r="I67" s="17">
        <f>G67*2</f>
        <v>124.14</v>
      </c>
      <c r="J67" s="75"/>
      <c r="L67" s="24"/>
      <c r="M67" s="25"/>
      <c r="N67" s="26"/>
    </row>
    <row r="68" spans="1:14" ht="15.75" customHeight="1">
      <c r="A68" s="68">
        <v>7</v>
      </c>
      <c r="B68" s="19" t="s">
        <v>81</v>
      </c>
      <c r="C68" s="31" t="s">
        <v>101</v>
      </c>
      <c r="D68" s="19"/>
      <c r="E68" s="23">
        <v>2549.5</v>
      </c>
      <c r="F68" s="17">
        <f>SUM(E68*12)</f>
        <v>30594</v>
      </c>
      <c r="G68" s="17">
        <v>2.16</v>
      </c>
      <c r="H68" s="80">
        <f t="shared" si="9"/>
        <v>66.083040000000011</v>
      </c>
      <c r="I68" s="17">
        <f>F68/12*G68</f>
        <v>5506.92</v>
      </c>
      <c r="J68" s="75"/>
      <c r="L68" s="24"/>
      <c r="M68" s="25"/>
      <c r="N68" s="26"/>
    </row>
    <row r="69" spans="1:14" ht="15.75" hidden="1" customHeight="1">
      <c r="A69" s="61"/>
      <c r="B69" s="71" t="s">
        <v>102</v>
      </c>
      <c r="C69" s="71"/>
      <c r="D69" s="71"/>
      <c r="E69" s="71"/>
      <c r="F69" s="71"/>
      <c r="G69" s="71"/>
      <c r="H69" s="71"/>
      <c r="I69" s="23"/>
      <c r="J69" s="75"/>
      <c r="L69" s="24"/>
      <c r="M69" s="25"/>
      <c r="N69" s="26"/>
    </row>
    <row r="70" spans="1:14" ht="15.75" hidden="1" customHeight="1">
      <c r="A70" s="31">
        <v>31</v>
      </c>
      <c r="B70" s="69" t="s">
        <v>103</v>
      </c>
      <c r="C70" s="21"/>
      <c r="D70" s="19"/>
      <c r="E70" s="94"/>
      <c r="F70" s="17">
        <v>1</v>
      </c>
      <c r="G70" s="17">
        <v>22720</v>
      </c>
      <c r="H70" s="80">
        <f>G70*F70/1000</f>
        <v>22.72</v>
      </c>
      <c r="I70" s="17">
        <f>G70</f>
        <v>22720</v>
      </c>
      <c r="J70" s="75"/>
      <c r="L70" s="24"/>
      <c r="M70" s="25"/>
      <c r="N70" s="26"/>
    </row>
    <row r="71" spans="1:14" ht="15.75" hidden="1" customHeight="1">
      <c r="A71" s="68"/>
      <c r="B71" s="71" t="s">
        <v>64</v>
      </c>
      <c r="C71" s="21"/>
      <c r="D71" s="19"/>
      <c r="E71" s="16"/>
      <c r="F71" s="16"/>
      <c r="G71" s="31"/>
      <c r="H71" s="31"/>
      <c r="I71" s="64"/>
      <c r="J71" s="75"/>
      <c r="L71" s="24"/>
      <c r="M71" s="25"/>
      <c r="N71" s="26"/>
    </row>
    <row r="72" spans="1:14" ht="15.75" hidden="1" customHeight="1">
      <c r="A72" s="68">
        <v>16</v>
      </c>
      <c r="B72" s="19" t="s">
        <v>104</v>
      </c>
      <c r="C72" s="21" t="s">
        <v>105</v>
      </c>
      <c r="D72" s="19" t="s">
        <v>61</v>
      </c>
      <c r="E72" s="23">
        <v>1</v>
      </c>
      <c r="F72" s="17">
        <f>E72</f>
        <v>1</v>
      </c>
      <c r="G72" s="17">
        <v>976.4</v>
      </c>
      <c r="H72" s="80">
        <f t="shared" ref="H72:H74" si="11">SUM(F72*G72/1000)</f>
        <v>0.97639999999999993</v>
      </c>
      <c r="I72" s="17">
        <v>0</v>
      </c>
      <c r="J72" s="75"/>
      <c r="L72" s="24"/>
      <c r="M72" s="25"/>
      <c r="N72" s="26"/>
    </row>
    <row r="73" spans="1:14" ht="15.75" hidden="1" customHeight="1">
      <c r="A73" s="68"/>
      <c r="B73" s="19" t="s">
        <v>106</v>
      </c>
      <c r="C73" s="21" t="s">
        <v>107</v>
      </c>
      <c r="D73" s="19" t="s">
        <v>61</v>
      </c>
      <c r="E73" s="23">
        <v>1</v>
      </c>
      <c r="F73" s="17">
        <v>1</v>
      </c>
      <c r="G73" s="17">
        <v>735</v>
      </c>
      <c r="H73" s="80">
        <f t="shared" si="11"/>
        <v>0.73499999999999999</v>
      </c>
      <c r="I73" s="17">
        <v>0</v>
      </c>
      <c r="J73" s="75"/>
      <c r="L73" s="24"/>
      <c r="M73" s="25"/>
      <c r="N73" s="26"/>
    </row>
    <row r="74" spans="1:14" ht="15.75" hidden="1" customHeight="1">
      <c r="A74" s="68">
        <v>11</v>
      </c>
      <c r="B74" s="19" t="s">
        <v>65</v>
      </c>
      <c r="C74" s="21" t="s">
        <v>67</v>
      </c>
      <c r="D74" s="19" t="s">
        <v>61</v>
      </c>
      <c r="E74" s="23">
        <v>3</v>
      </c>
      <c r="F74" s="17">
        <v>0.3</v>
      </c>
      <c r="G74" s="17">
        <v>624.16999999999996</v>
      </c>
      <c r="H74" s="80">
        <f t="shared" si="11"/>
        <v>0.18725099999999997</v>
      </c>
      <c r="I74" s="17">
        <f>G74*0.2</f>
        <v>124.834</v>
      </c>
      <c r="J74" s="75"/>
      <c r="L74" s="24"/>
      <c r="M74" s="25"/>
      <c r="N74" s="26"/>
    </row>
    <row r="75" spans="1:14" ht="15.75" hidden="1" customHeight="1">
      <c r="A75" s="68"/>
      <c r="B75" s="19" t="s">
        <v>66</v>
      </c>
      <c r="C75" s="21" t="s">
        <v>29</v>
      </c>
      <c r="D75" s="19" t="s">
        <v>61</v>
      </c>
      <c r="E75" s="23">
        <v>1</v>
      </c>
      <c r="F75" s="93">
        <v>1</v>
      </c>
      <c r="G75" s="17">
        <v>1061.4100000000001</v>
      </c>
      <c r="H75" s="80">
        <f>F75*G75/1000</f>
        <v>1.0614100000000002</v>
      </c>
      <c r="I75" s="17">
        <v>0</v>
      </c>
      <c r="J75" s="75"/>
      <c r="L75" s="24"/>
      <c r="M75" s="25"/>
      <c r="N75" s="26"/>
    </row>
    <row r="76" spans="1:14" ht="15.75" hidden="1" customHeight="1">
      <c r="A76" s="68"/>
      <c r="B76" s="19" t="s">
        <v>82</v>
      </c>
      <c r="C76" s="21" t="s">
        <v>29</v>
      </c>
      <c r="D76" s="19" t="s">
        <v>61</v>
      </c>
      <c r="E76" s="23">
        <v>1</v>
      </c>
      <c r="F76" s="17">
        <v>1</v>
      </c>
      <c r="G76" s="17">
        <v>446.12</v>
      </c>
      <c r="H76" s="80">
        <f>G76*F76/1000</f>
        <v>0.44612000000000002</v>
      </c>
      <c r="I76" s="17">
        <v>0</v>
      </c>
      <c r="J76" s="75"/>
      <c r="L76" s="24"/>
      <c r="M76" s="25"/>
      <c r="N76" s="26"/>
    </row>
    <row r="77" spans="1:14" ht="15.75" hidden="1" customHeight="1">
      <c r="A77" s="68"/>
      <c r="B77" s="56" t="s">
        <v>68</v>
      </c>
      <c r="C77" s="44"/>
      <c r="D77" s="43"/>
      <c r="E77" s="23"/>
      <c r="F77" s="23"/>
      <c r="G77" s="42"/>
      <c r="H77" s="42"/>
      <c r="I77" s="64"/>
      <c r="J77" s="75"/>
      <c r="L77" s="24"/>
      <c r="M77" s="25"/>
      <c r="N77" s="26"/>
    </row>
    <row r="78" spans="1:14" ht="15.75" hidden="1" customHeight="1">
      <c r="A78" s="68"/>
      <c r="B78" s="57" t="s">
        <v>108</v>
      </c>
      <c r="C78" s="21" t="s">
        <v>69</v>
      </c>
      <c r="D78" s="19"/>
      <c r="E78" s="23"/>
      <c r="F78" s="17">
        <v>1</v>
      </c>
      <c r="G78" s="17">
        <v>3433.68</v>
      </c>
      <c r="H78" s="80">
        <f t="shared" ref="H78" si="12">SUM(F78*G78/1000)</f>
        <v>3.4336799999999998</v>
      </c>
      <c r="I78" s="17">
        <v>0</v>
      </c>
      <c r="J78" s="75"/>
      <c r="L78" s="24"/>
      <c r="M78" s="25"/>
      <c r="N78" s="26"/>
    </row>
    <row r="79" spans="1:14" ht="15.75" customHeight="1">
      <c r="A79" s="165" t="s">
        <v>133</v>
      </c>
      <c r="B79" s="166"/>
      <c r="C79" s="166"/>
      <c r="D79" s="166"/>
      <c r="E79" s="166"/>
      <c r="F79" s="166"/>
      <c r="G79" s="166"/>
      <c r="H79" s="166"/>
      <c r="I79" s="167"/>
      <c r="J79" s="75"/>
      <c r="L79" s="24"/>
      <c r="M79" s="25"/>
      <c r="N79" s="26"/>
    </row>
    <row r="80" spans="1:14" ht="15.75" customHeight="1">
      <c r="A80" s="68">
        <v>8</v>
      </c>
      <c r="B80" s="69" t="s">
        <v>123</v>
      </c>
      <c r="C80" s="21" t="s">
        <v>53</v>
      </c>
      <c r="D80" s="19"/>
      <c r="E80" s="17">
        <v>2549.5</v>
      </c>
      <c r="F80" s="17">
        <f>SUM(E80*12)</f>
        <v>30594</v>
      </c>
      <c r="G80" s="17">
        <v>2.95</v>
      </c>
      <c r="H80" s="80">
        <f>SUM(F80*G80/1000)</f>
        <v>90.252300000000005</v>
      </c>
      <c r="I80" s="17">
        <f>F80/12*G80</f>
        <v>7521.0250000000005</v>
      </c>
      <c r="J80" s="75"/>
      <c r="L80" s="24"/>
      <c r="M80" s="25"/>
      <c r="N80" s="26"/>
    </row>
    <row r="81" spans="1:14" ht="31.5" customHeight="1">
      <c r="A81" s="31">
        <v>9</v>
      </c>
      <c r="B81" s="19" t="s">
        <v>70</v>
      </c>
      <c r="C81" s="21"/>
      <c r="D81" s="19"/>
      <c r="E81" s="77">
        <v>2549.5</v>
      </c>
      <c r="F81" s="17">
        <f>E81*12</f>
        <v>30594</v>
      </c>
      <c r="G81" s="17">
        <v>3.05</v>
      </c>
      <c r="H81" s="80">
        <f>F81*G81/1000</f>
        <v>93.311700000000002</v>
      </c>
      <c r="I81" s="17">
        <f>F81/12*G81</f>
        <v>7775.9749999999995</v>
      </c>
      <c r="J81" s="75"/>
      <c r="L81" s="24"/>
      <c r="M81" s="25"/>
      <c r="N81" s="26"/>
    </row>
    <row r="82" spans="1:14" ht="15.75" customHeight="1">
      <c r="A82" s="61"/>
      <c r="B82" s="45" t="s">
        <v>72</v>
      </c>
      <c r="C82" s="47"/>
      <c r="D82" s="20"/>
      <c r="E82" s="20"/>
      <c r="F82" s="20"/>
      <c r="G82" s="23"/>
      <c r="H82" s="23"/>
      <c r="I82" s="35">
        <f>I81+I80+I68+I61+I30+I29+I18+I17+I16</f>
        <v>30875.040289999997</v>
      </c>
      <c r="J82" s="75"/>
      <c r="L82" s="24"/>
      <c r="M82" s="25"/>
      <c r="N82" s="26"/>
    </row>
    <row r="83" spans="1:14" ht="15.75" customHeight="1">
      <c r="A83" s="162" t="s">
        <v>57</v>
      </c>
      <c r="B83" s="163"/>
      <c r="C83" s="163"/>
      <c r="D83" s="163"/>
      <c r="E83" s="163"/>
      <c r="F83" s="163"/>
      <c r="G83" s="163"/>
      <c r="H83" s="163"/>
      <c r="I83" s="164"/>
      <c r="J83" s="75"/>
      <c r="L83" s="24"/>
      <c r="M83" s="25"/>
      <c r="N83" s="26"/>
    </row>
    <row r="84" spans="1:14" ht="15.75" customHeight="1">
      <c r="A84" s="68">
        <v>10</v>
      </c>
      <c r="B84" s="19" t="s">
        <v>154</v>
      </c>
      <c r="C84" s="21" t="s">
        <v>155</v>
      </c>
      <c r="D84" s="19"/>
      <c r="E84" s="23"/>
      <c r="F84" s="17">
        <v>96</v>
      </c>
      <c r="G84" s="17">
        <v>1.4</v>
      </c>
      <c r="H84" s="17">
        <f>F84*G84/1000</f>
        <v>0.13439999999999996</v>
      </c>
      <c r="I84" s="17">
        <f>G84*48</f>
        <v>67.199999999999989</v>
      </c>
      <c r="J84" s="75"/>
      <c r="L84" s="24"/>
      <c r="M84" s="25"/>
      <c r="N84" s="26"/>
    </row>
    <row r="85" spans="1:14" ht="21" customHeight="1">
      <c r="A85" s="68">
        <v>11</v>
      </c>
      <c r="B85" s="117" t="s">
        <v>287</v>
      </c>
      <c r="C85" s="118" t="s">
        <v>28</v>
      </c>
      <c r="D85" s="142"/>
      <c r="E85" s="41"/>
      <c r="F85" s="41">
        <v>2.65</v>
      </c>
      <c r="G85" s="41">
        <v>241.69</v>
      </c>
      <c r="H85" s="17"/>
      <c r="I85" s="17">
        <f>G85*2.65</f>
        <v>640.47849999999994</v>
      </c>
      <c r="J85" s="75"/>
      <c r="L85" s="24"/>
      <c r="M85" s="25"/>
      <c r="N85" s="26"/>
    </row>
    <row r="86" spans="1:14" ht="18" customHeight="1">
      <c r="A86" s="68">
        <v>12</v>
      </c>
      <c r="B86" s="117" t="s">
        <v>281</v>
      </c>
      <c r="C86" s="118" t="s">
        <v>96</v>
      </c>
      <c r="D86" s="43"/>
      <c r="E86" s="22"/>
      <c r="F86" s="41">
        <v>2</v>
      </c>
      <c r="G86" s="41">
        <v>224.48</v>
      </c>
      <c r="H86" s="17"/>
      <c r="I86" s="17">
        <f>G86*1</f>
        <v>224.48</v>
      </c>
      <c r="J86" s="75"/>
      <c r="L86" s="24"/>
      <c r="M86" s="25"/>
      <c r="N86" s="26"/>
    </row>
    <row r="87" spans="1:14" ht="33.75" customHeight="1">
      <c r="A87" s="68">
        <v>13</v>
      </c>
      <c r="B87" s="117" t="s">
        <v>83</v>
      </c>
      <c r="C87" s="118" t="s">
        <v>84</v>
      </c>
      <c r="D87" s="43" t="s">
        <v>291</v>
      </c>
      <c r="E87" s="22"/>
      <c r="F87" s="41">
        <v>3</v>
      </c>
      <c r="G87" s="41">
        <v>697.33</v>
      </c>
      <c r="H87" s="17"/>
      <c r="I87" s="17">
        <f>G87*1</f>
        <v>697.33</v>
      </c>
      <c r="J87" s="75"/>
      <c r="L87" s="24"/>
      <c r="M87" s="25"/>
      <c r="N87" s="26"/>
    </row>
    <row r="88" spans="1:14" ht="33.75" customHeight="1">
      <c r="A88" s="68">
        <v>14</v>
      </c>
      <c r="B88" s="117" t="s">
        <v>288</v>
      </c>
      <c r="C88" s="118" t="s">
        <v>164</v>
      </c>
      <c r="D88" s="43"/>
      <c r="E88" s="22"/>
      <c r="F88" s="41">
        <v>0.5</v>
      </c>
      <c r="G88" s="41">
        <v>1478.55</v>
      </c>
      <c r="H88" s="17"/>
      <c r="I88" s="17">
        <f>G88*0.5</f>
        <v>739.27499999999998</v>
      </c>
      <c r="J88" s="75"/>
      <c r="L88" s="24"/>
      <c r="M88" s="25"/>
      <c r="N88" s="26"/>
    </row>
    <row r="89" spans="1:14" ht="21" customHeight="1">
      <c r="A89" s="68">
        <v>15</v>
      </c>
      <c r="B89" s="117" t="s">
        <v>189</v>
      </c>
      <c r="C89" s="118" t="s">
        <v>190</v>
      </c>
      <c r="D89" s="43" t="s">
        <v>290</v>
      </c>
      <c r="E89" s="22"/>
      <c r="F89" s="41">
        <v>1</v>
      </c>
      <c r="G89" s="41">
        <v>784.27</v>
      </c>
      <c r="H89" s="17"/>
      <c r="I89" s="17">
        <f>G89*1</f>
        <v>784.27</v>
      </c>
      <c r="J89" s="75"/>
      <c r="L89" s="24"/>
      <c r="M89" s="25"/>
      <c r="N89" s="26"/>
    </row>
    <row r="90" spans="1:14" ht="21" customHeight="1">
      <c r="A90" s="68">
        <v>16</v>
      </c>
      <c r="B90" s="117" t="s">
        <v>156</v>
      </c>
      <c r="C90" s="118" t="s">
        <v>164</v>
      </c>
      <c r="D90" s="43" t="s">
        <v>261</v>
      </c>
      <c r="E90" s="22"/>
      <c r="F90" s="41">
        <v>132</v>
      </c>
      <c r="G90" s="41">
        <v>295.36</v>
      </c>
      <c r="H90" s="17"/>
      <c r="I90" s="17">
        <v>0</v>
      </c>
      <c r="J90" s="75"/>
      <c r="L90" s="24"/>
      <c r="M90" s="25"/>
      <c r="N90" s="26"/>
    </row>
    <row r="91" spans="1:14" ht="21" customHeight="1">
      <c r="A91" s="68">
        <v>17</v>
      </c>
      <c r="B91" s="117" t="s">
        <v>161</v>
      </c>
      <c r="C91" s="118" t="s">
        <v>157</v>
      </c>
      <c r="D91" s="43"/>
      <c r="E91" s="22"/>
      <c r="F91" s="41">
        <v>11</v>
      </c>
      <c r="G91" s="41">
        <v>236.08</v>
      </c>
      <c r="H91" s="17"/>
      <c r="I91" s="17">
        <f>G91*1</f>
        <v>236.08</v>
      </c>
      <c r="J91" s="75"/>
      <c r="L91" s="24"/>
      <c r="M91" s="25"/>
      <c r="N91" s="26"/>
    </row>
    <row r="92" spans="1:14" ht="21" customHeight="1">
      <c r="A92" s="68">
        <v>18</v>
      </c>
      <c r="B92" s="117" t="s">
        <v>183</v>
      </c>
      <c r="C92" s="118" t="s">
        <v>38</v>
      </c>
      <c r="D92" s="43" t="s">
        <v>173</v>
      </c>
      <c r="E92" s="22"/>
      <c r="F92" s="41">
        <v>0.08</v>
      </c>
      <c r="G92" s="41">
        <v>28224.75</v>
      </c>
      <c r="H92" s="17"/>
      <c r="I92" s="17">
        <v>0</v>
      </c>
      <c r="J92" s="75"/>
      <c r="L92" s="24"/>
      <c r="M92" s="25"/>
      <c r="N92" s="26"/>
    </row>
    <row r="93" spans="1:14" ht="29.25" customHeight="1">
      <c r="A93" s="68">
        <v>19</v>
      </c>
      <c r="B93" s="117" t="s">
        <v>289</v>
      </c>
      <c r="C93" s="118" t="s">
        <v>36</v>
      </c>
      <c r="D93" s="43" t="s">
        <v>173</v>
      </c>
      <c r="E93" s="22"/>
      <c r="F93" s="41">
        <v>0.03</v>
      </c>
      <c r="G93" s="41">
        <v>4233.72</v>
      </c>
      <c r="H93" s="17"/>
      <c r="I93" s="17">
        <v>0</v>
      </c>
      <c r="J93" s="75"/>
      <c r="L93" s="24"/>
      <c r="M93" s="25"/>
      <c r="N93" s="26"/>
    </row>
    <row r="94" spans="1:14" ht="15.75" customHeight="1">
      <c r="A94" s="31"/>
      <c r="B94" s="52" t="s">
        <v>50</v>
      </c>
      <c r="C94" s="48"/>
      <c r="D94" s="62"/>
      <c r="E94" s="48">
        <v>1</v>
      </c>
      <c r="F94" s="48"/>
      <c r="G94" s="48"/>
      <c r="H94" s="48"/>
      <c r="I94" s="35">
        <f>SUM(I84:I93)</f>
        <v>3389.1134999999999</v>
      </c>
      <c r="J94" s="75"/>
      <c r="L94" s="24"/>
      <c r="M94" s="25"/>
      <c r="N94" s="26"/>
    </row>
    <row r="95" spans="1:14" ht="15.75" customHeight="1">
      <c r="A95" s="31"/>
      <c r="B95" s="57" t="s">
        <v>71</v>
      </c>
      <c r="C95" s="20"/>
      <c r="D95" s="20"/>
      <c r="E95" s="49"/>
      <c r="F95" s="49"/>
      <c r="G95" s="50"/>
      <c r="H95" s="50"/>
      <c r="I95" s="22">
        <v>0</v>
      </c>
      <c r="J95" s="75"/>
      <c r="L95" s="24"/>
      <c r="M95" s="25"/>
      <c r="N95" s="26"/>
    </row>
    <row r="96" spans="1:14" ht="15.75" customHeight="1">
      <c r="A96" s="63"/>
      <c r="B96" s="53" t="s">
        <v>149</v>
      </c>
      <c r="C96" s="39"/>
      <c r="D96" s="39"/>
      <c r="E96" s="39"/>
      <c r="F96" s="39"/>
      <c r="G96" s="39"/>
      <c r="H96" s="39"/>
      <c r="I96" s="51">
        <f>I82+I94</f>
        <v>34264.153789999997</v>
      </c>
      <c r="J96" s="75"/>
      <c r="L96" s="24"/>
    </row>
    <row r="97" spans="1:22" ht="15.75">
      <c r="A97" s="157" t="s">
        <v>292</v>
      </c>
      <c r="B97" s="157"/>
      <c r="C97" s="157"/>
      <c r="D97" s="157"/>
      <c r="E97" s="157"/>
      <c r="F97" s="157"/>
      <c r="G97" s="157"/>
      <c r="H97" s="157"/>
      <c r="I97" s="157"/>
    </row>
    <row r="98" spans="1:22" ht="15.75">
      <c r="A98" s="12"/>
      <c r="B98" s="158" t="s">
        <v>293</v>
      </c>
      <c r="C98" s="158"/>
      <c r="D98" s="158"/>
      <c r="E98" s="158"/>
      <c r="F98" s="158"/>
      <c r="G98" s="158"/>
      <c r="H98" s="98"/>
      <c r="I98" s="4"/>
    </row>
    <row r="99" spans="1:22" ht="15.75">
      <c r="A99" s="70"/>
      <c r="B99" s="173" t="s">
        <v>6</v>
      </c>
      <c r="C99" s="173"/>
      <c r="D99" s="173"/>
      <c r="E99" s="173"/>
      <c r="F99" s="173"/>
      <c r="G99" s="173"/>
      <c r="H99" s="74"/>
      <c r="I99" s="59"/>
    </row>
    <row r="100" spans="1:22" ht="15.75" customHeight="1">
      <c r="A100" s="60"/>
      <c r="B100" s="60"/>
      <c r="C100" s="60"/>
      <c r="D100" s="60"/>
      <c r="E100" s="60"/>
      <c r="F100" s="60"/>
      <c r="G100" s="60"/>
      <c r="H100" s="60"/>
      <c r="I100" s="60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11"/>
    </row>
    <row r="101" spans="1:22" ht="15.75" customHeight="1">
      <c r="A101" s="174" t="s">
        <v>7</v>
      </c>
      <c r="B101" s="174"/>
      <c r="C101" s="174"/>
      <c r="D101" s="174"/>
      <c r="E101" s="174"/>
      <c r="F101" s="174"/>
      <c r="G101" s="174"/>
      <c r="H101" s="174"/>
      <c r="I101" s="174"/>
      <c r="J101" s="29"/>
      <c r="K101" s="29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2" ht="15.75">
      <c r="A102" s="174" t="s">
        <v>8</v>
      </c>
      <c r="B102" s="174"/>
      <c r="C102" s="174"/>
      <c r="D102" s="174"/>
      <c r="E102" s="174"/>
      <c r="F102" s="174"/>
      <c r="G102" s="174"/>
      <c r="H102" s="174"/>
      <c r="I102" s="174"/>
      <c r="J102" s="4"/>
      <c r="K102" s="4"/>
      <c r="L102" s="4"/>
      <c r="M102" s="4"/>
      <c r="N102" s="4"/>
      <c r="O102" s="4"/>
      <c r="P102" s="4"/>
      <c r="Q102" s="4"/>
      <c r="S102" s="4"/>
      <c r="T102" s="4"/>
      <c r="U102" s="4"/>
    </row>
    <row r="103" spans="1:22" ht="15.75">
      <c r="A103" s="157" t="s">
        <v>9</v>
      </c>
      <c r="B103" s="157"/>
      <c r="C103" s="157"/>
      <c r="D103" s="157"/>
      <c r="E103" s="157"/>
      <c r="F103" s="157"/>
      <c r="G103" s="157"/>
      <c r="H103" s="157"/>
      <c r="I103" s="157"/>
      <c r="J103" s="6"/>
      <c r="K103" s="6"/>
      <c r="L103" s="6"/>
      <c r="M103" s="6"/>
      <c r="N103" s="6"/>
      <c r="O103" s="6"/>
      <c r="P103" s="6"/>
      <c r="Q103" s="6"/>
      <c r="R103" s="155"/>
      <c r="S103" s="155"/>
      <c r="T103" s="155"/>
      <c r="U103" s="155"/>
    </row>
    <row r="104" spans="1:22" ht="15.75">
      <c r="A104" s="13"/>
      <c r="B104" s="58"/>
      <c r="C104" s="58"/>
      <c r="D104" s="58"/>
      <c r="E104" s="58"/>
      <c r="F104" s="58"/>
      <c r="G104" s="58"/>
      <c r="H104" s="58"/>
      <c r="I104" s="58"/>
    </row>
    <row r="105" spans="1:22" ht="15.75">
      <c r="A105" s="156" t="s">
        <v>10</v>
      </c>
      <c r="B105" s="156"/>
      <c r="C105" s="156"/>
      <c r="D105" s="156"/>
      <c r="E105" s="156"/>
      <c r="F105" s="156"/>
      <c r="G105" s="156"/>
      <c r="H105" s="156"/>
      <c r="I105" s="156"/>
    </row>
    <row r="106" spans="1:22" ht="15.75" customHeight="1">
      <c r="A106" s="5"/>
    </row>
    <row r="107" spans="1:22" ht="15.75">
      <c r="A107" s="157" t="s">
        <v>11</v>
      </c>
      <c r="B107" s="157"/>
      <c r="C107" s="175" t="s">
        <v>188</v>
      </c>
      <c r="D107" s="175"/>
      <c r="E107" s="175"/>
      <c r="F107" s="72"/>
      <c r="I107" s="103"/>
    </row>
    <row r="108" spans="1:22">
      <c r="A108" s="104"/>
      <c r="C108" s="171" t="s">
        <v>12</v>
      </c>
      <c r="D108" s="171"/>
      <c r="E108" s="171"/>
      <c r="F108" s="28"/>
      <c r="I108" s="102" t="s">
        <v>13</v>
      </c>
    </row>
    <row r="109" spans="1:22" ht="15.75">
      <c r="A109" s="29"/>
      <c r="C109" s="14"/>
      <c r="D109" s="14"/>
      <c r="G109" s="14"/>
      <c r="H109" s="14"/>
    </row>
    <row r="110" spans="1:22" ht="15.75" customHeight="1">
      <c r="A110" s="157" t="s">
        <v>14</v>
      </c>
      <c r="B110" s="157"/>
      <c r="C110" s="172"/>
      <c r="D110" s="172"/>
      <c r="E110" s="172"/>
      <c r="F110" s="73"/>
      <c r="I110" s="103"/>
    </row>
    <row r="111" spans="1:22">
      <c r="A111" s="104"/>
      <c r="C111" s="155" t="s">
        <v>12</v>
      </c>
      <c r="D111" s="155"/>
      <c r="E111" s="155"/>
      <c r="F111" s="104"/>
      <c r="I111" s="102" t="s">
        <v>13</v>
      </c>
    </row>
    <row r="112" spans="1:22" ht="15.75">
      <c r="A112" s="5" t="s">
        <v>15</v>
      </c>
    </row>
    <row r="113" spans="1:9">
      <c r="A113" s="176" t="s">
        <v>16</v>
      </c>
      <c r="B113" s="176"/>
      <c r="C113" s="176"/>
      <c r="D113" s="176"/>
      <c r="E113" s="176"/>
      <c r="F113" s="176"/>
      <c r="G113" s="176"/>
      <c r="H113" s="176"/>
      <c r="I113" s="176"/>
    </row>
    <row r="114" spans="1:9" ht="45" customHeight="1">
      <c r="A114" s="177" t="s">
        <v>17</v>
      </c>
      <c r="B114" s="177"/>
      <c r="C114" s="177"/>
      <c r="D114" s="177"/>
      <c r="E114" s="177"/>
      <c r="F114" s="177"/>
      <c r="G114" s="177"/>
      <c r="H114" s="177"/>
      <c r="I114" s="177"/>
    </row>
    <row r="115" spans="1:9" ht="30" customHeight="1">
      <c r="A115" s="177" t="s">
        <v>18</v>
      </c>
      <c r="B115" s="177"/>
      <c r="C115" s="177"/>
      <c r="D115" s="177"/>
      <c r="E115" s="177"/>
      <c r="F115" s="177"/>
      <c r="G115" s="177"/>
      <c r="H115" s="177"/>
      <c r="I115" s="177"/>
    </row>
    <row r="116" spans="1:9" ht="30" customHeight="1">
      <c r="A116" s="177" t="s">
        <v>22</v>
      </c>
      <c r="B116" s="177"/>
      <c r="C116" s="177"/>
      <c r="D116" s="177"/>
      <c r="E116" s="177"/>
      <c r="F116" s="177"/>
      <c r="G116" s="177"/>
      <c r="H116" s="177"/>
      <c r="I116" s="177"/>
    </row>
    <row r="117" spans="1:9" ht="15" customHeight="1">
      <c r="A117" s="177" t="s">
        <v>21</v>
      </c>
      <c r="B117" s="177"/>
      <c r="C117" s="177"/>
      <c r="D117" s="177"/>
      <c r="E117" s="177"/>
      <c r="F117" s="177"/>
      <c r="G117" s="177"/>
      <c r="H117" s="177"/>
      <c r="I117" s="177"/>
    </row>
    <row r="119" spans="1:9">
      <c r="A119" s="15"/>
      <c r="B119" s="15"/>
      <c r="C119" s="15"/>
      <c r="D119" s="15"/>
      <c r="E119" s="15"/>
      <c r="F119" s="15"/>
      <c r="G119" s="15"/>
      <c r="H119" s="15"/>
    </row>
  </sheetData>
  <autoFilter ref="I15:I98"/>
  <mergeCells count="31">
    <mergeCell ref="A117:I117"/>
    <mergeCell ref="R103:U103"/>
    <mergeCell ref="A105:I105"/>
    <mergeCell ref="A107:B107"/>
    <mergeCell ref="C107:E107"/>
    <mergeCell ref="C108:E108"/>
    <mergeCell ref="A110:B110"/>
    <mergeCell ref="C110:E110"/>
    <mergeCell ref="A103:I103"/>
    <mergeCell ref="C111:E111"/>
    <mergeCell ref="A113:I113"/>
    <mergeCell ref="A114:I114"/>
    <mergeCell ref="A115:I115"/>
    <mergeCell ref="A116:I116"/>
    <mergeCell ref="A97:I97"/>
    <mergeCell ref="B98:G98"/>
    <mergeCell ref="B99:G99"/>
    <mergeCell ref="A101:I101"/>
    <mergeCell ref="A102:I102"/>
    <mergeCell ref="A83:I83"/>
    <mergeCell ref="A3:I3"/>
    <mergeCell ref="A4:I4"/>
    <mergeCell ref="A5:I5"/>
    <mergeCell ref="A8:I8"/>
    <mergeCell ref="A10:I10"/>
    <mergeCell ref="A14:I14"/>
    <mergeCell ref="A15:I15"/>
    <mergeCell ref="A27:I27"/>
    <mergeCell ref="A42:I42"/>
    <mergeCell ref="A53:I53"/>
    <mergeCell ref="A79:I7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A102" sqref="A102:I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159</v>
      </c>
      <c r="I1" s="32"/>
    </row>
    <row r="2" spans="1:15" s="58" customFormat="1" ht="15.75" customHeight="1">
      <c r="A2" s="30" t="s">
        <v>58</v>
      </c>
      <c r="J2" s="1"/>
      <c r="K2" s="1"/>
      <c r="L2" s="1"/>
      <c r="M2" s="1"/>
    </row>
    <row r="3" spans="1:15" s="58" customFormat="1" ht="15.75" customHeight="1">
      <c r="A3" s="150" t="s">
        <v>152</v>
      </c>
      <c r="B3" s="150"/>
      <c r="C3" s="150"/>
      <c r="D3" s="150"/>
      <c r="E3" s="150"/>
      <c r="F3" s="150"/>
      <c r="G3" s="150"/>
      <c r="H3" s="150"/>
      <c r="I3" s="150"/>
      <c r="J3" s="2"/>
      <c r="K3" s="2"/>
      <c r="L3" s="2"/>
      <c r="M3" s="2"/>
    </row>
    <row r="4" spans="1:15" s="58" customFormat="1" ht="31.5" customHeight="1">
      <c r="A4" s="151" t="s">
        <v>85</v>
      </c>
      <c r="B4" s="151"/>
      <c r="C4" s="151"/>
      <c r="D4" s="151"/>
      <c r="E4" s="151"/>
      <c r="F4" s="151"/>
      <c r="G4" s="151"/>
      <c r="H4" s="151"/>
      <c r="I4" s="151"/>
      <c r="J4" s="3"/>
      <c r="K4" s="3"/>
      <c r="L4" s="3"/>
      <c r="M4" s="3"/>
    </row>
    <row r="5" spans="1:15" s="58" customFormat="1" ht="15.75" customHeight="1">
      <c r="A5" s="150" t="s">
        <v>294</v>
      </c>
      <c r="B5" s="152"/>
      <c r="C5" s="152"/>
      <c r="D5" s="152"/>
      <c r="E5" s="152"/>
      <c r="F5" s="152"/>
      <c r="G5" s="152"/>
      <c r="H5" s="152"/>
      <c r="I5" s="152"/>
      <c r="J5" s="4"/>
      <c r="K5" s="4"/>
      <c r="L5" s="4"/>
    </row>
    <row r="6" spans="1:15" s="58" customFormat="1" ht="15.75" customHeight="1">
      <c r="A6" s="3"/>
      <c r="B6" s="110"/>
      <c r="C6" s="110"/>
      <c r="D6" s="110"/>
      <c r="E6" s="110"/>
      <c r="F6" s="110"/>
      <c r="G6" s="110"/>
      <c r="H6" s="110"/>
      <c r="I6" s="34">
        <v>44530</v>
      </c>
    </row>
    <row r="7" spans="1:15" ht="15.75">
      <c r="B7" s="106"/>
      <c r="C7" s="106"/>
      <c r="D7" s="106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53" t="s">
        <v>187</v>
      </c>
      <c r="B8" s="153"/>
      <c r="C8" s="153"/>
      <c r="D8" s="153"/>
      <c r="E8" s="153"/>
      <c r="F8" s="153"/>
      <c r="G8" s="153"/>
      <c r="H8" s="153"/>
      <c r="I8" s="15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54" t="s">
        <v>158</v>
      </c>
      <c r="B10" s="154"/>
      <c r="C10" s="154"/>
      <c r="D10" s="154"/>
      <c r="E10" s="154"/>
      <c r="F10" s="154"/>
      <c r="G10" s="154"/>
      <c r="H10" s="154"/>
      <c r="I10" s="15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48" t="s">
        <v>139</v>
      </c>
      <c r="B14" s="149"/>
      <c r="C14" s="149"/>
      <c r="D14" s="149"/>
      <c r="E14" s="149"/>
      <c r="F14" s="149"/>
      <c r="G14" s="149"/>
      <c r="H14" s="149"/>
      <c r="I14" s="149"/>
      <c r="J14" s="114"/>
      <c r="K14" s="114"/>
      <c r="L14" s="10"/>
      <c r="M14" s="10"/>
      <c r="N14" s="10"/>
      <c r="O14" s="10"/>
    </row>
    <row r="15" spans="1:15" ht="15.75" customHeight="1">
      <c r="A15" s="145" t="s">
        <v>4</v>
      </c>
      <c r="B15" s="146"/>
      <c r="C15" s="146"/>
      <c r="D15" s="146"/>
      <c r="E15" s="146"/>
      <c r="F15" s="146"/>
      <c r="G15" s="146"/>
      <c r="H15" s="146"/>
      <c r="I15" s="147"/>
      <c r="J15" s="11"/>
      <c r="K15" s="11"/>
    </row>
    <row r="16" spans="1:15" ht="15.75" customHeight="1">
      <c r="A16" s="31">
        <v>1</v>
      </c>
      <c r="B16" s="69" t="s">
        <v>76</v>
      </c>
      <c r="C16" s="76" t="s">
        <v>86</v>
      </c>
      <c r="D16" s="69" t="s">
        <v>166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77</v>
      </c>
      <c r="C17" s="76" t="s">
        <v>86</v>
      </c>
      <c r="D17" s="69" t="s">
        <v>167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78</v>
      </c>
      <c r="C18" s="76" t="s">
        <v>86</v>
      </c>
      <c r="D18" s="69" t="s">
        <v>168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69" t="s">
        <v>87</v>
      </c>
      <c r="C19" s="76" t="s">
        <v>88</v>
      </c>
      <c r="D19" s="69" t="s">
        <v>89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>
        <v>5</v>
      </c>
      <c r="B20" s="69" t="s">
        <v>90</v>
      </c>
      <c r="C20" s="76" t="s">
        <v>86</v>
      </c>
      <c r="D20" s="69" t="s">
        <v>40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>
        <v>6</v>
      </c>
      <c r="B21" s="69" t="s">
        <v>91</v>
      </c>
      <c r="C21" s="76" t="s">
        <v>86</v>
      </c>
      <c r="D21" s="69" t="s">
        <v>40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>
        <v>7</v>
      </c>
      <c r="B22" s="69" t="s">
        <v>92</v>
      </c>
      <c r="C22" s="76" t="s">
        <v>51</v>
      </c>
      <c r="D22" s="69" t="s">
        <v>89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>
        <v>8</v>
      </c>
      <c r="B23" s="69" t="s">
        <v>93</v>
      </c>
      <c r="C23" s="76" t="s">
        <v>51</v>
      </c>
      <c r="D23" s="69" t="s">
        <v>89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>
        <v>9</v>
      </c>
      <c r="B24" s="69" t="s">
        <v>94</v>
      </c>
      <c r="C24" s="76" t="s">
        <v>51</v>
      </c>
      <c r="D24" s="82" t="s">
        <v>89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>
        <v>10</v>
      </c>
      <c r="B25" s="69" t="s">
        <v>95</v>
      </c>
      <c r="C25" s="76" t="s">
        <v>51</v>
      </c>
      <c r="D25" s="69" t="s">
        <v>89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hidden="1" customHeight="1">
      <c r="A26" s="31">
        <v>4</v>
      </c>
      <c r="B26" s="37" t="s">
        <v>165</v>
      </c>
      <c r="C26" s="46" t="s">
        <v>155</v>
      </c>
      <c r="D26" s="37" t="s">
        <v>169</v>
      </c>
      <c r="E26" s="122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hidden="1" customHeight="1">
      <c r="A27" s="31">
        <v>5</v>
      </c>
      <c r="B27" s="85" t="s">
        <v>24</v>
      </c>
      <c r="C27" s="76" t="s">
        <v>25</v>
      </c>
      <c r="D27" s="69"/>
      <c r="E27" s="77">
        <v>2549.5</v>
      </c>
      <c r="F27" s="78">
        <f>SUM(E27*12)</f>
        <v>30594</v>
      </c>
      <c r="G27" s="78">
        <v>4.24</v>
      </c>
      <c r="H27" s="79">
        <f t="shared" ref="H27" si="2">SUM(F27*G27/1000)</f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5" t="s">
        <v>151</v>
      </c>
      <c r="B28" s="146"/>
      <c r="C28" s="146"/>
      <c r="D28" s="146"/>
      <c r="E28" s="146"/>
      <c r="F28" s="146"/>
      <c r="G28" s="146"/>
      <c r="H28" s="146"/>
      <c r="I28" s="147"/>
      <c r="J28" s="27"/>
      <c r="K28" s="10"/>
      <c r="L28" s="10"/>
      <c r="M28" s="10"/>
    </row>
    <row r="29" spans="1:13" ht="15.75" hidden="1" customHeight="1">
      <c r="A29" s="47"/>
      <c r="B29" s="55" t="s">
        <v>136</v>
      </c>
      <c r="C29" s="47"/>
      <c r="D29" s="47"/>
      <c r="E29" s="16"/>
      <c r="F29" s="16"/>
      <c r="G29" s="18"/>
      <c r="H29" s="18"/>
      <c r="I29" s="64"/>
      <c r="J29" s="27"/>
      <c r="K29" s="10"/>
      <c r="L29" s="10"/>
      <c r="M29" s="10"/>
    </row>
    <row r="30" spans="1:13" ht="15.75" hidden="1" customHeight="1">
      <c r="A30" s="68">
        <v>6</v>
      </c>
      <c r="B30" s="69" t="s">
        <v>140</v>
      </c>
      <c r="C30" s="76" t="s">
        <v>109</v>
      </c>
      <c r="D30" s="69" t="s">
        <v>137</v>
      </c>
      <c r="E30" s="78">
        <v>65.099999999999994</v>
      </c>
      <c r="F30" s="78">
        <f>SUM(E30*52/1000)</f>
        <v>3.3851999999999998</v>
      </c>
      <c r="G30" s="78">
        <v>193.97</v>
      </c>
      <c r="H30" s="79">
        <f t="shared" ref="H30:H35" si="3">SUM(F30*G30/1000)</f>
        <v>0.65662724399999994</v>
      </c>
      <c r="I30" s="17">
        <f>F30/6*G30</f>
        <v>109.43787399999998</v>
      </c>
      <c r="J30" s="27"/>
      <c r="K30" s="10"/>
      <c r="L30" s="10"/>
      <c r="M30" s="10"/>
    </row>
    <row r="31" spans="1:13" ht="31.5" hidden="1" customHeight="1">
      <c r="A31" s="68">
        <v>7</v>
      </c>
      <c r="B31" s="69" t="s">
        <v>141</v>
      </c>
      <c r="C31" s="76" t="s">
        <v>109</v>
      </c>
      <c r="D31" s="69" t="s">
        <v>138</v>
      </c>
      <c r="E31" s="78">
        <v>65.099999999999994</v>
      </c>
      <c r="F31" s="78">
        <f>SUM(E31*78/1000)</f>
        <v>5.077799999999999</v>
      </c>
      <c r="G31" s="78">
        <v>321.82</v>
      </c>
      <c r="H31" s="79">
        <f t="shared" si="3"/>
        <v>1.6341375959999995</v>
      </c>
      <c r="I31" s="17">
        <f t="shared" ref="I31:I33" si="4">F31/6*G31</f>
        <v>272.35626599999995</v>
      </c>
      <c r="J31" s="27"/>
      <c r="K31" s="10"/>
      <c r="L31" s="10"/>
      <c r="M31" s="10"/>
    </row>
    <row r="32" spans="1:13" ht="15.75" hidden="1" customHeight="1">
      <c r="A32" s="68">
        <v>15</v>
      </c>
      <c r="B32" s="69" t="s">
        <v>27</v>
      </c>
      <c r="C32" s="76" t="s">
        <v>109</v>
      </c>
      <c r="D32" s="69" t="s">
        <v>52</v>
      </c>
      <c r="E32" s="78">
        <v>65.099999999999994</v>
      </c>
      <c r="F32" s="78">
        <f>SUM(E32/1000)</f>
        <v>6.5099999999999991E-2</v>
      </c>
      <c r="G32" s="78">
        <v>3758.28</v>
      </c>
      <c r="H32" s="79">
        <f t="shared" si="3"/>
        <v>0.24466402799999998</v>
      </c>
      <c r="I32" s="17">
        <f>F32*G32</f>
        <v>244.66402799999997</v>
      </c>
      <c r="J32" s="27"/>
      <c r="K32" s="10"/>
      <c r="L32" s="10"/>
      <c r="M32" s="10"/>
    </row>
    <row r="33" spans="1:13" ht="15.75" hidden="1" customHeight="1">
      <c r="A33" s="68">
        <v>8</v>
      </c>
      <c r="B33" s="69" t="s">
        <v>142</v>
      </c>
      <c r="C33" s="76" t="s">
        <v>29</v>
      </c>
      <c r="D33" s="69" t="s">
        <v>59</v>
      </c>
      <c r="E33" s="86">
        <f>1/6</f>
        <v>0.16666666666666666</v>
      </c>
      <c r="F33" s="78">
        <f>155/6</f>
        <v>25.833333333333332</v>
      </c>
      <c r="G33" s="78">
        <v>70.540000000000006</v>
      </c>
      <c r="H33" s="79">
        <f t="shared" si="3"/>
        <v>1.8222833333333333</v>
      </c>
      <c r="I33" s="17">
        <f t="shared" si="4"/>
        <v>303.7138888888889</v>
      </c>
      <c r="J33" s="27"/>
      <c r="K33" s="10"/>
      <c r="L33" s="10"/>
      <c r="M33" s="10"/>
    </row>
    <row r="34" spans="1:13" ht="15.75" hidden="1" customHeight="1">
      <c r="A34" s="68"/>
      <c r="B34" s="69" t="s">
        <v>60</v>
      </c>
      <c r="C34" s="76" t="s">
        <v>31</v>
      </c>
      <c r="D34" s="69" t="s">
        <v>61</v>
      </c>
      <c r="E34" s="77"/>
      <c r="F34" s="78">
        <v>1</v>
      </c>
      <c r="G34" s="78">
        <v>238.07</v>
      </c>
      <c r="H34" s="79">
        <f t="shared" si="3"/>
        <v>0.23807</v>
      </c>
      <c r="I34" s="17">
        <v>0</v>
      </c>
      <c r="J34" s="27"/>
      <c r="K34" s="10"/>
      <c r="L34" s="10"/>
      <c r="M34" s="10"/>
    </row>
    <row r="35" spans="1:13" ht="15.75" hidden="1" customHeight="1">
      <c r="A35" s="68"/>
      <c r="B35" s="69" t="s">
        <v>110</v>
      </c>
      <c r="C35" s="76" t="s">
        <v>30</v>
      </c>
      <c r="D35" s="69" t="s">
        <v>61</v>
      </c>
      <c r="E35" s="77"/>
      <c r="F35" s="78">
        <v>1</v>
      </c>
      <c r="G35" s="78">
        <v>1413.96</v>
      </c>
      <c r="H35" s="79">
        <f t="shared" si="3"/>
        <v>1.4139600000000001</v>
      </c>
      <c r="I35" s="17">
        <v>0</v>
      </c>
      <c r="J35" s="27"/>
      <c r="K35" s="10"/>
      <c r="L35" s="10"/>
      <c r="M35" s="10"/>
    </row>
    <row r="36" spans="1:13" ht="15.75" customHeight="1">
      <c r="A36" s="47"/>
      <c r="B36" s="55" t="s">
        <v>5</v>
      </c>
      <c r="C36" s="47"/>
      <c r="D36" s="47"/>
      <c r="E36" s="16"/>
      <c r="F36" s="16"/>
      <c r="G36" s="18"/>
      <c r="H36" s="18"/>
      <c r="I36" s="64"/>
      <c r="J36" s="27"/>
      <c r="K36" s="10"/>
      <c r="L36" s="10"/>
      <c r="M36" s="10"/>
    </row>
    <row r="37" spans="1:13" ht="16.5" customHeight="1">
      <c r="A37" s="38">
        <v>4</v>
      </c>
      <c r="B37" s="69" t="s">
        <v>26</v>
      </c>
      <c r="C37" s="76" t="s">
        <v>30</v>
      </c>
      <c r="D37" s="121">
        <v>44522</v>
      </c>
      <c r="E37" s="77"/>
      <c r="F37" s="78">
        <v>2</v>
      </c>
      <c r="G37" s="78">
        <v>1900.37</v>
      </c>
      <c r="H37" s="79">
        <f t="shared" ref="H37:H43" si="5">SUM(F37*G37/1000)</f>
        <v>3.8007399999999998</v>
      </c>
      <c r="I37" s="17">
        <f>G37*0.5</f>
        <v>950.18499999999995</v>
      </c>
      <c r="J37" s="27"/>
      <c r="K37" s="10"/>
      <c r="L37" s="10"/>
      <c r="M37" s="10"/>
    </row>
    <row r="38" spans="1:13" ht="15.75" customHeight="1">
      <c r="A38" s="38">
        <v>5</v>
      </c>
      <c r="B38" s="69" t="s">
        <v>111</v>
      </c>
      <c r="C38" s="76" t="s">
        <v>28</v>
      </c>
      <c r="D38" s="69" t="s">
        <v>170</v>
      </c>
      <c r="E38" s="77">
        <v>65.099999999999994</v>
      </c>
      <c r="F38" s="78">
        <f>E38*24/1000</f>
        <v>1.5623999999999998</v>
      </c>
      <c r="G38" s="78">
        <v>2616.4899999999998</v>
      </c>
      <c r="H38" s="79">
        <f>G38*F38/1000</f>
        <v>4.0880039759999987</v>
      </c>
      <c r="I38" s="17">
        <f>F38/6*G38</f>
        <v>681.33399599999984</v>
      </c>
      <c r="J38" s="27"/>
      <c r="K38" s="10"/>
      <c r="L38" s="10"/>
      <c r="M38" s="10"/>
    </row>
    <row r="39" spans="1:13" ht="15.75" hidden="1" customHeight="1">
      <c r="A39" s="38">
        <v>8</v>
      </c>
      <c r="B39" s="69" t="s">
        <v>112</v>
      </c>
      <c r="C39" s="76" t="s">
        <v>113</v>
      </c>
      <c r="D39" s="69" t="s">
        <v>61</v>
      </c>
      <c r="E39" s="77"/>
      <c r="F39" s="78">
        <v>13</v>
      </c>
      <c r="G39" s="78">
        <v>226.84</v>
      </c>
      <c r="H39" s="79">
        <f>G39*F39/1000</f>
        <v>2.9489200000000002</v>
      </c>
      <c r="I39" s="17">
        <f>G39*26</f>
        <v>5897.84</v>
      </c>
      <c r="J39" s="27"/>
      <c r="K39" s="10"/>
      <c r="L39" s="10"/>
      <c r="M39" s="10"/>
    </row>
    <row r="40" spans="1:13" ht="15.75" customHeight="1">
      <c r="A40" s="38">
        <v>6</v>
      </c>
      <c r="B40" s="69" t="s">
        <v>144</v>
      </c>
      <c r="C40" s="76" t="s">
        <v>28</v>
      </c>
      <c r="D40" s="69" t="s">
        <v>179</v>
      </c>
      <c r="E40" s="78">
        <v>65.099999999999994</v>
      </c>
      <c r="F40" s="78">
        <f>SUM(E40*155/1000)</f>
        <v>10.0905</v>
      </c>
      <c r="G40" s="78">
        <v>436.45</v>
      </c>
      <c r="H40" s="79">
        <f t="shared" si="5"/>
        <v>4.4039987250000001</v>
      </c>
      <c r="I40" s="17">
        <f>F40/6*G40</f>
        <v>733.99978750000002</v>
      </c>
      <c r="J40" s="27"/>
      <c r="K40" s="10"/>
      <c r="L40" s="10"/>
      <c r="M40" s="10"/>
    </row>
    <row r="41" spans="1:13" ht="47.25" customHeight="1">
      <c r="A41" s="38">
        <v>7</v>
      </c>
      <c r="B41" s="69" t="s">
        <v>74</v>
      </c>
      <c r="C41" s="76" t="s">
        <v>109</v>
      </c>
      <c r="D41" s="69" t="s">
        <v>170</v>
      </c>
      <c r="E41" s="78">
        <v>65.099999999999994</v>
      </c>
      <c r="F41" s="78">
        <f>SUM(E41*24/1000)</f>
        <v>1.5623999999999998</v>
      </c>
      <c r="G41" s="78">
        <v>7221.21</v>
      </c>
      <c r="H41" s="79">
        <f t="shared" si="5"/>
        <v>11.282418503999999</v>
      </c>
      <c r="I41" s="17">
        <f>F41/6*G41</f>
        <v>1880.4030839999998</v>
      </c>
      <c r="J41" s="27"/>
      <c r="K41" s="10"/>
      <c r="L41" s="10"/>
      <c r="M41" s="10"/>
    </row>
    <row r="42" spans="1:13" ht="15.75" hidden="1" customHeight="1">
      <c r="A42" s="38">
        <v>9</v>
      </c>
      <c r="B42" s="69" t="s">
        <v>116</v>
      </c>
      <c r="C42" s="76" t="s">
        <v>109</v>
      </c>
      <c r="D42" s="69" t="s">
        <v>172</v>
      </c>
      <c r="E42" s="78">
        <v>65.099999999999994</v>
      </c>
      <c r="F42" s="78">
        <f>SUM(E42*18/1000)</f>
        <v>1.1718</v>
      </c>
      <c r="G42" s="78">
        <v>533.45000000000005</v>
      </c>
      <c r="H42" s="79">
        <f t="shared" si="5"/>
        <v>0.62509671</v>
      </c>
      <c r="I42" s="17">
        <f>F42/7.5*G42</f>
        <v>83.346227999999996</v>
      </c>
      <c r="J42" s="27"/>
      <c r="K42" s="10"/>
      <c r="L42" s="10"/>
      <c r="M42" s="10"/>
    </row>
    <row r="43" spans="1:13" ht="15.75" hidden="1" customHeight="1">
      <c r="A43" s="38">
        <v>10</v>
      </c>
      <c r="B43" s="69" t="s">
        <v>62</v>
      </c>
      <c r="C43" s="76" t="s">
        <v>31</v>
      </c>
      <c r="D43" s="69"/>
      <c r="E43" s="77"/>
      <c r="F43" s="78">
        <v>0.4</v>
      </c>
      <c r="G43" s="78">
        <v>992.97</v>
      </c>
      <c r="H43" s="79">
        <f t="shared" si="5"/>
        <v>0.39718800000000004</v>
      </c>
      <c r="I43" s="17">
        <f>F43/7.5*G43</f>
        <v>52.958400000000005</v>
      </c>
      <c r="J43" s="27"/>
      <c r="K43" s="10"/>
      <c r="L43" s="10"/>
      <c r="M43" s="10"/>
    </row>
    <row r="44" spans="1:13" ht="15.75" customHeight="1">
      <c r="A44" s="168" t="s">
        <v>146</v>
      </c>
      <c r="B44" s="169"/>
      <c r="C44" s="169"/>
      <c r="D44" s="169"/>
      <c r="E44" s="169"/>
      <c r="F44" s="169"/>
      <c r="G44" s="169"/>
      <c r="H44" s="169"/>
      <c r="I44" s="170"/>
      <c r="J44" s="27"/>
      <c r="K44" s="10"/>
      <c r="L44" s="10"/>
      <c r="M44" s="10"/>
    </row>
    <row r="45" spans="1:13" ht="15.75" hidden="1" customHeight="1">
      <c r="A45" s="47">
        <v>9</v>
      </c>
      <c r="B45" s="69" t="s">
        <v>117</v>
      </c>
      <c r="C45" s="76" t="s">
        <v>109</v>
      </c>
      <c r="D45" s="69" t="s">
        <v>40</v>
      </c>
      <c r="E45" s="77">
        <v>1060.4000000000001</v>
      </c>
      <c r="F45" s="78">
        <f>SUM(E45*2/1000)</f>
        <v>2.1208</v>
      </c>
      <c r="G45" s="17">
        <v>1283.46</v>
      </c>
      <c r="H45" s="79">
        <f t="shared" ref="H45:H54" si="6">SUM(F45*G45/1000)</f>
        <v>2.721961968</v>
      </c>
      <c r="I45" s="17">
        <f t="shared" ref="I45:I47" si="7">F45/2*G45</f>
        <v>1360.980984</v>
      </c>
      <c r="J45" s="27"/>
      <c r="K45" s="10"/>
      <c r="L45" s="10"/>
      <c r="M45" s="10"/>
    </row>
    <row r="46" spans="1:13" ht="15.75" hidden="1" customHeight="1">
      <c r="A46" s="47">
        <v>10</v>
      </c>
      <c r="B46" s="69" t="s">
        <v>34</v>
      </c>
      <c r="C46" s="76" t="s">
        <v>109</v>
      </c>
      <c r="D46" s="69" t="s">
        <v>40</v>
      </c>
      <c r="E46" s="77">
        <v>1251.6199999999999</v>
      </c>
      <c r="F46" s="78">
        <f>SUM(E46*2/1000)</f>
        <v>2.5032399999999999</v>
      </c>
      <c r="G46" s="17">
        <v>1712.28</v>
      </c>
      <c r="H46" s="79">
        <f t="shared" si="6"/>
        <v>4.2862477871999998</v>
      </c>
      <c r="I46" s="17">
        <f t="shared" si="7"/>
        <v>2143.1238936</v>
      </c>
      <c r="J46" s="27"/>
      <c r="K46" s="10"/>
      <c r="L46" s="10"/>
      <c r="M46" s="10"/>
    </row>
    <row r="47" spans="1:13" ht="15.75" hidden="1" customHeight="1">
      <c r="A47" s="47">
        <v>11</v>
      </c>
      <c r="B47" s="69" t="s">
        <v>35</v>
      </c>
      <c r="C47" s="76" t="s">
        <v>109</v>
      </c>
      <c r="D47" s="69" t="s">
        <v>40</v>
      </c>
      <c r="E47" s="77">
        <v>1295.68</v>
      </c>
      <c r="F47" s="78">
        <f>SUM(E47*2/1000)</f>
        <v>2.5913600000000003</v>
      </c>
      <c r="G47" s="17">
        <v>1179.73</v>
      </c>
      <c r="H47" s="79">
        <f t="shared" si="6"/>
        <v>3.0571051328000003</v>
      </c>
      <c r="I47" s="17">
        <f t="shared" si="7"/>
        <v>1528.5525664000002</v>
      </c>
      <c r="J47" s="27"/>
      <c r="K47" s="10"/>
      <c r="L47" s="10"/>
      <c r="M47" s="10"/>
    </row>
    <row r="48" spans="1:13" ht="15.75" hidden="1" customHeight="1">
      <c r="A48" s="47">
        <v>12</v>
      </c>
      <c r="B48" s="69" t="s">
        <v>32</v>
      </c>
      <c r="C48" s="76" t="s">
        <v>33</v>
      </c>
      <c r="D48" s="69" t="s">
        <v>40</v>
      </c>
      <c r="E48" s="77">
        <v>85.84</v>
      </c>
      <c r="F48" s="78">
        <f>E48*2/100</f>
        <v>1.7168000000000001</v>
      </c>
      <c r="G48" s="17">
        <v>90.61</v>
      </c>
      <c r="H48" s="79">
        <f t="shared" si="6"/>
        <v>0.15555924799999998</v>
      </c>
      <c r="I48" s="17">
        <f>F48/2*G48</f>
        <v>77.779623999999998</v>
      </c>
      <c r="J48" s="27"/>
      <c r="K48" s="10"/>
      <c r="L48" s="10"/>
      <c r="M48" s="10"/>
    </row>
    <row r="49" spans="1:14" ht="15.75" hidden="1" customHeight="1">
      <c r="A49" s="47">
        <v>13</v>
      </c>
      <c r="B49" s="69" t="s">
        <v>54</v>
      </c>
      <c r="C49" s="76" t="s">
        <v>109</v>
      </c>
      <c r="D49" s="69" t="s">
        <v>147</v>
      </c>
      <c r="E49" s="77">
        <v>2549.5</v>
      </c>
      <c r="F49" s="78">
        <f>SUM(E49*5/1000)</f>
        <v>12.7475</v>
      </c>
      <c r="G49" s="17">
        <v>1711.28</v>
      </c>
      <c r="H49" s="79">
        <f t="shared" si="6"/>
        <v>21.814541800000001</v>
      </c>
      <c r="I49" s="17">
        <f>F49/5*G49</f>
        <v>4362.9083600000004</v>
      </c>
      <c r="J49" s="27"/>
      <c r="K49" s="10"/>
      <c r="L49" s="10"/>
      <c r="M49" s="10"/>
    </row>
    <row r="50" spans="1:14" ht="31.5" hidden="1" customHeight="1">
      <c r="A50" s="47">
        <v>14</v>
      </c>
      <c r="B50" s="69" t="s">
        <v>118</v>
      </c>
      <c r="C50" s="76" t="s">
        <v>109</v>
      </c>
      <c r="D50" s="69" t="s">
        <v>40</v>
      </c>
      <c r="E50" s="77">
        <v>2549.5</v>
      </c>
      <c r="F50" s="78">
        <f>SUM(E50*2/1000)</f>
        <v>5.0990000000000002</v>
      </c>
      <c r="G50" s="17">
        <v>1510.06</v>
      </c>
      <c r="H50" s="79">
        <f t="shared" si="6"/>
        <v>7.6997959399999996</v>
      </c>
      <c r="I50" s="17">
        <f>F50/2*G50</f>
        <v>3849.89797</v>
      </c>
      <c r="J50" s="27"/>
      <c r="K50" s="10"/>
      <c r="L50" s="10"/>
      <c r="M50" s="10"/>
    </row>
    <row r="51" spans="1:14" ht="31.5" hidden="1" customHeight="1">
      <c r="A51" s="47">
        <v>15</v>
      </c>
      <c r="B51" s="69" t="s">
        <v>119</v>
      </c>
      <c r="C51" s="76" t="s">
        <v>36</v>
      </c>
      <c r="D51" s="69" t="s">
        <v>40</v>
      </c>
      <c r="E51" s="77">
        <v>16</v>
      </c>
      <c r="F51" s="78">
        <f>SUM(E51*2/100)</f>
        <v>0.32</v>
      </c>
      <c r="G51" s="17">
        <v>3850.4</v>
      </c>
      <c r="H51" s="79">
        <f t="shared" si="6"/>
        <v>1.2321280000000001</v>
      </c>
      <c r="I51" s="17">
        <f t="shared" ref="I51:I52" si="8">F51/2*G51</f>
        <v>616.06400000000008</v>
      </c>
      <c r="J51" s="27"/>
      <c r="K51" s="10"/>
    </row>
    <row r="52" spans="1:14" ht="15.75" hidden="1" customHeight="1">
      <c r="A52" s="47">
        <v>16</v>
      </c>
      <c r="B52" s="69" t="s">
        <v>37</v>
      </c>
      <c r="C52" s="76" t="s">
        <v>38</v>
      </c>
      <c r="D52" s="69" t="s">
        <v>40</v>
      </c>
      <c r="E52" s="77">
        <v>1</v>
      </c>
      <c r="F52" s="78">
        <v>0.02</v>
      </c>
      <c r="G52" s="17">
        <v>7033.13</v>
      </c>
      <c r="H52" s="79">
        <f t="shared" si="6"/>
        <v>0.1406626</v>
      </c>
      <c r="I52" s="17">
        <f t="shared" si="8"/>
        <v>70.331299999999999</v>
      </c>
      <c r="J52" s="75"/>
    </row>
    <row r="53" spans="1:14" ht="15.75" customHeight="1">
      <c r="A53" s="47">
        <v>8</v>
      </c>
      <c r="B53" s="69" t="s">
        <v>120</v>
      </c>
      <c r="C53" s="76" t="s">
        <v>96</v>
      </c>
      <c r="D53" s="121">
        <v>44510</v>
      </c>
      <c r="E53" s="77">
        <v>64</v>
      </c>
      <c r="F53" s="78">
        <f>E53*3</f>
        <v>192</v>
      </c>
      <c r="G53" s="135">
        <v>175.6</v>
      </c>
      <c r="H53" s="79">
        <f t="shared" si="6"/>
        <v>33.715199999999996</v>
      </c>
      <c r="I53" s="17">
        <f>E53*G53</f>
        <v>11238.4</v>
      </c>
      <c r="J53" s="75"/>
    </row>
    <row r="54" spans="1:14" ht="15.75" customHeight="1">
      <c r="A54" s="47">
        <v>9</v>
      </c>
      <c r="B54" s="69" t="s">
        <v>39</v>
      </c>
      <c r="C54" s="76" t="s">
        <v>96</v>
      </c>
      <c r="D54" s="121">
        <v>44510</v>
      </c>
      <c r="E54" s="77">
        <v>128</v>
      </c>
      <c r="F54" s="78">
        <f>SUM(E54)*3</f>
        <v>384</v>
      </c>
      <c r="G54" s="143">
        <v>81.73</v>
      </c>
      <c r="H54" s="79">
        <f t="shared" si="6"/>
        <v>31.384319999999999</v>
      </c>
      <c r="I54" s="17">
        <f>E54*G54</f>
        <v>10461.44</v>
      </c>
      <c r="J54" s="75"/>
    </row>
    <row r="55" spans="1:14" ht="15.75" customHeight="1">
      <c r="A55" s="159" t="s">
        <v>124</v>
      </c>
      <c r="B55" s="160"/>
      <c r="C55" s="160"/>
      <c r="D55" s="160"/>
      <c r="E55" s="160"/>
      <c r="F55" s="160"/>
      <c r="G55" s="160"/>
      <c r="H55" s="160"/>
      <c r="I55" s="161"/>
      <c r="J55" s="75"/>
    </row>
    <row r="56" spans="1:14" ht="15.75" customHeight="1">
      <c r="A56" s="111"/>
      <c r="B56" s="54" t="s">
        <v>41</v>
      </c>
      <c r="C56" s="21"/>
      <c r="D56" s="65"/>
      <c r="E56" s="16"/>
      <c r="F56" s="16"/>
      <c r="G56" s="31"/>
      <c r="H56" s="31"/>
      <c r="I56" s="64"/>
      <c r="J56" s="75"/>
    </row>
    <row r="57" spans="1:14" ht="31.5" customHeight="1">
      <c r="A57" s="47">
        <v>10</v>
      </c>
      <c r="B57" s="69" t="s">
        <v>121</v>
      </c>
      <c r="C57" s="76" t="s">
        <v>86</v>
      </c>
      <c r="D57" s="69"/>
      <c r="E57" s="77">
        <v>8</v>
      </c>
      <c r="F57" s="78">
        <f>SUM(E57*6/100)</f>
        <v>0.48</v>
      </c>
      <c r="G57" s="17">
        <v>2306.62</v>
      </c>
      <c r="H57" s="79">
        <f>SUM(F57*G57/1000)</f>
        <v>1.1071776</v>
      </c>
      <c r="I57" s="17">
        <f>G57*0.08</f>
        <v>184.52959999999999</v>
      </c>
      <c r="J57" s="75"/>
    </row>
    <row r="58" spans="1:14" ht="15.75" hidden="1" customHeight="1">
      <c r="A58" s="47">
        <v>9</v>
      </c>
      <c r="B58" s="88" t="s">
        <v>80</v>
      </c>
      <c r="C58" s="87" t="s">
        <v>30</v>
      </c>
      <c r="D58" s="88" t="s">
        <v>61</v>
      </c>
      <c r="E58" s="89"/>
      <c r="F58" s="90">
        <v>1</v>
      </c>
      <c r="G58" s="17">
        <v>1501</v>
      </c>
      <c r="H58" s="79">
        <f>SUM(F58*G58/1000)</f>
        <v>1.5009999999999999</v>
      </c>
      <c r="I58" s="17">
        <f>G58*3</f>
        <v>4503</v>
      </c>
      <c r="J58" s="75"/>
    </row>
    <row r="59" spans="1:14" ht="15.75" hidden="1" customHeight="1">
      <c r="A59" s="47"/>
      <c r="B59" s="71" t="s">
        <v>42</v>
      </c>
      <c r="C59" s="39"/>
      <c r="D59" s="39"/>
      <c r="E59" s="16"/>
      <c r="F59" s="16"/>
      <c r="G59" s="40"/>
      <c r="H59" s="40"/>
      <c r="I59" s="64"/>
      <c r="J59" s="75"/>
      <c r="L59" s="24"/>
      <c r="M59" s="25"/>
      <c r="N59" s="26"/>
    </row>
    <row r="60" spans="1:14" ht="15.75" hidden="1" customHeight="1">
      <c r="A60" s="47">
        <v>29</v>
      </c>
      <c r="B60" s="88" t="s">
        <v>43</v>
      </c>
      <c r="C60" s="87" t="s">
        <v>51</v>
      </c>
      <c r="D60" s="88" t="s">
        <v>52</v>
      </c>
      <c r="E60" s="89">
        <v>7.4</v>
      </c>
      <c r="F60" s="17">
        <f>SUM(E60/100)</f>
        <v>7.400000000000001E-2</v>
      </c>
      <c r="G60" s="17">
        <v>987.51</v>
      </c>
      <c r="H60" s="91">
        <f>F60*G60/1000</f>
        <v>7.3075740000000014E-2</v>
      </c>
      <c r="I60" s="17">
        <v>0</v>
      </c>
      <c r="J60" s="75"/>
      <c r="L60" s="24"/>
      <c r="M60" s="25"/>
      <c r="N60" s="26"/>
    </row>
    <row r="61" spans="1:14" ht="15.75" customHeight="1">
      <c r="A61" s="47"/>
      <c r="B61" s="71" t="s">
        <v>44</v>
      </c>
      <c r="C61" s="21"/>
      <c r="D61" s="66"/>
      <c r="E61" s="16"/>
      <c r="F61" s="16"/>
      <c r="G61" s="31"/>
      <c r="H61" s="31"/>
      <c r="I61" s="64"/>
      <c r="J61" s="75"/>
      <c r="L61" s="24"/>
      <c r="M61" s="25"/>
      <c r="N61" s="26"/>
    </row>
    <row r="62" spans="1:14" ht="15.75" customHeight="1">
      <c r="A62" s="47">
        <v>11</v>
      </c>
      <c r="B62" s="19" t="s">
        <v>45</v>
      </c>
      <c r="C62" s="21" t="s">
        <v>96</v>
      </c>
      <c r="D62" s="19" t="s">
        <v>168</v>
      </c>
      <c r="E62" s="23">
        <v>1</v>
      </c>
      <c r="F62" s="17">
        <f>SUM(E62)</f>
        <v>1</v>
      </c>
      <c r="G62" s="17">
        <v>276.74</v>
      </c>
      <c r="H62" s="80">
        <f t="shared" ref="H62:H70" si="9">SUM(F62*G62/1000)</f>
        <v>0.27673999999999999</v>
      </c>
      <c r="I62" s="17">
        <f>G62*2</f>
        <v>553.48</v>
      </c>
      <c r="J62" s="75"/>
      <c r="L62" s="24"/>
      <c r="M62" s="25"/>
      <c r="N62" s="26"/>
    </row>
    <row r="63" spans="1:14" ht="15.75" customHeight="1">
      <c r="A63" s="67">
        <v>12</v>
      </c>
      <c r="B63" s="19" t="s">
        <v>46</v>
      </c>
      <c r="C63" s="21" t="s">
        <v>96</v>
      </c>
      <c r="D63" s="19" t="s">
        <v>173</v>
      </c>
      <c r="E63" s="23">
        <v>2</v>
      </c>
      <c r="F63" s="17">
        <f>SUM(E63)</f>
        <v>2</v>
      </c>
      <c r="G63" s="17">
        <v>94.89</v>
      </c>
      <c r="H63" s="80">
        <f t="shared" si="9"/>
        <v>0.18978</v>
      </c>
      <c r="I63" s="17">
        <f>G63*1</f>
        <v>94.89</v>
      </c>
      <c r="J63" s="75"/>
      <c r="L63" s="24"/>
      <c r="M63" s="25"/>
      <c r="N63" s="26"/>
    </row>
    <row r="64" spans="1:14" ht="15.75" hidden="1" customHeight="1">
      <c r="A64" s="67">
        <v>25</v>
      </c>
      <c r="B64" s="19" t="s">
        <v>47</v>
      </c>
      <c r="C64" s="21" t="s">
        <v>97</v>
      </c>
      <c r="D64" s="19" t="s">
        <v>52</v>
      </c>
      <c r="E64" s="77">
        <v>10052</v>
      </c>
      <c r="F64" s="17">
        <f>SUM(E64/100)</f>
        <v>100.52</v>
      </c>
      <c r="G64" s="17">
        <v>263.99</v>
      </c>
      <c r="H64" s="80">
        <f t="shared" si="9"/>
        <v>26.536274799999997</v>
      </c>
      <c r="I64" s="17">
        <f>F64*G64</f>
        <v>26536.274799999999</v>
      </c>
      <c r="J64" s="75"/>
      <c r="L64" s="24"/>
      <c r="M64" s="25"/>
      <c r="N64" s="26"/>
    </row>
    <row r="65" spans="1:14" ht="15.75" hidden="1" customHeight="1">
      <c r="A65" s="67">
        <v>26</v>
      </c>
      <c r="B65" s="19" t="s">
        <v>48</v>
      </c>
      <c r="C65" s="21" t="s">
        <v>98</v>
      </c>
      <c r="D65" s="19"/>
      <c r="E65" s="77">
        <v>10052</v>
      </c>
      <c r="F65" s="17">
        <f>SUM(E65/1000)</f>
        <v>10.052</v>
      </c>
      <c r="G65" s="17">
        <v>205.57</v>
      </c>
      <c r="H65" s="80">
        <f t="shared" si="9"/>
        <v>2.0663896399999997</v>
      </c>
      <c r="I65" s="17">
        <f t="shared" ref="I65:I68" si="10">F65*G65</f>
        <v>2066.3896399999999</v>
      </c>
      <c r="J65" s="75"/>
      <c r="L65" s="24"/>
      <c r="M65" s="25"/>
      <c r="N65" s="26"/>
    </row>
    <row r="66" spans="1:14" ht="15.75" hidden="1" customHeight="1">
      <c r="A66" s="67">
        <v>27</v>
      </c>
      <c r="B66" s="19" t="s">
        <v>49</v>
      </c>
      <c r="C66" s="21" t="s">
        <v>69</v>
      </c>
      <c r="D66" s="19" t="s">
        <v>52</v>
      </c>
      <c r="E66" s="77">
        <v>2200</v>
      </c>
      <c r="F66" s="17">
        <f>SUM(E66/100)</f>
        <v>22</v>
      </c>
      <c r="G66" s="17">
        <v>2581.5300000000002</v>
      </c>
      <c r="H66" s="80">
        <f t="shared" si="9"/>
        <v>56.793660000000003</v>
      </c>
      <c r="I66" s="17">
        <f t="shared" si="10"/>
        <v>56793.66</v>
      </c>
      <c r="J66" s="75"/>
      <c r="L66" s="24"/>
      <c r="M66" s="25"/>
      <c r="N66" s="26"/>
    </row>
    <row r="67" spans="1:14" ht="15.75" hidden="1" customHeight="1">
      <c r="A67" s="67">
        <v>28</v>
      </c>
      <c r="B67" s="92" t="s">
        <v>99</v>
      </c>
      <c r="C67" s="21" t="s">
        <v>31</v>
      </c>
      <c r="D67" s="19"/>
      <c r="E67" s="77">
        <v>9.4</v>
      </c>
      <c r="F67" s="17">
        <f>SUM(E67)</f>
        <v>9.4</v>
      </c>
      <c r="G67" s="17">
        <v>47.45</v>
      </c>
      <c r="H67" s="80">
        <f t="shared" si="9"/>
        <v>0.44603000000000004</v>
      </c>
      <c r="I67" s="17">
        <f t="shared" si="10"/>
        <v>446.03000000000003</v>
      </c>
      <c r="J67" s="75"/>
      <c r="L67" s="24"/>
      <c r="M67" s="25"/>
      <c r="N67" s="26"/>
    </row>
    <row r="68" spans="1:14" ht="15.75" hidden="1" customHeight="1">
      <c r="A68" s="67">
        <v>29</v>
      </c>
      <c r="B68" s="92" t="s">
        <v>100</v>
      </c>
      <c r="C68" s="21" t="s">
        <v>31</v>
      </c>
      <c r="D68" s="19"/>
      <c r="E68" s="77">
        <v>9.4</v>
      </c>
      <c r="F68" s="17">
        <f>SUM(E68)</f>
        <v>9.4</v>
      </c>
      <c r="G68" s="17">
        <v>44.27</v>
      </c>
      <c r="H68" s="80">
        <f t="shared" si="9"/>
        <v>0.41613800000000001</v>
      </c>
      <c r="I68" s="17">
        <f t="shared" si="10"/>
        <v>416.13800000000003</v>
      </c>
      <c r="J68" s="75"/>
      <c r="L68" s="24"/>
      <c r="M68" s="25"/>
      <c r="N68" s="26"/>
    </row>
    <row r="69" spans="1:14" ht="15.75" hidden="1" customHeight="1">
      <c r="A69" s="67">
        <v>19</v>
      </c>
      <c r="B69" s="19" t="s">
        <v>55</v>
      </c>
      <c r="C69" s="21" t="s">
        <v>56</v>
      </c>
      <c r="D69" s="19" t="s">
        <v>52</v>
      </c>
      <c r="E69" s="23">
        <v>2</v>
      </c>
      <c r="F69" s="17">
        <f>SUM(E69)</f>
        <v>2</v>
      </c>
      <c r="G69" s="17">
        <v>62.07</v>
      </c>
      <c r="H69" s="80">
        <f t="shared" si="9"/>
        <v>0.12414</v>
      </c>
      <c r="I69" s="17">
        <f>G69*2</f>
        <v>124.14</v>
      </c>
      <c r="J69" s="75"/>
      <c r="L69" s="24"/>
      <c r="M69" s="25"/>
      <c r="N69" s="26"/>
    </row>
    <row r="70" spans="1:14" ht="15.75" customHeight="1">
      <c r="A70" s="68">
        <v>13</v>
      </c>
      <c r="B70" s="19" t="s">
        <v>81</v>
      </c>
      <c r="C70" s="31" t="s">
        <v>101</v>
      </c>
      <c r="D70" s="19"/>
      <c r="E70" s="23">
        <v>2549.5</v>
      </c>
      <c r="F70" s="17">
        <f>SUM(E70*12)</f>
        <v>30594</v>
      </c>
      <c r="G70" s="17">
        <v>2.16</v>
      </c>
      <c r="H70" s="80">
        <f t="shared" si="9"/>
        <v>66.083040000000011</v>
      </c>
      <c r="I70" s="17">
        <f>F70/12*G70</f>
        <v>5506.92</v>
      </c>
      <c r="J70" s="75"/>
      <c r="L70" s="24"/>
      <c r="M70" s="25"/>
      <c r="N70" s="26"/>
    </row>
    <row r="71" spans="1:14" ht="15.75" customHeight="1">
      <c r="A71" s="61"/>
      <c r="B71" s="71" t="s">
        <v>102</v>
      </c>
      <c r="C71" s="71"/>
      <c r="D71" s="71"/>
      <c r="E71" s="71"/>
      <c r="F71" s="71"/>
      <c r="G71" s="71"/>
      <c r="H71" s="71"/>
      <c r="I71" s="23"/>
      <c r="J71" s="75"/>
      <c r="L71" s="24"/>
      <c r="M71" s="25"/>
      <c r="N71" s="26"/>
    </row>
    <row r="72" spans="1:14" ht="15.75" customHeight="1">
      <c r="A72" s="31">
        <v>14</v>
      </c>
      <c r="B72" s="69" t="s">
        <v>103</v>
      </c>
      <c r="C72" s="21"/>
      <c r="D72" s="19"/>
      <c r="E72" s="94"/>
      <c r="F72" s="17">
        <v>1</v>
      </c>
      <c r="G72" s="17">
        <v>7846</v>
      </c>
      <c r="H72" s="80">
        <f>G72*F72/1000</f>
        <v>7.8460000000000001</v>
      </c>
      <c r="I72" s="17">
        <f>G72</f>
        <v>7846</v>
      </c>
      <c r="J72" s="75"/>
      <c r="L72" s="24"/>
      <c r="M72" s="25"/>
      <c r="N72" s="26"/>
    </row>
    <row r="73" spans="1:14" ht="15.75" hidden="1" customHeight="1">
      <c r="A73" s="68"/>
      <c r="B73" s="71" t="s">
        <v>64</v>
      </c>
      <c r="C73" s="21"/>
      <c r="D73" s="19"/>
      <c r="E73" s="16"/>
      <c r="F73" s="16"/>
      <c r="G73" s="31"/>
      <c r="H73" s="31"/>
      <c r="I73" s="64"/>
      <c r="J73" s="75"/>
      <c r="L73" s="24"/>
      <c r="M73" s="25"/>
      <c r="N73" s="26"/>
    </row>
    <row r="74" spans="1:14" ht="15.75" hidden="1" customHeight="1">
      <c r="A74" s="68">
        <v>16</v>
      </c>
      <c r="B74" s="19" t="s">
        <v>104</v>
      </c>
      <c r="C74" s="21" t="s">
        <v>105</v>
      </c>
      <c r="D74" s="19" t="s">
        <v>61</v>
      </c>
      <c r="E74" s="23">
        <v>1</v>
      </c>
      <c r="F74" s="17">
        <f>E74</f>
        <v>1</v>
      </c>
      <c r="G74" s="17">
        <v>976.4</v>
      </c>
      <c r="H74" s="80">
        <f t="shared" ref="H74:H76" si="11">SUM(F74*G74/1000)</f>
        <v>0.97639999999999993</v>
      </c>
      <c r="I74" s="17">
        <v>0</v>
      </c>
      <c r="J74" s="75"/>
      <c r="L74" s="24"/>
      <c r="M74" s="25"/>
      <c r="N74" s="26"/>
    </row>
    <row r="75" spans="1:14" ht="15.75" hidden="1" customHeight="1">
      <c r="A75" s="68"/>
      <c r="B75" s="19" t="s">
        <v>106</v>
      </c>
      <c r="C75" s="21" t="s">
        <v>107</v>
      </c>
      <c r="D75" s="19" t="s">
        <v>61</v>
      </c>
      <c r="E75" s="23">
        <v>1</v>
      </c>
      <c r="F75" s="17">
        <v>1</v>
      </c>
      <c r="G75" s="17">
        <v>735</v>
      </c>
      <c r="H75" s="80">
        <f t="shared" si="11"/>
        <v>0.73499999999999999</v>
      </c>
      <c r="I75" s="17">
        <v>0</v>
      </c>
      <c r="J75" s="75"/>
      <c r="L75" s="24"/>
      <c r="M75" s="25"/>
      <c r="N75" s="26"/>
    </row>
    <row r="76" spans="1:14" ht="15.75" hidden="1" customHeight="1">
      <c r="A76" s="68">
        <v>11</v>
      </c>
      <c r="B76" s="19" t="s">
        <v>65</v>
      </c>
      <c r="C76" s="21" t="s">
        <v>67</v>
      </c>
      <c r="D76" s="19" t="s">
        <v>61</v>
      </c>
      <c r="E76" s="23">
        <v>3</v>
      </c>
      <c r="F76" s="17">
        <v>0.3</v>
      </c>
      <c r="G76" s="17">
        <v>624.16999999999996</v>
      </c>
      <c r="H76" s="80">
        <f t="shared" si="11"/>
        <v>0.18725099999999997</v>
      </c>
      <c r="I76" s="17">
        <f>G76*0.2</f>
        <v>124.834</v>
      </c>
      <c r="J76" s="75"/>
      <c r="L76" s="24"/>
      <c r="M76" s="25"/>
      <c r="N76" s="26"/>
    </row>
    <row r="77" spans="1:14" ht="15.75" hidden="1" customHeight="1">
      <c r="A77" s="68"/>
      <c r="B77" s="19" t="s">
        <v>66</v>
      </c>
      <c r="C77" s="21" t="s">
        <v>29</v>
      </c>
      <c r="D77" s="19" t="s">
        <v>61</v>
      </c>
      <c r="E77" s="23">
        <v>1</v>
      </c>
      <c r="F77" s="93">
        <v>1</v>
      </c>
      <c r="G77" s="17">
        <v>1061.4100000000001</v>
      </c>
      <c r="H77" s="80">
        <f>F77*G77/1000</f>
        <v>1.0614100000000002</v>
      </c>
      <c r="I77" s="17">
        <v>0</v>
      </c>
      <c r="J77" s="75"/>
      <c r="L77" s="24"/>
      <c r="M77" s="25"/>
      <c r="N77" s="26"/>
    </row>
    <row r="78" spans="1:14" ht="15.75" hidden="1" customHeight="1">
      <c r="A78" s="68"/>
      <c r="B78" s="19" t="s">
        <v>82</v>
      </c>
      <c r="C78" s="21" t="s">
        <v>29</v>
      </c>
      <c r="D78" s="19" t="s">
        <v>61</v>
      </c>
      <c r="E78" s="23">
        <v>1</v>
      </c>
      <c r="F78" s="17">
        <v>1</v>
      </c>
      <c r="G78" s="17">
        <v>446.12</v>
      </c>
      <c r="H78" s="80">
        <f>G78*F78/1000</f>
        <v>0.44612000000000002</v>
      </c>
      <c r="I78" s="17">
        <v>0</v>
      </c>
      <c r="J78" s="75"/>
      <c r="L78" s="24"/>
      <c r="M78" s="25"/>
      <c r="N78" s="26"/>
    </row>
    <row r="79" spans="1:14" ht="15.75" hidden="1" customHeight="1">
      <c r="A79" s="68"/>
      <c r="B79" s="56" t="s">
        <v>68</v>
      </c>
      <c r="C79" s="44"/>
      <c r="D79" s="43"/>
      <c r="E79" s="23"/>
      <c r="F79" s="23"/>
      <c r="G79" s="42"/>
      <c r="H79" s="42"/>
      <c r="I79" s="64"/>
      <c r="J79" s="75"/>
      <c r="L79" s="24"/>
      <c r="M79" s="25"/>
      <c r="N79" s="26"/>
    </row>
    <row r="80" spans="1:14" ht="15.75" hidden="1" customHeight="1">
      <c r="A80" s="68"/>
      <c r="B80" s="57" t="s">
        <v>108</v>
      </c>
      <c r="C80" s="21" t="s">
        <v>69</v>
      </c>
      <c r="D80" s="19"/>
      <c r="E80" s="23"/>
      <c r="F80" s="17">
        <v>1</v>
      </c>
      <c r="G80" s="17">
        <v>3433.68</v>
      </c>
      <c r="H80" s="80">
        <f t="shared" ref="H80" si="12">SUM(F80*G80/1000)</f>
        <v>3.4336799999999998</v>
      </c>
      <c r="I80" s="17">
        <v>0</v>
      </c>
      <c r="J80" s="75"/>
      <c r="L80" s="24"/>
      <c r="M80" s="25"/>
      <c r="N80" s="26"/>
    </row>
    <row r="81" spans="1:14" ht="15.75" customHeight="1">
      <c r="A81" s="165" t="s">
        <v>148</v>
      </c>
      <c r="B81" s="166"/>
      <c r="C81" s="166"/>
      <c r="D81" s="166"/>
      <c r="E81" s="166"/>
      <c r="F81" s="166"/>
      <c r="G81" s="166"/>
      <c r="H81" s="166"/>
      <c r="I81" s="167"/>
      <c r="J81" s="75"/>
      <c r="L81" s="24"/>
      <c r="M81" s="25"/>
      <c r="N81" s="26"/>
    </row>
    <row r="82" spans="1:14" ht="15.75" customHeight="1">
      <c r="A82" s="68">
        <v>15</v>
      </c>
      <c r="B82" s="69" t="s">
        <v>123</v>
      </c>
      <c r="C82" s="21" t="s">
        <v>53</v>
      </c>
      <c r="D82" s="19"/>
      <c r="E82" s="17">
        <v>2549.5</v>
      </c>
      <c r="F82" s="17">
        <f>SUM(E82*12)</f>
        <v>30594</v>
      </c>
      <c r="G82" s="17">
        <v>2.95</v>
      </c>
      <c r="H82" s="80">
        <f>SUM(F82*G82/1000)</f>
        <v>90.252300000000005</v>
      </c>
      <c r="I82" s="17">
        <f>F82/12*G82</f>
        <v>7521.0250000000005</v>
      </c>
      <c r="J82" s="75"/>
      <c r="L82" s="24"/>
      <c r="M82" s="25"/>
      <c r="N82" s="26"/>
    </row>
    <row r="83" spans="1:14" ht="31.5" customHeight="1">
      <c r="A83" s="31">
        <v>16</v>
      </c>
      <c r="B83" s="19" t="s">
        <v>70</v>
      </c>
      <c r="C83" s="21"/>
      <c r="D83" s="19"/>
      <c r="E83" s="77">
        <v>2549.5</v>
      </c>
      <c r="F83" s="17">
        <f>E83*12</f>
        <v>30594</v>
      </c>
      <c r="G83" s="17">
        <v>3.05</v>
      </c>
      <c r="H83" s="80">
        <f>F83*G83/1000</f>
        <v>93.311700000000002</v>
      </c>
      <c r="I83" s="17">
        <f>F83/12*G83</f>
        <v>7775.9749999999995</v>
      </c>
      <c r="J83" s="75"/>
      <c r="L83" s="24"/>
      <c r="M83" s="25"/>
      <c r="N83" s="26"/>
    </row>
    <row r="84" spans="1:14" ht="15.75" customHeight="1">
      <c r="A84" s="61"/>
      <c r="B84" s="45" t="s">
        <v>72</v>
      </c>
      <c r="C84" s="47"/>
      <c r="D84" s="20"/>
      <c r="E84" s="20"/>
      <c r="F84" s="20"/>
      <c r="G84" s="23"/>
      <c r="H84" s="23"/>
      <c r="I84" s="35">
        <f>I83+I82+I72+I70+I63+I62+I57+I54+I53+I41+I40+I38+I37+I18+I17+I16</f>
        <v>65023.017617499994</v>
      </c>
      <c r="J84" s="75"/>
      <c r="L84" s="24"/>
      <c r="M84" s="25"/>
      <c r="N84" s="26"/>
    </row>
    <row r="85" spans="1:14" ht="15.75" customHeight="1">
      <c r="A85" s="162" t="s">
        <v>57</v>
      </c>
      <c r="B85" s="163"/>
      <c r="C85" s="163"/>
      <c r="D85" s="163"/>
      <c r="E85" s="163"/>
      <c r="F85" s="163"/>
      <c r="G85" s="163"/>
      <c r="H85" s="163"/>
      <c r="I85" s="164"/>
      <c r="J85" s="75"/>
      <c r="L85" s="24"/>
      <c r="M85" s="25"/>
      <c r="N85" s="26"/>
    </row>
    <row r="86" spans="1:14" ht="15.75" customHeight="1">
      <c r="A86" s="31">
        <v>17</v>
      </c>
      <c r="B86" s="19" t="s">
        <v>154</v>
      </c>
      <c r="C86" s="21" t="s">
        <v>155</v>
      </c>
      <c r="D86" s="19"/>
      <c r="E86" s="23"/>
      <c r="F86" s="17">
        <v>96</v>
      </c>
      <c r="G86" s="17">
        <v>1.4</v>
      </c>
      <c r="H86" s="17">
        <f>F86*G86/1000</f>
        <v>0.13439999999999996</v>
      </c>
      <c r="I86" s="17">
        <f>G86*48</f>
        <v>67.199999999999989</v>
      </c>
      <c r="J86" s="75"/>
      <c r="L86" s="24"/>
      <c r="M86" s="25"/>
      <c r="N86" s="26"/>
    </row>
    <row r="87" spans="1:14" ht="30" customHeight="1">
      <c r="A87" s="31">
        <v>18</v>
      </c>
      <c r="B87" s="117" t="s">
        <v>160</v>
      </c>
      <c r="C87" s="118" t="s">
        <v>28</v>
      </c>
      <c r="D87" s="43"/>
      <c r="E87" s="22"/>
      <c r="F87" s="41">
        <f>98/3</f>
        <v>32.666666666666664</v>
      </c>
      <c r="G87" s="135">
        <v>21369.24</v>
      </c>
      <c r="H87" s="115">
        <f t="shared" ref="H87" si="13">G87*F87/1000</f>
        <v>698.06183999999996</v>
      </c>
      <c r="I87" s="96">
        <f>G87*0.599*8/1000</f>
        <v>102.40139807999999</v>
      </c>
      <c r="J87" s="75"/>
      <c r="L87" s="24"/>
      <c r="M87" s="25"/>
      <c r="N87" s="26"/>
    </row>
    <row r="88" spans="1:14" ht="15.75" customHeight="1">
      <c r="A88" s="31">
        <v>19</v>
      </c>
      <c r="B88" s="117" t="s">
        <v>287</v>
      </c>
      <c r="C88" s="118" t="s">
        <v>28</v>
      </c>
      <c r="D88" s="142"/>
      <c r="E88" s="41"/>
      <c r="F88" s="41">
        <f>2.65+2.65+2.65</f>
        <v>7.9499999999999993</v>
      </c>
      <c r="G88" s="41">
        <v>241.69</v>
      </c>
      <c r="H88" s="115"/>
      <c r="I88" s="96">
        <f>G88*2.65*2</f>
        <v>1280.9569999999999</v>
      </c>
      <c r="J88" s="75"/>
      <c r="L88" s="24"/>
      <c r="M88" s="25"/>
      <c r="N88" s="26"/>
    </row>
    <row r="89" spans="1:14" ht="17.25" customHeight="1">
      <c r="A89" s="31">
        <v>20</v>
      </c>
      <c r="B89" s="117" t="s">
        <v>295</v>
      </c>
      <c r="C89" s="141" t="s">
        <v>296</v>
      </c>
      <c r="D89" s="43" t="s">
        <v>298</v>
      </c>
      <c r="E89" s="22"/>
      <c r="F89" s="41">
        <v>1</v>
      </c>
      <c r="G89" s="41">
        <v>182.26</v>
      </c>
      <c r="H89" s="115"/>
      <c r="I89" s="96">
        <f>G89*1</f>
        <v>182.26</v>
      </c>
      <c r="J89" s="75"/>
      <c r="L89" s="24"/>
      <c r="M89" s="25"/>
      <c r="N89" s="26"/>
    </row>
    <row r="90" spans="1:14" ht="15.75" customHeight="1">
      <c r="A90" s="31">
        <v>21</v>
      </c>
      <c r="B90" s="117" t="s">
        <v>297</v>
      </c>
      <c r="C90" s="141" t="s">
        <v>96</v>
      </c>
      <c r="D90" s="43"/>
      <c r="E90" s="22"/>
      <c r="F90" s="41">
        <v>0.5</v>
      </c>
      <c r="G90" s="41">
        <v>453</v>
      </c>
      <c r="H90" s="115"/>
      <c r="I90" s="96">
        <f>G90*0.5</f>
        <v>226.5</v>
      </c>
      <c r="J90" s="75"/>
      <c r="L90" s="24"/>
      <c r="M90" s="25"/>
      <c r="N90" s="26"/>
    </row>
    <row r="91" spans="1:14" ht="15.75" customHeight="1">
      <c r="A91" s="31">
        <v>22</v>
      </c>
      <c r="B91" s="117" t="s">
        <v>156</v>
      </c>
      <c r="C91" s="118" t="s">
        <v>164</v>
      </c>
      <c r="D91" s="43" t="s">
        <v>299</v>
      </c>
      <c r="E91" s="22"/>
      <c r="F91" s="41">
        <v>145</v>
      </c>
      <c r="G91" s="41">
        <v>295.36</v>
      </c>
      <c r="H91" s="115"/>
      <c r="I91" s="96">
        <v>0</v>
      </c>
      <c r="J91" s="75"/>
      <c r="L91" s="24"/>
      <c r="M91" s="25"/>
      <c r="N91" s="26"/>
    </row>
    <row r="92" spans="1:14" ht="15.75" customHeight="1">
      <c r="A92" s="31">
        <v>23</v>
      </c>
      <c r="B92" s="117" t="s">
        <v>161</v>
      </c>
      <c r="C92" s="118" t="s">
        <v>157</v>
      </c>
      <c r="D92" s="43"/>
      <c r="E92" s="22"/>
      <c r="F92" s="41">
        <v>13</v>
      </c>
      <c r="G92" s="41">
        <v>236.08</v>
      </c>
      <c r="H92" s="115"/>
      <c r="I92" s="96">
        <f>G92*2</f>
        <v>472.16</v>
      </c>
      <c r="J92" s="75"/>
      <c r="L92" s="24"/>
      <c r="M92" s="25"/>
      <c r="N92" s="26"/>
    </row>
    <row r="93" spans="1:14" ht="15.75" customHeight="1">
      <c r="A93" s="31">
        <v>24</v>
      </c>
      <c r="B93" s="117" t="s">
        <v>183</v>
      </c>
      <c r="C93" s="118" t="s">
        <v>38</v>
      </c>
      <c r="D93" s="43" t="s">
        <v>168</v>
      </c>
      <c r="E93" s="22"/>
      <c r="F93" s="41">
        <v>0.1</v>
      </c>
      <c r="G93" s="41">
        <v>28224.75</v>
      </c>
      <c r="H93" s="115"/>
      <c r="I93" s="96">
        <v>0</v>
      </c>
      <c r="J93" s="75"/>
      <c r="L93" s="24"/>
      <c r="M93" s="25"/>
      <c r="N93" s="26"/>
    </row>
    <row r="94" spans="1:14" ht="15.75" customHeight="1">
      <c r="A94" s="31"/>
      <c r="B94" s="52" t="s">
        <v>50</v>
      </c>
      <c r="C94" s="48"/>
      <c r="D94" s="62"/>
      <c r="E94" s="48">
        <v>1</v>
      </c>
      <c r="F94" s="48"/>
      <c r="G94" s="48"/>
      <c r="H94" s="48"/>
      <c r="I94" s="35">
        <f>SUM(I86:I93)</f>
        <v>2331.4783980799998</v>
      </c>
      <c r="J94" s="75"/>
      <c r="L94" s="24"/>
      <c r="M94" s="25"/>
      <c r="N94" s="26"/>
    </row>
    <row r="95" spans="1:14" ht="15.75" customHeight="1">
      <c r="A95" s="31"/>
      <c r="B95" s="57" t="s">
        <v>71</v>
      </c>
      <c r="C95" s="20"/>
      <c r="D95" s="20"/>
      <c r="E95" s="49"/>
      <c r="F95" s="49"/>
      <c r="G95" s="50"/>
      <c r="H95" s="50"/>
      <c r="I95" s="22">
        <v>0</v>
      </c>
      <c r="J95" s="75"/>
      <c r="L95" s="24"/>
      <c r="M95" s="25"/>
      <c r="N95" s="26"/>
    </row>
    <row r="96" spans="1:14" ht="15.75" customHeight="1">
      <c r="A96" s="63"/>
      <c r="B96" s="53" t="s">
        <v>149</v>
      </c>
      <c r="C96" s="39"/>
      <c r="D96" s="39"/>
      <c r="E96" s="39"/>
      <c r="F96" s="39"/>
      <c r="G96" s="39"/>
      <c r="H96" s="39"/>
      <c r="I96" s="51">
        <f>I84+I94</f>
        <v>67354.496015579993</v>
      </c>
      <c r="J96" s="75"/>
      <c r="L96" s="24"/>
    </row>
    <row r="97" spans="1:22" ht="15.75">
      <c r="A97" s="157" t="s">
        <v>300</v>
      </c>
      <c r="B97" s="157"/>
      <c r="C97" s="157"/>
      <c r="D97" s="157"/>
      <c r="E97" s="157"/>
      <c r="F97" s="157"/>
      <c r="G97" s="157"/>
      <c r="H97" s="157"/>
      <c r="I97" s="157"/>
    </row>
    <row r="98" spans="1:22" ht="15.75">
      <c r="A98" s="12"/>
      <c r="B98" s="158" t="s">
        <v>301</v>
      </c>
      <c r="C98" s="158"/>
      <c r="D98" s="158"/>
      <c r="E98" s="158"/>
      <c r="F98" s="158"/>
      <c r="G98" s="158"/>
      <c r="H98" s="109"/>
      <c r="I98" s="4"/>
    </row>
    <row r="99" spans="1:22" ht="15.75">
      <c r="A99" s="70"/>
      <c r="B99" s="173" t="s">
        <v>6</v>
      </c>
      <c r="C99" s="173"/>
      <c r="D99" s="173"/>
      <c r="E99" s="173"/>
      <c r="F99" s="173"/>
      <c r="G99" s="173"/>
      <c r="H99" s="74"/>
      <c r="I99" s="59"/>
    </row>
    <row r="100" spans="1:22" ht="15.75" customHeight="1">
      <c r="A100" s="60"/>
      <c r="B100" s="60"/>
      <c r="C100" s="60"/>
      <c r="D100" s="60"/>
      <c r="E100" s="60"/>
      <c r="F100" s="60"/>
      <c r="G100" s="60"/>
      <c r="H100" s="60"/>
      <c r="I100" s="60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11"/>
    </row>
    <row r="101" spans="1:22" ht="15.75" customHeight="1">
      <c r="A101" s="174" t="s">
        <v>7</v>
      </c>
      <c r="B101" s="174"/>
      <c r="C101" s="174"/>
      <c r="D101" s="174"/>
      <c r="E101" s="174"/>
      <c r="F101" s="174"/>
      <c r="G101" s="174"/>
      <c r="H101" s="174"/>
      <c r="I101" s="174"/>
      <c r="J101" s="29"/>
      <c r="K101" s="29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2" ht="15.75">
      <c r="A102" s="174" t="s">
        <v>8</v>
      </c>
      <c r="B102" s="174"/>
      <c r="C102" s="174"/>
      <c r="D102" s="174"/>
      <c r="E102" s="174"/>
      <c r="F102" s="174"/>
      <c r="G102" s="174"/>
      <c r="H102" s="174"/>
      <c r="I102" s="174"/>
      <c r="J102" s="4"/>
      <c r="K102" s="4"/>
      <c r="L102" s="4"/>
      <c r="M102" s="4"/>
      <c r="N102" s="4"/>
      <c r="O102" s="4"/>
      <c r="P102" s="4"/>
      <c r="Q102" s="4"/>
      <c r="S102" s="4"/>
      <c r="T102" s="4"/>
      <c r="U102" s="4"/>
    </row>
    <row r="103" spans="1:22" ht="15.75">
      <c r="A103" s="157" t="s">
        <v>9</v>
      </c>
      <c r="B103" s="157"/>
      <c r="C103" s="157"/>
      <c r="D103" s="157"/>
      <c r="E103" s="157"/>
      <c r="F103" s="157"/>
      <c r="G103" s="157"/>
      <c r="H103" s="157"/>
      <c r="I103" s="157"/>
      <c r="J103" s="6"/>
      <c r="K103" s="6"/>
      <c r="L103" s="6"/>
      <c r="M103" s="6"/>
      <c r="N103" s="6"/>
      <c r="O103" s="6"/>
      <c r="P103" s="6"/>
      <c r="Q103" s="6"/>
      <c r="R103" s="155"/>
      <c r="S103" s="155"/>
      <c r="T103" s="155"/>
      <c r="U103" s="155"/>
    </row>
    <row r="104" spans="1:22" ht="15.75">
      <c r="A104" s="13"/>
      <c r="B104" s="58"/>
      <c r="C104" s="58"/>
      <c r="D104" s="58"/>
      <c r="E104" s="58"/>
      <c r="F104" s="58"/>
      <c r="G104" s="58"/>
      <c r="H104" s="58"/>
      <c r="I104" s="58"/>
    </row>
    <row r="105" spans="1:22" ht="15.75">
      <c r="A105" s="156" t="s">
        <v>10</v>
      </c>
      <c r="B105" s="156"/>
      <c r="C105" s="156"/>
      <c r="D105" s="156"/>
      <c r="E105" s="156"/>
      <c r="F105" s="156"/>
      <c r="G105" s="156"/>
      <c r="H105" s="156"/>
      <c r="I105" s="156"/>
    </row>
    <row r="106" spans="1:22" ht="15.75" customHeight="1">
      <c r="A106" s="5"/>
    </row>
    <row r="107" spans="1:22" ht="15.75">
      <c r="A107" s="157" t="s">
        <v>11</v>
      </c>
      <c r="B107" s="157"/>
      <c r="C107" s="175" t="s">
        <v>188</v>
      </c>
      <c r="D107" s="175"/>
      <c r="E107" s="175"/>
      <c r="F107" s="72"/>
      <c r="I107" s="107"/>
    </row>
    <row r="108" spans="1:22">
      <c r="A108" s="108"/>
      <c r="C108" s="171" t="s">
        <v>12</v>
      </c>
      <c r="D108" s="171"/>
      <c r="E108" s="171"/>
      <c r="F108" s="28"/>
      <c r="I108" s="105" t="s">
        <v>13</v>
      </c>
    </row>
    <row r="109" spans="1:22" ht="15.75">
      <c r="A109" s="29"/>
      <c r="C109" s="14"/>
      <c r="D109" s="14"/>
      <c r="G109" s="14"/>
      <c r="H109" s="14"/>
    </row>
    <row r="110" spans="1:22" ht="15.75" customHeight="1">
      <c r="A110" s="157" t="s">
        <v>14</v>
      </c>
      <c r="B110" s="157"/>
      <c r="C110" s="172"/>
      <c r="D110" s="172"/>
      <c r="E110" s="172"/>
      <c r="F110" s="73"/>
      <c r="I110" s="107"/>
    </row>
    <row r="111" spans="1:22">
      <c r="A111" s="108"/>
      <c r="C111" s="155" t="s">
        <v>12</v>
      </c>
      <c r="D111" s="155"/>
      <c r="E111" s="155"/>
      <c r="F111" s="108"/>
      <c r="I111" s="105" t="s">
        <v>13</v>
      </c>
    </row>
    <row r="112" spans="1:22" ht="15.75">
      <c r="A112" s="5" t="s">
        <v>15</v>
      </c>
    </row>
    <row r="113" spans="1:9">
      <c r="A113" s="176" t="s">
        <v>16</v>
      </c>
      <c r="B113" s="176"/>
      <c r="C113" s="176"/>
      <c r="D113" s="176"/>
      <c r="E113" s="176"/>
      <c r="F113" s="176"/>
      <c r="G113" s="176"/>
      <c r="H113" s="176"/>
      <c r="I113" s="176"/>
    </row>
    <row r="114" spans="1:9" ht="45" customHeight="1">
      <c r="A114" s="177" t="s">
        <v>17</v>
      </c>
      <c r="B114" s="177"/>
      <c r="C114" s="177"/>
      <c r="D114" s="177"/>
      <c r="E114" s="177"/>
      <c r="F114" s="177"/>
      <c r="G114" s="177"/>
      <c r="H114" s="177"/>
      <c r="I114" s="177"/>
    </row>
    <row r="115" spans="1:9" ht="30" customHeight="1">
      <c r="A115" s="177" t="s">
        <v>18</v>
      </c>
      <c r="B115" s="177"/>
      <c r="C115" s="177"/>
      <c r="D115" s="177"/>
      <c r="E115" s="177"/>
      <c r="F115" s="177"/>
      <c r="G115" s="177"/>
      <c r="H115" s="177"/>
      <c r="I115" s="177"/>
    </row>
    <row r="116" spans="1:9" ht="30" customHeight="1">
      <c r="A116" s="177" t="s">
        <v>22</v>
      </c>
      <c r="B116" s="177"/>
      <c r="C116" s="177"/>
      <c r="D116" s="177"/>
      <c r="E116" s="177"/>
      <c r="F116" s="177"/>
      <c r="G116" s="177"/>
      <c r="H116" s="177"/>
      <c r="I116" s="177"/>
    </row>
    <row r="117" spans="1:9" ht="15" customHeight="1">
      <c r="A117" s="177" t="s">
        <v>21</v>
      </c>
      <c r="B117" s="177"/>
      <c r="C117" s="177"/>
      <c r="D117" s="177"/>
      <c r="E117" s="177"/>
      <c r="F117" s="177"/>
      <c r="G117" s="177"/>
      <c r="H117" s="177"/>
      <c r="I117" s="177"/>
    </row>
    <row r="119" spans="1:9">
      <c r="A119" s="15"/>
      <c r="B119" s="15"/>
      <c r="C119" s="15"/>
      <c r="D119" s="15"/>
      <c r="E119" s="15"/>
      <c r="F119" s="15"/>
      <c r="G119" s="15"/>
      <c r="H119" s="15"/>
    </row>
  </sheetData>
  <autoFilter ref="I15:I98"/>
  <mergeCells count="31"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1:I81"/>
    <mergeCell ref="A97:I97"/>
    <mergeCell ref="B98:G98"/>
    <mergeCell ref="B99:G99"/>
    <mergeCell ref="A101:I101"/>
    <mergeCell ref="A102:I102"/>
    <mergeCell ref="A117:I117"/>
    <mergeCell ref="R103:U103"/>
    <mergeCell ref="A105:I105"/>
    <mergeCell ref="A107:B107"/>
    <mergeCell ref="C107:E107"/>
    <mergeCell ref="C108:E108"/>
    <mergeCell ref="A110:B110"/>
    <mergeCell ref="C110:E110"/>
    <mergeCell ref="A103:I103"/>
    <mergeCell ref="C111:E111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4"/>
  <sheetViews>
    <sheetView tabSelected="1" workbookViewId="0">
      <selection activeCell="A108" sqref="A108:I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159</v>
      </c>
      <c r="I1" s="32"/>
    </row>
    <row r="2" spans="1:15" s="58" customFormat="1" ht="15.75" customHeight="1">
      <c r="A2" s="30" t="s">
        <v>58</v>
      </c>
      <c r="J2" s="1"/>
      <c r="K2" s="1"/>
      <c r="L2" s="1"/>
      <c r="M2" s="1"/>
    </row>
    <row r="3" spans="1:15" s="58" customFormat="1" ht="15.75" customHeight="1">
      <c r="A3" s="150" t="s">
        <v>153</v>
      </c>
      <c r="B3" s="150"/>
      <c r="C3" s="150"/>
      <c r="D3" s="150"/>
      <c r="E3" s="150"/>
      <c r="F3" s="150"/>
      <c r="G3" s="150"/>
      <c r="H3" s="150"/>
      <c r="I3" s="150"/>
      <c r="J3" s="2"/>
      <c r="K3" s="2"/>
      <c r="L3" s="2"/>
      <c r="M3" s="2"/>
    </row>
    <row r="4" spans="1:15" s="58" customFormat="1" ht="31.5" customHeight="1">
      <c r="A4" s="151" t="s">
        <v>85</v>
      </c>
      <c r="B4" s="151"/>
      <c r="C4" s="151"/>
      <c r="D4" s="151"/>
      <c r="E4" s="151"/>
      <c r="F4" s="151"/>
      <c r="G4" s="151"/>
      <c r="H4" s="151"/>
      <c r="I4" s="151"/>
      <c r="J4" s="3"/>
      <c r="K4" s="3"/>
      <c r="L4" s="3"/>
      <c r="M4" s="3"/>
    </row>
    <row r="5" spans="1:15" s="58" customFormat="1" ht="15.75" customHeight="1">
      <c r="A5" s="150" t="s">
        <v>302</v>
      </c>
      <c r="B5" s="152"/>
      <c r="C5" s="152"/>
      <c r="D5" s="152"/>
      <c r="E5" s="152"/>
      <c r="F5" s="152"/>
      <c r="G5" s="152"/>
      <c r="H5" s="152"/>
      <c r="I5" s="152"/>
      <c r="J5" s="4"/>
      <c r="K5" s="4"/>
      <c r="L5" s="4"/>
    </row>
    <row r="6" spans="1:15" s="58" customFormat="1" ht="15.75" customHeight="1">
      <c r="A6" s="3"/>
      <c r="B6" s="110"/>
      <c r="C6" s="110"/>
      <c r="D6" s="110"/>
      <c r="E6" s="110"/>
      <c r="F6" s="110"/>
      <c r="G6" s="110"/>
      <c r="H6" s="110"/>
      <c r="I6" s="34">
        <v>44561</v>
      </c>
    </row>
    <row r="7" spans="1:15" ht="15.75">
      <c r="B7" s="106"/>
      <c r="C7" s="106"/>
      <c r="D7" s="106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53" t="s">
        <v>187</v>
      </c>
      <c r="B8" s="153"/>
      <c r="C8" s="153"/>
      <c r="D8" s="153"/>
      <c r="E8" s="153"/>
      <c r="F8" s="153"/>
      <c r="G8" s="153"/>
      <c r="H8" s="153"/>
      <c r="I8" s="15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54" t="s">
        <v>158</v>
      </c>
      <c r="B10" s="154"/>
      <c r="C10" s="154"/>
      <c r="D10" s="154"/>
      <c r="E10" s="154"/>
      <c r="F10" s="154"/>
      <c r="G10" s="154"/>
      <c r="H10" s="154"/>
      <c r="I10" s="15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48" t="s">
        <v>139</v>
      </c>
      <c r="B14" s="149"/>
      <c r="C14" s="149"/>
      <c r="D14" s="149"/>
      <c r="E14" s="149"/>
      <c r="F14" s="149"/>
      <c r="G14" s="149"/>
      <c r="H14" s="149"/>
      <c r="I14" s="149"/>
      <c r="J14" s="114"/>
      <c r="K14" s="114"/>
      <c r="L14" s="10"/>
      <c r="M14" s="10"/>
      <c r="N14" s="10"/>
      <c r="O14" s="10"/>
    </row>
    <row r="15" spans="1:15" ht="15.75" customHeight="1">
      <c r="A15" s="145" t="s">
        <v>4</v>
      </c>
      <c r="B15" s="146"/>
      <c r="C15" s="146"/>
      <c r="D15" s="146"/>
      <c r="E15" s="146"/>
      <c r="F15" s="146"/>
      <c r="G15" s="146"/>
      <c r="H15" s="146"/>
      <c r="I15" s="147"/>
      <c r="J15" s="11"/>
      <c r="K15" s="11"/>
    </row>
    <row r="16" spans="1:15" ht="15.75" customHeight="1">
      <c r="A16" s="31">
        <v>1</v>
      </c>
      <c r="B16" s="69" t="s">
        <v>76</v>
      </c>
      <c r="C16" s="76" t="s">
        <v>86</v>
      </c>
      <c r="D16" s="69" t="s">
        <v>166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77</v>
      </c>
      <c r="C17" s="76" t="s">
        <v>86</v>
      </c>
      <c r="D17" s="69" t="s">
        <v>167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78</v>
      </c>
      <c r="C18" s="76" t="s">
        <v>86</v>
      </c>
      <c r="D18" s="69" t="s">
        <v>168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69" t="s">
        <v>87</v>
      </c>
      <c r="C19" s="76" t="s">
        <v>88</v>
      </c>
      <c r="D19" s="69" t="s">
        <v>89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>
        <v>5</v>
      </c>
      <c r="B20" s="69" t="s">
        <v>90</v>
      </c>
      <c r="C20" s="76" t="s">
        <v>86</v>
      </c>
      <c r="D20" s="69" t="s">
        <v>40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>
        <v>6</v>
      </c>
      <c r="B21" s="69" t="s">
        <v>91</v>
      </c>
      <c r="C21" s="76" t="s">
        <v>86</v>
      </c>
      <c r="D21" s="69" t="s">
        <v>40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>
        <v>7</v>
      </c>
      <c r="B22" s="69" t="s">
        <v>92</v>
      </c>
      <c r="C22" s="76" t="s">
        <v>51</v>
      </c>
      <c r="D22" s="69" t="s">
        <v>89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>
        <v>8</v>
      </c>
      <c r="B23" s="69" t="s">
        <v>93</v>
      </c>
      <c r="C23" s="76" t="s">
        <v>51</v>
      </c>
      <c r="D23" s="69" t="s">
        <v>89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>
        <v>9</v>
      </c>
      <c r="B24" s="69" t="s">
        <v>94</v>
      </c>
      <c r="C24" s="76" t="s">
        <v>51</v>
      </c>
      <c r="D24" s="82" t="s">
        <v>89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>
        <v>10</v>
      </c>
      <c r="B25" s="69" t="s">
        <v>95</v>
      </c>
      <c r="C25" s="76" t="s">
        <v>51</v>
      </c>
      <c r="D25" s="69" t="s">
        <v>89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hidden="1" customHeight="1">
      <c r="A26" s="31">
        <v>4</v>
      </c>
      <c r="B26" s="37" t="s">
        <v>165</v>
      </c>
      <c r="C26" s="46" t="s">
        <v>155</v>
      </c>
      <c r="D26" s="37" t="s">
        <v>169</v>
      </c>
      <c r="E26" s="122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hidden="1" customHeight="1">
      <c r="A27" s="31">
        <v>5</v>
      </c>
      <c r="B27" s="85" t="s">
        <v>24</v>
      </c>
      <c r="C27" s="76" t="s">
        <v>25</v>
      </c>
      <c r="D27" s="69"/>
      <c r="E27" s="77">
        <v>2549.5</v>
      </c>
      <c r="F27" s="78">
        <f>SUM(E27*12)</f>
        <v>30594</v>
      </c>
      <c r="G27" s="78">
        <v>4.24</v>
      </c>
      <c r="H27" s="79">
        <f t="shared" ref="H27" si="2">SUM(F27*G27/1000)</f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5" t="s">
        <v>151</v>
      </c>
      <c r="B28" s="146"/>
      <c r="C28" s="146"/>
      <c r="D28" s="146"/>
      <c r="E28" s="146"/>
      <c r="F28" s="146"/>
      <c r="G28" s="146"/>
      <c r="H28" s="146"/>
      <c r="I28" s="147"/>
      <c r="J28" s="27"/>
      <c r="K28" s="10"/>
      <c r="L28" s="10"/>
      <c r="M28" s="10"/>
    </row>
    <row r="29" spans="1:13" ht="15.75" hidden="1" customHeight="1">
      <c r="A29" s="47"/>
      <c r="B29" s="55" t="s">
        <v>136</v>
      </c>
      <c r="C29" s="47"/>
      <c r="D29" s="47"/>
      <c r="E29" s="16"/>
      <c r="F29" s="16"/>
      <c r="G29" s="18"/>
      <c r="H29" s="18"/>
      <c r="I29" s="64"/>
      <c r="J29" s="27"/>
      <c r="K29" s="10"/>
      <c r="L29" s="10"/>
      <c r="M29" s="10"/>
    </row>
    <row r="30" spans="1:13" ht="15.75" hidden="1" customHeight="1">
      <c r="A30" s="68">
        <v>6</v>
      </c>
      <c r="B30" s="69" t="s">
        <v>140</v>
      </c>
      <c r="C30" s="76" t="s">
        <v>109</v>
      </c>
      <c r="D30" s="69" t="s">
        <v>137</v>
      </c>
      <c r="E30" s="78">
        <v>65.099999999999994</v>
      </c>
      <c r="F30" s="78">
        <f>SUM(E30*52/1000)</f>
        <v>3.3851999999999998</v>
      </c>
      <c r="G30" s="78">
        <v>193.97</v>
      </c>
      <c r="H30" s="79">
        <f t="shared" ref="H30:H35" si="3">SUM(F30*G30/1000)</f>
        <v>0.65662724399999994</v>
      </c>
      <c r="I30" s="17">
        <f>F30/6*G30</f>
        <v>109.43787399999998</v>
      </c>
      <c r="J30" s="27"/>
      <c r="K30" s="10"/>
      <c r="L30" s="10"/>
      <c r="M30" s="10"/>
    </row>
    <row r="31" spans="1:13" ht="31.5" hidden="1" customHeight="1">
      <c r="A31" s="68">
        <v>7</v>
      </c>
      <c r="B31" s="69" t="s">
        <v>141</v>
      </c>
      <c r="C31" s="76" t="s">
        <v>109</v>
      </c>
      <c r="D31" s="69" t="s">
        <v>138</v>
      </c>
      <c r="E31" s="78">
        <v>65.099999999999994</v>
      </c>
      <c r="F31" s="78">
        <f>SUM(E31*78/1000)</f>
        <v>5.077799999999999</v>
      </c>
      <c r="G31" s="78">
        <v>321.82</v>
      </c>
      <c r="H31" s="79">
        <f t="shared" si="3"/>
        <v>1.6341375959999995</v>
      </c>
      <c r="I31" s="17">
        <f t="shared" ref="I31:I33" si="4">F31/6*G31</f>
        <v>272.35626599999995</v>
      </c>
      <c r="J31" s="27"/>
      <c r="K31" s="10"/>
      <c r="L31" s="10"/>
      <c r="M31" s="10"/>
    </row>
    <row r="32" spans="1:13" ht="15.75" hidden="1" customHeight="1">
      <c r="A32" s="68">
        <v>15</v>
      </c>
      <c r="B32" s="69" t="s">
        <v>27</v>
      </c>
      <c r="C32" s="76" t="s">
        <v>109</v>
      </c>
      <c r="D32" s="69" t="s">
        <v>52</v>
      </c>
      <c r="E32" s="78">
        <v>65.099999999999994</v>
      </c>
      <c r="F32" s="78">
        <f>SUM(E32/1000)</f>
        <v>6.5099999999999991E-2</v>
      </c>
      <c r="G32" s="78">
        <v>3758.28</v>
      </c>
      <c r="H32" s="79">
        <f t="shared" si="3"/>
        <v>0.24466402799999998</v>
      </c>
      <c r="I32" s="17">
        <f>F32*G32</f>
        <v>244.66402799999997</v>
      </c>
      <c r="J32" s="27"/>
      <c r="K32" s="10"/>
      <c r="L32" s="10"/>
      <c r="M32" s="10"/>
    </row>
    <row r="33" spans="1:13" ht="15.75" hidden="1" customHeight="1">
      <c r="A33" s="68">
        <v>8</v>
      </c>
      <c r="B33" s="69" t="s">
        <v>142</v>
      </c>
      <c r="C33" s="76" t="s">
        <v>29</v>
      </c>
      <c r="D33" s="69" t="s">
        <v>59</v>
      </c>
      <c r="E33" s="86">
        <f>1/6</f>
        <v>0.16666666666666666</v>
      </c>
      <c r="F33" s="78">
        <f>155/6</f>
        <v>25.833333333333332</v>
      </c>
      <c r="G33" s="78">
        <v>70.540000000000006</v>
      </c>
      <c r="H33" s="79">
        <f t="shared" si="3"/>
        <v>1.8222833333333333</v>
      </c>
      <c r="I33" s="17">
        <f t="shared" si="4"/>
        <v>303.7138888888889</v>
      </c>
      <c r="J33" s="27"/>
      <c r="K33" s="10"/>
      <c r="L33" s="10"/>
      <c r="M33" s="10"/>
    </row>
    <row r="34" spans="1:13" ht="15.75" hidden="1" customHeight="1">
      <c r="A34" s="68"/>
      <c r="B34" s="69" t="s">
        <v>60</v>
      </c>
      <c r="C34" s="76" t="s">
        <v>31</v>
      </c>
      <c r="D34" s="69" t="s">
        <v>61</v>
      </c>
      <c r="E34" s="77"/>
      <c r="F34" s="78">
        <v>1</v>
      </c>
      <c r="G34" s="78">
        <v>238.07</v>
      </c>
      <c r="H34" s="79">
        <f t="shared" si="3"/>
        <v>0.23807</v>
      </c>
      <c r="I34" s="17">
        <v>0</v>
      </c>
      <c r="J34" s="27"/>
      <c r="K34" s="10"/>
      <c r="L34" s="10"/>
      <c r="M34" s="10"/>
    </row>
    <row r="35" spans="1:13" ht="15.75" hidden="1" customHeight="1">
      <c r="A35" s="68"/>
      <c r="B35" s="69" t="s">
        <v>110</v>
      </c>
      <c r="C35" s="76" t="s">
        <v>30</v>
      </c>
      <c r="D35" s="69" t="s">
        <v>61</v>
      </c>
      <c r="E35" s="77"/>
      <c r="F35" s="78">
        <v>1</v>
      </c>
      <c r="G35" s="78">
        <v>1413.96</v>
      </c>
      <c r="H35" s="79">
        <f t="shared" si="3"/>
        <v>1.4139600000000001</v>
      </c>
      <c r="I35" s="17">
        <v>0</v>
      </c>
      <c r="J35" s="27"/>
      <c r="K35" s="10"/>
      <c r="L35" s="10"/>
      <c r="M35" s="10"/>
    </row>
    <row r="36" spans="1:13" ht="15.75" customHeight="1">
      <c r="A36" s="47"/>
      <c r="B36" s="55" t="s">
        <v>5</v>
      </c>
      <c r="C36" s="47"/>
      <c r="D36" s="47"/>
      <c r="E36" s="16"/>
      <c r="F36" s="16"/>
      <c r="G36" s="18"/>
      <c r="H36" s="18"/>
      <c r="I36" s="64"/>
      <c r="J36" s="27"/>
      <c r="K36" s="10"/>
      <c r="L36" s="10"/>
      <c r="M36" s="10"/>
    </row>
    <row r="37" spans="1:13" ht="15.75" customHeight="1">
      <c r="A37" s="38">
        <v>4</v>
      </c>
      <c r="B37" s="69" t="s">
        <v>26</v>
      </c>
      <c r="C37" s="76" t="s">
        <v>30</v>
      </c>
      <c r="D37" s="121">
        <v>44531</v>
      </c>
      <c r="E37" s="77"/>
      <c r="F37" s="78">
        <v>2</v>
      </c>
      <c r="G37" s="78">
        <v>1900.37</v>
      </c>
      <c r="H37" s="79">
        <f t="shared" ref="H37:H43" si="5">SUM(F37*G37/1000)</f>
        <v>3.8007399999999998</v>
      </c>
      <c r="I37" s="17">
        <f>G37*0.5</f>
        <v>950.18499999999995</v>
      </c>
      <c r="J37" s="27"/>
      <c r="K37" s="10"/>
      <c r="L37" s="10"/>
      <c r="M37" s="10"/>
    </row>
    <row r="38" spans="1:13" ht="15.75" customHeight="1">
      <c r="A38" s="38">
        <v>5</v>
      </c>
      <c r="B38" s="69" t="s">
        <v>111</v>
      </c>
      <c r="C38" s="76" t="s">
        <v>28</v>
      </c>
      <c r="D38" s="69" t="s">
        <v>170</v>
      </c>
      <c r="E38" s="77">
        <v>65.099999999999994</v>
      </c>
      <c r="F38" s="78">
        <f>E38*24/1000</f>
        <v>1.5623999999999998</v>
      </c>
      <c r="G38" s="78">
        <v>2616.4899999999998</v>
      </c>
      <c r="H38" s="79">
        <f>G38*F38/1000</f>
        <v>4.0880039759999987</v>
      </c>
      <c r="I38" s="17">
        <f>F38/6*G38</f>
        <v>681.33399599999984</v>
      </c>
      <c r="J38" s="27"/>
      <c r="K38" s="10"/>
      <c r="L38" s="10"/>
      <c r="M38" s="10"/>
    </row>
    <row r="39" spans="1:13" ht="15.75" hidden="1" customHeight="1">
      <c r="A39" s="38">
        <v>8</v>
      </c>
      <c r="B39" s="69" t="s">
        <v>112</v>
      </c>
      <c r="C39" s="76" t="s">
        <v>113</v>
      </c>
      <c r="D39" s="69" t="s">
        <v>61</v>
      </c>
      <c r="E39" s="77"/>
      <c r="F39" s="78">
        <v>13</v>
      </c>
      <c r="G39" s="78">
        <v>226.84</v>
      </c>
      <c r="H39" s="79">
        <f>G39*F39/1000</f>
        <v>2.9489200000000002</v>
      </c>
      <c r="I39" s="17">
        <f>G39*26</f>
        <v>5897.84</v>
      </c>
      <c r="J39" s="27"/>
      <c r="K39" s="10"/>
      <c r="L39" s="10"/>
      <c r="M39" s="10"/>
    </row>
    <row r="40" spans="1:13" ht="15.75" customHeight="1">
      <c r="A40" s="38">
        <v>6</v>
      </c>
      <c r="B40" s="69" t="s">
        <v>144</v>
      </c>
      <c r="C40" s="76" t="s">
        <v>28</v>
      </c>
      <c r="D40" s="69" t="s">
        <v>179</v>
      </c>
      <c r="E40" s="78">
        <v>65.099999999999994</v>
      </c>
      <c r="F40" s="78">
        <f>SUM(E40*155/1000)</f>
        <v>10.0905</v>
      </c>
      <c r="G40" s="78">
        <v>436.45</v>
      </c>
      <c r="H40" s="79">
        <f t="shared" si="5"/>
        <v>4.4039987250000001</v>
      </c>
      <c r="I40" s="17">
        <f>F40/6*G40</f>
        <v>733.99978750000002</v>
      </c>
      <c r="J40" s="27"/>
      <c r="K40" s="10"/>
      <c r="L40" s="10"/>
      <c r="M40" s="10"/>
    </row>
    <row r="41" spans="1:13" ht="47.25" customHeight="1">
      <c r="A41" s="38">
        <v>7</v>
      </c>
      <c r="B41" s="69" t="s">
        <v>74</v>
      </c>
      <c r="C41" s="76" t="s">
        <v>109</v>
      </c>
      <c r="D41" s="69" t="s">
        <v>170</v>
      </c>
      <c r="E41" s="78">
        <v>65.099999999999994</v>
      </c>
      <c r="F41" s="78">
        <f>SUM(E41*24/1000)</f>
        <v>1.5623999999999998</v>
      </c>
      <c r="G41" s="78">
        <v>7221.21</v>
      </c>
      <c r="H41" s="79">
        <f t="shared" si="5"/>
        <v>11.282418503999999</v>
      </c>
      <c r="I41" s="17">
        <f>F41/6*G41</f>
        <v>1880.4030839999998</v>
      </c>
      <c r="J41" s="27"/>
      <c r="K41" s="10"/>
      <c r="L41" s="10"/>
      <c r="M41" s="10"/>
    </row>
    <row r="42" spans="1:13" ht="15.75" hidden="1" customHeight="1">
      <c r="A42" s="38">
        <v>9</v>
      </c>
      <c r="B42" s="69" t="s">
        <v>116</v>
      </c>
      <c r="C42" s="76" t="s">
        <v>109</v>
      </c>
      <c r="D42" s="69" t="s">
        <v>172</v>
      </c>
      <c r="E42" s="78">
        <v>65.099999999999994</v>
      </c>
      <c r="F42" s="78">
        <f>SUM(E42*18/1000)</f>
        <v>1.1718</v>
      </c>
      <c r="G42" s="78">
        <v>533.45000000000005</v>
      </c>
      <c r="H42" s="79">
        <f t="shared" si="5"/>
        <v>0.62509671</v>
      </c>
      <c r="I42" s="17">
        <f>F42/7.5*G42</f>
        <v>83.346227999999996</v>
      </c>
      <c r="J42" s="27"/>
      <c r="K42" s="10"/>
      <c r="L42" s="10"/>
      <c r="M42" s="10"/>
    </row>
    <row r="43" spans="1:13" ht="15.75" hidden="1" customHeight="1">
      <c r="A43" s="38">
        <v>10</v>
      </c>
      <c r="B43" s="69" t="s">
        <v>62</v>
      </c>
      <c r="C43" s="76" t="s">
        <v>31</v>
      </c>
      <c r="D43" s="69"/>
      <c r="E43" s="77"/>
      <c r="F43" s="78">
        <v>0.4</v>
      </c>
      <c r="G43" s="78">
        <v>992.97</v>
      </c>
      <c r="H43" s="79">
        <f t="shared" si="5"/>
        <v>0.39718800000000004</v>
      </c>
      <c r="I43" s="17">
        <f>F43/7.5*G43</f>
        <v>52.958400000000005</v>
      </c>
      <c r="J43" s="27"/>
      <c r="K43" s="10"/>
      <c r="L43" s="10"/>
      <c r="M43" s="10"/>
    </row>
    <row r="44" spans="1:13" ht="15.75" customHeight="1">
      <c r="A44" s="168" t="s">
        <v>146</v>
      </c>
      <c r="B44" s="169"/>
      <c r="C44" s="169"/>
      <c r="D44" s="169"/>
      <c r="E44" s="169"/>
      <c r="F44" s="169"/>
      <c r="G44" s="169"/>
      <c r="H44" s="169"/>
      <c r="I44" s="170"/>
      <c r="J44" s="27"/>
      <c r="K44" s="10"/>
      <c r="L44" s="10"/>
      <c r="M44" s="10"/>
    </row>
    <row r="45" spans="1:13" ht="15.75" hidden="1" customHeight="1">
      <c r="A45" s="47">
        <v>9</v>
      </c>
      <c r="B45" s="69" t="s">
        <v>117</v>
      </c>
      <c r="C45" s="76" t="s">
        <v>109</v>
      </c>
      <c r="D45" s="69" t="s">
        <v>40</v>
      </c>
      <c r="E45" s="77">
        <v>1060.4000000000001</v>
      </c>
      <c r="F45" s="78">
        <f>SUM(E45*2/1000)</f>
        <v>2.1208</v>
      </c>
      <c r="G45" s="17">
        <v>1283.46</v>
      </c>
      <c r="H45" s="79">
        <f t="shared" ref="H45:H54" si="6">SUM(F45*G45/1000)</f>
        <v>2.721961968</v>
      </c>
      <c r="I45" s="17">
        <f t="shared" ref="I45:I47" si="7">F45/2*G45</f>
        <v>1360.980984</v>
      </c>
      <c r="J45" s="27"/>
      <c r="K45" s="10"/>
      <c r="L45" s="10"/>
      <c r="M45" s="10"/>
    </row>
    <row r="46" spans="1:13" ht="15.75" hidden="1" customHeight="1">
      <c r="A46" s="47">
        <v>10</v>
      </c>
      <c r="B46" s="69" t="s">
        <v>34</v>
      </c>
      <c r="C46" s="76" t="s">
        <v>109</v>
      </c>
      <c r="D46" s="69" t="s">
        <v>40</v>
      </c>
      <c r="E46" s="77">
        <v>1251.6199999999999</v>
      </c>
      <c r="F46" s="78">
        <f>SUM(E46*2/1000)</f>
        <v>2.5032399999999999</v>
      </c>
      <c r="G46" s="17">
        <v>1712.28</v>
      </c>
      <c r="H46" s="79">
        <f t="shared" si="6"/>
        <v>4.2862477871999998</v>
      </c>
      <c r="I46" s="17">
        <f t="shared" si="7"/>
        <v>2143.1238936</v>
      </c>
      <c r="J46" s="27"/>
      <c r="K46" s="10"/>
      <c r="L46" s="10"/>
      <c r="M46" s="10"/>
    </row>
    <row r="47" spans="1:13" ht="15.75" hidden="1" customHeight="1">
      <c r="A47" s="47">
        <v>11</v>
      </c>
      <c r="B47" s="69" t="s">
        <v>35</v>
      </c>
      <c r="C47" s="76" t="s">
        <v>109</v>
      </c>
      <c r="D47" s="69" t="s">
        <v>40</v>
      </c>
      <c r="E47" s="77">
        <v>1295.68</v>
      </c>
      <c r="F47" s="78">
        <f>SUM(E47*2/1000)</f>
        <v>2.5913600000000003</v>
      </c>
      <c r="G47" s="17">
        <v>1179.73</v>
      </c>
      <c r="H47" s="79">
        <f t="shared" si="6"/>
        <v>3.0571051328000003</v>
      </c>
      <c r="I47" s="17">
        <f t="shared" si="7"/>
        <v>1528.5525664000002</v>
      </c>
      <c r="J47" s="27"/>
      <c r="K47" s="10"/>
      <c r="L47" s="10"/>
      <c r="M47" s="10"/>
    </row>
    <row r="48" spans="1:13" ht="15.75" hidden="1" customHeight="1">
      <c r="A48" s="47">
        <v>12</v>
      </c>
      <c r="B48" s="69" t="s">
        <v>32</v>
      </c>
      <c r="C48" s="76" t="s">
        <v>33</v>
      </c>
      <c r="D48" s="69" t="s">
        <v>40</v>
      </c>
      <c r="E48" s="77">
        <v>85.84</v>
      </c>
      <c r="F48" s="78">
        <f>E48*2/100</f>
        <v>1.7168000000000001</v>
      </c>
      <c r="G48" s="17">
        <v>90.61</v>
      </c>
      <c r="H48" s="79">
        <f t="shared" si="6"/>
        <v>0.15555924799999998</v>
      </c>
      <c r="I48" s="17">
        <f>F48/2*G48</f>
        <v>77.779623999999998</v>
      </c>
      <c r="J48" s="27"/>
      <c r="K48" s="10"/>
      <c r="L48" s="10"/>
      <c r="M48" s="10"/>
    </row>
    <row r="49" spans="1:14" ht="15.75" customHeight="1">
      <c r="A49" s="47">
        <v>8</v>
      </c>
      <c r="B49" s="69" t="s">
        <v>54</v>
      </c>
      <c r="C49" s="76" t="s">
        <v>109</v>
      </c>
      <c r="D49" s="69" t="s">
        <v>173</v>
      </c>
      <c r="E49" s="77">
        <v>2549.5</v>
      </c>
      <c r="F49" s="78">
        <f>SUM(E49*5/1000)</f>
        <v>12.7475</v>
      </c>
      <c r="G49" s="17">
        <v>1711.28</v>
      </c>
      <c r="H49" s="79">
        <f t="shared" si="6"/>
        <v>21.814541800000001</v>
      </c>
      <c r="I49" s="17">
        <f>F49/5*G49</f>
        <v>4362.9083600000004</v>
      </c>
      <c r="J49" s="27"/>
      <c r="K49" s="10"/>
      <c r="L49" s="10"/>
      <c r="M49" s="10"/>
    </row>
    <row r="50" spans="1:14" ht="31.5" hidden="1" customHeight="1">
      <c r="A50" s="47">
        <v>14</v>
      </c>
      <c r="B50" s="69" t="s">
        <v>118</v>
      </c>
      <c r="C50" s="76" t="s">
        <v>109</v>
      </c>
      <c r="D50" s="69" t="s">
        <v>40</v>
      </c>
      <c r="E50" s="77">
        <v>2549.5</v>
      </c>
      <c r="F50" s="78">
        <f>SUM(E50*2/1000)</f>
        <v>5.0990000000000002</v>
      </c>
      <c r="G50" s="17">
        <v>1510.06</v>
      </c>
      <c r="H50" s="79">
        <f t="shared" si="6"/>
        <v>7.6997959399999996</v>
      </c>
      <c r="I50" s="17">
        <f>F50/2*G50</f>
        <v>3849.89797</v>
      </c>
      <c r="J50" s="27"/>
      <c r="K50" s="10"/>
      <c r="L50" s="10"/>
      <c r="M50" s="10"/>
    </row>
    <row r="51" spans="1:14" ht="31.5" hidden="1" customHeight="1">
      <c r="A51" s="47">
        <v>15</v>
      </c>
      <c r="B51" s="69" t="s">
        <v>119</v>
      </c>
      <c r="C51" s="76" t="s">
        <v>36</v>
      </c>
      <c r="D51" s="69" t="s">
        <v>40</v>
      </c>
      <c r="E51" s="77">
        <v>16</v>
      </c>
      <c r="F51" s="78">
        <f>SUM(E51*2/100)</f>
        <v>0.32</v>
      </c>
      <c r="G51" s="17">
        <v>3850.4</v>
      </c>
      <c r="H51" s="79">
        <f t="shared" si="6"/>
        <v>1.2321280000000001</v>
      </c>
      <c r="I51" s="17">
        <f t="shared" ref="I51:I52" si="8">F51/2*G51</f>
        <v>616.06400000000008</v>
      </c>
      <c r="J51" s="27"/>
      <c r="K51" s="10"/>
    </row>
    <row r="52" spans="1:14" ht="15.75" hidden="1" customHeight="1">
      <c r="A52" s="47">
        <v>16</v>
      </c>
      <c r="B52" s="69" t="s">
        <v>37</v>
      </c>
      <c r="C52" s="76" t="s">
        <v>38</v>
      </c>
      <c r="D52" s="69" t="s">
        <v>40</v>
      </c>
      <c r="E52" s="77">
        <v>1</v>
      </c>
      <c r="F52" s="78">
        <v>0.02</v>
      </c>
      <c r="G52" s="17">
        <v>7033.13</v>
      </c>
      <c r="H52" s="79">
        <f t="shared" si="6"/>
        <v>0.1406626</v>
      </c>
      <c r="I52" s="17">
        <f t="shared" si="8"/>
        <v>70.331299999999999</v>
      </c>
      <c r="J52" s="75"/>
    </row>
    <row r="53" spans="1:14" ht="15.75" hidden="1" customHeight="1">
      <c r="A53" s="47">
        <v>10</v>
      </c>
      <c r="B53" s="69" t="s">
        <v>120</v>
      </c>
      <c r="C53" s="76" t="s">
        <v>96</v>
      </c>
      <c r="D53" s="121">
        <v>44175</v>
      </c>
      <c r="E53" s="77">
        <v>64</v>
      </c>
      <c r="F53" s="78">
        <f>E53*3</f>
        <v>192</v>
      </c>
      <c r="G53" s="17">
        <v>175.6</v>
      </c>
      <c r="H53" s="79">
        <f t="shared" si="6"/>
        <v>33.715199999999996</v>
      </c>
      <c r="I53" s="17">
        <f>E53*G53</f>
        <v>11238.4</v>
      </c>
      <c r="J53" s="75"/>
    </row>
    <row r="54" spans="1:14" ht="15.75" hidden="1" customHeight="1">
      <c r="A54" s="47">
        <v>11</v>
      </c>
      <c r="B54" s="69" t="s">
        <v>39</v>
      </c>
      <c r="C54" s="76" t="s">
        <v>96</v>
      </c>
      <c r="D54" s="121">
        <v>44175</v>
      </c>
      <c r="E54" s="77">
        <v>128</v>
      </c>
      <c r="F54" s="78">
        <f>SUM(E54)*3</f>
        <v>384</v>
      </c>
      <c r="G54" s="17">
        <v>81.73</v>
      </c>
      <c r="H54" s="79">
        <f t="shared" si="6"/>
        <v>31.384319999999999</v>
      </c>
      <c r="I54" s="17">
        <f>E54*G54</f>
        <v>10461.44</v>
      </c>
      <c r="J54" s="75"/>
    </row>
    <row r="55" spans="1:14" ht="15.75" customHeight="1">
      <c r="A55" s="159" t="s">
        <v>124</v>
      </c>
      <c r="B55" s="160"/>
      <c r="C55" s="160"/>
      <c r="D55" s="160"/>
      <c r="E55" s="160"/>
      <c r="F55" s="160"/>
      <c r="G55" s="160"/>
      <c r="H55" s="160"/>
      <c r="I55" s="161"/>
      <c r="J55" s="75"/>
    </row>
    <row r="56" spans="1:14" ht="15.75" customHeight="1">
      <c r="A56" s="111"/>
      <c r="B56" s="54" t="s">
        <v>41</v>
      </c>
      <c r="C56" s="21"/>
      <c r="D56" s="65"/>
      <c r="E56" s="16"/>
      <c r="F56" s="16"/>
      <c r="G56" s="31"/>
      <c r="H56" s="31"/>
      <c r="I56" s="64"/>
      <c r="J56" s="75"/>
    </row>
    <row r="57" spans="1:14" ht="31.5" customHeight="1">
      <c r="A57" s="47">
        <v>9</v>
      </c>
      <c r="B57" s="69" t="s">
        <v>121</v>
      </c>
      <c r="C57" s="76" t="s">
        <v>86</v>
      </c>
      <c r="D57" s="69"/>
      <c r="E57" s="77">
        <v>8</v>
      </c>
      <c r="F57" s="78">
        <f>SUM(E57*6/100)</f>
        <v>0.48</v>
      </c>
      <c r="G57" s="17">
        <v>2306.62</v>
      </c>
      <c r="H57" s="79">
        <f>SUM(F57*G57/1000)</f>
        <v>1.1071776</v>
      </c>
      <c r="I57" s="17">
        <f>F57/6*G57</f>
        <v>184.52959999999999</v>
      </c>
      <c r="J57" s="75"/>
    </row>
    <row r="58" spans="1:14" ht="15.75" hidden="1" customHeight="1">
      <c r="A58" s="47">
        <v>9</v>
      </c>
      <c r="B58" s="88" t="s">
        <v>80</v>
      </c>
      <c r="C58" s="87" t="s">
        <v>30</v>
      </c>
      <c r="D58" s="88" t="s">
        <v>61</v>
      </c>
      <c r="E58" s="89"/>
      <c r="F58" s="90">
        <v>1</v>
      </c>
      <c r="G58" s="17">
        <v>1501</v>
      </c>
      <c r="H58" s="79">
        <f>SUM(F58*G58/1000)</f>
        <v>1.5009999999999999</v>
      </c>
      <c r="I58" s="17">
        <f>G58*3</f>
        <v>4503</v>
      </c>
      <c r="J58" s="75"/>
    </row>
    <row r="59" spans="1:14" ht="15.75" hidden="1" customHeight="1">
      <c r="A59" s="47"/>
      <c r="B59" s="71" t="s">
        <v>42</v>
      </c>
      <c r="C59" s="39"/>
      <c r="D59" s="39"/>
      <c r="E59" s="16"/>
      <c r="F59" s="16"/>
      <c r="G59" s="40"/>
      <c r="H59" s="40"/>
      <c r="I59" s="64"/>
      <c r="J59" s="75"/>
      <c r="L59" s="24"/>
      <c r="M59" s="25"/>
      <c r="N59" s="26"/>
    </row>
    <row r="60" spans="1:14" ht="15.75" hidden="1" customHeight="1">
      <c r="A60" s="47">
        <v>29</v>
      </c>
      <c r="B60" s="88" t="s">
        <v>43</v>
      </c>
      <c r="C60" s="87" t="s">
        <v>51</v>
      </c>
      <c r="D60" s="88" t="s">
        <v>52</v>
      </c>
      <c r="E60" s="89">
        <v>7.4</v>
      </c>
      <c r="F60" s="17">
        <f>SUM(E60/100)</f>
        <v>7.400000000000001E-2</v>
      </c>
      <c r="G60" s="17">
        <v>987.51</v>
      </c>
      <c r="H60" s="91">
        <f>F60*G60/1000</f>
        <v>7.3075740000000014E-2</v>
      </c>
      <c r="I60" s="17">
        <v>0</v>
      </c>
      <c r="J60" s="75"/>
      <c r="L60" s="24"/>
      <c r="M60" s="25"/>
      <c r="N60" s="26"/>
    </row>
    <row r="61" spans="1:14" ht="15.75" customHeight="1">
      <c r="A61" s="47"/>
      <c r="B61" s="71" t="s">
        <v>44</v>
      </c>
      <c r="C61" s="21"/>
      <c r="D61" s="66"/>
      <c r="E61" s="16"/>
      <c r="F61" s="16"/>
      <c r="G61" s="31"/>
      <c r="H61" s="31"/>
      <c r="I61" s="64"/>
      <c r="J61" s="75"/>
      <c r="L61" s="24"/>
      <c r="M61" s="25"/>
      <c r="N61" s="26"/>
    </row>
    <row r="62" spans="1:14" ht="18" customHeight="1">
      <c r="A62" s="47">
        <v>10</v>
      </c>
      <c r="B62" s="19" t="s">
        <v>45</v>
      </c>
      <c r="C62" s="21" t="s">
        <v>96</v>
      </c>
      <c r="D62" s="19" t="s">
        <v>172</v>
      </c>
      <c r="E62" s="23">
        <v>1</v>
      </c>
      <c r="F62" s="17">
        <f>SUM(E62)</f>
        <v>1</v>
      </c>
      <c r="G62" s="17">
        <v>276.74</v>
      </c>
      <c r="H62" s="80">
        <f t="shared" ref="H62:H71" si="9">SUM(F62*G62/1000)</f>
        <v>0.27673999999999999</v>
      </c>
      <c r="I62" s="17">
        <f>G62*3</f>
        <v>830.22</v>
      </c>
      <c r="J62" s="75"/>
      <c r="L62" s="24"/>
      <c r="M62" s="25"/>
      <c r="N62" s="26"/>
    </row>
    <row r="63" spans="1:14" ht="21" customHeight="1">
      <c r="A63" s="67">
        <v>11</v>
      </c>
      <c r="B63" s="120" t="s">
        <v>46</v>
      </c>
      <c r="C63" s="44" t="s">
        <v>96</v>
      </c>
      <c r="D63" s="43" t="s">
        <v>172</v>
      </c>
      <c r="E63" s="22">
        <v>2</v>
      </c>
      <c r="F63" s="41">
        <f>SUM(E63)</f>
        <v>2</v>
      </c>
      <c r="G63" s="41">
        <v>94.89</v>
      </c>
      <c r="H63" s="80">
        <f t="shared" si="9"/>
        <v>0.18978</v>
      </c>
      <c r="I63" s="17">
        <f>G63*3</f>
        <v>284.67</v>
      </c>
      <c r="J63" s="75"/>
      <c r="L63" s="24"/>
      <c r="M63" s="25"/>
      <c r="N63" s="26"/>
    </row>
    <row r="64" spans="1:14" ht="12.75" hidden="1" customHeight="1">
      <c r="A64" s="67">
        <v>25</v>
      </c>
      <c r="B64" s="19" t="s">
        <v>47</v>
      </c>
      <c r="C64" s="21" t="s">
        <v>97</v>
      </c>
      <c r="D64" s="19" t="s">
        <v>52</v>
      </c>
      <c r="E64" s="77">
        <v>10052</v>
      </c>
      <c r="F64" s="17">
        <f>SUM(E64/100)</f>
        <v>100.52</v>
      </c>
      <c r="G64" s="17">
        <v>263.99</v>
      </c>
      <c r="H64" s="80">
        <f t="shared" si="9"/>
        <v>26.536274799999997</v>
      </c>
      <c r="I64" s="17">
        <f>F64*G64</f>
        <v>26536.274799999999</v>
      </c>
      <c r="J64" s="75"/>
      <c r="L64" s="24"/>
      <c r="M64" s="25"/>
      <c r="N64" s="26"/>
    </row>
    <row r="65" spans="1:14" ht="15.75" hidden="1" customHeight="1">
      <c r="A65" s="67">
        <v>26</v>
      </c>
      <c r="B65" s="19" t="s">
        <v>48</v>
      </c>
      <c r="C65" s="21" t="s">
        <v>98</v>
      </c>
      <c r="D65" s="19"/>
      <c r="E65" s="77">
        <v>10052</v>
      </c>
      <c r="F65" s="17">
        <f>SUM(E65/1000)</f>
        <v>10.052</v>
      </c>
      <c r="G65" s="17">
        <v>205.57</v>
      </c>
      <c r="H65" s="80">
        <f t="shared" si="9"/>
        <v>2.0663896399999997</v>
      </c>
      <c r="I65" s="17">
        <f t="shared" ref="I65:I68" si="10">F65*G65</f>
        <v>2066.3896399999999</v>
      </c>
      <c r="J65" s="75"/>
      <c r="L65" s="24"/>
      <c r="M65" s="25"/>
      <c r="N65" s="26"/>
    </row>
    <row r="66" spans="1:14" ht="12.75" hidden="1" customHeight="1">
      <c r="A66" s="67">
        <v>27</v>
      </c>
      <c r="B66" s="19" t="s">
        <v>49</v>
      </c>
      <c r="C66" s="21" t="s">
        <v>69</v>
      </c>
      <c r="D66" s="19" t="s">
        <v>52</v>
      </c>
      <c r="E66" s="77">
        <v>2200</v>
      </c>
      <c r="F66" s="17">
        <f>SUM(E66/100)</f>
        <v>22</v>
      </c>
      <c r="G66" s="17">
        <v>2581.5300000000002</v>
      </c>
      <c r="H66" s="80">
        <f t="shared" si="9"/>
        <v>56.793660000000003</v>
      </c>
      <c r="I66" s="17">
        <f t="shared" si="10"/>
        <v>56793.66</v>
      </c>
      <c r="J66" s="75"/>
      <c r="L66" s="24"/>
      <c r="M66" s="25"/>
      <c r="N66" s="26"/>
    </row>
    <row r="67" spans="1:14" ht="15.75" hidden="1" customHeight="1">
      <c r="A67" s="67">
        <v>28</v>
      </c>
      <c r="B67" s="92" t="s">
        <v>99</v>
      </c>
      <c r="C67" s="21" t="s">
        <v>31</v>
      </c>
      <c r="D67" s="19"/>
      <c r="E67" s="77">
        <v>9.4</v>
      </c>
      <c r="F67" s="17">
        <f>SUM(E67)</f>
        <v>9.4</v>
      </c>
      <c r="G67" s="17">
        <v>47.45</v>
      </c>
      <c r="H67" s="80">
        <f t="shared" si="9"/>
        <v>0.44603000000000004</v>
      </c>
      <c r="I67" s="17">
        <f t="shared" si="10"/>
        <v>446.03000000000003</v>
      </c>
      <c r="J67" s="75"/>
      <c r="L67" s="24"/>
      <c r="M67" s="25"/>
      <c r="N67" s="26"/>
    </row>
    <row r="68" spans="1:14" ht="18.75" hidden="1" customHeight="1">
      <c r="A68" s="67">
        <v>29</v>
      </c>
      <c r="B68" s="92" t="s">
        <v>100</v>
      </c>
      <c r="C68" s="21" t="s">
        <v>31</v>
      </c>
      <c r="D68" s="19"/>
      <c r="E68" s="77">
        <v>9.4</v>
      </c>
      <c r="F68" s="17">
        <f>SUM(E68)</f>
        <v>9.4</v>
      </c>
      <c r="G68" s="17">
        <v>44.27</v>
      </c>
      <c r="H68" s="80">
        <f t="shared" si="9"/>
        <v>0.41613800000000001</v>
      </c>
      <c r="I68" s="17">
        <f t="shared" si="10"/>
        <v>416.13800000000003</v>
      </c>
      <c r="J68" s="75"/>
      <c r="L68" s="24"/>
      <c r="M68" s="25"/>
      <c r="N68" s="26"/>
    </row>
    <row r="69" spans="1:14" ht="18" hidden="1" customHeight="1">
      <c r="A69" s="67">
        <v>19</v>
      </c>
      <c r="B69" s="19" t="s">
        <v>55</v>
      </c>
      <c r="C69" s="21" t="s">
        <v>56</v>
      </c>
      <c r="D69" s="19" t="s">
        <v>52</v>
      </c>
      <c r="E69" s="23">
        <v>2</v>
      </c>
      <c r="F69" s="17">
        <f>SUM(E69)</f>
        <v>2</v>
      </c>
      <c r="G69" s="17">
        <v>62.07</v>
      </c>
      <c r="H69" s="80">
        <f t="shared" si="9"/>
        <v>0.12414</v>
      </c>
      <c r="I69" s="17">
        <f>G69*2</f>
        <v>124.14</v>
      </c>
      <c r="J69" s="75"/>
      <c r="L69" s="24"/>
      <c r="M69" s="25"/>
      <c r="N69" s="26"/>
    </row>
    <row r="70" spans="1:14" ht="18" customHeight="1">
      <c r="A70" s="67"/>
      <c r="B70" s="71" t="s">
        <v>181</v>
      </c>
      <c r="C70" s="21"/>
      <c r="D70" s="19"/>
      <c r="E70" s="23"/>
      <c r="F70" s="17"/>
      <c r="G70" s="17"/>
      <c r="H70" s="80"/>
      <c r="I70" s="17"/>
      <c r="J70" s="75"/>
      <c r="L70" s="24"/>
      <c r="M70" s="25"/>
      <c r="N70" s="26"/>
    </row>
    <row r="71" spans="1:14" ht="27" customHeight="1">
      <c r="A71" s="68">
        <v>12</v>
      </c>
      <c r="B71" s="19" t="s">
        <v>81</v>
      </c>
      <c r="C71" s="31" t="s">
        <v>101</v>
      </c>
      <c r="D71" s="19"/>
      <c r="E71" s="23">
        <v>2549.5</v>
      </c>
      <c r="F71" s="17">
        <f>SUM(E71*12)</f>
        <v>30594</v>
      </c>
      <c r="G71" s="17">
        <v>2.16</v>
      </c>
      <c r="H71" s="80">
        <f t="shared" si="9"/>
        <v>66.083040000000011</v>
      </c>
      <c r="I71" s="17">
        <f>F71/12*G71</f>
        <v>5506.92</v>
      </c>
      <c r="J71" s="75"/>
      <c r="L71" s="24"/>
      <c r="M71" s="25"/>
      <c r="N71" s="26"/>
    </row>
    <row r="72" spans="1:14" ht="21.75" hidden="1" customHeight="1">
      <c r="A72" s="61"/>
      <c r="B72" s="71" t="s">
        <v>102</v>
      </c>
      <c r="C72" s="71"/>
      <c r="D72" s="71"/>
      <c r="E72" s="71"/>
      <c r="F72" s="71"/>
      <c r="G72" s="71"/>
      <c r="H72" s="71"/>
      <c r="I72" s="23"/>
      <c r="J72" s="75"/>
      <c r="L72" s="24"/>
      <c r="M72" s="25"/>
      <c r="N72" s="26"/>
    </row>
    <row r="73" spans="1:14" ht="19.5" hidden="1" customHeight="1">
      <c r="A73" s="31">
        <v>14</v>
      </c>
      <c r="B73" s="69" t="s">
        <v>103</v>
      </c>
      <c r="C73" s="21"/>
      <c r="D73" s="19"/>
      <c r="E73" s="94"/>
      <c r="F73" s="17">
        <v>1</v>
      </c>
      <c r="G73" s="17">
        <v>5290</v>
      </c>
      <c r="H73" s="80">
        <f>G73*F73/1000</f>
        <v>5.29</v>
      </c>
      <c r="I73" s="17">
        <f>G73</f>
        <v>5290</v>
      </c>
      <c r="J73" s="75"/>
      <c r="L73" s="24"/>
      <c r="M73" s="25"/>
      <c r="N73" s="26"/>
    </row>
    <row r="74" spans="1:14" ht="24" hidden="1" customHeight="1">
      <c r="A74" s="68"/>
      <c r="B74" s="71" t="s">
        <v>64</v>
      </c>
      <c r="C74" s="21"/>
      <c r="D74" s="19"/>
      <c r="E74" s="16"/>
      <c r="F74" s="16"/>
      <c r="G74" s="31"/>
      <c r="H74" s="31"/>
      <c r="I74" s="64"/>
      <c r="J74" s="75"/>
      <c r="L74" s="24"/>
      <c r="M74" s="25"/>
      <c r="N74" s="26"/>
    </row>
    <row r="75" spans="1:14" ht="24" hidden="1" customHeight="1">
      <c r="A75" s="68">
        <v>16</v>
      </c>
      <c r="B75" s="19" t="s">
        <v>104</v>
      </c>
      <c r="C75" s="21" t="s">
        <v>105</v>
      </c>
      <c r="D75" s="19" t="s">
        <v>61</v>
      </c>
      <c r="E75" s="23">
        <v>1</v>
      </c>
      <c r="F75" s="17">
        <f>E75</f>
        <v>1</v>
      </c>
      <c r="G75" s="17">
        <v>976.4</v>
      </c>
      <c r="H75" s="80">
        <f t="shared" ref="H75:H77" si="11">SUM(F75*G75/1000)</f>
        <v>0.97639999999999993</v>
      </c>
      <c r="I75" s="17">
        <v>0</v>
      </c>
      <c r="J75" s="75"/>
      <c r="L75" s="24"/>
      <c r="M75" s="25"/>
      <c r="N75" s="26"/>
    </row>
    <row r="76" spans="1:14" ht="21.75" hidden="1" customHeight="1">
      <c r="A76" s="68"/>
      <c r="B76" s="19" t="s">
        <v>106</v>
      </c>
      <c r="C76" s="21" t="s">
        <v>107</v>
      </c>
      <c r="D76" s="19" t="s">
        <v>61</v>
      </c>
      <c r="E76" s="23">
        <v>1</v>
      </c>
      <c r="F76" s="17">
        <v>1</v>
      </c>
      <c r="G76" s="17">
        <v>735</v>
      </c>
      <c r="H76" s="80">
        <f t="shared" si="11"/>
        <v>0.73499999999999999</v>
      </c>
      <c r="I76" s="17">
        <v>0</v>
      </c>
      <c r="J76" s="75"/>
      <c r="L76" s="24"/>
      <c r="M76" s="25"/>
      <c r="N76" s="26"/>
    </row>
    <row r="77" spans="1:14" ht="21.75" hidden="1" customHeight="1">
      <c r="A77" s="68">
        <v>11</v>
      </c>
      <c r="B77" s="19" t="s">
        <v>65</v>
      </c>
      <c r="C77" s="21" t="s">
        <v>67</v>
      </c>
      <c r="D77" s="19" t="s">
        <v>61</v>
      </c>
      <c r="E77" s="23">
        <v>3</v>
      </c>
      <c r="F77" s="17">
        <v>0.3</v>
      </c>
      <c r="G77" s="17">
        <v>624.16999999999996</v>
      </c>
      <c r="H77" s="80">
        <f t="shared" si="11"/>
        <v>0.18725099999999997</v>
      </c>
      <c r="I77" s="17">
        <f>G77*0.2</f>
        <v>124.834</v>
      </c>
      <c r="J77" s="75"/>
      <c r="L77" s="24"/>
      <c r="M77" s="25"/>
      <c r="N77" s="26"/>
    </row>
    <row r="78" spans="1:14" ht="22.5" hidden="1" customHeight="1">
      <c r="A78" s="68"/>
      <c r="B78" s="19" t="s">
        <v>66</v>
      </c>
      <c r="C78" s="21" t="s">
        <v>29</v>
      </c>
      <c r="D78" s="19" t="s">
        <v>61</v>
      </c>
      <c r="E78" s="23">
        <v>1</v>
      </c>
      <c r="F78" s="93">
        <v>1</v>
      </c>
      <c r="G78" s="17">
        <v>1061.4100000000001</v>
      </c>
      <c r="H78" s="80">
        <f>F78*G78/1000</f>
        <v>1.0614100000000002</v>
      </c>
      <c r="I78" s="17">
        <v>0</v>
      </c>
      <c r="J78" s="75"/>
      <c r="L78" s="24"/>
      <c r="M78" s="25"/>
      <c r="N78" s="26"/>
    </row>
    <row r="79" spans="1:14" ht="18" hidden="1" customHeight="1">
      <c r="A79" s="68"/>
      <c r="B79" s="19" t="s">
        <v>82</v>
      </c>
      <c r="C79" s="21" t="s">
        <v>29</v>
      </c>
      <c r="D79" s="19" t="s">
        <v>61</v>
      </c>
      <c r="E79" s="23">
        <v>1</v>
      </c>
      <c r="F79" s="17">
        <v>1</v>
      </c>
      <c r="G79" s="17">
        <v>446.12</v>
      </c>
      <c r="H79" s="80">
        <f>G79*F79/1000</f>
        <v>0.44612000000000002</v>
      </c>
      <c r="I79" s="17">
        <v>0</v>
      </c>
      <c r="J79" s="75"/>
      <c r="L79" s="24"/>
      <c r="M79" s="25"/>
      <c r="N79" s="26"/>
    </row>
    <row r="80" spans="1:14" ht="17.25" hidden="1" customHeight="1">
      <c r="A80" s="68"/>
      <c r="B80" s="56" t="s">
        <v>68</v>
      </c>
      <c r="C80" s="44"/>
      <c r="D80" s="43"/>
      <c r="E80" s="23"/>
      <c r="F80" s="23"/>
      <c r="G80" s="42"/>
      <c r="H80" s="42"/>
      <c r="I80" s="64"/>
      <c r="J80" s="75"/>
      <c r="L80" s="24"/>
      <c r="M80" s="25"/>
      <c r="N80" s="26"/>
    </row>
    <row r="81" spans="1:14" ht="15.75" hidden="1" customHeight="1">
      <c r="A81" s="68"/>
      <c r="B81" s="57" t="s">
        <v>108</v>
      </c>
      <c r="C81" s="21" t="s">
        <v>69</v>
      </c>
      <c r="D81" s="19"/>
      <c r="E81" s="23"/>
      <c r="F81" s="17">
        <v>1</v>
      </c>
      <c r="G81" s="17">
        <v>3433.68</v>
      </c>
      <c r="H81" s="80">
        <f t="shared" ref="H81" si="12">SUM(F81*G81/1000)</f>
        <v>3.4336799999999998</v>
      </c>
      <c r="I81" s="17">
        <v>0</v>
      </c>
      <c r="J81" s="75"/>
      <c r="L81" s="24"/>
      <c r="M81" s="25"/>
      <c r="N81" s="26"/>
    </row>
    <row r="82" spans="1:14" ht="15.75" customHeight="1">
      <c r="A82" s="165" t="s">
        <v>148</v>
      </c>
      <c r="B82" s="166"/>
      <c r="C82" s="166"/>
      <c r="D82" s="166"/>
      <c r="E82" s="166"/>
      <c r="F82" s="166"/>
      <c r="G82" s="166"/>
      <c r="H82" s="166"/>
      <c r="I82" s="167"/>
      <c r="J82" s="75"/>
      <c r="L82" s="24"/>
      <c r="M82" s="25"/>
      <c r="N82" s="26"/>
    </row>
    <row r="83" spans="1:14" ht="15.75" customHeight="1">
      <c r="A83" s="68">
        <v>13</v>
      </c>
      <c r="B83" s="69" t="s">
        <v>123</v>
      </c>
      <c r="C83" s="21" t="s">
        <v>53</v>
      </c>
      <c r="D83" s="19"/>
      <c r="E83" s="17">
        <v>2549.5</v>
      </c>
      <c r="F83" s="17">
        <f>SUM(E83*12)</f>
        <v>30594</v>
      </c>
      <c r="G83" s="17">
        <v>2.95</v>
      </c>
      <c r="H83" s="80">
        <f>SUM(F83*G83/1000)</f>
        <v>90.252300000000005</v>
      </c>
      <c r="I83" s="17">
        <f>F83/12*G83</f>
        <v>7521.0250000000005</v>
      </c>
      <c r="J83" s="75"/>
      <c r="L83" s="24"/>
      <c r="M83" s="25"/>
      <c r="N83" s="26"/>
    </row>
    <row r="84" spans="1:14" ht="31.5" customHeight="1">
      <c r="A84" s="31">
        <v>14</v>
      </c>
      <c r="B84" s="19" t="s">
        <v>70</v>
      </c>
      <c r="C84" s="21"/>
      <c r="D84" s="19"/>
      <c r="E84" s="77">
        <v>2549.5</v>
      </c>
      <c r="F84" s="17">
        <f>E84*12</f>
        <v>30594</v>
      </c>
      <c r="G84" s="17">
        <v>3.05</v>
      </c>
      <c r="H84" s="80">
        <f>F84*G84/1000</f>
        <v>93.311700000000002</v>
      </c>
      <c r="I84" s="17">
        <f>F84/12*G84</f>
        <v>7775.9749999999995</v>
      </c>
      <c r="J84" s="75"/>
      <c r="L84" s="24"/>
      <c r="M84" s="25"/>
      <c r="N84" s="26"/>
    </row>
    <row r="85" spans="1:14" ht="15.75" customHeight="1">
      <c r="A85" s="61"/>
      <c r="B85" s="45" t="s">
        <v>72</v>
      </c>
      <c r="C85" s="47"/>
      <c r="D85" s="20"/>
      <c r="E85" s="20"/>
      <c r="F85" s="20"/>
      <c r="G85" s="23"/>
      <c r="H85" s="23"/>
      <c r="I85" s="35">
        <f>I84+I83+I71+I63+I62+I57+I49+I41+I40+I38+I37+I18+I17+I16</f>
        <v>40306.605977500003</v>
      </c>
      <c r="J85" s="75"/>
      <c r="L85" s="24"/>
      <c r="M85" s="25"/>
      <c r="N85" s="26"/>
    </row>
    <row r="86" spans="1:14" ht="15.75" customHeight="1">
      <c r="A86" s="162" t="s">
        <v>57</v>
      </c>
      <c r="B86" s="163"/>
      <c r="C86" s="163"/>
      <c r="D86" s="163"/>
      <c r="E86" s="163"/>
      <c r="F86" s="163"/>
      <c r="G86" s="163"/>
      <c r="H86" s="163"/>
      <c r="I86" s="164"/>
      <c r="J86" s="75"/>
      <c r="L86" s="24"/>
      <c r="M86" s="25"/>
      <c r="N86" s="26"/>
    </row>
    <row r="87" spans="1:14" ht="15.75" customHeight="1">
      <c r="A87" s="31">
        <v>15</v>
      </c>
      <c r="B87" s="19" t="s">
        <v>154</v>
      </c>
      <c r="C87" s="21" t="s">
        <v>155</v>
      </c>
      <c r="D87" s="19"/>
      <c r="E87" s="23"/>
      <c r="F87" s="17">
        <v>96</v>
      </c>
      <c r="G87" s="17">
        <v>1.4</v>
      </c>
      <c r="H87" s="17">
        <f>F87*G87/1000</f>
        <v>0.13439999999999996</v>
      </c>
      <c r="I87" s="17">
        <f>G87*48</f>
        <v>67.199999999999989</v>
      </c>
      <c r="J87" s="75"/>
      <c r="L87" s="24"/>
      <c r="M87" s="25"/>
      <c r="N87" s="26"/>
    </row>
    <row r="88" spans="1:14" ht="33.75" customHeight="1">
      <c r="A88" s="31">
        <v>16</v>
      </c>
      <c r="B88" s="117" t="s">
        <v>160</v>
      </c>
      <c r="C88" s="118" t="s">
        <v>28</v>
      </c>
      <c r="D88" s="43"/>
      <c r="E88" s="22"/>
      <c r="F88" s="41">
        <f>98/3</f>
        <v>32.666666666666664</v>
      </c>
      <c r="G88" s="135">
        <v>21369.24</v>
      </c>
      <c r="H88" s="115">
        <f t="shared" ref="H88" si="13">G88*F88/1000</f>
        <v>698.06183999999996</v>
      </c>
      <c r="I88" s="96">
        <f>G88*0.599*8/1000</f>
        <v>102.40139807999999</v>
      </c>
      <c r="J88" s="75"/>
      <c r="L88" s="24"/>
      <c r="M88" s="25"/>
      <c r="N88" s="26"/>
    </row>
    <row r="89" spans="1:14" ht="16.5" customHeight="1">
      <c r="A89" s="31">
        <v>17</v>
      </c>
      <c r="B89" s="117" t="s">
        <v>281</v>
      </c>
      <c r="C89" s="118" t="s">
        <v>96</v>
      </c>
      <c r="D89" s="43"/>
      <c r="E89" s="22"/>
      <c r="F89" s="41">
        <v>3</v>
      </c>
      <c r="G89" s="41">
        <v>224.48</v>
      </c>
      <c r="H89" s="115"/>
      <c r="I89" s="96">
        <f>G89*1</f>
        <v>224.48</v>
      </c>
      <c r="J89" s="75"/>
      <c r="L89" s="24"/>
      <c r="M89" s="25"/>
      <c r="N89" s="26"/>
    </row>
    <row r="90" spans="1:14" ht="31.5" customHeight="1">
      <c r="A90" s="31">
        <v>18</v>
      </c>
      <c r="B90" s="117" t="s">
        <v>83</v>
      </c>
      <c r="C90" s="118" t="s">
        <v>84</v>
      </c>
      <c r="D90" s="43" t="s">
        <v>303</v>
      </c>
      <c r="E90" s="22"/>
      <c r="F90" s="41">
        <v>4</v>
      </c>
      <c r="G90" s="41">
        <v>697.33</v>
      </c>
      <c r="H90" s="115"/>
      <c r="I90" s="96">
        <f>G90*1</f>
        <v>697.33</v>
      </c>
      <c r="J90" s="75"/>
      <c r="L90" s="24"/>
      <c r="M90" s="25"/>
      <c r="N90" s="26"/>
    </row>
    <row r="91" spans="1:14" ht="33.75" customHeight="1">
      <c r="A91" s="31">
        <v>19</v>
      </c>
      <c r="B91" s="117" t="s">
        <v>194</v>
      </c>
      <c r="C91" s="118" t="s">
        <v>84</v>
      </c>
      <c r="D91" s="43" t="s">
        <v>303</v>
      </c>
      <c r="E91" s="22"/>
      <c r="F91" s="41">
        <v>2</v>
      </c>
      <c r="G91" s="41">
        <v>949.97</v>
      </c>
      <c r="H91" s="115"/>
      <c r="I91" s="96">
        <f>G91*1</f>
        <v>949.97</v>
      </c>
      <c r="J91" s="75"/>
      <c r="L91" s="24"/>
      <c r="M91" s="25"/>
      <c r="N91" s="26"/>
    </row>
    <row r="92" spans="1:14" ht="30" customHeight="1">
      <c r="A92" s="31">
        <v>20</v>
      </c>
      <c r="B92" s="117" t="s">
        <v>288</v>
      </c>
      <c r="C92" s="118" t="s">
        <v>164</v>
      </c>
      <c r="D92" s="43" t="s">
        <v>304</v>
      </c>
      <c r="E92" s="22"/>
      <c r="F92" s="41">
        <v>2.5</v>
      </c>
      <c r="G92" s="41">
        <v>1478.55</v>
      </c>
      <c r="H92" s="115"/>
      <c r="I92" s="96">
        <f>G92*2</f>
        <v>2957.1</v>
      </c>
      <c r="J92" s="75"/>
      <c r="L92" s="24"/>
      <c r="M92" s="25"/>
      <c r="N92" s="26"/>
    </row>
    <row r="93" spans="1:14" ht="18" customHeight="1">
      <c r="A93" s="31">
        <v>21</v>
      </c>
      <c r="B93" s="117" t="s">
        <v>183</v>
      </c>
      <c r="C93" s="118" t="s">
        <v>38</v>
      </c>
      <c r="D93" s="43" t="s">
        <v>173</v>
      </c>
      <c r="E93" s="22"/>
      <c r="F93" s="41">
        <v>0.11</v>
      </c>
      <c r="G93" s="41">
        <v>28224.75</v>
      </c>
      <c r="H93" s="115"/>
      <c r="I93" s="96">
        <v>0</v>
      </c>
      <c r="J93" s="75"/>
      <c r="L93" s="24"/>
      <c r="M93" s="25"/>
      <c r="N93" s="26"/>
    </row>
    <row r="94" spans="1:14" ht="21.75" customHeight="1">
      <c r="A94" s="31">
        <v>22</v>
      </c>
      <c r="B94" s="117" t="s">
        <v>197</v>
      </c>
      <c r="C94" s="118" t="s">
        <v>184</v>
      </c>
      <c r="D94" s="43" t="s">
        <v>203</v>
      </c>
      <c r="E94" s="22"/>
      <c r="F94" s="41">
        <v>0.04</v>
      </c>
      <c r="G94" s="41">
        <v>17026.400000000001</v>
      </c>
      <c r="H94" s="115"/>
      <c r="I94" s="96">
        <f>G94*0.02</f>
        <v>340.52800000000002</v>
      </c>
      <c r="J94" s="75"/>
      <c r="L94" s="24"/>
      <c r="M94" s="25"/>
      <c r="N94" s="26"/>
    </row>
    <row r="95" spans="1:14" ht="18.75" customHeight="1">
      <c r="A95" s="31">
        <v>23</v>
      </c>
      <c r="B95" s="117" t="s">
        <v>198</v>
      </c>
      <c r="C95" s="118" t="s">
        <v>96</v>
      </c>
      <c r="D95" s="43" t="s">
        <v>305</v>
      </c>
      <c r="E95" s="22"/>
      <c r="F95" s="41">
        <v>7</v>
      </c>
      <c r="G95" s="41">
        <v>218.81</v>
      </c>
      <c r="H95" s="115"/>
      <c r="I95" s="96">
        <v>0</v>
      </c>
      <c r="J95" s="75"/>
      <c r="L95" s="24"/>
      <c r="M95" s="25"/>
      <c r="N95" s="26"/>
    </row>
    <row r="96" spans="1:14" ht="16.5" customHeight="1">
      <c r="A96" s="31">
        <v>24</v>
      </c>
      <c r="B96" s="117" t="s">
        <v>199</v>
      </c>
      <c r="C96" s="118" t="s">
        <v>96</v>
      </c>
      <c r="D96" s="43" t="s">
        <v>221</v>
      </c>
      <c r="E96" s="22"/>
      <c r="F96" s="41">
        <v>5</v>
      </c>
      <c r="G96" s="41">
        <v>101.85</v>
      </c>
      <c r="H96" s="115"/>
      <c r="I96" s="96">
        <v>0</v>
      </c>
      <c r="J96" s="75"/>
      <c r="L96" s="24"/>
      <c r="M96" s="25"/>
      <c r="N96" s="26"/>
    </row>
    <row r="97" spans="1:22" ht="16.5" customHeight="1">
      <c r="A97" s="31">
        <v>25</v>
      </c>
      <c r="B97" s="117" t="s">
        <v>306</v>
      </c>
      <c r="C97" s="118" t="s">
        <v>84</v>
      </c>
      <c r="D97" s="43" t="s">
        <v>307</v>
      </c>
      <c r="E97" s="22"/>
      <c r="F97" s="41">
        <v>1</v>
      </c>
      <c r="G97" s="41">
        <v>10008.57</v>
      </c>
      <c r="H97" s="115"/>
      <c r="I97" s="96">
        <f>G97*1</f>
        <v>10008.57</v>
      </c>
      <c r="J97" s="75"/>
      <c r="L97" s="24"/>
      <c r="M97" s="25"/>
      <c r="N97" s="26"/>
    </row>
    <row r="98" spans="1:22" ht="16.5" customHeight="1">
      <c r="A98" s="31">
        <v>26</v>
      </c>
      <c r="B98" s="136" t="s">
        <v>212</v>
      </c>
      <c r="C98" s="31" t="s">
        <v>157</v>
      </c>
      <c r="D98" s="144">
        <v>44560</v>
      </c>
      <c r="E98" s="22"/>
      <c r="F98" s="41">
        <v>1</v>
      </c>
      <c r="G98" s="41">
        <v>3537.07</v>
      </c>
      <c r="H98" s="115"/>
      <c r="I98" s="96">
        <f>G98*0.5</f>
        <v>1768.5350000000001</v>
      </c>
      <c r="J98" s="75"/>
      <c r="L98" s="24"/>
      <c r="M98" s="25"/>
      <c r="N98" s="26"/>
    </row>
    <row r="99" spans="1:22" ht="15.75" customHeight="1">
      <c r="A99" s="31"/>
      <c r="B99" s="52" t="s">
        <v>50</v>
      </c>
      <c r="C99" s="48"/>
      <c r="D99" s="62"/>
      <c r="E99" s="48">
        <v>1</v>
      </c>
      <c r="F99" s="48"/>
      <c r="G99" s="48"/>
      <c r="H99" s="48"/>
      <c r="I99" s="35">
        <f>SUM(I87:I98)</f>
        <v>17116.114398080001</v>
      </c>
      <c r="J99" s="75"/>
      <c r="L99" s="24"/>
      <c r="M99" s="25"/>
      <c r="N99" s="26"/>
    </row>
    <row r="100" spans="1:22" ht="15.75" customHeight="1">
      <c r="A100" s="31"/>
      <c r="B100" s="57" t="s">
        <v>71</v>
      </c>
      <c r="C100" s="20"/>
      <c r="D100" s="20"/>
      <c r="E100" s="49"/>
      <c r="F100" s="49"/>
      <c r="G100" s="50"/>
      <c r="H100" s="50"/>
      <c r="I100" s="22">
        <v>0</v>
      </c>
      <c r="J100" s="75"/>
      <c r="L100" s="24"/>
      <c r="M100" s="25"/>
      <c r="N100" s="26"/>
    </row>
    <row r="101" spans="1:22" ht="15.75" customHeight="1">
      <c r="A101" s="63"/>
      <c r="B101" s="53" t="s">
        <v>149</v>
      </c>
      <c r="C101" s="39"/>
      <c r="D101" s="39"/>
      <c r="E101" s="39"/>
      <c r="F101" s="39"/>
      <c r="G101" s="39"/>
      <c r="H101" s="39"/>
      <c r="I101" s="51">
        <f>I85+I99</f>
        <v>57422.72037558</v>
      </c>
      <c r="J101" s="75"/>
      <c r="L101" s="24"/>
    </row>
    <row r="102" spans="1:22" ht="15.75">
      <c r="A102" s="157" t="s">
        <v>308</v>
      </c>
      <c r="B102" s="157"/>
      <c r="C102" s="157"/>
      <c r="D102" s="157"/>
      <c r="E102" s="157"/>
      <c r="F102" s="157"/>
      <c r="G102" s="157"/>
      <c r="H102" s="157"/>
      <c r="I102" s="157"/>
    </row>
    <row r="103" spans="1:22" ht="15.75">
      <c r="A103" s="12"/>
      <c r="B103" s="158" t="s">
        <v>309</v>
      </c>
      <c r="C103" s="158"/>
      <c r="D103" s="158"/>
      <c r="E103" s="158"/>
      <c r="F103" s="158"/>
      <c r="G103" s="158"/>
      <c r="H103" s="109"/>
      <c r="I103" s="4"/>
    </row>
    <row r="104" spans="1:22" ht="15.75">
      <c r="A104" s="70"/>
      <c r="B104" s="173" t="s">
        <v>6</v>
      </c>
      <c r="C104" s="173"/>
      <c r="D104" s="173"/>
      <c r="E104" s="173"/>
      <c r="F104" s="173"/>
      <c r="G104" s="173"/>
      <c r="H104" s="74"/>
      <c r="I104" s="59"/>
    </row>
    <row r="105" spans="1:22" ht="15.75" customHeight="1">
      <c r="A105" s="60"/>
      <c r="B105" s="60"/>
      <c r="C105" s="60"/>
      <c r="D105" s="60"/>
      <c r="E105" s="60"/>
      <c r="F105" s="60"/>
      <c r="G105" s="60"/>
      <c r="H105" s="60"/>
      <c r="I105" s="60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11"/>
    </row>
    <row r="106" spans="1:22" ht="15.75" customHeight="1">
      <c r="A106" s="174" t="s">
        <v>7</v>
      </c>
      <c r="B106" s="174"/>
      <c r="C106" s="174"/>
      <c r="D106" s="174"/>
      <c r="E106" s="174"/>
      <c r="F106" s="174"/>
      <c r="G106" s="174"/>
      <c r="H106" s="174"/>
      <c r="I106" s="174"/>
      <c r="J106" s="29"/>
      <c r="K106" s="29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2" ht="15.75">
      <c r="A107" s="174" t="s">
        <v>8</v>
      </c>
      <c r="B107" s="174"/>
      <c r="C107" s="174"/>
      <c r="D107" s="174"/>
      <c r="E107" s="174"/>
      <c r="F107" s="174"/>
      <c r="G107" s="174"/>
      <c r="H107" s="174"/>
      <c r="I107" s="174"/>
      <c r="J107" s="4"/>
      <c r="K107" s="4"/>
      <c r="L107" s="4"/>
      <c r="M107" s="4"/>
      <c r="N107" s="4"/>
      <c r="O107" s="4"/>
      <c r="P107" s="4"/>
      <c r="Q107" s="4"/>
      <c r="S107" s="4"/>
      <c r="T107" s="4"/>
      <c r="U107" s="4"/>
    </row>
    <row r="108" spans="1:22" ht="15.75">
      <c r="A108" s="157" t="s">
        <v>9</v>
      </c>
      <c r="B108" s="157"/>
      <c r="C108" s="157"/>
      <c r="D108" s="157"/>
      <c r="E108" s="157"/>
      <c r="F108" s="157"/>
      <c r="G108" s="157"/>
      <c r="H108" s="157"/>
      <c r="I108" s="157"/>
      <c r="J108" s="6"/>
      <c r="K108" s="6"/>
      <c r="L108" s="6"/>
      <c r="M108" s="6"/>
      <c r="N108" s="6"/>
      <c r="O108" s="6"/>
      <c r="P108" s="6"/>
      <c r="Q108" s="6"/>
      <c r="R108" s="155"/>
      <c r="S108" s="155"/>
      <c r="T108" s="155"/>
      <c r="U108" s="155"/>
    </row>
    <row r="109" spans="1:22" ht="15.75">
      <c r="A109" s="13"/>
      <c r="B109" s="58"/>
      <c r="C109" s="58"/>
      <c r="D109" s="58"/>
      <c r="E109" s="58"/>
      <c r="F109" s="58"/>
      <c r="G109" s="58"/>
      <c r="H109" s="58"/>
      <c r="I109" s="58"/>
    </row>
    <row r="110" spans="1:22" ht="15.75">
      <c r="A110" s="156" t="s">
        <v>10</v>
      </c>
      <c r="B110" s="156"/>
      <c r="C110" s="156"/>
      <c r="D110" s="156"/>
      <c r="E110" s="156"/>
      <c r="F110" s="156"/>
      <c r="G110" s="156"/>
      <c r="H110" s="156"/>
      <c r="I110" s="156"/>
    </row>
    <row r="111" spans="1:22" ht="15.75" customHeight="1">
      <c r="A111" s="5"/>
    </row>
    <row r="112" spans="1:22" ht="15.75">
      <c r="A112" s="157" t="s">
        <v>11</v>
      </c>
      <c r="B112" s="157"/>
      <c r="C112" s="175" t="s">
        <v>188</v>
      </c>
      <c r="D112" s="175"/>
      <c r="E112" s="175"/>
      <c r="F112" s="72"/>
      <c r="I112" s="107"/>
    </row>
    <row r="113" spans="1:9">
      <c r="A113" s="108"/>
      <c r="C113" s="171" t="s">
        <v>12</v>
      </c>
      <c r="D113" s="171"/>
      <c r="E113" s="171"/>
      <c r="F113" s="28"/>
      <c r="I113" s="105" t="s">
        <v>13</v>
      </c>
    </row>
    <row r="114" spans="1:9" ht="15.75">
      <c r="A114" s="29"/>
      <c r="C114" s="14"/>
      <c r="D114" s="14"/>
      <c r="G114" s="14"/>
      <c r="H114" s="14"/>
    </row>
    <row r="115" spans="1:9" ht="15.75" customHeight="1">
      <c r="A115" s="157" t="s">
        <v>14</v>
      </c>
      <c r="B115" s="157"/>
      <c r="C115" s="172"/>
      <c r="D115" s="172"/>
      <c r="E115" s="172"/>
      <c r="F115" s="73"/>
      <c r="I115" s="107"/>
    </row>
    <row r="116" spans="1:9">
      <c r="A116" s="108"/>
      <c r="C116" s="155" t="s">
        <v>12</v>
      </c>
      <c r="D116" s="155"/>
      <c r="E116" s="155"/>
      <c r="F116" s="108"/>
      <c r="I116" s="105" t="s">
        <v>13</v>
      </c>
    </row>
    <row r="117" spans="1:9" ht="15.75">
      <c r="A117" s="5" t="s">
        <v>15</v>
      </c>
    </row>
    <row r="118" spans="1:9">
      <c r="A118" s="176" t="s">
        <v>16</v>
      </c>
      <c r="B118" s="176"/>
      <c r="C118" s="176"/>
      <c r="D118" s="176"/>
      <c r="E118" s="176"/>
      <c r="F118" s="176"/>
      <c r="G118" s="176"/>
      <c r="H118" s="176"/>
      <c r="I118" s="176"/>
    </row>
    <row r="119" spans="1:9" ht="45" customHeight="1">
      <c r="A119" s="177" t="s">
        <v>17</v>
      </c>
      <c r="B119" s="177"/>
      <c r="C119" s="177"/>
      <c r="D119" s="177"/>
      <c r="E119" s="177"/>
      <c r="F119" s="177"/>
      <c r="G119" s="177"/>
      <c r="H119" s="177"/>
      <c r="I119" s="177"/>
    </row>
    <row r="120" spans="1:9" ht="30" customHeight="1">
      <c r="A120" s="177" t="s">
        <v>18</v>
      </c>
      <c r="B120" s="177"/>
      <c r="C120" s="177"/>
      <c r="D120" s="177"/>
      <c r="E120" s="177"/>
      <c r="F120" s="177"/>
      <c r="G120" s="177"/>
      <c r="H120" s="177"/>
      <c r="I120" s="177"/>
    </row>
    <row r="121" spans="1:9" ht="30" customHeight="1">
      <c r="A121" s="177" t="s">
        <v>22</v>
      </c>
      <c r="B121" s="177"/>
      <c r="C121" s="177"/>
      <c r="D121" s="177"/>
      <c r="E121" s="177"/>
      <c r="F121" s="177"/>
      <c r="G121" s="177"/>
      <c r="H121" s="177"/>
      <c r="I121" s="177"/>
    </row>
    <row r="122" spans="1:9" ht="15" customHeight="1">
      <c r="A122" s="177" t="s">
        <v>21</v>
      </c>
      <c r="B122" s="177"/>
      <c r="C122" s="177"/>
      <c r="D122" s="177"/>
      <c r="E122" s="177"/>
      <c r="F122" s="177"/>
      <c r="G122" s="177"/>
      <c r="H122" s="177"/>
      <c r="I122" s="177"/>
    </row>
    <row r="124" spans="1:9">
      <c r="A124" s="15"/>
      <c r="B124" s="15"/>
      <c r="C124" s="15"/>
      <c r="D124" s="15"/>
      <c r="E124" s="15"/>
      <c r="F124" s="15"/>
      <c r="G124" s="15"/>
      <c r="H124" s="15"/>
    </row>
  </sheetData>
  <autoFilter ref="I15:I103"/>
  <mergeCells count="31">
    <mergeCell ref="A86:I86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5:I55"/>
    <mergeCell ref="A82:I82"/>
    <mergeCell ref="A102:I102"/>
    <mergeCell ref="B103:G103"/>
    <mergeCell ref="B104:G104"/>
    <mergeCell ref="A106:I106"/>
    <mergeCell ref="A107:I107"/>
    <mergeCell ref="A122:I122"/>
    <mergeCell ref="R108:U108"/>
    <mergeCell ref="A110:I110"/>
    <mergeCell ref="A112:B112"/>
    <mergeCell ref="C112:E112"/>
    <mergeCell ref="C113:E113"/>
    <mergeCell ref="A115:B115"/>
    <mergeCell ref="C115:E115"/>
    <mergeCell ref="A108:I108"/>
    <mergeCell ref="C116:E116"/>
    <mergeCell ref="A118:I118"/>
    <mergeCell ref="A119:I119"/>
    <mergeCell ref="A120:I120"/>
    <mergeCell ref="A121:I12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rowBreaks count="1" manualBreakCount="1">
    <brk id="109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2"/>
  <sheetViews>
    <sheetView topLeftCell="A55" workbookViewId="0">
      <selection activeCell="A85" sqref="A85:I8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159</v>
      </c>
      <c r="I1" s="32"/>
    </row>
    <row r="2" spans="1:15" s="58" customFormat="1" ht="15.75" customHeight="1">
      <c r="A2" s="30" t="s">
        <v>58</v>
      </c>
      <c r="J2" s="1"/>
      <c r="K2" s="1"/>
      <c r="L2" s="1"/>
      <c r="M2" s="1"/>
    </row>
    <row r="3" spans="1:15" s="58" customFormat="1" ht="15.75" customHeight="1">
      <c r="A3" s="150" t="s">
        <v>126</v>
      </c>
      <c r="B3" s="150"/>
      <c r="C3" s="150"/>
      <c r="D3" s="150"/>
      <c r="E3" s="150"/>
      <c r="F3" s="150"/>
      <c r="G3" s="150"/>
      <c r="H3" s="150"/>
      <c r="I3" s="150"/>
      <c r="J3" s="2"/>
      <c r="K3" s="2"/>
      <c r="L3" s="2"/>
      <c r="M3" s="2"/>
    </row>
    <row r="4" spans="1:15" s="58" customFormat="1" ht="31.5" customHeight="1">
      <c r="A4" s="151" t="s">
        <v>85</v>
      </c>
      <c r="B4" s="151"/>
      <c r="C4" s="151"/>
      <c r="D4" s="151"/>
      <c r="E4" s="151"/>
      <c r="F4" s="151"/>
      <c r="G4" s="151"/>
      <c r="H4" s="151"/>
      <c r="I4" s="151"/>
      <c r="J4" s="3"/>
      <c r="K4" s="3"/>
      <c r="L4" s="3"/>
      <c r="M4" s="3"/>
    </row>
    <row r="5" spans="1:15" s="58" customFormat="1" ht="15.75" customHeight="1">
      <c r="A5" s="150" t="s">
        <v>208</v>
      </c>
      <c r="B5" s="152"/>
      <c r="C5" s="152"/>
      <c r="D5" s="152"/>
      <c r="E5" s="152"/>
      <c r="F5" s="152"/>
      <c r="G5" s="152"/>
      <c r="H5" s="152"/>
      <c r="I5" s="152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138" t="s">
        <v>209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53" t="s">
        <v>187</v>
      </c>
      <c r="B8" s="153"/>
      <c r="C8" s="153"/>
      <c r="D8" s="153"/>
      <c r="E8" s="153"/>
      <c r="F8" s="153"/>
      <c r="G8" s="153"/>
      <c r="H8" s="153"/>
      <c r="I8" s="15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54" t="s">
        <v>158</v>
      </c>
      <c r="B10" s="154"/>
      <c r="C10" s="154"/>
      <c r="D10" s="154"/>
      <c r="E10" s="154"/>
      <c r="F10" s="154"/>
      <c r="G10" s="154"/>
      <c r="H10" s="154"/>
      <c r="I10" s="15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48" t="s">
        <v>139</v>
      </c>
      <c r="B14" s="149"/>
      <c r="C14" s="149"/>
      <c r="D14" s="149"/>
      <c r="E14" s="149"/>
      <c r="F14" s="149"/>
      <c r="G14" s="149"/>
      <c r="H14" s="149"/>
      <c r="I14" s="149"/>
      <c r="J14" s="114"/>
      <c r="K14" s="114"/>
      <c r="L14" s="10"/>
      <c r="M14" s="10"/>
      <c r="N14" s="10"/>
      <c r="O14" s="10"/>
    </row>
    <row r="15" spans="1:15" ht="15.75" customHeight="1">
      <c r="A15" s="145" t="s">
        <v>4</v>
      </c>
      <c r="B15" s="146"/>
      <c r="C15" s="146"/>
      <c r="D15" s="146"/>
      <c r="E15" s="146"/>
      <c r="F15" s="146"/>
      <c r="G15" s="146"/>
      <c r="H15" s="146"/>
      <c r="I15" s="147"/>
      <c r="J15" s="11"/>
      <c r="K15" s="11"/>
    </row>
    <row r="16" spans="1:15" ht="15.75" customHeight="1">
      <c r="A16" s="31">
        <v>1</v>
      </c>
      <c r="B16" s="69" t="s">
        <v>76</v>
      </c>
      <c r="C16" s="76" t="s">
        <v>86</v>
      </c>
      <c r="D16" s="69" t="s">
        <v>166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77</v>
      </c>
      <c r="C17" s="76" t="s">
        <v>86</v>
      </c>
      <c r="D17" s="69" t="s">
        <v>167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78</v>
      </c>
      <c r="C18" s="76" t="s">
        <v>86</v>
      </c>
      <c r="D18" s="69" t="s">
        <v>168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/>
      <c r="B19" s="69" t="s">
        <v>87</v>
      </c>
      <c r="C19" s="76" t="s">
        <v>88</v>
      </c>
      <c r="D19" s="69" t="s">
        <v>89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/>
      <c r="B20" s="69" t="s">
        <v>90</v>
      </c>
      <c r="C20" s="76" t="s">
        <v>86</v>
      </c>
      <c r="D20" s="69" t="s">
        <v>40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/>
      <c r="B21" s="69" t="s">
        <v>91</v>
      </c>
      <c r="C21" s="76" t="s">
        <v>86</v>
      </c>
      <c r="D21" s="69" t="s">
        <v>40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/>
      <c r="B22" s="69" t="s">
        <v>92</v>
      </c>
      <c r="C22" s="76" t="s">
        <v>51</v>
      </c>
      <c r="D22" s="69" t="s">
        <v>89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/>
      <c r="B23" s="69" t="s">
        <v>93</v>
      </c>
      <c r="C23" s="76" t="s">
        <v>51</v>
      </c>
      <c r="D23" s="69" t="s">
        <v>89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/>
      <c r="B24" s="69" t="s">
        <v>94</v>
      </c>
      <c r="C24" s="76" t="s">
        <v>51</v>
      </c>
      <c r="D24" s="82" t="s">
        <v>89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/>
      <c r="B25" s="69" t="s">
        <v>95</v>
      </c>
      <c r="C25" s="76" t="s">
        <v>51</v>
      </c>
      <c r="D25" s="69" t="s">
        <v>89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customHeight="1">
      <c r="A26" s="31">
        <v>4</v>
      </c>
      <c r="B26" s="37" t="s">
        <v>165</v>
      </c>
      <c r="C26" s="46" t="s">
        <v>155</v>
      </c>
      <c r="D26" s="37" t="s">
        <v>169</v>
      </c>
      <c r="E26" s="122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5" t="s">
        <v>75</v>
      </c>
      <c r="B27" s="146"/>
      <c r="C27" s="146"/>
      <c r="D27" s="146"/>
      <c r="E27" s="146"/>
      <c r="F27" s="146"/>
      <c r="G27" s="146"/>
      <c r="H27" s="146"/>
      <c r="I27" s="147"/>
      <c r="J27" s="27"/>
      <c r="K27" s="10"/>
      <c r="L27" s="10"/>
      <c r="M27" s="10"/>
    </row>
    <row r="28" spans="1:13" ht="15.75" hidden="1" customHeight="1">
      <c r="A28" s="47"/>
      <c r="B28" s="55" t="s">
        <v>136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hidden="1" customHeight="1">
      <c r="A29" s="68">
        <v>6</v>
      </c>
      <c r="B29" s="37" t="s">
        <v>140</v>
      </c>
      <c r="C29" s="46" t="s">
        <v>109</v>
      </c>
      <c r="D29" s="37" t="s">
        <v>137</v>
      </c>
      <c r="E29" s="101"/>
      <c r="F29" s="112"/>
      <c r="G29" s="36">
        <v>193.97</v>
      </c>
      <c r="H29" s="113"/>
      <c r="I29" s="95">
        <v>109.44</v>
      </c>
      <c r="J29" s="27"/>
      <c r="K29" s="10"/>
      <c r="L29" s="10"/>
      <c r="M29" s="10"/>
    </row>
    <row r="30" spans="1:13" ht="31.5" hidden="1" customHeight="1">
      <c r="A30" s="68">
        <v>7</v>
      </c>
      <c r="B30" s="37" t="s">
        <v>141</v>
      </c>
      <c r="C30" s="46" t="s">
        <v>109</v>
      </c>
      <c r="D30" s="37" t="s">
        <v>138</v>
      </c>
      <c r="E30" s="101"/>
      <c r="F30" s="112"/>
      <c r="G30" s="36">
        <v>321.82</v>
      </c>
      <c r="H30" s="113"/>
      <c r="I30" s="95">
        <v>272.36</v>
      </c>
      <c r="J30" s="27"/>
      <c r="K30" s="10"/>
      <c r="L30" s="10"/>
      <c r="M30" s="10"/>
    </row>
    <row r="31" spans="1:13" ht="15.75" hidden="1" customHeight="1">
      <c r="A31" s="68"/>
      <c r="B31" s="69" t="s">
        <v>27</v>
      </c>
      <c r="C31" s="76" t="s">
        <v>109</v>
      </c>
      <c r="D31" s="69" t="s">
        <v>52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ref="H31" si="2">SUM(F31*G31/1000)</f>
        <v>0.24466402799999998</v>
      </c>
      <c r="I31" s="17">
        <v>0</v>
      </c>
      <c r="J31" s="27"/>
      <c r="K31" s="10"/>
      <c r="L31" s="10"/>
      <c r="M31" s="10"/>
    </row>
    <row r="32" spans="1:13" ht="15.75" hidden="1" customHeight="1">
      <c r="A32" s="68">
        <v>8</v>
      </c>
      <c r="B32" s="37" t="s">
        <v>142</v>
      </c>
      <c r="C32" s="46" t="s">
        <v>29</v>
      </c>
      <c r="D32" s="37" t="s">
        <v>59</v>
      </c>
      <c r="E32" s="101"/>
      <c r="F32" s="112"/>
      <c r="G32" s="36">
        <v>70.540000000000006</v>
      </c>
      <c r="H32" s="113"/>
      <c r="I32" s="95">
        <v>303.70999999999998</v>
      </c>
      <c r="J32" s="27"/>
      <c r="K32" s="10"/>
      <c r="L32" s="10"/>
      <c r="M32" s="10"/>
    </row>
    <row r="33" spans="1:13" ht="15.75" hidden="1" customHeight="1">
      <c r="A33" s="68"/>
      <c r="B33" s="69" t="s">
        <v>60</v>
      </c>
      <c r="C33" s="76" t="s">
        <v>31</v>
      </c>
      <c r="D33" s="69" t="s">
        <v>61</v>
      </c>
      <c r="E33" s="77"/>
      <c r="F33" s="78">
        <v>1</v>
      </c>
      <c r="G33" s="78">
        <v>238.07</v>
      </c>
      <c r="H33" s="79">
        <f t="shared" ref="H33:H34" si="3">SUM(F33*G33/1000)</f>
        <v>0.23807</v>
      </c>
      <c r="I33" s="17">
        <v>0</v>
      </c>
      <c r="J33" s="27"/>
      <c r="K33" s="10"/>
      <c r="L33" s="10"/>
      <c r="M33" s="10"/>
    </row>
    <row r="34" spans="1:13" ht="15.75" hidden="1" customHeight="1">
      <c r="A34" s="68"/>
      <c r="B34" s="69" t="s">
        <v>110</v>
      </c>
      <c r="C34" s="76" t="s">
        <v>30</v>
      </c>
      <c r="D34" s="69" t="s">
        <v>61</v>
      </c>
      <c r="E34" s="77"/>
      <c r="F34" s="78">
        <v>1</v>
      </c>
      <c r="G34" s="78">
        <v>1413.96</v>
      </c>
      <c r="H34" s="79">
        <f t="shared" si="3"/>
        <v>1.4139600000000001</v>
      </c>
      <c r="I34" s="17">
        <v>0</v>
      </c>
      <c r="J34" s="27"/>
      <c r="K34" s="10"/>
      <c r="L34" s="10"/>
      <c r="M34" s="10"/>
    </row>
    <row r="35" spans="1:13" ht="15.75" customHeight="1">
      <c r="A35" s="47"/>
      <c r="B35" s="55" t="s">
        <v>5</v>
      </c>
      <c r="C35" s="47"/>
      <c r="D35" s="47"/>
      <c r="E35" s="16"/>
      <c r="F35" s="16"/>
      <c r="G35" s="18"/>
      <c r="H35" s="18"/>
      <c r="I35" s="64"/>
      <c r="J35" s="27"/>
      <c r="K35" s="10"/>
      <c r="L35" s="10"/>
      <c r="M35" s="10"/>
    </row>
    <row r="36" spans="1:13" ht="17.25" customHeight="1">
      <c r="A36" s="38">
        <v>5</v>
      </c>
      <c r="B36" s="69" t="s">
        <v>26</v>
      </c>
      <c r="C36" s="76" t="s">
        <v>30</v>
      </c>
      <c r="D36" s="69" t="s">
        <v>210</v>
      </c>
      <c r="E36" s="77"/>
      <c r="F36" s="78">
        <v>2</v>
      </c>
      <c r="G36" s="78">
        <v>1900.37</v>
      </c>
      <c r="H36" s="79">
        <f t="shared" ref="H36:H42" si="4">SUM(F36*G36/1000)</f>
        <v>3.8007399999999998</v>
      </c>
      <c r="I36" s="17">
        <f>G36*0.8</f>
        <v>1520.296</v>
      </c>
      <c r="J36" s="27"/>
      <c r="K36" s="10"/>
      <c r="L36" s="10"/>
      <c r="M36" s="10"/>
    </row>
    <row r="37" spans="1:13" ht="15.75" customHeight="1">
      <c r="A37" s="38">
        <v>6</v>
      </c>
      <c r="B37" s="69" t="s">
        <v>111</v>
      </c>
      <c r="C37" s="76" t="s">
        <v>28</v>
      </c>
      <c r="D37" s="69" t="s">
        <v>170</v>
      </c>
      <c r="E37" s="77">
        <v>65.099999999999994</v>
      </c>
      <c r="F37" s="78">
        <f>E37*24/1000</f>
        <v>1.5623999999999998</v>
      </c>
      <c r="G37" s="78">
        <v>2616.4899999999998</v>
      </c>
      <c r="H37" s="79">
        <f>G37*F37/1000</f>
        <v>4.0880039759999987</v>
      </c>
      <c r="I37" s="17">
        <f>F37/6*G37</f>
        <v>681.33399599999984</v>
      </c>
      <c r="J37" s="27"/>
      <c r="K37" s="10"/>
      <c r="L37" s="10"/>
      <c r="M37" s="10"/>
    </row>
    <row r="38" spans="1:13" ht="15.75" hidden="1" customHeight="1">
      <c r="A38" s="38"/>
      <c r="B38" s="69" t="s">
        <v>112</v>
      </c>
      <c r="C38" s="76" t="s">
        <v>113</v>
      </c>
      <c r="D38" s="69" t="s">
        <v>61</v>
      </c>
      <c r="E38" s="77"/>
      <c r="F38" s="78">
        <v>13</v>
      </c>
      <c r="G38" s="78">
        <v>226.84</v>
      </c>
      <c r="H38" s="79">
        <f>G38*F38/1000</f>
        <v>2.9489200000000002</v>
      </c>
      <c r="I38" s="17">
        <v>0</v>
      </c>
      <c r="J38" s="27"/>
      <c r="K38" s="10"/>
      <c r="L38" s="10"/>
      <c r="M38" s="10"/>
    </row>
    <row r="39" spans="1:13" ht="15.75" customHeight="1">
      <c r="A39" s="38">
        <v>7</v>
      </c>
      <c r="B39" s="69" t="s">
        <v>144</v>
      </c>
      <c r="C39" s="76" t="s">
        <v>28</v>
      </c>
      <c r="D39" s="69" t="s">
        <v>171</v>
      </c>
      <c r="E39" s="78">
        <v>65.099999999999994</v>
      </c>
      <c r="F39" s="78">
        <f>SUM(E39*155/1000)</f>
        <v>10.0905</v>
      </c>
      <c r="G39" s="78">
        <v>436.45</v>
      </c>
      <c r="H39" s="79">
        <f t="shared" si="4"/>
        <v>4.4039987250000001</v>
      </c>
      <c r="I39" s="17">
        <f>F39/6*G39</f>
        <v>733.99978750000002</v>
      </c>
      <c r="J39" s="27"/>
      <c r="K39" s="10"/>
      <c r="L39" s="10"/>
      <c r="M39" s="10"/>
    </row>
    <row r="40" spans="1:13" ht="47.25" customHeight="1">
      <c r="A40" s="38">
        <v>8</v>
      </c>
      <c r="B40" s="69" t="s">
        <v>74</v>
      </c>
      <c r="C40" s="76" t="s">
        <v>109</v>
      </c>
      <c r="D40" s="69" t="s">
        <v>170</v>
      </c>
      <c r="E40" s="78">
        <v>65.099999999999994</v>
      </c>
      <c r="F40" s="78">
        <f>SUM(E40*24/1000)</f>
        <v>1.5623999999999998</v>
      </c>
      <c r="G40" s="78">
        <v>7221.21</v>
      </c>
      <c r="H40" s="79">
        <f t="shared" si="4"/>
        <v>11.282418503999999</v>
      </c>
      <c r="I40" s="17">
        <f>F40/6*G40</f>
        <v>1880.4030839999998</v>
      </c>
      <c r="J40" s="27"/>
      <c r="K40" s="10"/>
      <c r="L40" s="10"/>
      <c r="M40" s="10"/>
    </row>
    <row r="41" spans="1:13" ht="15.75" hidden="1" customHeight="1">
      <c r="A41" s="38">
        <v>8</v>
      </c>
      <c r="B41" s="69" t="s">
        <v>116</v>
      </c>
      <c r="C41" s="76" t="s">
        <v>109</v>
      </c>
      <c r="D41" s="69" t="s">
        <v>172</v>
      </c>
      <c r="E41" s="78">
        <v>65.099999999999994</v>
      </c>
      <c r="F41" s="78">
        <f>SUM(E41*18/1000)</f>
        <v>1.1718</v>
      </c>
      <c r="G41" s="78">
        <v>533.45000000000005</v>
      </c>
      <c r="H41" s="79">
        <f t="shared" si="4"/>
        <v>0.62509671</v>
      </c>
      <c r="I41" s="17">
        <f>F41/7.5*G41</f>
        <v>83.346227999999996</v>
      </c>
      <c r="J41" s="27"/>
      <c r="K41" s="10"/>
      <c r="L41" s="10"/>
      <c r="M41" s="10"/>
    </row>
    <row r="42" spans="1:13" ht="15.75" hidden="1" customHeight="1">
      <c r="A42" s="38">
        <v>9</v>
      </c>
      <c r="B42" s="69" t="s">
        <v>62</v>
      </c>
      <c r="C42" s="76" t="s">
        <v>31</v>
      </c>
      <c r="D42" s="69"/>
      <c r="E42" s="77"/>
      <c r="F42" s="78">
        <v>0.4</v>
      </c>
      <c r="G42" s="78">
        <v>992.97</v>
      </c>
      <c r="H42" s="79">
        <f t="shared" si="4"/>
        <v>0.39718800000000004</v>
      </c>
      <c r="I42" s="17">
        <f>F42/7.5*G42</f>
        <v>52.958400000000005</v>
      </c>
      <c r="J42" s="27"/>
      <c r="K42" s="10"/>
      <c r="L42" s="10"/>
      <c r="M42" s="10"/>
    </row>
    <row r="43" spans="1:13" ht="15.75" customHeight="1">
      <c r="A43" s="168" t="s">
        <v>146</v>
      </c>
      <c r="B43" s="169"/>
      <c r="C43" s="169"/>
      <c r="D43" s="169"/>
      <c r="E43" s="169"/>
      <c r="F43" s="169"/>
      <c r="G43" s="169"/>
      <c r="H43" s="169"/>
      <c r="I43" s="170"/>
      <c r="J43" s="27"/>
      <c r="K43" s="10"/>
      <c r="L43" s="10"/>
      <c r="M43" s="10"/>
    </row>
    <row r="44" spans="1:13" ht="15.75" hidden="1" customHeight="1">
      <c r="A44" s="47">
        <v>16</v>
      </c>
      <c r="B44" s="69" t="s">
        <v>117</v>
      </c>
      <c r="C44" s="76" t="s">
        <v>109</v>
      </c>
      <c r="D44" s="69" t="s">
        <v>40</v>
      </c>
      <c r="E44" s="77">
        <v>1060.4000000000001</v>
      </c>
      <c r="F44" s="78">
        <f>SUM(E44*2/1000)</f>
        <v>2.1208</v>
      </c>
      <c r="G44" s="17">
        <v>1283.46</v>
      </c>
      <c r="H44" s="79">
        <f t="shared" ref="H44:H53" si="5">SUM(F44*G44/1000)</f>
        <v>2.721961968</v>
      </c>
      <c r="I44" s="17">
        <v>0</v>
      </c>
      <c r="J44" s="27"/>
      <c r="K44" s="10"/>
      <c r="L44" s="10"/>
      <c r="M44" s="10"/>
    </row>
    <row r="45" spans="1:13" ht="15.75" hidden="1" customHeight="1">
      <c r="A45" s="47">
        <v>19</v>
      </c>
      <c r="B45" s="69" t="s">
        <v>34</v>
      </c>
      <c r="C45" s="76" t="s">
        <v>109</v>
      </c>
      <c r="D45" s="69" t="s">
        <v>40</v>
      </c>
      <c r="E45" s="77">
        <v>1251.6199999999999</v>
      </c>
      <c r="F45" s="78">
        <f>SUM(E45*2/1000)</f>
        <v>2.5032399999999999</v>
      </c>
      <c r="G45" s="17">
        <v>1712.28</v>
      </c>
      <c r="H45" s="79">
        <f t="shared" si="5"/>
        <v>4.2862477871999998</v>
      </c>
      <c r="I45" s="17">
        <v>0</v>
      </c>
      <c r="J45" s="27"/>
      <c r="K45" s="10"/>
      <c r="L45" s="10"/>
      <c r="M45" s="10"/>
    </row>
    <row r="46" spans="1:13" ht="15.75" hidden="1" customHeight="1">
      <c r="A46" s="47">
        <v>20</v>
      </c>
      <c r="B46" s="69" t="s">
        <v>35</v>
      </c>
      <c r="C46" s="76" t="s">
        <v>109</v>
      </c>
      <c r="D46" s="69" t="s">
        <v>40</v>
      </c>
      <c r="E46" s="77">
        <v>1295.68</v>
      </c>
      <c r="F46" s="78">
        <f>SUM(E46*2/1000)</f>
        <v>2.5913600000000003</v>
      </c>
      <c r="G46" s="17">
        <v>1179.73</v>
      </c>
      <c r="H46" s="79">
        <f t="shared" si="5"/>
        <v>3.0571051328000003</v>
      </c>
      <c r="I46" s="17">
        <v>0</v>
      </c>
      <c r="J46" s="27"/>
      <c r="K46" s="10"/>
      <c r="L46" s="10"/>
      <c r="M46" s="10"/>
    </row>
    <row r="47" spans="1:13" ht="15.75" hidden="1" customHeight="1">
      <c r="A47" s="47">
        <v>17</v>
      </c>
      <c r="B47" s="69" t="s">
        <v>32</v>
      </c>
      <c r="C47" s="76" t="s">
        <v>33</v>
      </c>
      <c r="D47" s="69" t="s">
        <v>40</v>
      </c>
      <c r="E47" s="77">
        <v>85.84</v>
      </c>
      <c r="F47" s="78">
        <f>E47*2/100</f>
        <v>1.7168000000000001</v>
      </c>
      <c r="G47" s="17">
        <v>90.61</v>
      </c>
      <c r="H47" s="79">
        <f t="shared" si="5"/>
        <v>0.15555924799999998</v>
      </c>
      <c r="I47" s="17">
        <v>0</v>
      </c>
      <c r="J47" s="27"/>
      <c r="K47" s="10"/>
      <c r="L47" s="10"/>
      <c r="M47" s="10"/>
    </row>
    <row r="48" spans="1:13" ht="15.75" customHeight="1">
      <c r="A48" s="47">
        <v>9</v>
      </c>
      <c r="B48" s="69" t="s">
        <v>54</v>
      </c>
      <c r="C48" s="76" t="s">
        <v>109</v>
      </c>
      <c r="D48" s="69" t="s">
        <v>173</v>
      </c>
      <c r="E48" s="77">
        <v>2549.5</v>
      </c>
      <c r="F48" s="78">
        <f>SUM(E48*5/1000)</f>
        <v>12.7475</v>
      </c>
      <c r="G48" s="17">
        <v>1711.28</v>
      </c>
      <c r="H48" s="79">
        <f t="shared" si="5"/>
        <v>21.814541800000001</v>
      </c>
      <c r="I48" s="17">
        <f>F48/5*G48</f>
        <v>4362.9083600000004</v>
      </c>
      <c r="J48" s="27"/>
      <c r="K48" s="10"/>
      <c r="L48" s="10"/>
      <c r="M48" s="10"/>
    </row>
    <row r="49" spans="1:14" ht="31.5" hidden="1" customHeight="1">
      <c r="A49" s="47">
        <v>22</v>
      </c>
      <c r="B49" s="69" t="s">
        <v>118</v>
      </c>
      <c r="C49" s="76" t="s">
        <v>109</v>
      </c>
      <c r="D49" s="69" t="s">
        <v>40</v>
      </c>
      <c r="E49" s="77">
        <v>2549.5</v>
      </c>
      <c r="F49" s="78">
        <f>SUM(E49*2/1000)</f>
        <v>5.0990000000000002</v>
      </c>
      <c r="G49" s="17">
        <v>1510.06</v>
      </c>
      <c r="H49" s="79">
        <f t="shared" si="5"/>
        <v>7.6997959399999996</v>
      </c>
      <c r="I49" s="17">
        <v>0</v>
      </c>
      <c r="J49" s="27"/>
      <c r="K49" s="10"/>
      <c r="L49" s="10"/>
      <c r="M49" s="10"/>
    </row>
    <row r="50" spans="1:14" ht="31.5" hidden="1" customHeight="1">
      <c r="A50" s="47">
        <v>23</v>
      </c>
      <c r="B50" s="69" t="s">
        <v>119</v>
      </c>
      <c r="C50" s="76" t="s">
        <v>36</v>
      </c>
      <c r="D50" s="69" t="s">
        <v>40</v>
      </c>
      <c r="E50" s="77">
        <v>16</v>
      </c>
      <c r="F50" s="78">
        <f>SUM(E50*2/100)</f>
        <v>0.32</v>
      </c>
      <c r="G50" s="17">
        <v>3850.4</v>
      </c>
      <c r="H50" s="79">
        <f t="shared" si="5"/>
        <v>1.2321280000000001</v>
      </c>
      <c r="I50" s="17">
        <v>0</v>
      </c>
      <c r="J50" s="27"/>
      <c r="K50" s="10"/>
    </row>
    <row r="51" spans="1:14" ht="15.75" hidden="1" customHeight="1">
      <c r="A51" s="47">
        <v>24</v>
      </c>
      <c r="B51" s="69" t="s">
        <v>37</v>
      </c>
      <c r="C51" s="76" t="s">
        <v>38</v>
      </c>
      <c r="D51" s="69" t="s">
        <v>40</v>
      </c>
      <c r="E51" s="77">
        <v>1</v>
      </c>
      <c r="F51" s="78">
        <v>0.02</v>
      </c>
      <c r="G51" s="17">
        <v>7033.13</v>
      </c>
      <c r="H51" s="79">
        <f t="shared" si="5"/>
        <v>0.1406626</v>
      </c>
      <c r="I51" s="17">
        <v>0</v>
      </c>
      <c r="J51" s="75"/>
    </row>
    <row r="52" spans="1:14" ht="20.25" customHeight="1">
      <c r="A52" s="47">
        <v>10</v>
      </c>
      <c r="B52" s="69" t="s">
        <v>120</v>
      </c>
      <c r="C52" s="76" t="s">
        <v>96</v>
      </c>
      <c r="D52" s="121">
        <v>44228</v>
      </c>
      <c r="E52" s="77">
        <v>64</v>
      </c>
      <c r="F52" s="78">
        <f>E52*3</f>
        <v>192</v>
      </c>
      <c r="G52" s="17">
        <v>175.6</v>
      </c>
      <c r="H52" s="79">
        <f t="shared" si="5"/>
        <v>33.715199999999996</v>
      </c>
      <c r="I52" s="17">
        <f>E52*G52</f>
        <v>11238.4</v>
      </c>
      <c r="J52" s="75"/>
    </row>
    <row r="53" spans="1:14" ht="18" customHeight="1">
      <c r="A53" s="47">
        <v>11</v>
      </c>
      <c r="B53" s="69" t="s">
        <v>39</v>
      </c>
      <c r="C53" s="76" t="s">
        <v>96</v>
      </c>
      <c r="D53" s="121">
        <v>44228</v>
      </c>
      <c r="E53" s="77">
        <v>128</v>
      </c>
      <c r="F53" s="78">
        <f>SUM(E53)*3</f>
        <v>384</v>
      </c>
      <c r="G53" s="17">
        <v>81.73</v>
      </c>
      <c r="H53" s="79">
        <f t="shared" si="5"/>
        <v>31.384319999999999</v>
      </c>
      <c r="I53" s="17">
        <f>E53*G53</f>
        <v>10461.44</v>
      </c>
      <c r="J53" s="75"/>
    </row>
    <row r="54" spans="1:14" ht="15.75" customHeight="1">
      <c r="A54" s="159" t="s">
        <v>124</v>
      </c>
      <c r="B54" s="160"/>
      <c r="C54" s="160"/>
      <c r="D54" s="160"/>
      <c r="E54" s="160"/>
      <c r="F54" s="160"/>
      <c r="G54" s="160"/>
      <c r="H54" s="160"/>
      <c r="I54" s="161"/>
      <c r="J54" s="75"/>
    </row>
    <row r="55" spans="1:14" ht="15.75" customHeight="1">
      <c r="A55" s="100"/>
      <c r="B55" s="54" t="s">
        <v>41</v>
      </c>
      <c r="C55" s="21"/>
      <c r="D55" s="65"/>
      <c r="E55" s="16"/>
      <c r="F55" s="16"/>
      <c r="G55" s="31"/>
      <c r="H55" s="31"/>
      <c r="I55" s="64"/>
      <c r="J55" s="75"/>
    </row>
    <row r="56" spans="1:14" ht="34.5" customHeight="1">
      <c r="A56" s="47">
        <v>12</v>
      </c>
      <c r="B56" s="69" t="s">
        <v>121</v>
      </c>
      <c r="C56" s="76" t="s">
        <v>86</v>
      </c>
      <c r="D56" s="69"/>
      <c r="E56" s="77">
        <v>8</v>
      </c>
      <c r="F56" s="78">
        <f>SUM(E56*6/100)</f>
        <v>0.48</v>
      </c>
      <c r="G56" s="17">
        <v>2306.62</v>
      </c>
      <c r="H56" s="79">
        <f>SUM(F56*G56/1000)</f>
        <v>1.1071776</v>
      </c>
      <c r="I56" s="17">
        <f>G56*0.08</f>
        <v>184.52959999999999</v>
      </c>
      <c r="J56" s="75"/>
    </row>
    <row r="57" spans="1:14" ht="15.75" hidden="1" customHeight="1">
      <c r="A57" s="47">
        <v>13</v>
      </c>
      <c r="B57" s="88" t="s">
        <v>80</v>
      </c>
      <c r="C57" s="87" t="s">
        <v>30</v>
      </c>
      <c r="D57" s="88" t="s">
        <v>174</v>
      </c>
      <c r="E57" s="89"/>
      <c r="F57" s="90">
        <v>1</v>
      </c>
      <c r="G57" s="17">
        <v>1501</v>
      </c>
      <c r="H57" s="79">
        <f>SUM(F57*G57/1000)</f>
        <v>1.5009999999999999</v>
      </c>
      <c r="I57" s="17">
        <f>G57*1</f>
        <v>1501</v>
      </c>
      <c r="J57" s="75"/>
    </row>
    <row r="58" spans="1:14" ht="15.75" hidden="1" customHeight="1">
      <c r="A58" s="47"/>
      <c r="B58" s="71" t="s">
        <v>42</v>
      </c>
      <c r="C58" s="39"/>
      <c r="D58" s="39"/>
      <c r="E58" s="16"/>
      <c r="F58" s="16"/>
      <c r="G58" s="40"/>
      <c r="H58" s="40"/>
      <c r="I58" s="64"/>
      <c r="J58" s="75"/>
      <c r="L58" s="24"/>
      <c r="M58" s="25"/>
      <c r="N58" s="26"/>
    </row>
    <row r="59" spans="1:14" ht="15.75" hidden="1" customHeight="1">
      <c r="A59" s="47">
        <v>29</v>
      </c>
      <c r="B59" s="88" t="s">
        <v>43</v>
      </c>
      <c r="C59" s="87" t="s">
        <v>51</v>
      </c>
      <c r="D59" s="88" t="s">
        <v>52</v>
      </c>
      <c r="E59" s="89">
        <v>7.4</v>
      </c>
      <c r="F59" s="17">
        <f>SUM(E59/100)</f>
        <v>7.400000000000001E-2</v>
      </c>
      <c r="G59" s="17">
        <v>987.51</v>
      </c>
      <c r="H59" s="91">
        <f>F59*G59/1000</f>
        <v>7.3075740000000014E-2</v>
      </c>
      <c r="I59" s="17">
        <v>0</v>
      </c>
      <c r="J59" s="75"/>
      <c r="L59" s="24"/>
      <c r="M59" s="25"/>
      <c r="N59" s="26"/>
    </row>
    <row r="60" spans="1:14" ht="15.75" hidden="1" customHeight="1">
      <c r="A60" s="47"/>
      <c r="B60" s="71" t="s">
        <v>44</v>
      </c>
      <c r="C60" s="21"/>
      <c r="D60" s="66"/>
      <c r="E60" s="16"/>
      <c r="F60" s="16"/>
      <c r="G60" s="31"/>
      <c r="H60" s="31"/>
      <c r="I60" s="64"/>
      <c r="J60" s="75"/>
      <c r="L60" s="24"/>
      <c r="M60" s="25"/>
      <c r="N60" s="26"/>
    </row>
    <row r="61" spans="1:14" ht="15.75" hidden="1" customHeight="1">
      <c r="A61" s="47">
        <v>15</v>
      </c>
      <c r="B61" s="19" t="s">
        <v>45</v>
      </c>
      <c r="C61" s="21" t="s">
        <v>96</v>
      </c>
      <c r="D61" s="19" t="s">
        <v>61</v>
      </c>
      <c r="E61" s="23">
        <v>1</v>
      </c>
      <c r="F61" s="17">
        <f>SUM(E61)</f>
        <v>1</v>
      </c>
      <c r="G61" s="17">
        <v>276.74</v>
      </c>
      <c r="H61" s="80">
        <f t="shared" ref="H61:H70" si="6">SUM(F61*G61/1000)</f>
        <v>0.27673999999999999</v>
      </c>
      <c r="I61" s="17">
        <f>G61</f>
        <v>276.74</v>
      </c>
      <c r="J61" s="75"/>
      <c r="L61" s="24"/>
      <c r="M61" s="25"/>
      <c r="N61" s="26"/>
    </row>
    <row r="62" spans="1:14" ht="15.75" hidden="1" customHeight="1">
      <c r="A62" s="67"/>
      <c r="B62" s="19" t="s">
        <v>46</v>
      </c>
      <c r="C62" s="21" t="s">
        <v>96</v>
      </c>
      <c r="D62" s="19" t="s">
        <v>61</v>
      </c>
      <c r="E62" s="23">
        <v>2</v>
      </c>
      <c r="F62" s="17">
        <f>SUM(E62)</f>
        <v>2</v>
      </c>
      <c r="G62" s="17">
        <v>94.89</v>
      </c>
      <c r="H62" s="80">
        <f t="shared" si="6"/>
        <v>0.18978</v>
      </c>
      <c r="I62" s="17">
        <v>0</v>
      </c>
      <c r="J62" s="75"/>
      <c r="L62" s="24"/>
      <c r="M62" s="25"/>
      <c r="N62" s="26"/>
    </row>
    <row r="63" spans="1:14" ht="15.75" hidden="1" customHeight="1">
      <c r="A63" s="67"/>
      <c r="B63" s="19" t="s">
        <v>47</v>
      </c>
      <c r="C63" s="21" t="s">
        <v>97</v>
      </c>
      <c r="D63" s="19" t="s">
        <v>52</v>
      </c>
      <c r="E63" s="77">
        <v>10052</v>
      </c>
      <c r="F63" s="17">
        <f>SUM(E63/100)</f>
        <v>100.52</v>
      </c>
      <c r="G63" s="17">
        <v>263.99</v>
      </c>
      <c r="H63" s="80">
        <f t="shared" si="6"/>
        <v>26.536274799999997</v>
      </c>
      <c r="I63" s="17">
        <v>0</v>
      </c>
      <c r="J63" s="75"/>
      <c r="L63" s="24"/>
      <c r="M63" s="25"/>
      <c r="N63" s="26"/>
    </row>
    <row r="64" spans="1:14" ht="15.75" hidden="1" customHeight="1">
      <c r="A64" s="67"/>
      <c r="B64" s="19" t="s">
        <v>48</v>
      </c>
      <c r="C64" s="21" t="s">
        <v>98</v>
      </c>
      <c r="D64" s="19"/>
      <c r="E64" s="77">
        <v>10052</v>
      </c>
      <c r="F64" s="17">
        <f>SUM(E64/1000)</f>
        <v>10.052</v>
      </c>
      <c r="G64" s="17">
        <v>205.57</v>
      </c>
      <c r="H64" s="80">
        <f t="shared" si="6"/>
        <v>2.0663896399999997</v>
      </c>
      <c r="I64" s="17">
        <v>0</v>
      </c>
      <c r="J64" s="75"/>
      <c r="L64" s="24"/>
      <c r="M64" s="25"/>
      <c r="N64" s="26"/>
    </row>
    <row r="65" spans="1:14" ht="15.75" hidden="1" customHeight="1">
      <c r="A65" s="67"/>
      <c r="B65" s="19" t="s">
        <v>49</v>
      </c>
      <c r="C65" s="21" t="s">
        <v>69</v>
      </c>
      <c r="D65" s="19" t="s">
        <v>52</v>
      </c>
      <c r="E65" s="77">
        <v>2200</v>
      </c>
      <c r="F65" s="17">
        <f>SUM(E65/100)</f>
        <v>22</v>
      </c>
      <c r="G65" s="17">
        <v>2581.5300000000002</v>
      </c>
      <c r="H65" s="80">
        <f t="shared" si="6"/>
        <v>56.793660000000003</v>
      </c>
      <c r="I65" s="17">
        <v>0</v>
      </c>
      <c r="J65" s="75"/>
      <c r="L65" s="24"/>
      <c r="M65" s="25"/>
      <c r="N65" s="26"/>
    </row>
    <row r="66" spans="1:14" ht="15.75" hidden="1" customHeight="1">
      <c r="A66" s="67"/>
      <c r="B66" s="92" t="s">
        <v>99</v>
      </c>
      <c r="C66" s="21" t="s">
        <v>31</v>
      </c>
      <c r="D66" s="19"/>
      <c r="E66" s="77">
        <v>9.4</v>
      </c>
      <c r="F66" s="17">
        <f>SUM(E66)</f>
        <v>9.4</v>
      </c>
      <c r="G66" s="17">
        <v>47.45</v>
      </c>
      <c r="H66" s="80">
        <f t="shared" si="6"/>
        <v>0.44603000000000004</v>
      </c>
      <c r="I66" s="17">
        <v>0</v>
      </c>
      <c r="J66" s="75"/>
      <c r="L66" s="24"/>
      <c r="M66" s="25"/>
      <c r="N66" s="26"/>
    </row>
    <row r="67" spans="1:14" ht="15.75" hidden="1" customHeight="1">
      <c r="A67" s="67"/>
      <c r="B67" s="92" t="s">
        <v>100</v>
      </c>
      <c r="C67" s="21" t="s">
        <v>31</v>
      </c>
      <c r="D67" s="19"/>
      <c r="E67" s="77">
        <v>9.4</v>
      </c>
      <c r="F67" s="17">
        <f>SUM(E67)</f>
        <v>9.4</v>
      </c>
      <c r="G67" s="17">
        <v>44.27</v>
      </c>
      <c r="H67" s="80">
        <f t="shared" si="6"/>
        <v>0.41613800000000001</v>
      </c>
      <c r="I67" s="17">
        <v>0</v>
      </c>
      <c r="J67" s="75"/>
      <c r="L67" s="24"/>
      <c r="M67" s="25"/>
      <c r="N67" s="26"/>
    </row>
    <row r="68" spans="1:14" ht="15.75" hidden="1" customHeight="1">
      <c r="A68" s="67"/>
      <c r="B68" s="19" t="s">
        <v>55</v>
      </c>
      <c r="C68" s="21" t="s">
        <v>56</v>
      </c>
      <c r="D68" s="19" t="s">
        <v>52</v>
      </c>
      <c r="E68" s="23">
        <v>2</v>
      </c>
      <c r="F68" s="17">
        <f>SUM(E68)</f>
        <v>2</v>
      </c>
      <c r="G68" s="17">
        <v>62.07</v>
      </c>
      <c r="H68" s="80">
        <f t="shared" si="6"/>
        <v>0.12414</v>
      </c>
      <c r="I68" s="17">
        <v>0</v>
      </c>
      <c r="J68" s="75"/>
      <c r="L68" s="24"/>
      <c r="M68" s="25"/>
      <c r="N68" s="26"/>
    </row>
    <row r="69" spans="1:14" ht="15.75" customHeight="1">
      <c r="A69" s="67"/>
      <c r="B69" s="61" t="s">
        <v>181</v>
      </c>
      <c r="C69" s="21"/>
      <c r="D69" s="19"/>
      <c r="E69" s="23"/>
      <c r="F69" s="17"/>
      <c r="G69" s="17"/>
      <c r="H69" s="80"/>
      <c r="I69" s="17"/>
      <c r="J69" s="75"/>
      <c r="L69" s="24"/>
      <c r="M69" s="25"/>
      <c r="N69" s="26"/>
    </row>
    <row r="70" spans="1:14" ht="18.75" customHeight="1">
      <c r="A70" s="68">
        <v>13</v>
      </c>
      <c r="B70" s="19" t="s">
        <v>81</v>
      </c>
      <c r="C70" s="31" t="s">
        <v>101</v>
      </c>
      <c r="D70" s="19"/>
      <c r="E70" s="23">
        <v>2549.5</v>
      </c>
      <c r="F70" s="17">
        <f>SUM(E70*12)</f>
        <v>30594</v>
      </c>
      <c r="G70" s="17">
        <v>2.16</v>
      </c>
      <c r="H70" s="80">
        <f t="shared" si="6"/>
        <v>66.083040000000011</v>
      </c>
      <c r="I70" s="17">
        <f>F70/12*G70</f>
        <v>5506.92</v>
      </c>
      <c r="J70" s="75"/>
      <c r="L70" s="24"/>
      <c r="M70" s="25"/>
      <c r="N70" s="26"/>
    </row>
    <row r="71" spans="1:14" ht="15.75" hidden="1" customHeight="1">
      <c r="A71" s="61"/>
      <c r="B71" s="71" t="s">
        <v>102</v>
      </c>
      <c r="C71" s="71"/>
      <c r="D71" s="71"/>
      <c r="E71" s="71"/>
      <c r="F71" s="71"/>
      <c r="G71" s="71"/>
      <c r="H71" s="71"/>
      <c r="I71" s="23"/>
      <c r="J71" s="75"/>
      <c r="L71" s="24"/>
      <c r="M71" s="25"/>
      <c r="N71" s="26"/>
    </row>
    <row r="72" spans="1:14" ht="15.75" hidden="1" customHeight="1">
      <c r="A72" s="31">
        <v>36</v>
      </c>
      <c r="B72" s="69" t="s">
        <v>103</v>
      </c>
      <c r="C72" s="21"/>
      <c r="D72" s="19"/>
      <c r="E72" s="94"/>
      <c r="F72" s="17">
        <v>1</v>
      </c>
      <c r="G72" s="17">
        <v>22720</v>
      </c>
      <c r="H72" s="80">
        <f>G72*F72/1000</f>
        <v>22.72</v>
      </c>
      <c r="I72" s="17">
        <v>0</v>
      </c>
      <c r="J72" s="75"/>
      <c r="L72" s="24"/>
      <c r="M72" s="25"/>
      <c r="N72" s="26"/>
    </row>
    <row r="73" spans="1:14" ht="15.75" hidden="1" customHeight="1">
      <c r="A73" s="68"/>
      <c r="B73" s="71" t="s">
        <v>64</v>
      </c>
      <c r="C73" s="21"/>
      <c r="D73" s="19"/>
      <c r="E73" s="16"/>
      <c r="F73" s="16"/>
      <c r="G73" s="31"/>
      <c r="H73" s="31"/>
      <c r="I73" s="64"/>
      <c r="J73" s="75"/>
      <c r="L73" s="24"/>
      <c r="M73" s="25"/>
      <c r="N73" s="26"/>
    </row>
    <row r="74" spans="1:14" ht="15.75" hidden="1" customHeight="1">
      <c r="A74" s="68">
        <v>16</v>
      </c>
      <c r="B74" s="19" t="s">
        <v>104</v>
      </c>
      <c r="C74" s="21" t="s">
        <v>105</v>
      </c>
      <c r="D74" s="19" t="s">
        <v>61</v>
      </c>
      <c r="E74" s="23">
        <v>1</v>
      </c>
      <c r="F74" s="17">
        <f>E74</f>
        <v>1</v>
      </c>
      <c r="G74" s="17">
        <v>976.4</v>
      </c>
      <c r="H74" s="80">
        <f t="shared" ref="H74:H76" si="7">SUM(F74*G74/1000)</f>
        <v>0.97639999999999993</v>
      </c>
      <c r="I74" s="17">
        <v>0</v>
      </c>
      <c r="J74" s="75"/>
      <c r="L74" s="24"/>
      <c r="M74" s="25"/>
      <c r="N74" s="26"/>
    </row>
    <row r="75" spans="1:14" ht="15.75" hidden="1" customHeight="1">
      <c r="A75" s="68"/>
      <c r="B75" s="19" t="s">
        <v>106</v>
      </c>
      <c r="C75" s="21" t="s">
        <v>107</v>
      </c>
      <c r="D75" s="19" t="s">
        <v>61</v>
      </c>
      <c r="E75" s="23">
        <v>1</v>
      </c>
      <c r="F75" s="17">
        <v>1</v>
      </c>
      <c r="G75" s="17">
        <v>735</v>
      </c>
      <c r="H75" s="80">
        <f t="shared" si="7"/>
        <v>0.73499999999999999</v>
      </c>
      <c r="I75" s="17">
        <v>0</v>
      </c>
      <c r="J75" s="75"/>
      <c r="L75" s="24"/>
      <c r="M75" s="25"/>
      <c r="N75" s="26"/>
    </row>
    <row r="76" spans="1:14" ht="15.75" hidden="1" customHeight="1">
      <c r="A76" s="68">
        <v>11</v>
      </c>
      <c r="B76" s="19" t="s">
        <v>65</v>
      </c>
      <c r="C76" s="21" t="s">
        <v>67</v>
      </c>
      <c r="D76" s="19" t="s">
        <v>61</v>
      </c>
      <c r="E76" s="23">
        <v>3</v>
      </c>
      <c r="F76" s="17">
        <v>0.3</v>
      </c>
      <c r="G76" s="17">
        <v>624.16999999999996</v>
      </c>
      <c r="H76" s="80">
        <f t="shared" si="7"/>
        <v>0.18725099999999997</v>
      </c>
      <c r="I76" s="17">
        <f>G76*0.2</f>
        <v>124.834</v>
      </c>
      <c r="J76" s="75"/>
      <c r="L76" s="24"/>
      <c r="M76" s="25"/>
      <c r="N76" s="26"/>
    </row>
    <row r="77" spans="1:14" ht="15.75" hidden="1" customHeight="1">
      <c r="A77" s="68"/>
      <c r="B77" s="19" t="s">
        <v>66</v>
      </c>
      <c r="C77" s="21" t="s">
        <v>29</v>
      </c>
      <c r="D77" s="19" t="s">
        <v>61</v>
      </c>
      <c r="E77" s="23">
        <v>1</v>
      </c>
      <c r="F77" s="93">
        <v>1</v>
      </c>
      <c r="G77" s="17">
        <v>1061.4100000000001</v>
      </c>
      <c r="H77" s="80">
        <f>F77*G77/1000</f>
        <v>1.0614100000000002</v>
      </c>
      <c r="I77" s="17">
        <v>0</v>
      </c>
      <c r="J77" s="75"/>
      <c r="L77" s="24"/>
      <c r="M77" s="25"/>
      <c r="N77" s="26"/>
    </row>
    <row r="78" spans="1:14" ht="15.75" hidden="1" customHeight="1">
      <c r="A78" s="68"/>
      <c r="B78" s="19" t="s">
        <v>82</v>
      </c>
      <c r="C78" s="21" t="s">
        <v>29</v>
      </c>
      <c r="D78" s="19" t="s">
        <v>61</v>
      </c>
      <c r="E78" s="23">
        <v>1</v>
      </c>
      <c r="F78" s="17">
        <v>1</v>
      </c>
      <c r="G78" s="17">
        <v>446.12</v>
      </c>
      <c r="H78" s="80">
        <f>G78*F78/1000</f>
        <v>0.44612000000000002</v>
      </c>
      <c r="I78" s="17">
        <v>0</v>
      </c>
      <c r="J78" s="75"/>
      <c r="L78" s="24"/>
      <c r="M78" s="25"/>
      <c r="N78" s="26"/>
    </row>
    <row r="79" spans="1:14" ht="16.5" hidden="1" customHeight="1">
      <c r="A79" s="68"/>
      <c r="B79" s="56" t="s">
        <v>68</v>
      </c>
      <c r="C79" s="44"/>
      <c r="D79" s="43"/>
      <c r="E79" s="23"/>
      <c r="F79" s="23"/>
      <c r="G79" s="42"/>
      <c r="H79" s="42"/>
      <c r="I79" s="64"/>
      <c r="J79" s="75"/>
      <c r="L79" s="24"/>
      <c r="M79" s="25"/>
      <c r="N79" s="26"/>
    </row>
    <row r="80" spans="1:14" ht="17.25" hidden="1" customHeight="1">
      <c r="A80" s="68">
        <v>15</v>
      </c>
      <c r="B80" s="57" t="s">
        <v>108</v>
      </c>
      <c r="C80" s="21" t="s">
        <v>69</v>
      </c>
      <c r="D80" s="19"/>
      <c r="E80" s="23"/>
      <c r="F80" s="17">
        <v>1</v>
      </c>
      <c r="G80" s="17">
        <v>3433.68</v>
      </c>
      <c r="H80" s="80">
        <f t="shared" ref="H80" si="8">SUM(F80*G80/1000)</f>
        <v>3.4336799999999998</v>
      </c>
      <c r="I80" s="17">
        <f>G80*0.06</f>
        <v>206.02079999999998</v>
      </c>
      <c r="J80" s="75"/>
      <c r="L80" s="24"/>
      <c r="M80" s="25"/>
      <c r="N80" s="26"/>
    </row>
    <row r="81" spans="1:14" ht="15.75" customHeight="1">
      <c r="A81" s="165" t="s">
        <v>148</v>
      </c>
      <c r="B81" s="166"/>
      <c r="C81" s="166"/>
      <c r="D81" s="166"/>
      <c r="E81" s="166"/>
      <c r="F81" s="166"/>
      <c r="G81" s="166"/>
      <c r="H81" s="166"/>
      <c r="I81" s="167"/>
      <c r="J81" s="75"/>
      <c r="L81" s="24"/>
      <c r="M81" s="25"/>
      <c r="N81" s="26"/>
    </row>
    <row r="82" spans="1:14" ht="15.75" customHeight="1">
      <c r="A82" s="68">
        <v>14</v>
      </c>
      <c r="B82" s="69" t="s">
        <v>123</v>
      </c>
      <c r="C82" s="21" t="s">
        <v>53</v>
      </c>
      <c r="D82" s="19"/>
      <c r="E82" s="17">
        <v>2549.5</v>
      </c>
      <c r="F82" s="17">
        <f>SUM(E82*12)</f>
        <v>30594</v>
      </c>
      <c r="G82" s="17">
        <v>2.95</v>
      </c>
      <c r="H82" s="80">
        <f>SUM(F82*G82/1000)</f>
        <v>90.252300000000005</v>
      </c>
      <c r="I82" s="17">
        <f>F82/12*G82</f>
        <v>7521.0250000000005</v>
      </c>
      <c r="J82" s="75"/>
      <c r="L82" s="24"/>
      <c r="M82" s="25"/>
      <c r="N82" s="26"/>
    </row>
    <row r="83" spans="1:14" ht="31.5" customHeight="1">
      <c r="A83" s="31">
        <v>15</v>
      </c>
      <c r="B83" s="19" t="s">
        <v>70</v>
      </c>
      <c r="C83" s="21"/>
      <c r="D83" s="19"/>
      <c r="E83" s="77">
        <v>2549.5</v>
      </c>
      <c r="F83" s="17">
        <f>E83*12</f>
        <v>30594</v>
      </c>
      <c r="G83" s="17">
        <v>3.05</v>
      </c>
      <c r="H83" s="80">
        <f>F83*G83/1000</f>
        <v>93.311700000000002</v>
      </c>
      <c r="I83" s="17">
        <f>F83/12*G83</f>
        <v>7775.9749999999995</v>
      </c>
      <c r="J83" s="75"/>
      <c r="L83" s="24"/>
      <c r="M83" s="25"/>
      <c r="N83" s="26"/>
    </row>
    <row r="84" spans="1:14" ht="15.75" customHeight="1">
      <c r="A84" s="61"/>
      <c r="B84" s="45" t="s">
        <v>72</v>
      </c>
      <c r="C84" s="47"/>
      <c r="D84" s="20"/>
      <c r="E84" s="20"/>
      <c r="F84" s="20"/>
      <c r="G84" s="23"/>
      <c r="H84" s="23"/>
      <c r="I84" s="35">
        <f>I83+I82+I70+I56+I53+I52+I48+I40+I39+I37+I36+I26+I18+I17+I16</f>
        <v>62417.754777499998</v>
      </c>
      <c r="J84" s="75"/>
      <c r="L84" s="24"/>
      <c r="M84" s="25"/>
      <c r="N84" s="26"/>
    </row>
    <row r="85" spans="1:14" ht="15.75" customHeight="1">
      <c r="A85" s="162" t="s">
        <v>57</v>
      </c>
      <c r="B85" s="163"/>
      <c r="C85" s="163"/>
      <c r="D85" s="163"/>
      <c r="E85" s="163"/>
      <c r="F85" s="163"/>
      <c r="G85" s="163"/>
      <c r="H85" s="163"/>
      <c r="I85" s="164"/>
      <c r="J85" s="75"/>
      <c r="L85" s="24"/>
      <c r="M85" s="25"/>
      <c r="N85" s="26"/>
    </row>
    <row r="86" spans="1:14" ht="15.75" customHeight="1">
      <c r="A86" s="68">
        <v>16</v>
      </c>
      <c r="B86" s="19" t="s">
        <v>154</v>
      </c>
      <c r="C86" s="21" t="s">
        <v>155</v>
      </c>
      <c r="D86" s="19"/>
      <c r="E86" s="23"/>
      <c r="F86" s="17">
        <v>96</v>
      </c>
      <c r="G86" s="17">
        <v>1.4</v>
      </c>
      <c r="H86" s="17">
        <f>F86*G86/1000</f>
        <v>0.13439999999999996</v>
      </c>
      <c r="I86" s="17">
        <f>G86*48</f>
        <v>67.199999999999989</v>
      </c>
      <c r="J86" s="75"/>
      <c r="L86" s="24"/>
      <c r="M86" s="25"/>
      <c r="N86" s="26"/>
    </row>
    <row r="87" spans="1:14" ht="30" customHeight="1">
      <c r="A87" s="68">
        <v>17</v>
      </c>
      <c r="B87" s="117" t="s">
        <v>160</v>
      </c>
      <c r="C87" s="118" t="s">
        <v>28</v>
      </c>
      <c r="D87" s="43"/>
      <c r="E87" s="22"/>
      <c r="F87" s="41">
        <v>20</v>
      </c>
      <c r="G87" s="135">
        <v>21369.24</v>
      </c>
      <c r="H87" s="115">
        <f>G87*F87/1000</f>
        <v>427.38480000000004</v>
      </c>
      <c r="I87" s="17">
        <f>G87*0.599*8/1000</f>
        <v>102.40139807999999</v>
      </c>
      <c r="J87" s="75"/>
      <c r="L87" s="24"/>
      <c r="M87" s="25"/>
      <c r="N87" s="26"/>
    </row>
    <row r="88" spans="1:14" ht="36.75" customHeight="1">
      <c r="A88" s="68">
        <v>18</v>
      </c>
      <c r="B88" s="117" t="s">
        <v>211</v>
      </c>
      <c r="C88" s="118"/>
      <c r="D88" s="43" t="s">
        <v>217</v>
      </c>
      <c r="E88" s="22"/>
      <c r="F88" s="41">
        <v>8</v>
      </c>
      <c r="G88" s="41">
        <v>1612.67</v>
      </c>
      <c r="H88" s="115"/>
      <c r="I88" s="17">
        <f>G88*8</f>
        <v>12901.36</v>
      </c>
      <c r="J88" s="75"/>
      <c r="L88" s="24"/>
      <c r="M88" s="25"/>
      <c r="N88" s="26"/>
    </row>
    <row r="89" spans="1:14" ht="17.25" customHeight="1">
      <c r="A89" s="68">
        <v>19</v>
      </c>
      <c r="B89" s="136" t="s">
        <v>193</v>
      </c>
      <c r="C89" s="31" t="s">
        <v>177</v>
      </c>
      <c r="D89" s="43"/>
      <c r="E89" s="22"/>
      <c r="F89" s="41">
        <v>1.5</v>
      </c>
      <c r="G89" s="41">
        <v>4402.3500000000004</v>
      </c>
      <c r="H89" s="115"/>
      <c r="I89" s="17">
        <f>G89*0.5</f>
        <v>2201.1750000000002</v>
      </c>
      <c r="J89" s="75"/>
      <c r="L89" s="24"/>
      <c r="M89" s="25"/>
      <c r="N89" s="26"/>
    </row>
    <row r="90" spans="1:14" ht="17.25" customHeight="1">
      <c r="A90" s="68">
        <v>20</v>
      </c>
      <c r="B90" s="136" t="s">
        <v>212</v>
      </c>
      <c r="C90" s="31" t="s">
        <v>157</v>
      </c>
      <c r="D90" s="43"/>
      <c r="E90" s="22"/>
      <c r="F90" s="41">
        <v>0.5</v>
      </c>
      <c r="G90" s="41">
        <v>3537.07</v>
      </c>
      <c r="H90" s="115"/>
      <c r="I90" s="17">
        <f>G90*0.5</f>
        <v>1768.5350000000001</v>
      </c>
      <c r="J90" s="75"/>
      <c r="L90" s="24"/>
      <c r="M90" s="25"/>
      <c r="N90" s="26"/>
    </row>
    <row r="91" spans="1:14" ht="17.25" customHeight="1">
      <c r="A91" s="68">
        <v>21</v>
      </c>
      <c r="B91" s="117" t="s">
        <v>73</v>
      </c>
      <c r="C91" s="118" t="s">
        <v>96</v>
      </c>
      <c r="D91" s="43"/>
      <c r="E91" s="22"/>
      <c r="F91" s="41">
        <v>6</v>
      </c>
      <c r="G91" s="41">
        <v>224.48</v>
      </c>
      <c r="H91" s="115"/>
      <c r="I91" s="17">
        <f>G91*4</f>
        <v>897.92</v>
      </c>
      <c r="J91" s="75"/>
      <c r="L91" s="24"/>
      <c r="M91" s="25"/>
      <c r="N91" s="26"/>
    </row>
    <row r="92" spans="1:14" ht="20.25" customHeight="1">
      <c r="A92" s="68">
        <v>22</v>
      </c>
      <c r="B92" s="117" t="s">
        <v>156</v>
      </c>
      <c r="C92" s="118" t="s">
        <v>164</v>
      </c>
      <c r="D92" s="43" t="s">
        <v>219</v>
      </c>
      <c r="E92" s="22"/>
      <c r="F92" s="41">
        <v>26</v>
      </c>
      <c r="G92" s="41">
        <v>295.36</v>
      </c>
      <c r="H92" s="115"/>
      <c r="I92" s="17">
        <v>0</v>
      </c>
      <c r="J92" s="75"/>
      <c r="L92" s="24"/>
      <c r="M92" s="25"/>
      <c r="N92" s="26"/>
    </row>
    <row r="93" spans="1:14" ht="17.25" customHeight="1">
      <c r="A93" s="68">
        <v>23</v>
      </c>
      <c r="B93" s="117" t="s">
        <v>213</v>
      </c>
      <c r="C93" s="118" t="s">
        <v>164</v>
      </c>
      <c r="D93" s="43" t="s">
        <v>218</v>
      </c>
      <c r="E93" s="22"/>
      <c r="F93" s="41">
        <v>6</v>
      </c>
      <c r="G93" s="41">
        <v>295.36</v>
      </c>
      <c r="H93" s="115"/>
      <c r="I93" s="17">
        <f>G93*6</f>
        <v>1772.16</v>
      </c>
      <c r="J93" s="75"/>
      <c r="L93" s="24"/>
      <c r="M93" s="25"/>
      <c r="N93" s="26"/>
    </row>
    <row r="94" spans="1:14" ht="17.25" customHeight="1">
      <c r="A94" s="68">
        <v>24</v>
      </c>
      <c r="B94" s="117" t="s">
        <v>214</v>
      </c>
      <c r="C94" s="118" t="s">
        <v>215</v>
      </c>
      <c r="D94" s="43" t="s">
        <v>220</v>
      </c>
      <c r="E94" s="22"/>
      <c r="F94" s="41">
        <v>1</v>
      </c>
      <c r="G94" s="41">
        <v>362.5</v>
      </c>
      <c r="H94" s="115"/>
      <c r="I94" s="17">
        <f>G94*1</f>
        <v>362.5</v>
      </c>
      <c r="J94" s="75"/>
      <c r="L94" s="24"/>
      <c r="M94" s="25"/>
      <c r="N94" s="26"/>
    </row>
    <row r="95" spans="1:14" ht="17.25" customHeight="1">
      <c r="A95" s="68">
        <v>25</v>
      </c>
      <c r="B95" s="117" t="s">
        <v>198</v>
      </c>
      <c r="C95" s="118" t="s">
        <v>96</v>
      </c>
      <c r="D95" s="43" t="s">
        <v>221</v>
      </c>
      <c r="E95" s="22"/>
      <c r="F95" s="41">
        <v>3</v>
      </c>
      <c r="G95" s="41">
        <v>218.81</v>
      </c>
      <c r="H95" s="115"/>
      <c r="I95" s="17">
        <v>0</v>
      </c>
      <c r="J95" s="75"/>
      <c r="L95" s="24"/>
      <c r="M95" s="25"/>
      <c r="N95" s="26"/>
    </row>
    <row r="96" spans="1:14" ht="17.25" customHeight="1">
      <c r="A96" s="68">
        <v>26</v>
      </c>
      <c r="B96" s="117" t="s">
        <v>199</v>
      </c>
      <c r="C96" s="118" t="s">
        <v>96</v>
      </c>
      <c r="D96" s="43" t="s">
        <v>216</v>
      </c>
      <c r="E96" s="22"/>
      <c r="F96" s="41">
        <v>4</v>
      </c>
      <c r="G96" s="41">
        <v>101.85</v>
      </c>
      <c r="H96" s="115"/>
      <c r="I96" s="17">
        <v>0</v>
      </c>
      <c r="J96" s="75"/>
      <c r="L96" s="24"/>
      <c r="M96" s="25"/>
      <c r="N96" s="26"/>
    </row>
    <row r="97" spans="1:22" ht="15.75" customHeight="1">
      <c r="A97" s="31"/>
      <c r="B97" s="52" t="s">
        <v>50</v>
      </c>
      <c r="C97" s="48"/>
      <c r="D97" s="62"/>
      <c r="E97" s="48">
        <v>1</v>
      </c>
      <c r="F97" s="48"/>
      <c r="G97" s="48"/>
      <c r="H97" s="48"/>
      <c r="I97" s="35">
        <f>SUM(I86:I96)</f>
        <v>20073.251398079999</v>
      </c>
      <c r="J97" s="75"/>
      <c r="L97" s="24"/>
      <c r="M97" s="25"/>
      <c r="N97" s="26"/>
    </row>
    <row r="98" spans="1:22" ht="15.75" customHeight="1">
      <c r="A98" s="31"/>
      <c r="B98" s="57" t="s">
        <v>71</v>
      </c>
      <c r="C98" s="20"/>
      <c r="D98" s="20"/>
      <c r="E98" s="49"/>
      <c r="F98" s="49"/>
      <c r="G98" s="50"/>
      <c r="H98" s="50"/>
      <c r="I98" s="22">
        <v>0</v>
      </c>
      <c r="J98" s="75"/>
      <c r="L98" s="24"/>
      <c r="M98" s="25"/>
      <c r="N98" s="26"/>
    </row>
    <row r="99" spans="1:22" ht="15.75" customHeight="1">
      <c r="A99" s="63"/>
      <c r="B99" s="53" t="s">
        <v>149</v>
      </c>
      <c r="C99" s="39"/>
      <c r="D99" s="39"/>
      <c r="E99" s="39"/>
      <c r="F99" s="39"/>
      <c r="G99" s="39"/>
      <c r="H99" s="39"/>
      <c r="I99" s="51">
        <f>I84+I97</f>
        <v>82491.006175579998</v>
      </c>
      <c r="J99" s="75"/>
      <c r="L99" s="24"/>
    </row>
    <row r="100" spans="1:22" ht="15.75">
      <c r="A100" s="157" t="s">
        <v>222</v>
      </c>
      <c r="B100" s="157"/>
      <c r="C100" s="157"/>
      <c r="D100" s="157"/>
      <c r="E100" s="157"/>
      <c r="F100" s="157"/>
      <c r="G100" s="157"/>
      <c r="H100" s="157"/>
      <c r="I100" s="157"/>
    </row>
    <row r="101" spans="1:22" ht="15.75">
      <c r="A101" s="12"/>
      <c r="B101" s="158" t="s">
        <v>223</v>
      </c>
      <c r="C101" s="158"/>
      <c r="D101" s="158"/>
      <c r="E101" s="158"/>
      <c r="F101" s="158"/>
      <c r="G101" s="158"/>
      <c r="H101" s="98"/>
      <c r="I101" s="4"/>
    </row>
    <row r="102" spans="1:22" ht="15.75">
      <c r="A102" s="70"/>
      <c r="B102" s="173" t="s">
        <v>6</v>
      </c>
      <c r="C102" s="173"/>
      <c r="D102" s="173"/>
      <c r="E102" s="173"/>
      <c r="F102" s="173"/>
      <c r="G102" s="173"/>
      <c r="H102" s="74"/>
      <c r="I102" s="59"/>
    </row>
    <row r="103" spans="1:22" ht="15.75" customHeight="1">
      <c r="A103" s="60"/>
      <c r="B103" s="60"/>
      <c r="C103" s="60"/>
      <c r="D103" s="60"/>
      <c r="E103" s="60"/>
      <c r="F103" s="60"/>
      <c r="G103" s="60"/>
      <c r="H103" s="60"/>
      <c r="I103" s="60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11"/>
    </row>
    <row r="104" spans="1:22" ht="15.75" customHeight="1">
      <c r="A104" s="174" t="s">
        <v>7</v>
      </c>
      <c r="B104" s="174"/>
      <c r="C104" s="174"/>
      <c r="D104" s="174"/>
      <c r="E104" s="174"/>
      <c r="F104" s="174"/>
      <c r="G104" s="174"/>
      <c r="H104" s="174"/>
      <c r="I104" s="174"/>
      <c r="J104" s="29"/>
      <c r="K104" s="29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2" ht="15.75">
      <c r="A105" s="174" t="s">
        <v>8</v>
      </c>
      <c r="B105" s="174"/>
      <c r="C105" s="174"/>
      <c r="D105" s="174"/>
      <c r="E105" s="174"/>
      <c r="F105" s="174"/>
      <c r="G105" s="174"/>
      <c r="H105" s="174"/>
      <c r="I105" s="174"/>
      <c r="J105" s="4"/>
      <c r="K105" s="4"/>
      <c r="L105" s="4"/>
      <c r="M105" s="4"/>
      <c r="N105" s="4"/>
      <c r="O105" s="4"/>
      <c r="P105" s="4"/>
      <c r="Q105" s="4"/>
      <c r="S105" s="4"/>
      <c r="T105" s="4"/>
      <c r="U105" s="4"/>
    </row>
    <row r="106" spans="1:22" ht="15.75">
      <c r="A106" s="157" t="s">
        <v>9</v>
      </c>
      <c r="B106" s="157"/>
      <c r="C106" s="157"/>
      <c r="D106" s="157"/>
      <c r="E106" s="157"/>
      <c r="F106" s="157"/>
      <c r="G106" s="157"/>
      <c r="H106" s="157"/>
      <c r="I106" s="157"/>
      <c r="J106" s="6"/>
      <c r="K106" s="6"/>
      <c r="L106" s="6"/>
      <c r="M106" s="6"/>
      <c r="N106" s="6"/>
      <c r="O106" s="6"/>
      <c r="P106" s="6"/>
      <c r="Q106" s="6"/>
      <c r="R106" s="155"/>
      <c r="S106" s="155"/>
      <c r="T106" s="155"/>
      <c r="U106" s="155"/>
    </row>
    <row r="107" spans="1:22" ht="15.75">
      <c r="A107" s="13"/>
      <c r="B107" s="58"/>
      <c r="C107" s="58"/>
      <c r="D107" s="58"/>
      <c r="E107" s="58"/>
      <c r="F107" s="58"/>
      <c r="G107" s="58"/>
      <c r="H107" s="58"/>
      <c r="I107" s="58"/>
    </row>
    <row r="108" spans="1:22" ht="15.75">
      <c r="A108" s="156" t="s">
        <v>10</v>
      </c>
      <c r="B108" s="156"/>
      <c r="C108" s="156"/>
      <c r="D108" s="156"/>
      <c r="E108" s="156"/>
      <c r="F108" s="156"/>
      <c r="G108" s="156"/>
      <c r="H108" s="156"/>
      <c r="I108" s="156"/>
    </row>
    <row r="109" spans="1:22" ht="15.75" customHeight="1">
      <c r="A109" s="5"/>
    </row>
    <row r="110" spans="1:22" ht="15.75">
      <c r="A110" s="157" t="s">
        <v>11</v>
      </c>
      <c r="B110" s="157"/>
      <c r="C110" s="175" t="s">
        <v>188</v>
      </c>
      <c r="D110" s="175"/>
      <c r="E110" s="175"/>
      <c r="F110" s="72"/>
      <c r="I110" s="103"/>
    </row>
    <row r="111" spans="1:22">
      <c r="A111" s="104"/>
      <c r="C111" s="171" t="s">
        <v>12</v>
      </c>
      <c r="D111" s="171"/>
      <c r="E111" s="171"/>
      <c r="F111" s="28"/>
      <c r="I111" s="102" t="s">
        <v>13</v>
      </c>
    </row>
    <row r="112" spans="1:22" ht="15.75">
      <c r="A112" s="29"/>
      <c r="C112" s="14"/>
      <c r="D112" s="14"/>
      <c r="G112" s="14"/>
      <c r="H112" s="14"/>
    </row>
    <row r="113" spans="1:9" ht="15.75" customHeight="1">
      <c r="A113" s="157" t="s">
        <v>14</v>
      </c>
      <c r="B113" s="157"/>
      <c r="C113" s="172"/>
      <c r="D113" s="172"/>
      <c r="E113" s="172"/>
      <c r="F113" s="73"/>
      <c r="I113" s="103"/>
    </row>
    <row r="114" spans="1:9">
      <c r="A114" s="104"/>
      <c r="C114" s="155" t="s">
        <v>12</v>
      </c>
      <c r="D114" s="155"/>
      <c r="E114" s="155"/>
      <c r="F114" s="104"/>
      <c r="I114" s="102" t="s">
        <v>13</v>
      </c>
    </row>
    <row r="115" spans="1:9" ht="15.75">
      <c r="A115" s="5" t="s">
        <v>15</v>
      </c>
    </row>
    <row r="116" spans="1:9">
      <c r="A116" s="176" t="s">
        <v>16</v>
      </c>
      <c r="B116" s="176"/>
      <c r="C116" s="176"/>
      <c r="D116" s="176"/>
      <c r="E116" s="176"/>
      <c r="F116" s="176"/>
      <c r="G116" s="176"/>
      <c r="H116" s="176"/>
      <c r="I116" s="176"/>
    </row>
    <row r="117" spans="1:9" ht="45" customHeight="1">
      <c r="A117" s="177" t="s">
        <v>17</v>
      </c>
      <c r="B117" s="177"/>
      <c r="C117" s="177"/>
      <c r="D117" s="177"/>
      <c r="E117" s="177"/>
      <c r="F117" s="177"/>
      <c r="G117" s="177"/>
      <c r="H117" s="177"/>
      <c r="I117" s="177"/>
    </row>
    <row r="118" spans="1:9" ht="30" customHeight="1">
      <c r="A118" s="177" t="s">
        <v>18</v>
      </c>
      <c r="B118" s="177"/>
      <c r="C118" s="177"/>
      <c r="D118" s="177"/>
      <c r="E118" s="177"/>
      <c r="F118" s="177"/>
      <c r="G118" s="177"/>
      <c r="H118" s="177"/>
      <c r="I118" s="177"/>
    </row>
    <row r="119" spans="1:9" ht="30" customHeight="1">
      <c r="A119" s="177" t="s">
        <v>22</v>
      </c>
      <c r="B119" s="177"/>
      <c r="C119" s="177"/>
      <c r="D119" s="177"/>
      <c r="E119" s="177"/>
      <c r="F119" s="177"/>
      <c r="G119" s="177"/>
      <c r="H119" s="177"/>
      <c r="I119" s="177"/>
    </row>
    <row r="120" spans="1:9" ht="15" customHeight="1">
      <c r="A120" s="177" t="s">
        <v>21</v>
      </c>
      <c r="B120" s="177"/>
      <c r="C120" s="177"/>
      <c r="D120" s="177"/>
      <c r="E120" s="177"/>
      <c r="F120" s="177"/>
      <c r="G120" s="177"/>
      <c r="H120" s="177"/>
      <c r="I120" s="177"/>
    </row>
    <row r="122" spans="1:9">
      <c r="A122" s="15"/>
      <c r="B122" s="15"/>
      <c r="C122" s="15"/>
      <c r="D122" s="15"/>
      <c r="E122" s="15"/>
      <c r="F122" s="15"/>
      <c r="G122" s="15"/>
      <c r="H122" s="15"/>
    </row>
  </sheetData>
  <autoFilter ref="I15:I101"/>
  <mergeCells count="31">
    <mergeCell ref="A120:I120"/>
    <mergeCell ref="R106:U106"/>
    <mergeCell ref="A108:I108"/>
    <mergeCell ref="A110:B110"/>
    <mergeCell ref="C110:E110"/>
    <mergeCell ref="C111:E111"/>
    <mergeCell ref="A113:B113"/>
    <mergeCell ref="C113:E113"/>
    <mergeCell ref="A106:I106"/>
    <mergeCell ref="C114:E114"/>
    <mergeCell ref="A116:I116"/>
    <mergeCell ref="A117:I117"/>
    <mergeCell ref="A118:I118"/>
    <mergeCell ref="A119:I119"/>
    <mergeCell ref="A100:I100"/>
    <mergeCell ref="B101:G101"/>
    <mergeCell ref="B102:G102"/>
    <mergeCell ref="A104:I104"/>
    <mergeCell ref="A105:I105"/>
    <mergeCell ref="A85:I85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  <mergeCell ref="A81:I81"/>
  </mergeCells>
  <pageMargins left="0.70866141732283472" right="0.23622047244094491" top="0.27559055118110237" bottom="0.27559055118110237" header="0.31496062992125984" footer="0.31496062992125984"/>
  <pageSetup paperSize="9" scale="58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0"/>
  <sheetViews>
    <sheetView workbookViewId="0">
      <selection activeCell="B86" sqref="B86:I8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159</v>
      </c>
      <c r="I1" s="32"/>
    </row>
    <row r="2" spans="1:15" s="58" customFormat="1" ht="15.75" customHeight="1">
      <c r="A2" s="30" t="s">
        <v>58</v>
      </c>
      <c r="J2" s="1"/>
      <c r="K2" s="1"/>
      <c r="L2" s="1"/>
      <c r="M2" s="1"/>
    </row>
    <row r="3" spans="1:15" s="58" customFormat="1" ht="15.75" customHeight="1">
      <c r="A3" s="150" t="s">
        <v>127</v>
      </c>
      <c r="B3" s="150"/>
      <c r="C3" s="150"/>
      <c r="D3" s="150"/>
      <c r="E3" s="150"/>
      <c r="F3" s="150"/>
      <c r="G3" s="150"/>
      <c r="H3" s="150"/>
      <c r="I3" s="150"/>
      <c r="J3" s="2"/>
      <c r="K3" s="2"/>
      <c r="L3" s="2"/>
      <c r="M3" s="2"/>
    </row>
    <row r="4" spans="1:15" s="58" customFormat="1" ht="31.5" customHeight="1">
      <c r="A4" s="151" t="s">
        <v>85</v>
      </c>
      <c r="B4" s="151"/>
      <c r="C4" s="151"/>
      <c r="D4" s="151"/>
      <c r="E4" s="151"/>
      <c r="F4" s="151"/>
      <c r="G4" s="151"/>
      <c r="H4" s="151"/>
      <c r="I4" s="151"/>
      <c r="J4" s="3"/>
      <c r="K4" s="3"/>
      <c r="L4" s="3"/>
      <c r="M4" s="3"/>
    </row>
    <row r="5" spans="1:15" s="58" customFormat="1" ht="15.75" customHeight="1">
      <c r="A5" s="150" t="s">
        <v>224</v>
      </c>
      <c r="B5" s="152"/>
      <c r="C5" s="152"/>
      <c r="D5" s="152"/>
      <c r="E5" s="152"/>
      <c r="F5" s="152"/>
      <c r="G5" s="152"/>
      <c r="H5" s="152"/>
      <c r="I5" s="152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44286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53" t="s">
        <v>187</v>
      </c>
      <c r="B8" s="153"/>
      <c r="C8" s="153"/>
      <c r="D8" s="153"/>
      <c r="E8" s="153"/>
      <c r="F8" s="153"/>
      <c r="G8" s="153"/>
      <c r="H8" s="153"/>
      <c r="I8" s="15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54" t="s">
        <v>158</v>
      </c>
      <c r="B10" s="154"/>
      <c r="C10" s="154"/>
      <c r="D10" s="154"/>
      <c r="E10" s="154"/>
      <c r="F10" s="154"/>
      <c r="G10" s="154"/>
      <c r="H10" s="154"/>
      <c r="I10" s="15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48" t="s">
        <v>139</v>
      </c>
      <c r="B14" s="149"/>
      <c r="C14" s="149"/>
      <c r="D14" s="149"/>
      <c r="E14" s="149"/>
      <c r="F14" s="149"/>
      <c r="G14" s="149"/>
      <c r="H14" s="149"/>
      <c r="I14" s="149"/>
      <c r="J14" s="114"/>
      <c r="K14" s="114"/>
      <c r="L14" s="10"/>
      <c r="M14" s="10"/>
      <c r="N14" s="10"/>
      <c r="O14" s="10"/>
    </row>
    <row r="15" spans="1:15" ht="15.75" customHeight="1">
      <c r="A15" s="145" t="s">
        <v>4</v>
      </c>
      <c r="B15" s="146"/>
      <c r="C15" s="146"/>
      <c r="D15" s="146"/>
      <c r="E15" s="146"/>
      <c r="F15" s="146"/>
      <c r="G15" s="146"/>
      <c r="H15" s="146"/>
      <c r="I15" s="147"/>
      <c r="J15" s="11"/>
      <c r="K15" s="11"/>
    </row>
    <row r="16" spans="1:15" ht="15.75" customHeight="1">
      <c r="A16" s="31">
        <v>1</v>
      </c>
      <c r="B16" s="69" t="s">
        <v>76</v>
      </c>
      <c r="C16" s="76" t="s">
        <v>86</v>
      </c>
      <c r="D16" s="69" t="s">
        <v>166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77</v>
      </c>
      <c r="C17" s="76" t="s">
        <v>86</v>
      </c>
      <c r="D17" s="69" t="s">
        <v>167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78</v>
      </c>
      <c r="C18" s="76" t="s">
        <v>86</v>
      </c>
      <c r="D18" s="69" t="s">
        <v>168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/>
      <c r="B19" s="69" t="s">
        <v>87</v>
      </c>
      <c r="C19" s="76" t="s">
        <v>88</v>
      </c>
      <c r="D19" s="69" t="s">
        <v>89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/>
      <c r="B20" s="69" t="s">
        <v>90</v>
      </c>
      <c r="C20" s="76" t="s">
        <v>86</v>
      </c>
      <c r="D20" s="69" t="s">
        <v>40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/>
      <c r="B21" s="69" t="s">
        <v>91</v>
      </c>
      <c r="C21" s="76" t="s">
        <v>86</v>
      </c>
      <c r="D21" s="69" t="s">
        <v>40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/>
      <c r="B22" s="69" t="s">
        <v>92</v>
      </c>
      <c r="C22" s="76" t="s">
        <v>51</v>
      </c>
      <c r="D22" s="69" t="s">
        <v>89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/>
      <c r="B23" s="69" t="s">
        <v>93</v>
      </c>
      <c r="C23" s="76" t="s">
        <v>51</v>
      </c>
      <c r="D23" s="69" t="s">
        <v>89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/>
      <c r="B24" s="69" t="s">
        <v>94</v>
      </c>
      <c r="C24" s="76" t="s">
        <v>51</v>
      </c>
      <c r="D24" s="82" t="s">
        <v>89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/>
      <c r="B25" s="69" t="s">
        <v>95</v>
      </c>
      <c r="C25" s="76" t="s">
        <v>51</v>
      </c>
      <c r="D25" s="69" t="s">
        <v>89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hidden="1" customHeight="1">
      <c r="A26" s="31">
        <v>4</v>
      </c>
      <c r="B26" s="37" t="s">
        <v>165</v>
      </c>
      <c r="C26" s="46" t="s">
        <v>155</v>
      </c>
      <c r="D26" s="37" t="s">
        <v>169</v>
      </c>
      <c r="E26" s="122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5" t="s">
        <v>75</v>
      </c>
      <c r="B27" s="146"/>
      <c r="C27" s="146"/>
      <c r="D27" s="146"/>
      <c r="E27" s="146"/>
      <c r="F27" s="146"/>
      <c r="G27" s="146"/>
      <c r="H27" s="146"/>
      <c r="I27" s="147"/>
      <c r="J27" s="27"/>
      <c r="K27" s="10"/>
      <c r="L27" s="10"/>
      <c r="M27" s="10"/>
    </row>
    <row r="28" spans="1:13" ht="15.75" hidden="1" customHeight="1">
      <c r="A28" s="47"/>
      <c r="B28" s="55" t="s">
        <v>136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hidden="1" customHeight="1">
      <c r="A29" s="68">
        <v>6</v>
      </c>
      <c r="B29" s="37" t="s">
        <v>140</v>
      </c>
      <c r="C29" s="46" t="s">
        <v>109</v>
      </c>
      <c r="D29" s="37" t="s">
        <v>137</v>
      </c>
      <c r="E29" s="101"/>
      <c r="F29" s="112"/>
      <c r="G29" s="36">
        <v>193.97</v>
      </c>
      <c r="H29" s="113"/>
      <c r="I29" s="95">
        <v>109.44</v>
      </c>
      <c r="J29" s="27"/>
      <c r="K29" s="10"/>
      <c r="L29" s="10"/>
      <c r="M29" s="10"/>
    </row>
    <row r="30" spans="1:13" ht="31.5" hidden="1" customHeight="1">
      <c r="A30" s="68">
        <v>7</v>
      </c>
      <c r="B30" s="37" t="s">
        <v>141</v>
      </c>
      <c r="C30" s="46" t="s">
        <v>109</v>
      </c>
      <c r="D30" s="37" t="s">
        <v>138</v>
      </c>
      <c r="E30" s="101"/>
      <c r="F30" s="112"/>
      <c r="G30" s="36">
        <v>321.82</v>
      </c>
      <c r="H30" s="113"/>
      <c r="I30" s="95">
        <v>272.36</v>
      </c>
      <c r="J30" s="27"/>
      <c r="K30" s="10"/>
      <c r="L30" s="10"/>
      <c r="M30" s="10"/>
    </row>
    <row r="31" spans="1:13" ht="15.75" hidden="1" customHeight="1">
      <c r="A31" s="68"/>
      <c r="B31" s="69" t="s">
        <v>27</v>
      </c>
      <c r="C31" s="76" t="s">
        <v>109</v>
      </c>
      <c r="D31" s="69" t="s">
        <v>52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ref="H31" si="2">SUM(F31*G31/1000)</f>
        <v>0.24466402799999998</v>
      </c>
      <c r="I31" s="17">
        <v>0</v>
      </c>
      <c r="J31" s="27"/>
      <c r="K31" s="10"/>
      <c r="L31" s="10"/>
      <c r="M31" s="10"/>
    </row>
    <row r="32" spans="1:13" ht="15.75" hidden="1" customHeight="1">
      <c r="A32" s="68">
        <v>8</v>
      </c>
      <c r="B32" s="37" t="s">
        <v>142</v>
      </c>
      <c r="C32" s="46" t="s">
        <v>29</v>
      </c>
      <c r="D32" s="37" t="s">
        <v>59</v>
      </c>
      <c r="E32" s="101"/>
      <c r="F32" s="112"/>
      <c r="G32" s="36">
        <v>70.540000000000006</v>
      </c>
      <c r="H32" s="113"/>
      <c r="I32" s="95">
        <v>303.70999999999998</v>
      </c>
      <c r="J32" s="27"/>
      <c r="K32" s="10"/>
      <c r="L32" s="10"/>
      <c r="M32" s="10"/>
    </row>
    <row r="33" spans="1:13" ht="15.75" hidden="1" customHeight="1">
      <c r="A33" s="68"/>
      <c r="B33" s="69" t="s">
        <v>60</v>
      </c>
      <c r="C33" s="76" t="s">
        <v>31</v>
      </c>
      <c r="D33" s="69" t="s">
        <v>61</v>
      </c>
      <c r="E33" s="77"/>
      <c r="F33" s="78">
        <v>1</v>
      </c>
      <c r="G33" s="78">
        <v>238.07</v>
      </c>
      <c r="H33" s="79">
        <f t="shared" ref="H33:H34" si="3">SUM(F33*G33/1000)</f>
        <v>0.23807</v>
      </c>
      <c r="I33" s="17">
        <v>0</v>
      </c>
      <c r="J33" s="27"/>
      <c r="K33" s="10"/>
      <c r="L33" s="10"/>
      <c r="M33" s="10"/>
    </row>
    <row r="34" spans="1:13" ht="15.75" hidden="1" customHeight="1">
      <c r="A34" s="68"/>
      <c r="B34" s="69" t="s">
        <v>110</v>
      </c>
      <c r="C34" s="76" t="s">
        <v>30</v>
      </c>
      <c r="D34" s="69" t="s">
        <v>61</v>
      </c>
      <c r="E34" s="77"/>
      <c r="F34" s="78">
        <v>1</v>
      </c>
      <c r="G34" s="78">
        <v>1413.96</v>
      </c>
      <c r="H34" s="79">
        <f t="shared" si="3"/>
        <v>1.4139600000000001</v>
      </c>
      <c r="I34" s="17">
        <v>0</v>
      </c>
      <c r="J34" s="27"/>
      <c r="K34" s="10"/>
      <c r="L34" s="10"/>
      <c r="M34" s="10"/>
    </row>
    <row r="35" spans="1:13" ht="15.75" customHeight="1">
      <c r="A35" s="47"/>
      <c r="B35" s="55" t="s">
        <v>5</v>
      </c>
      <c r="C35" s="47"/>
      <c r="D35" s="47"/>
      <c r="E35" s="16"/>
      <c r="F35" s="16"/>
      <c r="G35" s="18"/>
      <c r="H35" s="18"/>
      <c r="I35" s="64"/>
      <c r="J35" s="27"/>
      <c r="K35" s="10"/>
      <c r="L35" s="10"/>
      <c r="M35" s="10"/>
    </row>
    <row r="36" spans="1:13" ht="15.75" customHeight="1">
      <c r="A36" s="38">
        <v>4</v>
      </c>
      <c r="B36" s="69" t="s">
        <v>26</v>
      </c>
      <c r="C36" s="76" t="s">
        <v>30</v>
      </c>
      <c r="D36" s="69" t="s">
        <v>234</v>
      </c>
      <c r="E36" s="77"/>
      <c r="F36" s="78">
        <v>2</v>
      </c>
      <c r="G36" s="78">
        <v>1900.37</v>
      </c>
      <c r="H36" s="79">
        <f t="shared" ref="H36:H42" si="4">SUM(F36*G36/1000)</f>
        <v>3.8007399999999998</v>
      </c>
      <c r="I36" s="17">
        <f>G36*1.6</f>
        <v>3040.5920000000001</v>
      </c>
      <c r="J36" s="27"/>
      <c r="K36" s="10"/>
      <c r="L36" s="10"/>
      <c r="M36" s="10"/>
    </row>
    <row r="37" spans="1:13" ht="15.75" customHeight="1">
      <c r="A37" s="38">
        <v>5</v>
      </c>
      <c r="B37" s="69" t="s">
        <v>111</v>
      </c>
      <c r="C37" s="76" t="s">
        <v>28</v>
      </c>
      <c r="D37" s="69" t="s">
        <v>170</v>
      </c>
      <c r="E37" s="77">
        <v>65.099999999999994</v>
      </c>
      <c r="F37" s="78">
        <f>E37*24/1000</f>
        <v>1.5623999999999998</v>
      </c>
      <c r="G37" s="78">
        <v>2616.4899999999998</v>
      </c>
      <c r="H37" s="79">
        <f>G37*F37/1000</f>
        <v>4.0880039759999987</v>
      </c>
      <c r="I37" s="17">
        <f>F37/6*G37</f>
        <v>681.33399599999984</v>
      </c>
      <c r="J37" s="27"/>
      <c r="K37" s="10"/>
      <c r="L37" s="10"/>
      <c r="M37" s="10"/>
    </row>
    <row r="38" spans="1:13" ht="15.75" hidden="1" customHeight="1">
      <c r="A38" s="38"/>
      <c r="B38" s="69" t="s">
        <v>112</v>
      </c>
      <c r="C38" s="76" t="s">
        <v>113</v>
      </c>
      <c r="D38" s="69" t="s">
        <v>61</v>
      </c>
      <c r="E38" s="77"/>
      <c r="F38" s="78">
        <v>13</v>
      </c>
      <c r="G38" s="78">
        <v>226.84</v>
      </c>
      <c r="H38" s="79">
        <f>G38*F38/1000</f>
        <v>2.9489200000000002</v>
      </c>
      <c r="I38" s="17">
        <v>0</v>
      </c>
      <c r="J38" s="27"/>
      <c r="K38" s="10"/>
      <c r="L38" s="10"/>
      <c r="M38" s="10"/>
    </row>
    <row r="39" spans="1:13" ht="15.75" customHeight="1">
      <c r="A39" s="38">
        <v>6</v>
      </c>
      <c r="B39" s="69" t="s">
        <v>144</v>
      </c>
      <c r="C39" s="76" t="s">
        <v>28</v>
      </c>
      <c r="D39" s="69" t="s">
        <v>171</v>
      </c>
      <c r="E39" s="78">
        <v>65.099999999999994</v>
      </c>
      <c r="F39" s="78">
        <f>SUM(E39*155/1000)</f>
        <v>10.0905</v>
      </c>
      <c r="G39" s="78">
        <v>436.45</v>
      </c>
      <c r="H39" s="79">
        <f t="shared" si="4"/>
        <v>4.4039987250000001</v>
      </c>
      <c r="I39" s="17">
        <f>F39/6*G39</f>
        <v>733.99978750000002</v>
      </c>
      <c r="J39" s="27"/>
      <c r="K39" s="10"/>
      <c r="L39" s="10"/>
      <c r="M39" s="10"/>
    </row>
    <row r="40" spans="1:13" ht="47.25" customHeight="1">
      <c r="A40" s="38">
        <v>7</v>
      </c>
      <c r="B40" s="69" t="s">
        <v>74</v>
      </c>
      <c r="C40" s="76" t="s">
        <v>109</v>
      </c>
      <c r="D40" s="69" t="s">
        <v>170</v>
      </c>
      <c r="E40" s="78">
        <v>65.099999999999994</v>
      </c>
      <c r="F40" s="78">
        <f>SUM(E40*24/1000)</f>
        <v>1.5623999999999998</v>
      </c>
      <c r="G40" s="78">
        <v>7221.21</v>
      </c>
      <c r="H40" s="79">
        <f t="shared" si="4"/>
        <v>11.282418503999999</v>
      </c>
      <c r="I40" s="17">
        <f>F40/6*G40</f>
        <v>1880.4030839999998</v>
      </c>
      <c r="J40" s="27"/>
      <c r="K40" s="10"/>
      <c r="L40" s="10"/>
      <c r="M40" s="10"/>
    </row>
    <row r="41" spans="1:13" ht="15.75" hidden="1" customHeight="1">
      <c r="A41" s="38">
        <v>9</v>
      </c>
      <c r="B41" s="69" t="s">
        <v>116</v>
      </c>
      <c r="C41" s="76" t="s">
        <v>109</v>
      </c>
      <c r="D41" s="69" t="s">
        <v>182</v>
      </c>
      <c r="E41" s="78">
        <v>65.099999999999994</v>
      </c>
      <c r="F41" s="78">
        <f>SUM(E41*18/1000)</f>
        <v>1.1718</v>
      </c>
      <c r="G41" s="78">
        <v>533.45000000000005</v>
      </c>
      <c r="H41" s="79">
        <f t="shared" si="4"/>
        <v>0.62509671</v>
      </c>
      <c r="I41" s="17">
        <f>G41*F41/18</f>
        <v>34.727595000000001</v>
      </c>
      <c r="J41" s="27"/>
      <c r="K41" s="10"/>
      <c r="L41" s="10"/>
      <c r="M41" s="10"/>
    </row>
    <row r="42" spans="1:13" ht="15.75" hidden="1" customHeight="1">
      <c r="A42" s="38">
        <v>10</v>
      </c>
      <c r="B42" s="69" t="s">
        <v>62</v>
      </c>
      <c r="C42" s="76" t="s">
        <v>31</v>
      </c>
      <c r="D42" s="69"/>
      <c r="E42" s="77"/>
      <c r="F42" s="78">
        <v>0.4</v>
      </c>
      <c r="G42" s="78">
        <v>992.97</v>
      </c>
      <c r="H42" s="79">
        <f t="shared" si="4"/>
        <v>0.39718800000000004</v>
      </c>
      <c r="I42" s="17">
        <f>G42*F42/18</f>
        <v>22.066000000000003</v>
      </c>
      <c r="J42" s="27"/>
      <c r="K42" s="10"/>
      <c r="L42" s="10"/>
      <c r="M42" s="10"/>
    </row>
    <row r="43" spans="1:13" ht="15.75" hidden="1" customHeight="1">
      <c r="A43" s="168" t="s">
        <v>146</v>
      </c>
      <c r="B43" s="169"/>
      <c r="C43" s="169"/>
      <c r="D43" s="169"/>
      <c r="E43" s="169"/>
      <c r="F43" s="169"/>
      <c r="G43" s="169"/>
      <c r="H43" s="169"/>
      <c r="I43" s="170"/>
      <c r="J43" s="27"/>
      <c r="K43" s="10"/>
      <c r="L43" s="10"/>
      <c r="M43" s="10"/>
    </row>
    <row r="44" spans="1:13" ht="15.75" hidden="1" customHeight="1">
      <c r="A44" s="47">
        <v>16</v>
      </c>
      <c r="B44" s="69" t="s">
        <v>117</v>
      </c>
      <c r="C44" s="76" t="s">
        <v>109</v>
      </c>
      <c r="D44" s="69" t="s">
        <v>40</v>
      </c>
      <c r="E44" s="77">
        <v>1060.4000000000001</v>
      </c>
      <c r="F44" s="78">
        <f>SUM(E44*2/1000)</f>
        <v>2.1208</v>
      </c>
      <c r="G44" s="17">
        <v>1283.46</v>
      </c>
      <c r="H44" s="79">
        <f t="shared" ref="H44:H53" si="5">SUM(F44*G44/1000)</f>
        <v>2.721961968</v>
      </c>
      <c r="I44" s="17">
        <v>0</v>
      </c>
      <c r="J44" s="27"/>
      <c r="K44" s="10"/>
      <c r="L44" s="10"/>
      <c r="M44" s="10"/>
    </row>
    <row r="45" spans="1:13" ht="15.75" hidden="1" customHeight="1">
      <c r="A45" s="47">
        <v>19</v>
      </c>
      <c r="B45" s="69" t="s">
        <v>34</v>
      </c>
      <c r="C45" s="76" t="s">
        <v>109</v>
      </c>
      <c r="D45" s="69" t="s">
        <v>40</v>
      </c>
      <c r="E45" s="77">
        <v>1251.6199999999999</v>
      </c>
      <c r="F45" s="78">
        <f>SUM(E45*2/1000)</f>
        <v>2.5032399999999999</v>
      </c>
      <c r="G45" s="17">
        <v>1712.28</v>
      </c>
      <c r="H45" s="79">
        <f t="shared" si="5"/>
        <v>4.2862477871999998</v>
      </c>
      <c r="I45" s="17">
        <v>0</v>
      </c>
      <c r="J45" s="27"/>
      <c r="K45" s="10"/>
      <c r="L45" s="10"/>
      <c r="M45" s="10"/>
    </row>
    <row r="46" spans="1:13" ht="15.75" hidden="1" customHeight="1">
      <c r="A46" s="47">
        <v>20</v>
      </c>
      <c r="B46" s="69" t="s">
        <v>35</v>
      </c>
      <c r="C46" s="76" t="s">
        <v>109</v>
      </c>
      <c r="D46" s="69" t="s">
        <v>40</v>
      </c>
      <c r="E46" s="77">
        <v>1295.68</v>
      </c>
      <c r="F46" s="78">
        <f>SUM(E46*2/1000)</f>
        <v>2.5913600000000003</v>
      </c>
      <c r="G46" s="17">
        <v>1179.73</v>
      </c>
      <c r="H46" s="79">
        <f t="shared" si="5"/>
        <v>3.0571051328000003</v>
      </c>
      <c r="I46" s="17">
        <v>0</v>
      </c>
      <c r="J46" s="27"/>
      <c r="K46" s="10"/>
      <c r="L46" s="10"/>
      <c r="M46" s="10"/>
    </row>
    <row r="47" spans="1:13" ht="15.75" hidden="1" customHeight="1">
      <c r="A47" s="47">
        <v>17</v>
      </c>
      <c r="B47" s="69" t="s">
        <v>32</v>
      </c>
      <c r="C47" s="76" t="s">
        <v>33</v>
      </c>
      <c r="D47" s="69" t="s">
        <v>40</v>
      </c>
      <c r="E47" s="77">
        <v>85.84</v>
      </c>
      <c r="F47" s="78">
        <f>E47*2/100</f>
        <v>1.7168000000000001</v>
      </c>
      <c r="G47" s="17">
        <v>90.61</v>
      </c>
      <c r="H47" s="79">
        <f t="shared" si="5"/>
        <v>0.15555924799999998</v>
      </c>
      <c r="I47" s="17">
        <v>0</v>
      </c>
      <c r="J47" s="27"/>
      <c r="K47" s="10"/>
      <c r="L47" s="10"/>
      <c r="M47" s="10"/>
    </row>
    <row r="48" spans="1:13" ht="15.75" hidden="1" customHeight="1">
      <c r="A48" s="47">
        <v>12</v>
      </c>
      <c r="B48" s="69" t="s">
        <v>54</v>
      </c>
      <c r="C48" s="76" t="s">
        <v>109</v>
      </c>
      <c r="D48" s="69" t="s">
        <v>147</v>
      </c>
      <c r="E48" s="77">
        <v>2549.5</v>
      </c>
      <c r="F48" s="78">
        <f>SUM(E48*5/1000)</f>
        <v>12.7475</v>
      </c>
      <c r="G48" s="17">
        <v>1711.28</v>
      </c>
      <c r="H48" s="79">
        <f t="shared" si="5"/>
        <v>21.814541800000001</v>
      </c>
      <c r="I48" s="17">
        <f>F48/5*G48</f>
        <v>4362.9083600000004</v>
      </c>
      <c r="J48" s="27"/>
      <c r="K48" s="10"/>
      <c r="L48" s="10"/>
      <c r="M48" s="10"/>
    </row>
    <row r="49" spans="1:14" ht="31.5" hidden="1" customHeight="1">
      <c r="A49" s="47">
        <v>12</v>
      </c>
      <c r="B49" s="69" t="s">
        <v>118</v>
      </c>
      <c r="C49" s="76" t="s">
        <v>109</v>
      </c>
      <c r="D49" s="69" t="s">
        <v>40</v>
      </c>
      <c r="E49" s="77">
        <v>2549.5</v>
      </c>
      <c r="F49" s="78">
        <f>SUM(E49*2/1000)</f>
        <v>5.0990000000000002</v>
      </c>
      <c r="G49" s="17">
        <v>1510.06</v>
      </c>
      <c r="H49" s="79">
        <f t="shared" si="5"/>
        <v>7.6997959399999996</v>
      </c>
      <c r="I49" s="17">
        <f>F49/2*G49</f>
        <v>3849.89797</v>
      </c>
      <c r="J49" s="27"/>
      <c r="K49" s="10"/>
      <c r="L49" s="10"/>
      <c r="M49" s="10"/>
    </row>
    <row r="50" spans="1:14" ht="31.5" hidden="1" customHeight="1">
      <c r="A50" s="47">
        <v>13</v>
      </c>
      <c r="B50" s="69" t="s">
        <v>119</v>
      </c>
      <c r="C50" s="76" t="s">
        <v>36</v>
      </c>
      <c r="D50" s="69" t="s">
        <v>40</v>
      </c>
      <c r="E50" s="77">
        <v>16</v>
      </c>
      <c r="F50" s="78">
        <f>SUM(E50*2/100)</f>
        <v>0.32</v>
      </c>
      <c r="G50" s="17">
        <v>3850.4</v>
      </c>
      <c r="H50" s="79">
        <f t="shared" si="5"/>
        <v>1.2321280000000001</v>
      </c>
      <c r="I50" s="17">
        <f t="shared" ref="I50:I51" si="6">F50/2*G50</f>
        <v>616.06400000000008</v>
      </c>
      <c r="J50" s="27"/>
      <c r="K50" s="10"/>
    </row>
    <row r="51" spans="1:14" ht="15.75" hidden="1" customHeight="1">
      <c r="A51" s="47">
        <v>14</v>
      </c>
      <c r="B51" s="69" t="s">
        <v>37</v>
      </c>
      <c r="C51" s="76" t="s">
        <v>38</v>
      </c>
      <c r="D51" s="69" t="s">
        <v>40</v>
      </c>
      <c r="E51" s="77">
        <v>1</v>
      </c>
      <c r="F51" s="78">
        <v>0.02</v>
      </c>
      <c r="G51" s="17">
        <v>7033.13</v>
      </c>
      <c r="H51" s="79">
        <f t="shared" si="5"/>
        <v>0.1406626</v>
      </c>
      <c r="I51" s="17">
        <f t="shared" si="6"/>
        <v>70.331299999999999</v>
      </c>
      <c r="J51" s="75"/>
    </row>
    <row r="52" spans="1:14" ht="15.75" hidden="1" customHeight="1">
      <c r="A52" s="47">
        <v>13</v>
      </c>
      <c r="B52" s="69" t="s">
        <v>120</v>
      </c>
      <c r="C52" s="76" t="s">
        <v>96</v>
      </c>
      <c r="D52" s="69" t="s">
        <v>63</v>
      </c>
      <c r="E52" s="77">
        <v>64</v>
      </c>
      <c r="F52" s="78">
        <f>E52*3</f>
        <v>192</v>
      </c>
      <c r="G52" s="17">
        <v>175.6</v>
      </c>
      <c r="H52" s="79">
        <f t="shared" si="5"/>
        <v>33.715199999999996</v>
      </c>
      <c r="I52" s="17">
        <f>E52*G52</f>
        <v>11238.4</v>
      </c>
      <c r="J52" s="75"/>
    </row>
    <row r="53" spans="1:14" ht="14.25" hidden="1" customHeight="1">
      <c r="A53" s="47">
        <v>14</v>
      </c>
      <c r="B53" s="69" t="s">
        <v>39</v>
      </c>
      <c r="C53" s="76" t="s">
        <v>96</v>
      </c>
      <c r="D53" s="69" t="s">
        <v>63</v>
      </c>
      <c r="E53" s="77">
        <v>128</v>
      </c>
      <c r="F53" s="78">
        <f>SUM(E53)*3</f>
        <v>384</v>
      </c>
      <c r="G53" s="17">
        <v>81.73</v>
      </c>
      <c r="H53" s="79">
        <f t="shared" si="5"/>
        <v>31.384319999999999</v>
      </c>
      <c r="I53" s="17">
        <f>E53*G53</f>
        <v>10461.44</v>
      </c>
      <c r="J53" s="75"/>
    </row>
    <row r="54" spans="1:14" ht="15.75" customHeight="1">
      <c r="A54" s="159" t="s">
        <v>79</v>
      </c>
      <c r="B54" s="160"/>
      <c r="C54" s="160"/>
      <c r="D54" s="160"/>
      <c r="E54" s="160"/>
      <c r="F54" s="160"/>
      <c r="G54" s="160"/>
      <c r="H54" s="160"/>
      <c r="I54" s="161"/>
      <c r="J54" s="75"/>
    </row>
    <row r="55" spans="1:14" ht="15.75" customHeight="1">
      <c r="A55" s="100"/>
      <c r="B55" s="54" t="s">
        <v>41</v>
      </c>
      <c r="C55" s="21"/>
      <c r="D55" s="65"/>
      <c r="E55" s="16"/>
      <c r="F55" s="16"/>
      <c r="G55" s="31"/>
      <c r="H55" s="31"/>
      <c r="I55" s="64"/>
      <c r="J55" s="75"/>
    </row>
    <row r="56" spans="1:14" ht="31.5" hidden="1" customHeight="1">
      <c r="A56" s="47">
        <v>12</v>
      </c>
      <c r="B56" s="69" t="s">
        <v>121</v>
      </c>
      <c r="C56" s="76" t="s">
        <v>86</v>
      </c>
      <c r="D56" s="69" t="s">
        <v>122</v>
      </c>
      <c r="E56" s="77">
        <v>8</v>
      </c>
      <c r="F56" s="78">
        <f>SUM(E56*6/100)</f>
        <v>0.48</v>
      </c>
      <c r="G56" s="17">
        <v>2306.62</v>
      </c>
      <c r="H56" s="79">
        <f>SUM(F56*G56/1000)</f>
        <v>1.1071776</v>
      </c>
      <c r="I56" s="17">
        <f>F56/6*G56</f>
        <v>184.52959999999999</v>
      </c>
      <c r="J56" s="75"/>
    </row>
    <row r="57" spans="1:14" ht="15.75" customHeight="1">
      <c r="A57" s="47">
        <v>8</v>
      </c>
      <c r="B57" s="88" t="s">
        <v>80</v>
      </c>
      <c r="C57" s="87" t="s">
        <v>30</v>
      </c>
      <c r="D57" s="88" t="s">
        <v>226</v>
      </c>
      <c r="E57" s="89"/>
      <c r="F57" s="90">
        <v>1</v>
      </c>
      <c r="G57" s="17">
        <v>1501</v>
      </c>
      <c r="H57" s="79">
        <f>SUM(F57*G57/1000)</f>
        <v>1.5009999999999999</v>
      </c>
      <c r="I57" s="17">
        <f>G57*2</f>
        <v>3002</v>
      </c>
      <c r="J57" s="75"/>
    </row>
    <row r="58" spans="1:14" ht="15.75" customHeight="1">
      <c r="A58" s="47"/>
      <c r="B58" s="71" t="s">
        <v>42</v>
      </c>
      <c r="C58" s="39"/>
      <c r="D58" s="39"/>
      <c r="E58" s="16"/>
      <c r="F58" s="16"/>
      <c r="G58" s="40"/>
      <c r="H58" s="40"/>
      <c r="I58" s="64"/>
      <c r="J58" s="75"/>
      <c r="L58" s="24"/>
      <c r="M58" s="25"/>
      <c r="N58" s="26"/>
    </row>
    <row r="59" spans="1:14" ht="15.75" customHeight="1">
      <c r="A59" s="47">
        <v>9</v>
      </c>
      <c r="B59" s="88" t="s">
        <v>43</v>
      </c>
      <c r="C59" s="87" t="s">
        <v>51</v>
      </c>
      <c r="D59" s="88" t="s">
        <v>225</v>
      </c>
      <c r="E59" s="89">
        <v>7.4</v>
      </c>
      <c r="F59" s="17">
        <f>SUM(E59/100)</f>
        <v>7.400000000000001E-2</v>
      </c>
      <c r="G59" s="17">
        <v>987.51</v>
      </c>
      <c r="H59" s="91">
        <f>F59*G59/1000</f>
        <v>7.3075740000000014E-2</v>
      </c>
      <c r="I59" s="17">
        <f>G59*F59</f>
        <v>73.07574000000001</v>
      </c>
      <c r="J59" s="75"/>
      <c r="L59" s="24"/>
      <c r="M59" s="25"/>
      <c r="N59" s="26"/>
    </row>
    <row r="60" spans="1:14" ht="15.75" customHeight="1">
      <c r="A60" s="47"/>
      <c r="B60" s="71" t="s">
        <v>44</v>
      </c>
      <c r="C60" s="21"/>
      <c r="D60" s="66"/>
      <c r="E60" s="16"/>
      <c r="F60" s="16"/>
      <c r="G60" s="31"/>
      <c r="H60" s="31"/>
      <c r="I60" s="64"/>
      <c r="J60" s="75"/>
      <c r="L60" s="24"/>
      <c r="M60" s="25"/>
      <c r="N60" s="26"/>
    </row>
    <row r="61" spans="1:14" ht="15.75" hidden="1" customHeight="1">
      <c r="A61" s="47">
        <v>11</v>
      </c>
      <c r="B61" s="19" t="s">
        <v>45</v>
      </c>
      <c r="C61" s="21" t="s">
        <v>96</v>
      </c>
      <c r="D61" s="19" t="s">
        <v>170</v>
      </c>
      <c r="E61" s="23">
        <v>1</v>
      </c>
      <c r="F61" s="17">
        <f>SUM(E61)</f>
        <v>1</v>
      </c>
      <c r="G61" s="17">
        <v>276.74</v>
      </c>
      <c r="H61" s="80">
        <f t="shared" ref="H61:H69" si="7">SUM(F61*G61/1000)</f>
        <v>0.27673999999999999</v>
      </c>
      <c r="I61" s="17">
        <f>G61*4</f>
        <v>1106.96</v>
      </c>
      <c r="J61" s="75"/>
      <c r="L61" s="24"/>
      <c r="M61" s="25"/>
      <c r="N61" s="26"/>
    </row>
    <row r="62" spans="1:14" ht="15.75" customHeight="1">
      <c r="A62" s="67">
        <v>10</v>
      </c>
      <c r="B62" s="19" t="s">
        <v>46</v>
      </c>
      <c r="C62" s="21" t="s">
        <v>96</v>
      </c>
      <c r="D62" s="19" t="s">
        <v>173</v>
      </c>
      <c r="E62" s="23">
        <v>2</v>
      </c>
      <c r="F62" s="17">
        <f>SUM(E62)</f>
        <v>2</v>
      </c>
      <c r="G62" s="17">
        <v>94.89</v>
      </c>
      <c r="H62" s="80">
        <f t="shared" si="7"/>
        <v>0.18978</v>
      </c>
      <c r="I62" s="17">
        <f>G62*1</f>
        <v>94.89</v>
      </c>
      <c r="J62" s="75"/>
      <c r="L62" s="24"/>
      <c r="M62" s="25"/>
      <c r="N62" s="26"/>
    </row>
    <row r="63" spans="1:14" ht="15.75" hidden="1" customHeight="1">
      <c r="A63" s="67"/>
      <c r="B63" s="19" t="s">
        <v>47</v>
      </c>
      <c r="C63" s="21" t="s">
        <v>97</v>
      </c>
      <c r="D63" s="19" t="s">
        <v>52</v>
      </c>
      <c r="E63" s="77">
        <v>10052</v>
      </c>
      <c r="F63" s="17">
        <f>SUM(E63/100)</f>
        <v>100.52</v>
      </c>
      <c r="G63" s="17">
        <v>263.99</v>
      </c>
      <c r="H63" s="80">
        <f t="shared" si="7"/>
        <v>26.536274799999997</v>
      </c>
      <c r="I63" s="17">
        <v>0</v>
      </c>
      <c r="J63" s="75"/>
      <c r="L63" s="24"/>
      <c r="M63" s="25"/>
      <c r="N63" s="26"/>
    </row>
    <row r="64" spans="1:14" ht="15.75" hidden="1" customHeight="1">
      <c r="A64" s="67"/>
      <c r="B64" s="19" t="s">
        <v>48</v>
      </c>
      <c r="C64" s="21" t="s">
        <v>98</v>
      </c>
      <c r="D64" s="19"/>
      <c r="E64" s="77">
        <v>10052</v>
      </c>
      <c r="F64" s="17">
        <f>SUM(E64/1000)</f>
        <v>10.052</v>
      </c>
      <c r="G64" s="17">
        <v>205.57</v>
      </c>
      <c r="H64" s="80">
        <f t="shared" si="7"/>
        <v>2.0663896399999997</v>
      </c>
      <c r="I64" s="17">
        <v>0</v>
      </c>
      <c r="J64" s="75"/>
      <c r="L64" s="24"/>
      <c r="M64" s="25"/>
      <c r="N64" s="26"/>
    </row>
    <row r="65" spans="1:14" ht="15.75" hidden="1" customHeight="1">
      <c r="A65" s="67"/>
      <c r="B65" s="19" t="s">
        <v>49</v>
      </c>
      <c r="C65" s="21" t="s">
        <v>69</v>
      </c>
      <c r="D65" s="19" t="s">
        <v>52</v>
      </c>
      <c r="E65" s="77">
        <v>2200</v>
      </c>
      <c r="F65" s="17">
        <f>SUM(E65/100)</f>
        <v>22</v>
      </c>
      <c r="G65" s="17">
        <v>2581.5300000000002</v>
      </c>
      <c r="H65" s="80">
        <f t="shared" si="7"/>
        <v>56.793660000000003</v>
      </c>
      <c r="I65" s="17">
        <v>0</v>
      </c>
      <c r="J65" s="75"/>
      <c r="L65" s="24"/>
      <c r="M65" s="25"/>
      <c r="N65" s="26"/>
    </row>
    <row r="66" spans="1:14" ht="15.75" hidden="1" customHeight="1">
      <c r="A66" s="67"/>
      <c r="B66" s="92" t="s">
        <v>99</v>
      </c>
      <c r="C66" s="21" t="s">
        <v>31</v>
      </c>
      <c r="D66" s="19"/>
      <c r="E66" s="77">
        <v>9.4</v>
      </c>
      <c r="F66" s="17">
        <f>SUM(E66)</f>
        <v>9.4</v>
      </c>
      <c r="G66" s="17">
        <v>47.45</v>
      </c>
      <c r="H66" s="80">
        <f t="shared" si="7"/>
        <v>0.44603000000000004</v>
      </c>
      <c r="I66" s="17">
        <v>0</v>
      </c>
      <c r="J66" s="75"/>
      <c r="L66" s="24"/>
      <c r="M66" s="25"/>
      <c r="N66" s="26"/>
    </row>
    <row r="67" spans="1:14" ht="15.75" hidden="1" customHeight="1">
      <c r="A67" s="67"/>
      <c r="B67" s="92" t="s">
        <v>100</v>
      </c>
      <c r="C67" s="21" t="s">
        <v>31</v>
      </c>
      <c r="D67" s="19"/>
      <c r="E67" s="77">
        <v>9.4</v>
      </c>
      <c r="F67" s="17">
        <f>SUM(E67)</f>
        <v>9.4</v>
      </c>
      <c r="G67" s="17">
        <v>44.27</v>
      </c>
      <c r="H67" s="80">
        <f t="shared" si="7"/>
        <v>0.41613800000000001</v>
      </c>
      <c r="I67" s="17">
        <v>0</v>
      </c>
      <c r="J67" s="75"/>
      <c r="L67" s="24"/>
      <c r="M67" s="25"/>
      <c r="N67" s="26"/>
    </row>
    <row r="68" spans="1:14" ht="15.75" hidden="1" customHeight="1">
      <c r="A68" s="67"/>
      <c r="B68" s="19" t="s">
        <v>55</v>
      </c>
      <c r="C68" s="21" t="s">
        <v>56</v>
      </c>
      <c r="D68" s="19" t="s">
        <v>52</v>
      </c>
      <c r="E68" s="23">
        <v>2</v>
      </c>
      <c r="F68" s="17">
        <f>SUM(E68)</f>
        <v>2</v>
      </c>
      <c r="G68" s="17">
        <v>62.07</v>
      </c>
      <c r="H68" s="80">
        <f t="shared" si="7"/>
        <v>0.12414</v>
      </c>
      <c r="I68" s="17">
        <v>0</v>
      </c>
      <c r="J68" s="75"/>
      <c r="L68" s="24"/>
      <c r="M68" s="25"/>
      <c r="N68" s="26"/>
    </row>
    <row r="69" spans="1:14" ht="15.75" customHeight="1">
      <c r="A69" s="68">
        <v>11</v>
      </c>
      <c r="B69" s="19" t="s">
        <v>81</v>
      </c>
      <c r="C69" s="31" t="s">
        <v>101</v>
      </c>
      <c r="D69" s="19"/>
      <c r="E69" s="23">
        <v>2549.5</v>
      </c>
      <c r="F69" s="17">
        <f>SUM(E69*12)</f>
        <v>30594</v>
      </c>
      <c r="G69" s="17">
        <v>2.16</v>
      </c>
      <c r="H69" s="80">
        <f t="shared" si="7"/>
        <v>66.083040000000011</v>
      </c>
      <c r="I69" s="17">
        <f>F69/12*G69</f>
        <v>5506.92</v>
      </c>
      <c r="J69" s="75"/>
      <c r="L69" s="24"/>
      <c r="M69" s="25"/>
      <c r="N69" s="26"/>
    </row>
    <row r="70" spans="1:14" ht="15.75" hidden="1" customHeight="1">
      <c r="A70" s="61"/>
      <c r="B70" s="71" t="s">
        <v>102</v>
      </c>
      <c r="C70" s="71"/>
      <c r="D70" s="71"/>
      <c r="E70" s="71"/>
      <c r="F70" s="71"/>
      <c r="G70" s="71"/>
      <c r="H70" s="71"/>
      <c r="I70" s="23"/>
      <c r="J70" s="75"/>
      <c r="L70" s="24"/>
      <c r="M70" s="25"/>
      <c r="N70" s="26"/>
    </row>
    <row r="71" spans="1:14" ht="15.75" hidden="1" customHeight="1">
      <c r="A71" s="31">
        <v>36</v>
      </c>
      <c r="B71" s="69" t="s">
        <v>103</v>
      </c>
      <c r="C71" s="21"/>
      <c r="D71" s="19"/>
      <c r="E71" s="94"/>
      <c r="F71" s="17">
        <v>1</v>
      </c>
      <c r="G71" s="17">
        <v>22720</v>
      </c>
      <c r="H71" s="80">
        <f>G71*F71/1000</f>
        <v>22.72</v>
      </c>
      <c r="I71" s="17">
        <v>0</v>
      </c>
      <c r="J71" s="75"/>
      <c r="L71" s="24"/>
      <c r="M71" s="25"/>
      <c r="N71" s="26"/>
    </row>
    <row r="72" spans="1:14" ht="15.75" hidden="1" customHeight="1">
      <c r="A72" s="68"/>
      <c r="B72" s="71" t="s">
        <v>64</v>
      </c>
      <c r="C72" s="21"/>
      <c r="D72" s="19"/>
      <c r="E72" s="16"/>
      <c r="F72" s="16"/>
      <c r="G72" s="31"/>
      <c r="H72" s="31"/>
      <c r="I72" s="64"/>
      <c r="J72" s="75"/>
      <c r="L72" s="24"/>
      <c r="M72" s="25"/>
      <c r="N72" s="26"/>
    </row>
    <row r="73" spans="1:14" ht="15.75" hidden="1" customHeight="1">
      <c r="A73" s="68">
        <v>16</v>
      </c>
      <c r="B73" s="19" t="s">
        <v>104</v>
      </c>
      <c r="C73" s="21" t="s">
        <v>105</v>
      </c>
      <c r="D73" s="19" t="s">
        <v>61</v>
      </c>
      <c r="E73" s="23">
        <v>1</v>
      </c>
      <c r="F73" s="17">
        <f>E73</f>
        <v>1</v>
      </c>
      <c r="G73" s="17">
        <v>976.4</v>
      </c>
      <c r="H73" s="80">
        <f t="shared" ref="H73:H75" si="8">SUM(F73*G73/1000)</f>
        <v>0.97639999999999993</v>
      </c>
      <c r="I73" s="17">
        <v>0</v>
      </c>
      <c r="J73" s="75"/>
      <c r="L73" s="24"/>
      <c r="M73" s="25"/>
      <c r="N73" s="26"/>
    </row>
    <row r="74" spans="1:14" ht="15.75" hidden="1" customHeight="1">
      <c r="A74" s="68"/>
      <c r="B74" s="19" t="s">
        <v>106</v>
      </c>
      <c r="C74" s="21" t="s">
        <v>107</v>
      </c>
      <c r="D74" s="19" t="s">
        <v>61</v>
      </c>
      <c r="E74" s="23">
        <v>1</v>
      </c>
      <c r="F74" s="17">
        <v>1</v>
      </c>
      <c r="G74" s="17">
        <v>735</v>
      </c>
      <c r="H74" s="80">
        <f t="shared" si="8"/>
        <v>0.73499999999999999</v>
      </c>
      <c r="I74" s="17">
        <v>0</v>
      </c>
      <c r="J74" s="75"/>
      <c r="L74" s="24"/>
      <c r="M74" s="25"/>
      <c r="N74" s="26"/>
    </row>
    <row r="75" spans="1:14" ht="15.75" hidden="1" customHeight="1">
      <c r="A75" s="68">
        <v>11</v>
      </c>
      <c r="B75" s="19" t="s">
        <v>65</v>
      </c>
      <c r="C75" s="21" t="s">
        <v>67</v>
      </c>
      <c r="D75" s="19" t="s">
        <v>61</v>
      </c>
      <c r="E75" s="23">
        <v>3</v>
      </c>
      <c r="F75" s="17">
        <v>0.3</v>
      </c>
      <c r="G75" s="17">
        <v>624.16999999999996</v>
      </c>
      <c r="H75" s="80">
        <f t="shared" si="8"/>
        <v>0.18725099999999997</v>
      </c>
      <c r="I75" s="17">
        <f>G75*0.2</f>
        <v>124.834</v>
      </c>
      <c r="J75" s="75"/>
      <c r="L75" s="24"/>
      <c r="M75" s="25"/>
      <c r="N75" s="26"/>
    </row>
    <row r="76" spans="1:14" ht="15.75" hidden="1" customHeight="1">
      <c r="A76" s="68"/>
      <c r="B76" s="19" t="s">
        <v>66</v>
      </c>
      <c r="C76" s="21" t="s">
        <v>29</v>
      </c>
      <c r="D76" s="19" t="s">
        <v>61</v>
      </c>
      <c r="E76" s="23">
        <v>1</v>
      </c>
      <c r="F76" s="93">
        <v>1</v>
      </c>
      <c r="G76" s="17">
        <v>1061.4100000000001</v>
      </c>
      <c r="H76" s="80">
        <f>F76*G76/1000</f>
        <v>1.0614100000000002</v>
      </c>
      <c r="I76" s="17">
        <v>0</v>
      </c>
      <c r="J76" s="75"/>
      <c r="L76" s="24"/>
      <c r="M76" s="25"/>
      <c r="N76" s="26"/>
    </row>
    <row r="77" spans="1:14" ht="15.75" hidden="1" customHeight="1">
      <c r="A77" s="68"/>
      <c r="B77" s="19" t="s">
        <v>82</v>
      </c>
      <c r="C77" s="21" t="s">
        <v>29</v>
      </c>
      <c r="D77" s="19" t="s">
        <v>61</v>
      </c>
      <c r="E77" s="23">
        <v>1</v>
      </c>
      <c r="F77" s="17">
        <v>1</v>
      </c>
      <c r="G77" s="17">
        <v>446.12</v>
      </c>
      <c r="H77" s="80">
        <f>G77*F77/1000</f>
        <v>0.44612000000000002</v>
      </c>
      <c r="I77" s="17">
        <v>0</v>
      </c>
      <c r="J77" s="75"/>
      <c r="L77" s="24"/>
      <c r="M77" s="25"/>
      <c r="N77" s="26"/>
    </row>
    <row r="78" spans="1:14" ht="15.75" customHeight="1">
      <c r="A78" s="68"/>
      <c r="B78" s="56" t="s">
        <v>68</v>
      </c>
      <c r="C78" s="44"/>
      <c r="D78" s="43"/>
      <c r="E78" s="23"/>
      <c r="F78" s="23"/>
      <c r="G78" s="42"/>
      <c r="H78" s="42"/>
      <c r="I78" s="64"/>
      <c r="J78" s="75"/>
      <c r="L78" s="24"/>
      <c r="M78" s="25"/>
      <c r="N78" s="26"/>
    </row>
    <row r="79" spans="1:14" ht="15.75" customHeight="1">
      <c r="A79" s="68">
        <v>12</v>
      </c>
      <c r="B79" s="57" t="s">
        <v>108</v>
      </c>
      <c r="C79" s="21" t="s">
        <v>69</v>
      </c>
      <c r="D79" s="19"/>
      <c r="E79" s="23"/>
      <c r="F79" s="17">
        <v>1</v>
      </c>
      <c r="G79" s="17">
        <v>3433.68</v>
      </c>
      <c r="H79" s="80">
        <f t="shared" ref="H79" si="9">SUM(F79*G79/1000)</f>
        <v>3.4336799999999998</v>
      </c>
      <c r="I79" s="17">
        <f>G79*0.06</f>
        <v>206.02079999999998</v>
      </c>
      <c r="J79" s="75"/>
      <c r="L79" s="24"/>
      <c r="M79" s="25"/>
      <c r="N79" s="26"/>
    </row>
    <row r="80" spans="1:14" ht="15.75" customHeight="1">
      <c r="A80" s="165" t="s">
        <v>133</v>
      </c>
      <c r="B80" s="166"/>
      <c r="C80" s="166"/>
      <c r="D80" s="166"/>
      <c r="E80" s="166"/>
      <c r="F80" s="166"/>
      <c r="G80" s="166"/>
      <c r="H80" s="166"/>
      <c r="I80" s="167"/>
      <c r="J80" s="75"/>
      <c r="L80" s="24"/>
      <c r="M80" s="25"/>
      <c r="N80" s="26"/>
    </row>
    <row r="81" spans="1:14" ht="15.75" customHeight="1">
      <c r="A81" s="68">
        <v>13</v>
      </c>
      <c r="B81" s="69" t="s">
        <v>123</v>
      </c>
      <c r="C81" s="21" t="s">
        <v>53</v>
      </c>
      <c r="D81" s="19"/>
      <c r="E81" s="17">
        <v>2549.5</v>
      </c>
      <c r="F81" s="17">
        <f>SUM(E81*12)</f>
        <v>30594</v>
      </c>
      <c r="G81" s="17">
        <v>2.95</v>
      </c>
      <c r="H81" s="80">
        <f>SUM(F81*G81/1000)</f>
        <v>90.252300000000005</v>
      </c>
      <c r="I81" s="17">
        <f>F81/12*G81</f>
        <v>7521.0250000000005</v>
      </c>
      <c r="J81" s="75"/>
      <c r="L81" s="24"/>
      <c r="M81" s="25"/>
      <c r="N81" s="26"/>
    </row>
    <row r="82" spans="1:14" ht="31.5" customHeight="1">
      <c r="A82" s="31">
        <v>14</v>
      </c>
      <c r="B82" s="19" t="s">
        <v>70</v>
      </c>
      <c r="C82" s="21"/>
      <c r="D82" s="19"/>
      <c r="E82" s="77">
        <v>2549.5</v>
      </c>
      <c r="F82" s="17">
        <f>E82*12</f>
        <v>30594</v>
      </c>
      <c r="G82" s="17">
        <v>3.05</v>
      </c>
      <c r="H82" s="80">
        <f>F82*G82/1000</f>
        <v>93.311700000000002</v>
      </c>
      <c r="I82" s="17">
        <f>F82/12*G82</f>
        <v>7775.9749999999995</v>
      </c>
      <c r="J82" s="75"/>
      <c r="L82" s="24"/>
      <c r="M82" s="25"/>
      <c r="N82" s="26"/>
    </row>
    <row r="83" spans="1:14" ht="15.75" customHeight="1">
      <c r="A83" s="61"/>
      <c r="B83" s="45" t="s">
        <v>72</v>
      </c>
      <c r="C83" s="47"/>
      <c r="D83" s="20"/>
      <c r="E83" s="20"/>
      <c r="F83" s="20"/>
      <c r="G83" s="23"/>
      <c r="H83" s="23"/>
      <c r="I83" s="35">
        <f>I82+I81+I79+I69+I62+I59+I57+I40+I39+I37+I36+I18+I17+I16</f>
        <v>40110.671557499998</v>
      </c>
      <c r="J83" s="75"/>
      <c r="L83" s="24"/>
      <c r="M83" s="25"/>
      <c r="N83" s="26"/>
    </row>
    <row r="84" spans="1:14" ht="15.75" customHeight="1">
      <c r="A84" s="162" t="s">
        <v>57</v>
      </c>
      <c r="B84" s="163"/>
      <c r="C84" s="163"/>
      <c r="D84" s="163"/>
      <c r="E84" s="163"/>
      <c r="F84" s="163"/>
      <c r="G84" s="163"/>
      <c r="H84" s="163"/>
      <c r="I84" s="164"/>
      <c r="J84" s="75"/>
      <c r="L84" s="24"/>
      <c r="M84" s="25"/>
      <c r="N84" s="26"/>
    </row>
    <row r="85" spans="1:14" ht="15.75" customHeight="1">
      <c r="A85" s="68">
        <v>15</v>
      </c>
      <c r="B85" s="19" t="s">
        <v>154</v>
      </c>
      <c r="C85" s="21" t="s">
        <v>155</v>
      </c>
      <c r="D85" s="19"/>
      <c r="E85" s="23"/>
      <c r="F85" s="17">
        <v>96</v>
      </c>
      <c r="G85" s="17">
        <v>1.4</v>
      </c>
      <c r="H85" s="17">
        <f>F85*G85/1000</f>
        <v>0.13439999999999996</v>
      </c>
      <c r="I85" s="17">
        <f>G85*48</f>
        <v>67.199999999999989</v>
      </c>
      <c r="J85" s="75"/>
      <c r="L85" s="24"/>
      <c r="M85" s="25"/>
      <c r="N85" s="26"/>
    </row>
    <row r="86" spans="1:14" ht="30.75" customHeight="1">
      <c r="A86" s="68">
        <v>16</v>
      </c>
      <c r="B86" s="117" t="s">
        <v>160</v>
      </c>
      <c r="C86" s="118" t="s">
        <v>28</v>
      </c>
      <c r="D86" s="43"/>
      <c r="E86" s="22"/>
      <c r="F86" s="41">
        <v>20</v>
      </c>
      <c r="G86" s="135">
        <v>21369.24</v>
      </c>
      <c r="H86" s="115">
        <f>G86*F86/1000</f>
        <v>427.38480000000004</v>
      </c>
      <c r="I86" s="17">
        <f>G86*0.599*4/1000</f>
        <v>51.200699039999996</v>
      </c>
      <c r="J86" s="75"/>
      <c r="L86" s="24"/>
      <c r="M86" s="25"/>
      <c r="N86" s="26"/>
    </row>
    <row r="87" spans="1:14" ht="18.75" customHeight="1">
      <c r="A87" s="68">
        <v>17</v>
      </c>
      <c r="B87" s="136" t="s">
        <v>193</v>
      </c>
      <c r="C87" s="31" t="s">
        <v>177</v>
      </c>
      <c r="D87" s="43" t="s">
        <v>230</v>
      </c>
      <c r="E87" s="22"/>
      <c r="F87" s="41">
        <v>2.5</v>
      </c>
      <c r="G87" s="41">
        <v>4402.3500000000004</v>
      </c>
      <c r="H87" s="115"/>
      <c r="I87" s="96">
        <f>G87*1</f>
        <v>4402.3500000000004</v>
      </c>
      <c r="J87" s="75"/>
      <c r="L87" s="24"/>
      <c r="M87" s="25"/>
      <c r="N87" s="26"/>
    </row>
    <row r="88" spans="1:14" ht="19.5" customHeight="1">
      <c r="A88" s="68">
        <v>18</v>
      </c>
      <c r="B88" s="117" t="s">
        <v>73</v>
      </c>
      <c r="C88" s="118" t="s">
        <v>96</v>
      </c>
      <c r="D88" s="43"/>
      <c r="E88" s="22"/>
      <c r="F88" s="41">
        <v>7</v>
      </c>
      <c r="G88" s="41">
        <v>224.48</v>
      </c>
      <c r="H88" s="115"/>
      <c r="I88" s="96">
        <f>G88*1</f>
        <v>224.48</v>
      </c>
      <c r="J88" s="75"/>
      <c r="L88" s="24"/>
      <c r="M88" s="25"/>
      <c r="N88" s="26"/>
    </row>
    <row r="89" spans="1:14" ht="19.5" customHeight="1">
      <c r="A89" s="68">
        <v>19</v>
      </c>
      <c r="B89" s="117" t="s">
        <v>227</v>
      </c>
      <c r="C89" s="118" t="s">
        <v>51</v>
      </c>
      <c r="D89" s="43"/>
      <c r="E89" s="22"/>
      <c r="F89" s="41">
        <v>0.15</v>
      </c>
      <c r="G89" s="41">
        <v>2399.1</v>
      </c>
      <c r="H89" s="115"/>
      <c r="I89" s="96">
        <f>G89*0.15</f>
        <v>359.86499999999995</v>
      </c>
      <c r="J89" s="75"/>
      <c r="L89" s="24"/>
      <c r="M89" s="25"/>
      <c r="N89" s="26"/>
    </row>
    <row r="90" spans="1:14" ht="19.5" customHeight="1">
      <c r="A90" s="68">
        <v>20</v>
      </c>
      <c r="B90" s="117" t="s">
        <v>161</v>
      </c>
      <c r="C90" s="118" t="s">
        <v>157</v>
      </c>
      <c r="D90" s="43"/>
      <c r="E90" s="22"/>
      <c r="F90" s="41">
        <v>2</v>
      </c>
      <c r="G90" s="41">
        <v>236.08</v>
      </c>
      <c r="H90" s="115"/>
      <c r="I90" s="96">
        <f>G90*1</f>
        <v>236.08</v>
      </c>
      <c r="J90" s="75"/>
      <c r="L90" s="24"/>
      <c r="M90" s="25"/>
      <c r="N90" s="26"/>
    </row>
    <row r="91" spans="1:14" ht="19.5" customHeight="1">
      <c r="A91" s="68">
        <v>21</v>
      </c>
      <c r="B91" s="117" t="s">
        <v>228</v>
      </c>
      <c r="C91" s="118" t="s">
        <v>29</v>
      </c>
      <c r="D91" s="43" t="s">
        <v>233</v>
      </c>
      <c r="E91" s="22"/>
      <c r="F91" s="41">
        <v>1</v>
      </c>
      <c r="G91" s="41">
        <v>244.17</v>
      </c>
      <c r="H91" s="115"/>
      <c r="I91" s="96">
        <f>G91*1</f>
        <v>244.17</v>
      </c>
      <c r="J91" s="75"/>
      <c r="L91" s="24"/>
      <c r="M91" s="25"/>
      <c r="N91" s="26"/>
    </row>
    <row r="92" spans="1:14" ht="19.5" customHeight="1">
      <c r="A92" s="68">
        <v>22</v>
      </c>
      <c r="B92" s="117" t="s">
        <v>229</v>
      </c>
      <c r="C92" s="118" t="s">
        <v>53</v>
      </c>
      <c r="D92" s="43" t="s">
        <v>203</v>
      </c>
      <c r="E92" s="22"/>
      <c r="F92" s="41">
        <v>1</v>
      </c>
      <c r="G92" s="41">
        <v>217.39</v>
      </c>
      <c r="H92" s="115"/>
      <c r="I92" s="96">
        <f>G92*1</f>
        <v>217.39</v>
      </c>
      <c r="J92" s="75"/>
      <c r="L92" s="24"/>
      <c r="M92" s="25"/>
      <c r="N92" s="26"/>
    </row>
    <row r="93" spans="1:14" ht="19.5" customHeight="1">
      <c r="A93" s="68">
        <v>23</v>
      </c>
      <c r="B93" s="117" t="s">
        <v>156</v>
      </c>
      <c r="C93" s="118" t="s">
        <v>164</v>
      </c>
      <c r="D93" s="43" t="s">
        <v>232</v>
      </c>
      <c r="E93" s="22"/>
      <c r="F93" s="41">
        <v>50</v>
      </c>
      <c r="G93" s="41">
        <v>295.36</v>
      </c>
      <c r="H93" s="115"/>
      <c r="I93" s="96">
        <v>0</v>
      </c>
      <c r="J93" s="75"/>
      <c r="L93" s="24"/>
      <c r="M93" s="25"/>
      <c r="N93" s="26"/>
    </row>
    <row r="94" spans="1:14" ht="19.5" customHeight="1">
      <c r="A94" s="68">
        <v>24</v>
      </c>
      <c r="B94" s="117" t="s">
        <v>198</v>
      </c>
      <c r="C94" s="118" t="s">
        <v>96</v>
      </c>
      <c r="D94" s="43" t="s">
        <v>231</v>
      </c>
      <c r="E94" s="22"/>
      <c r="F94" s="41">
        <v>5</v>
      </c>
      <c r="G94" s="41">
        <v>218.81</v>
      </c>
      <c r="H94" s="115"/>
      <c r="I94" s="96">
        <v>0</v>
      </c>
      <c r="J94" s="75"/>
      <c r="L94" s="24"/>
      <c r="M94" s="25"/>
      <c r="N94" s="26"/>
    </row>
    <row r="95" spans="1:14" ht="15.75" customHeight="1">
      <c r="A95" s="31"/>
      <c r="B95" s="52" t="s">
        <v>50</v>
      </c>
      <c r="C95" s="48"/>
      <c r="D95" s="62"/>
      <c r="E95" s="48">
        <v>1</v>
      </c>
      <c r="F95" s="48"/>
      <c r="G95" s="48"/>
      <c r="H95" s="48"/>
      <c r="I95" s="35">
        <f>SUM(I85:I92)</f>
        <v>5802.7356990400003</v>
      </c>
      <c r="J95" s="75"/>
      <c r="L95" s="24"/>
      <c r="M95" s="25"/>
      <c r="N95" s="26"/>
    </row>
    <row r="96" spans="1:14" ht="15.75" customHeight="1">
      <c r="A96" s="31"/>
      <c r="B96" s="57" t="s">
        <v>71</v>
      </c>
      <c r="C96" s="20"/>
      <c r="D96" s="20"/>
      <c r="E96" s="49"/>
      <c r="F96" s="49"/>
      <c r="G96" s="50"/>
      <c r="H96" s="50"/>
      <c r="I96" s="22">
        <v>0</v>
      </c>
      <c r="J96" s="75"/>
      <c r="L96" s="24"/>
      <c r="M96" s="25"/>
      <c r="N96" s="26"/>
    </row>
    <row r="97" spans="1:22" ht="15.75" customHeight="1">
      <c r="A97" s="63"/>
      <c r="B97" s="53" t="s">
        <v>149</v>
      </c>
      <c r="C97" s="39"/>
      <c r="D97" s="39"/>
      <c r="E97" s="39"/>
      <c r="F97" s="39"/>
      <c r="G97" s="39"/>
      <c r="H97" s="39"/>
      <c r="I97" s="51">
        <f>I83+I95</f>
        <v>45913.407256539998</v>
      </c>
      <c r="J97" s="75"/>
      <c r="L97" s="24"/>
    </row>
    <row r="98" spans="1:22" ht="15.75">
      <c r="A98" s="157" t="s">
        <v>235</v>
      </c>
      <c r="B98" s="157"/>
      <c r="C98" s="157"/>
      <c r="D98" s="157"/>
      <c r="E98" s="157"/>
      <c r="F98" s="157"/>
      <c r="G98" s="157"/>
      <c r="H98" s="157"/>
      <c r="I98" s="157"/>
    </row>
    <row r="99" spans="1:22" ht="15.75">
      <c r="A99" s="12"/>
      <c r="B99" s="158" t="s">
        <v>236</v>
      </c>
      <c r="C99" s="158"/>
      <c r="D99" s="158"/>
      <c r="E99" s="158"/>
      <c r="F99" s="158"/>
      <c r="G99" s="158"/>
      <c r="H99" s="98"/>
      <c r="I99" s="4"/>
    </row>
    <row r="100" spans="1:22" ht="15.75">
      <c r="A100" s="70"/>
      <c r="B100" s="173" t="s">
        <v>6</v>
      </c>
      <c r="C100" s="173"/>
      <c r="D100" s="173"/>
      <c r="E100" s="173"/>
      <c r="F100" s="173"/>
      <c r="G100" s="173"/>
      <c r="H100" s="74"/>
      <c r="I100" s="59"/>
    </row>
    <row r="101" spans="1:22" ht="15.75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11"/>
    </row>
    <row r="102" spans="1:22" ht="15.75" customHeight="1">
      <c r="A102" s="174" t="s">
        <v>7</v>
      </c>
      <c r="B102" s="174"/>
      <c r="C102" s="174"/>
      <c r="D102" s="174"/>
      <c r="E102" s="174"/>
      <c r="F102" s="174"/>
      <c r="G102" s="174"/>
      <c r="H102" s="174"/>
      <c r="I102" s="174"/>
      <c r="J102" s="29"/>
      <c r="K102" s="29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2" ht="15.75">
      <c r="A103" s="174" t="s">
        <v>8</v>
      </c>
      <c r="B103" s="174"/>
      <c r="C103" s="174"/>
      <c r="D103" s="174"/>
      <c r="E103" s="174"/>
      <c r="F103" s="174"/>
      <c r="G103" s="174"/>
      <c r="H103" s="174"/>
      <c r="I103" s="174"/>
      <c r="J103" s="4"/>
      <c r="K103" s="4"/>
      <c r="L103" s="4"/>
      <c r="M103" s="4"/>
      <c r="N103" s="4"/>
      <c r="O103" s="4"/>
      <c r="P103" s="4"/>
      <c r="Q103" s="4"/>
      <c r="S103" s="4"/>
      <c r="T103" s="4"/>
      <c r="U103" s="4"/>
    </row>
    <row r="104" spans="1:22" ht="15.75">
      <c r="A104" s="157" t="s">
        <v>9</v>
      </c>
      <c r="B104" s="157"/>
      <c r="C104" s="157"/>
      <c r="D104" s="157"/>
      <c r="E104" s="157"/>
      <c r="F104" s="157"/>
      <c r="G104" s="157"/>
      <c r="H104" s="157"/>
      <c r="I104" s="157"/>
      <c r="J104" s="6"/>
      <c r="K104" s="6"/>
      <c r="L104" s="6"/>
      <c r="M104" s="6"/>
      <c r="N104" s="6"/>
      <c r="O104" s="6"/>
      <c r="P104" s="6"/>
      <c r="Q104" s="6"/>
      <c r="R104" s="155"/>
      <c r="S104" s="155"/>
      <c r="T104" s="155"/>
      <c r="U104" s="155"/>
    </row>
    <row r="105" spans="1:22" ht="15.75">
      <c r="A105" s="13"/>
      <c r="B105" s="58"/>
      <c r="C105" s="58"/>
      <c r="D105" s="58"/>
      <c r="E105" s="58"/>
      <c r="F105" s="58"/>
      <c r="G105" s="58"/>
      <c r="H105" s="58"/>
      <c r="I105" s="58"/>
    </row>
    <row r="106" spans="1:22" ht="15.75">
      <c r="A106" s="156" t="s">
        <v>10</v>
      </c>
      <c r="B106" s="156"/>
      <c r="C106" s="156"/>
      <c r="D106" s="156"/>
      <c r="E106" s="156"/>
      <c r="F106" s="156"/>
      <c r="G106" s="156"/>
      <c r="H106" s="156"/>
      <c r="I106" s="156"/>
    </row>
    <row r="107" spans="1:22" ht="15.75" customHeight="1">
      <c r="A107" s="5"/>
    </row>
    <row r="108" spans="1:22" ht="15.75">
      <c r="A108" s="157" t="s">
        <v>11</v>
      </c>
      <c r="B108" s="157"/>
      <c r="C108" s="175" t="s">
        <v>188</v>
      </c>
      <c r="D108" s="175"/>
      <c r="E108" s="175"/>
      <c r="F108" s="72"/>
      <c r="I108" s="103"/>
    </row>
    <row r="109" spans="1:22">
      <c r="A109" s="104"/>
      <c r="C109" s="171" t="s">
        <v>12</v>
      </c>
      <c r="D109" s="171"/>
      <c r="E109" s="171"/>
      <c r="F109" s="28"/>
      <c r="I109" s="102" t="s">
        <v>13</v>
      </c>
    </row>
    <row r="110" spans="1:22" ht="15.75">
      <c r="A110" s="29"/>
      <c r="C110" s="14"/>
      <c r="D110" s="14"/>
      <c r="G110" s="14"/>
      <c r="H110" s="14"/>
    </row>
    <row r="111" spans="1:22" ht="15.75" customHeight="1">
      <c r="A111" s="157" t="s">
        <v>14</v>
      </c>
      <c r="B111" s="157"/>
      <c r="C111" s="172"/>
      <c r="D111" s="172"/>
      <c r="E111" s="172"/>
      <c r="F111" s="73"/>
      <c r="I111" s="103"/>
    </row>
    <row r="112" spans="1:22">
      <c r="A112" s="104"/>
      <c r="C112" s="155" t="s">
        <v>12</v>
      </c>
      <c r="D112" s="155"/>
      <c r="E112" s="155"/>
      <c r="F112" s="104"/>
      <c r="I112" s="102" t="s">
        <v>13</v>
      </c>
    </row>
    <row r="113" spans="1:9" ht="15.75">
      <c r="A113" s="5" t="s">
        <v>15</v>
      </c>
    </row>
    <row r="114" spans="1:9">
      <c r="A114" s="176" t="s">
        <v>16</v>
      </c>
      <c r="B114" s="176"/>
      <c r="C114" s="176"/>
      <c r="D114" s="176"/>
      <c r="E114" s="176"/>
      <c r="F114" s="176"/>
      <c r="G114" s="176"/>
      <c r="H114" s="176"/>
      <c r="I114" s="176"/>
    </row>
    <row r="115" spans="1:9" ht="45" customHeight="1">
      <c r="A115" s="177" t="s">
        <v>17</v>
      </c>
      <c r="B115" s="177"/>
      <c r="C115" s="177"/>
      <c r="D115" s="177"/>
      <c r="E115" s="177"/>
      <c r="F115" s="177"/>
      <c r="G115" s="177"/>
      <c r="H115" s="177"/>
      <c r="I115" s="177"/>
    </row>
    <row r="116" spans="1:9" ht="30" customHeight="1">
      <c r="A116" s="177" t="s">
        <v>18</v>
      </c>
      <c r="B116" s="177"/>
      <c r="C116" s="177"/>
      <c r="D116" s="177"/>
      <c r="E116" s="177"/>
      <c r="F116" s="177"/>
      <c r="G116" s="177"/>
      <c r="H116" s="177"/>
      <c r="I116" s="177"/>
    </row>
    <row r="117" spans="1:9" ht="30" customHeight="1">
      <c r="A117" s="177" t="s">
        <v>22</v>
      </c>
      <c r="B117" s="177"/>
      <c r="C117" s="177"/>
      <c r="D117" s="177"/>
      <c r="E117" s="177"/>
      <c r="F117" s="177"/>
      <c r="G117" s="177"/>
      <c r="H117" s="177"/>
      <c r="I117" s="177"/>
    </row>
    <row r="118" spans="1:9" ht="15" customHeight="1">
      <c r="A118" s="177" t="s">
        <v>21</v>
      </c>
      <c r="B118" s="177"/>
      <c r="C118" s="177"/>
      <c r="D118" s="177"/>
      <c r="E118" s="177"/>
      <c r="F118" s="177"/>
      <c r="G118" s="177"/>
      <c r="H118" s="177"/>
      <c r="I118" s="177"/>
    </row>
    <row r="120" spans="1:9">
      <c r="A120" s="15"/>
      <c r="B120" s="15"/>
      <c r="C120" s="15"/>
      <c r="D120" s="15"/>
      <c r="E120" s="15"/>
      <c r="F120" s="15"/>
      <c r="G120" s="15"/>
      <c r="H120" s="15"/>
    </row>
  </sheetData>
  <autoFilter ref="I15:I99"/>
  <mergeCells count="31">
    <mergeCell ref="A118:I118"/>
    <mergeCell ref="R104:U104"/>
    <mergeCell ref="A106:I106"/>
    <mergeCell ref="A108:B108"/>
    <mergeCell ref="C108:E108"/>
    <mergeCell ref="C109:E109"/>
    <mergeCell ref="A111:B111"/>
    <mergeCell ref="C111:E111"/>
    <mergeCell ref="A104:I104"/>
    <mergeCell ref="C112:E112"/>
    <mergeCell ref="A114:I114"/>
    <mergeCell ref="A115:I115"/>
    <mergeCell ref="A116:I116"/>
    <mergeCell ref="A117:I117"/>
    <mergeCell ref="A98:I98"/>
    <mergeCell ref="B99:G99"/>
    <mergeCell ref="B100:G100"/>
    <mergeCell ref="A102:I102"/>
    <mergeCell ref="A103:I103"/>
    <mergeCell ref="A84:I84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  <mergeCell ref="A80:I80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98" sqref="A98: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159</v>
      </c>
      <c r="I1" s="32"/>
    </row>
    <row r="2" spans="1:15" s="58" customFormat="1" ht="15.75" customHeight="1">
      <c r="A2" s="30" t="s">
        <v>58</v>
      </c>
      <c r="J2" s="1"/>
      <c r="K2" s="1"/>
      <c r="L2" s="1"/>
      <c r="M2" s="1"/>
    </row>
    <row r="3" spans="1:15" s="58" customFormat="1" ht="15.75" customHeight="1">
      <c r="A3" s="150" t="s">
        <v>128</v>
      </c>
      <c r="B3" s="150"/>
      <c r="C3" s="150"/>
      <c r="D3" s="150"/>
      <c r="E3" s="150"/>
      <c r="F3" s="150"/>
      <c r="G3" s="150"/>
      <c r="H3" s="150"/>
      <c r="I3" s="150"/>
      <c r="J3" s="2"/>
      <c r="K3" s="2"/>
      <c r="L3" s="2"/>
      <c r="M3" s="2"/>
    </row>
    <row r="4" spans="1:15" s="58" customFormat="1" ht="31.5" customHeight="1">
      <c r="A4" s="151" t="s">
        <v>85</v>
      </c>
      <c r="B4" s="151"/>
      <c r="C4" s="151"/>
      <c r="D4" s="151"/>
      <c r="E4" s="151"/>
      <c r="F4" s="151"/>
      <c r="G4" s="151"/>
      <c r="H4" s="151"/>
      <c r="I4" s="151"/>
      <c r="J4" s="3"/>
      <c r="K4" s="3"/>
      <c r="L4" s="3"/>
      <c r="M4" s="3"/>
    </row>
    <row r="5" spans="1:15" s="58" customFormat="1" ht="15.75" customHeight="1">
      <c r="A5" s="150" t="s">
        <v>237</v>
      </c>
      <c r="B5" s="152"/>
      <c r="C5" s="152"/>
      <c r="D5" s="152"/>
      <c r="E5" s="152"/>
      <c r="F5" s="152"/>
      <c r="G5" s="152"/>
      <c r="H5" s="152"/>
      <c r="I5" s="152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44316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53" t="s">
        <v>187</v>
      </c>
      <c r="B8" s="153"/>
      <c r="C8" s="153"/>
      <c r="D8" s="153"/>
      <c r="E8" s="153"/>
      <c r="F8" s="153"/>
      <c r="G8" s="153"/>
      <c r="H8" s="153"/>
      <c r="I8" s="15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54" t="s">
        <v>158</v>
      </c>
      <c r="B10" s="154"/>
      <c r="C10" s="154"/>
      <c r="D10" s="154"/>
      <c r="E10" s="154"/>
      <c r="F10" s="154"/>
      <c r="G10" s="154"/>
      <c r="H10" s="154"/>
      <c r="I10" s="15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48" t="s">
        <v>139</v>
      </c>
      <c r="B14" s="149"/>
      <c r="C14" s="149"/>
      <c r="D14" s="149"/>
      <c r="E14" s="149"/>
      <c r="F14" s="149"/>
      <c r="G14" s="149"/>
      <c r="H14" s="149"/>
      <c r="I14" s="149"/>
      <c r="J14" s="114"/>
      <c r="K14" s="114"/>
      <c r="L14" s="10"/>
      <c r="M14" s="10"/>
      <c r="N14" s="10"/>
      <c r="O14" s="10"/>
    </row>
    <row r="15" spans="1:15" ht="15.75" customHeight="1">
      <c r="A15" s="145" t="s">
        <v>4</v>
      </c>
      <c r="B15" s="146"/>
      <c r="C15" s="146"/>
      <c r="D15" s="146"/>
      <c r="E15" s="146"/>
      <c r="F15" s="146"/>
      <c r="G15" s="146"/>
      <c r="H15" s="146"/>
      <c r="I15" s="147"/>
      <c r="J15" s="11"/>
      <c r="K15" s="11"/>
    </row>
    <row r="16" spans="1:15" ht="15.75" customHeight="1">
      <c r="A16" s="31">
        <v>1</v>
      </c>
      <c r="B16" s="69" t="s">
        <v>76</v>
      </c>
      <c r="C16" s="76" t="s">
        <v>86</v>
      </c>
      <c r="D16" s="69" t="s">
        <v>166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77</v>
      </c>
      <c r="C17" s="76" t="s">
        <v>86</v>
      </c>
      <c r="D17" s="69" t="s">
        <v>167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78</v>
      </c>
      <c r="C18" s="76" t="s">
        <v>86</v>
      </c>
      <c r="D18" s="69" t="s">
        <v>168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/>
      <c r="B19" s="69" t="s">
        <v>87</v>
      </c>
      <c r="C19" s="76" t="s">
        <v>88</v>
      </c>
      <c r="D19" s="69" t="s">
        <v>89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/>
      <c r="B20" s="69" t="s">
        <v>90</v>
      </c>
      <c r="C20" s="76" t="s">
        <v>86</v>
      </c>
      <c r="D20" s="69" t="s">
        <v>40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/>
      <c r="B21" s="69" t="s">
        <v>91</v>
      </c>
      <c r="C21" s="76" t="s">
        <v>86</v>
      </c>
      <c r="D21" s="69" t="s">
        <v>40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/>
      <c r="B22" s="69" t="s">
        <v>92</v>
      </c>
      <c r="C22" s="76" t="s">
        <v>51</v>
      </c>
      <c r="D22" s="69" t="s">
        <v>89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/>
      <c r="B23" s="69" t="s">
        <v>93</v>
      </c>
      <c r="C23" s="76" t="s">
        <v>51</v>
      </c>
      <c r="D23" s="69" t="s">
        <v>89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/>
      <c r="B24" s="69" t="s">
        <v>94</v>
      </c>
      <c r="C24" s="76" t="s">
        <v>51</v>
      </c>
      <c r="D24" s="82" t="s">
        <v>89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/>
      <c r="B25" s="69" t="s">
        <v>95</v>
      </c>
      <c r="C25" s="76" t="s">
        <v>51</v>
      </c>
      <c r="D25" s="69" t="s">
        <v>89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hidden="1" customHeight="1">
      <c r="A26" s="31">
        <v>4</v>
      </c>
      <c r="B26" s="37" t="s">
        <v>165</v>
      </c>
      <c r="C26" s="46" t="s">
        <v>155</v>
      </c>
      <c r="D26" s="37" t="s">
        <v>169</v>
      </c>
      <c r="E26" s="122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5" t="s">
        <v>75</v>
      </c>
      <c r="B27" s="146"/>
      <c r="C27" s="146"/>
      <c r="D27" s="146"/>
      <c r="E27" s="146"/>
      <c r="F27" s="146"/>
      <c r="G27" s="146"/>
      <c r="H27" s="146"/>
      <c r="I27" s="147"/>
      <c r="J27" s="27"/>
      <c r="K27" s="10"/>
      <c r="L27" s="10"/>
      <c r="M27" s="10"/>
    </row>
    <row r="28" spans="1:13" ht="15.75" hidden="1" customHeight="1">
      <c r="A28" s="47"/>
      <c r="B28" s="55" t="s">
        <v>136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hidden="1" customHeight="1">
      <c r="A29" s="68">
        <v>6</v>
      </c>
      <c r="B29" s="37" t="s">
        <v>140</v>
      </c>
      <c r="C29" s="46" t="s">
        <v>109</v>
      </c>
      <c r="D29" s="37" t="s">
        <v>137</v>
      </c>
      <c r="E29" s="101"/>
      <c r="F29" s="112"/>
      <c r="G29" s="36">
        <v>193.97</v>
      </c>
      <c r="H29" s="113"/>
      <c r="I29" s="95">
        <v>109.44</v>
      </c>
      <c r="J29" s="27"/>
      <c r="K29" s="10"/>
      <c r="L29" s="10"/>
      <c r="M29" s="10"/>
    </row>
    <row r="30" spans="1:13" ht="31.5" hidden="1" customHeight="1">
      <c r="A30" s="68">
        <v>7</v>
      </c>
      <c r="B30" s="37" t="s">
        <v>141</v>
      </c>
      <c r="C30" s="46" t="s">
        <v>109</v>
      </c>
      <c r="D30" s="37" t="s">
        <v>138</v>
      </c>
      <c r="E30" s="101"/>
      <c r="F30" s="112"/>
      <c r="G30" s="36">
        <v>321.82</v>
      </c>
      <c r="H30" s="113"/>
      <c r="I30" s="95">
        <v>272.36</v>
      </c>
      <c r="J30" s="27"/>
      <c r="K30" s="10"/>
      <c r="L30" s="10"/>
      <c r="M30" s="10"/>
    </row>
    <row r="31" spans="1:13" ht="15.75" hidden="1" customHeight="1">
      <c r="A31" s="68"/>
      <c r="B31" s="69" t="s">
        <v>27</v>
      </c>
      <c r="C31" s="76" t="s">
        <v>109</v>
      </c>
      <c r="D31" s="69" t="s">
        <v>52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ref="H31" si="2">SUM(F31*G31/1000)</f>
        <v>0.24466402799999998</v>
      </c>
      <c r="I31" s="17">
        <v>0</v>
      </c>
      <c r="J31" s="27"/>
      <c r="K31" s="10"/>
      <c r="L31" s="10"/>
      <c r="M31" s="10"/>
    </row>
    <row r="32" spans="1:13" ht="15.75" hidden="1" customHeight="1">
      <c r="A32" s="68">
        <v>8</v>
      </c>
      <c r="B32" s="37" t="s">
        <v>142</v>
      </c>
      <c r="C32" s="46" t="s">
        <v>29</v>
      </c>
      <c r="D32" s="37" t="s">
        <v>59</v>
      </c>
      <c r="E32" s="101"/>
      <c r="F32" s="112"/>
      <c r="G32" s="36">
        <v>70.540000000000006</v>
      </c>
      <c r="H32" s="113"/>
      <c r="I32" s="95">
        <v>303.70999999999998</v>
      </c>
      <c r="J32" s="27"/>
      <c r="K32" s="10"/>
      <c r="L32" s="10"/>
      <c r="M32" s="10"/>
    </row>
    <row r="33" spans="1:13" ht="15.75" hidden="1" customHeight="1">
      <c r="A33" s="68"/>
      <c r="B33" s="69" t="s">
        <v>60</v>
      </c>
      <c r="C33" s="76" t="s">
        <v>31</v>
      </c>
      <c r="D33" s="69" t="s">
        <v>61</v>
      </c>
      <c r="E33" s="77"/>
      <c r="F33" s="78">
        <v>1</v>
      </c>
      <c r="G33" s="78">
        <v>238.07</v>
      </c>
      <c r="H33" s="79">
        <f t="shared" ref="H33:H34" si="3">SUM(F33*G33/1000)</f>
        <v>0.23807</v>
      </c>
      <c r="I33" s="17">
        <v>0</v>
      </c>
      <c r="J33" s="27"/>
      <c r="K33" s="10"/>
      <c r="L33" s="10"/>
      <c r="M33" s="10"/>
    </row>
    <row r="34" spans="1:13" ht="16.5" hidden="1" customHeight="1">
      <c r="A34" s="68"/>
      <c r="B34" s="69" t="s">
        <v>110</v>
      </c>
      <c r="C34" s="76" t="s">
        <v>30</v>
      </c>
      <c r="D34" s="69" t="s">
        <v>61</v>
      </c>
      <c r="E34" s="77"/>
      <c r="F34" s="78">
        <v>1</v>
      </c>
      <c r="G34" s="78">
        <v>1413.96</v>
      </c>
      <c r="H34" s="79">
        <f t="shared" si="3"/>
        <v>1.4139600000000001</v>
      </c>
      <c r="I34" s="17">
        <v>0</v>
      </c>
      <c r="J34" s="27"/>
      <c r="K34" s="10"/>
      <c r="L34" s="10"/>
      <c r="M34" s="10"/>
    </row>
    <row r="35" spans="1:13" ht="15.75" customHeight="1">
      <c r="A35" s="47"/>
      <c r="B35" s="55" t="s">
        <v>5</v>
      </c>
      <c r="C35" s="47"/>
      <c r="D35" s="47"/>
      <c r="E35" s="16"/>
      <c r="F35" s="16"/>
      <c r="G35" s="18"/>
      <c r="H35" s="18"/>
      <c r="I35" s="64"/>
      <c r="J35" s="27"/>
      <c r="K35" s="10"/>
      <c r="L35" s="10"/>
      <c r="M35" s="10"/>
    </row>
    <row r="36" spans="1:13" ht="15.75" hidden="1" customHeight="1">
      <c r="A36" s="38">
        <v>6</v>
      </c>
      <c r="B36" s="69" t="s">
        <v>26</v>
      </c>
      <c r="C36" s="76" t="s">
        <v>30</v>
      </c>
      <c r="D36" s="69"/>
      <c r="E36" s="77"/>
      <c r="F36" s="78">
        <v>2</v>
      </c>
      <c r="G36" s="78">
        <v>1900.37</v>
      </c>
      <c r="H36" s="79">
        <f t="shared" ref="H36:H42" si="4">SUM(F36*G36/1000)</f>
        <v>3.8007399999999998</v>
      </c>
      <c r="I36" s="17">
        <f>F36/6*G36</f>
        <v>633.45666666666659</v>
      </c>
      <c r="J36" s="27"/>
      <c r="K36" s="10"/>
      <c r="L36" s="10"/>
      <c r="M36" s="10"/>
    </row>
    <row r="37" spans="1:13" ht="15.75" customHeight="1">
      <c r="A37" s="38">
        <v>5</v>
      </c>
      <c r="B37" s="69" t="s">
        <v>111</v>
      </c>
      <c r="C37" s="76" t="s">
        <v>28</v>
      </c>
      <c r="D37" s="69" t="s">
        <v>170</v>
      </c>
      <c r="E37" s="77">
        <v>65.099999999999994</v>
      </c>
      <c r="F37" s="78">
        <f>E37*24/1000</f>
        <v>1.5623999999999998</v>
      </c>
      <c r="G37" s="78">
        <v>2616.4899999999998</v>
      </c>
      <c r="H37" s="79">
        <f>G37*F37/1000</f>
        <v>4.0880039759999987</v>
      </c>
      <c r="I37" s="17">
        <f>F37/6*G37</f>
        <v>681.33399599999984</v>
      </c>
      <c r="J37" s="27"/>
      <c r="K37" s="10"/>
      <c r="L37" s="10"/>
      <c r="M37" s="10"/>
    </row>
    <row r="38" spans="1:13" ht="16.5" customHeight="1">
      <c r="A38" s="38">
        <v>5</v>
      </c>
      <c r="B38" s="69" t="s">
        <v>112</v>
      </c>
      <c r="C38" s="76" t="s">
        <v>113</v>
      </c>
      <c r="D38" s="69" t="s">
        <v>238</v>
      </c>
      <c r="E38" s="77"/>
      <c r="F38" s="78">
        <v>13</v>
      </c>
      <c r="G38" s="78">
        <v>226.84</v>
      </c>
      <c r="H38" s="79">
        <f>G38*F38/1000</f>
        <v>2.9489200000000002</v>
      </c>
      <c r="I38" s="17">
        <f>G38*13</f>
        <v>2948.92</v>
      </c>
      <c r="J38" s="27"/>
      <c r="K38" s="10"/>
      <c r="L38" s="10"/>
      <c r="M38" s="10"/>
    </row>
    <row r="39" spans="1:13" ht="15.75" customHeight="1">
      <c r="A39" s="38">
        <v>6</v>
      </c>
      <c r="B39" s="69" t="s">
        <v>144</v>
      </c>
      <c r="C39" s="76" t="s">
        <v>28</v>
      </c>
      <c r="D39" s="69" t="s">
        <v>179</v>
      </c>
      <c r="E39" s="78">
        <v>65.099999999999994</v>
      </c>
      <c r="F39" s="78">
        <f>SUM(E39*155/1000)</f>
        <v>10.0905</v>
      </c>
      <c r="G39" s="78">
        <v>436.45</v>
      </c>
      <c r="H39" s="79">
        <f t="shared" si="4"/>
        <v>4.4039987250000001</v>
      </c>
      <c r="I39" s="17">
        <f>F39/6*G39</f>
        <v>733.99978750000002</v>
      </c>
      <c r="J39" s="27"/>
      <c r="K39" s="10"/>
      <c r="L39" s="10"/>
      <c r="M39" s="10"/>
    </row>
    <row r="40" spans="1:13" ht="47.25" customHeight="1">
      <c r="A40" s="38">
        <v>7</v>
      </c>
      <c r="B40" s="69" t="s">
        <v>74</v>
      </c>
      <c r="C40" s="76" t="s">
        <v>109</v>
      </c>
      <c r="D40" s="69" t="s">
        <v>170</v>
      </c>
      <c r="E40" s="78">
        <v>65.099999999999994</v>
      </c>
      <c r="F40" s="78">
        <f>SUM(E40*24/1000)</f>
        <v>1.5623999999999998</v>
      </c>
      <c r="G40" s="78">
        <v>7221.21</v>
      </c>
      <c r="H40" s="79">
        <f t="shared" si="4"/>
        <v>11.282418503999999</v>
      </c>
      <c r="I40" s="17">
        <f>F40/6*G40</f>
        <v>1880.4030839999998</v>
      </c>
      <c r="J40" s="27"/>
      <c r="K40" s="10"/>
      <c r="L40" s="10"/>
      <c r="M40" s="10"/>
    </row>
    <row r="41" spans="1:13" ht="15.75" hidden="1" customHeight="1">
      <c r="A41" s="38">
        <v>8</v>
      </c>
      <c r="B41" s="69" t="s">
        <v>116</v>
      </c>
      <c r="C41" s="76" t="s">
        <v>109</v>
      </c>
      <c r="D41" s="69" t="s">
        <v>172</v>
      </c>
      <c r="E41" s="78">
        <v>65.099999999999994</v>
      </c>
      <c r="F41" s="78">
        <f>SUM(E41*18/1000)</f>
        <v>1.1718</v>
      </c>
      <c r="G41" s="78">
        <v>533.45000000000005</v>
      </c>
      <c r="H41" s="79">
        <f t="shared" si="4"/>
        <v>0.62509671</v>
      </c>
      <c r="I41" s="17">
        <f>F41/7.5*1.5*G41</f>
        <v>125.01934200000001</v>
      </c>
      <c r="J41" s="27"/>
      <c r="K41" s="10"/>
      <c r="L41" s="10"/>
      <c r="M41" s="10"/>
    </row>
    <row r="42" spans="1:13" ht="15.75" hidden="1" customHeight="1">
      <c r="A42" s="38">
        <v>9</v>
      </c>
      <c r="B42" s="69" t="s">
        <v>62</v>
      </c>
      <c r="C42" s="76" t="s">
        <v>31</v>
      </c>
      <c r="D42" s="69"/>
      <c r="E42" s="77"/>
      <c r="F42" s="78">
        <v>0.4</v>
      </c>
      <c r="G42" s="78">
        <v>992.97</v>
      </c>
      <c r="H42" s="79">
        <f t="shared" si="4"/>
        <v>0.39718800000000004</v>
      </c>
      <c r="I42" s="17">
        <f>F42/7.5*1.5*G42</f>
        <v>79.437600000000003</v>
      </c>
      <c r="J42" s="27"/>
      <c r="K42" s="10"/>
      <c r="L42" s="10"/>
      <c r="M42" s="10"/>
    </row>
    <row r="43" spans="1:13" ht="15" hidden="1" customHeight="1">
      <c r="A43" s="168" t="s">
        <v>146</v>
      </c>
      <c r="B43" s="169"/>
      <c r="C43" s="169"/>
      <c r="D43" s="169"/>
      <c r="E43" s="169"/>
      <c r="F43" s="169"/>
      <c r="G43" s="169"/>
      <c r="H43" s="169"/>
      <c r="I43" s="170"/>
      <c r="J43" s="27"/>
      <c r="K43" s="10"/>
      <c r="L43" s="10"/>
      <c r="M43" s="10"/>
    </row>
    <row r="44" spans="1:13" ht="31.5" hidden="1" customHeight="1">
      <c r="A44" s="47">
        <v>16</v>
      </c>
      <c r="B44" s="69" t="s">
        <v>117</v>
      </c>
      <c r="C44" s="76" t="s">
        <v>109</v>
      </c>
      <c r="D44" s="69" t="s">
        <v>40</v>
      </c>
      <c r="E44" s="77">
        <v>1060.4000000000001</v>
      </c>
      <c r="F44" s="78">
        <f>SUM(E44*2/1000)</f>
        <v>2.1208</v>
      </c>
      <c r="G44" s="17">
        <v>1283.46</v>
      </c>
      <c r="H44" s="79">
        <f t="shared" ref="H44:H53" si="5">SUM(F44*G44/1000)</f>
        <v>2.721961968</v>
      </c>
      <c r="I44" s="17">
        <v>0</v>
      </c>
      <c r="J44" s="27"/>
      <c r="K44" s="10"/>
      <c r="L44" s="10"/>
      <c r="M44" s="10"/>
    </row>
    <row r="45" spans="1:13" ht="30" hidden="1" customHeight="1">
      <c r="A45" s="47">
        <v>19</v>
      </c>
      <c r="B45" s="69" t="s">
        <v>34</v>
      </c>
      <c r="C45" s="76" t="s">
        <v>109</v>
      </c>
      <c r="D45" s="69" t="s">
        <v>40</v>
      </c>
      <c r="E45" s="77">
        <v>1251.6199999999999</v>
      </c>
      <c r="F45" s="78">
        <f>SUM(E45*2/1000)</f>
        <v>2.5032399999999999</v>
      </c>
      <c r="G45" s="17">
        <v>1712.28</v>
      </c>
      <c r="H45" s="79">
        <f t="shared" si="5"/>
        <v>4.2862477871999998</v>
      </c>
      <c r="I45" s="17">
        <v>0</v>
      </c>
      <c r="J45" s="27"/>
      <c r="K45" s="10"/>
      <c r="L45" s="10"/>
      <c r="M45" s="10"/>
    </row>
    <row r="46" spans="1:13" ht="27.75" hidden="1" customHeight="1">
      <c r="A46" s="47">
        <v>20</v>
      </c>
      <c r="B46" s="69" t="s">
        <v>35</v>
      </c>
      <c r="C46" s="76" t="s">
        <v>109</v>
      </c>
      <c r="D46" s="69" t="s">
        <v>40</v>
      </c>
      <c r="E46" s="77">
        <v>1295.68</v>
      </c>
      <c r="F46" s="78">
        <f>SUM(E46*2/1000)</f>
        <v>2.5913600000000003</v>
      </c>
      <c r="G46" s="17">
        <v>1179.73</v>
      </c>
      <c r="H46" s="79">
        <f t="shared" si="5"/>
        <v>3.0571051328000003</v>
      </c>
      <c r="I46" s="17">
        <v>0</v>
      </c>
      <c r="J46" s="27"/>
      <c r="K46" s="10"/>
      <c r="L46" s="10"/>
      <c r="M46" s="10"/>
    </row>
    <row r="47" spans="1:13" ht="28.5" hidden="1" customHeight="1">
      <c r="A47" s="47">
        <v>17</v>
      </c>
      <c r="B47" s="69" t="s">
        <v>32</v>
      </c>
      <c r="C47" s="76" t="s">
        <v>33</v>
      </c>
      <c r="D47" s="69" t="s">
        <v>40</v>
      </c>
      <c r="E47" s="77">
        <v>85.84</v>
      </c>
      <c r="F47" s="78">
        <f>E47*2/100</f>
        <v>1.7168000000000001</v>
      </c>
      <c r="G47" s="17">
        <v>90.61</v>
      </c>
      <c r="H47" s="79">
        <f t="shared" si="5"/>
        <v>0.15555924799999998</v>
      </c>
      <c r="I47" s="17">
        <v>0</v>
      </c>
      <c r="J47" s="27"/>
      <c r="K47" s="10"/>
      <c r="L47" s="10"/>
      <c r="M47" s="10"/>
    </row>
    <row r="48" spans="1:13" ht="30.75" hidden="1" customHeight="1">
      <c r="A48" s="47">
        <v>12</v>
      </c>
      <c r="B48" s="69" t="s">
        <v>54</v>
      </c>
      <c r="C48" s="76" t="s">
        <v>109</v>
      </c>
      <c r="D48" s="69" t="s">
        <v>147</v>
      </c>
      <c r="E48" s="77">
        <v>2549.5</v>
      </c>
      <c r="F48" s="78">
        <f>SUM(E48*5/1000)</f>
        <v>12.7475</v>
      </c>
      <c r="G48" s="17">
        <v>1711.28</v>
      </c>
      <c r="H48" s="79">
        <f t="shared" si="5"/>
        <v>21.814541800000001</v>
      </c>
      <c r="I48" s="17">
        <f>F48/5*G48</f>
        <v>4362.9083600000004</v>
      </c>
      <c r="J48" s="27"/>
      <c r="K48" s="10"/>
      <c r="L48" s="10"/>
      <c r="M48" s="10"/>
    </row>
    <row r="49" spans="1:14" ht="30.75" hidden="1" customHeight="1">
      <c r="A49" s="47">
        <v>13</v>
      </c>
      <c r="B49" s="69" t="s">
        <v>118</v>
      </c>
      <c r="C49" s="76" t="s">
        <v>109</v>
      </c>
      <c r="D49" s="69" t="s">
        <v>40</v>
      </c>
      <c r="E49" s="77">
        <v>2549.5</v>
      </c>
      <c r="F49" s="78">
        <f>SUM(E49*2/1000)</f>
        <v>5.0990000000000002</v>
      </c>
      <c r="G49" s="17">
        <v>1510.06</v>
      </c>
      <c r="H49" s="79">
        <f t="shared" si="5"/>
        <v>7.6997959399999996</v>
      </c>
      <c r="I49" s="17">
        <f>F49/2*G49</f>
        <v>3849.89797</v>
      </c>
      <c r="J49" s="27"/>
      <c r="K49" s="10"/>
      <c r="L49" s="10"/>
      <c r="M49" s="10"/>
    </row>
    <row r="50" spans="1:14" ht="31.5" hidden="1" customHeight="1">
      <c r="A50" s="47">
        <v>14</v>
      </c>
      <c r="B50" s="69" t="s">
        <v>119</v>
      </c>
      <c r="C50" s="76" t="s">
        <v>36</v>
      </c>
      <c r="D50" s="69" t="s">
        <v>40</v>
      </c>
      <c r="E50" s="77">
        <v>16</v>
      </c>
      <c r="F50" s="78">
        <f>SUM(E50*2/100)</f>
        <v>0.32</v>
      </c>
      <c r="G50" s="17">
        <v>3850.4</v>
      </c>
      <c r="H50" s="79">
        <f t="shared" si="5"/>
        <v>1.2321280000000001</v>
      </c>
      <c r="I50" s="17">
        <f t="shared" ref="I50:I51" si="6">F50/2*G50</f>
        <v>616.06400000000008</v>
      </c>
      <c r="J50" s="27"/>
      <c r="K50" s="10"/>
    </row>
    <row r="51" spans="1:14" ht="16.5" hidden="1" customHeight="1">
      <c r="A51" s="47">
        <v>15</v>
      </c>
      <c r="B51" s="69" t="s">
        <v>37</v>
      </c>
      <c r="C51" s="76" t="s">
        <v>38</v>
      </c>
      <c r="D51" s="69" t="s">
        <v>40</v>
      </c>
      <c r="E51" s="77">
        <v>1</v>
      </c>
      <c r="F51" s="78">
        <v>0.02</v>
      </c>
      <c r="G51" s="17">
        <v>7033.13</v>
      </c>
      <c r="H51" s="79">
        <f t="shared" si="5"/>
        <v>0.1406626</v>
      </c>
      <c r="I51" s="17">
        <f t="shared" si="6"/>
        <v>70.331299999999999</v>
      </c>
      <c r="J51" s="75"/>
    </row>
    <row r="52" spans="1:14" ht="25.5" hidden="1" customHeight="1">
      <c r="A52" s="47">
        <v>13</v>
      </c>
      <c r="B52" s="69" t="s">
        <v>120</v>
      </c>
      <c r="C52" s="76" t="s">
        <v>96</v>
      </c>
      <c r="D52" s="69" t="s">
        <v>63</v>
      </c>
      <c r="E52" s="77">
        <v>64</v>
      </c>
      <c r="F52" s="78">
        <f>E52*3</f>
        <v>192</v>
      </c>
      <c r="G52" s="17">
        <v>175.6</v>
      </c>
      <c r="H52" s="79">
        <f t="shared" si="5"/>
        <v>33.715199999999996</v>
      </c>
      <c r="I52" s="17">
        <f>E52*G52</f>
        <v>11238.4</v>
      </c>
      <c r="J52" s="75"/>
    </row>
    <row r="53" spans="1:14" ht="26.25" hidden="1" customHeight="1">
      <c r="A53" s="47">
        <v>14</v>
      </c>
      <c r="B53" s="69" t="s">
        <v>39</v>
      </c>
      <c r="C53" s="76" t="s">
        <v>96</v>
      </c>
      <c r="D53" s="69" t="s">
        <v>63</v>
      </c>
      <c r="E53" s="77">
        <v>128</v>
      </c>
      <c r="F53" s="78">
        <f>SUM(E53)*3</f>
        <v>384</v>
      </c>
      <c r="G53" s="17">
        <v>81.73</v>
      </c>
      <c r="H53" s="79">
        <f t="shared" si="5"/>
        <v>31.384319999999999</v>
      </c>
      <c r="I53" s="17">
        <f>E53*G53</f>
        <v>10461.44</v>
      </c>
      <c r="J53" s="75"/>
    </row>
    <row r="54" spans="1:14" ht="15.75" customHeight="1">
      <c r="A54" s="159" t="s">
        <v>79</v>
      </c>
      <c r="B54" s="160"/>
      <c r="C54" s="160"/>
      <c r="D54" s="160"/>
      <c r="E54" s="160"/>
      <c r="F54" s="160"/>
      <c r="G54" s="160"/>
      <c r="H54" s="160"/>
      <c r="I54" s="161"/>
      <c r="J54" s="75"/>
    </row>
    <row r="55" spans="1:14" ht="15.75" hidden="1" customHeight="1">
      <c r="A55" s="100"/>
      <c r="B55" s="54" t="s">
        <v>41</v>
      </c>
      <c r="C55" s="21"/>
      <c r="D55" s="65"/>
      <c r="E55" s="16"/>
      <c r="F55" s="16"/>
      <c r="G55" s="31"/>
      <c r="H55" s="31"/>
      <c r="I55" s="64"/>
      <c r="J55" s="75"/>
    </row>
    <row r="56" spans="1:14" ht="31.5" hidden="1" customHeight="1">
      <c r="A56" s="47">
        <v>16</v>
      </c>
      <c r="B56" s="69" t="s">
        <v>121</v>
      </c>
      <c r="C56" s="76" t="s">
        <v>86</v>
      </c>
      <c r="D56" s="69" t="s">
        <v>122</v>
      </c>
      <c r="E56" s="77">
        <v>8</v>
      </c>
      <c r="F56" s="78">
        <f>SUM(E56*6/100)</f>
        <v>0.48</v>
      </c>
      <c r="G56" s="17">
        <v>2306.62</v>
      </c>
      <c r="H56" s="79">
        <f>SUM(F56*G56/1000)</f>
        <v>1.1071776</v>
      </c>
      <c r="I56" s="17">
        <f>G56*0.02</f>
        <v>46.132399999999997</v>
      </c>
      <c r="J56" s="75"/>
    </row>
    <row r="57" spans="1:14" ht="15.75" hidden="1" customHeight="1">
      <c r="A57" s="47">
        <v>16</v>
      </c>
      <c r="B57" s="88" t="s">
        <v>80</v>
      </c>
      <c r="C57" s="87" t="s">
        <v>30</v>
      </c>
      <c r="D57" s="88" t="s">
        <v>61</v>
      </c>
      <c r="E57" s="89"/>
      <c r="F57" s="90">
        <v>1</v>
      </c>
      <c r="G57" s="17">
        <v>1501</v>
      </c>
      <c r="H57" s="79">
        <f>SUM(F57*G57/1000)</f>
        <v>1.5009999999999999</v>
      </c>
      <c r="I57" s="17">
        <f>G57</f>
        <v>1501</v>
      </c>
      <c r="J57" s="75"/>
    </row>
    <row r="58" spans="1:14" ht="15.75" hidden="1" customHeight="1">
      <c r="A58" s="47"/>
      <c r="B58" s="71" t="s">
        <v>42</v>
      </c>
      <c r="C58" s="39"/>
      <c r="D58" s="39"/>
      <c r="E58" s="16"/>
      <c r="F58" s="16"/>
      <c r="G58" s="40"/>
      <c r="H58" s="40"/>
      <c r="I58" s="64"/>
      <c r="J58" s="75"/>
      <c r="L58" s="24"/>
      <c r="M58" s="25"/>
      <c r="N58" s="26"/>
    </row>
    <row r="59" spans="1:14" ht="15.75" hidden="1" customHeight="1">
      <c r="A59" s="47">
        <v>29</v>
      </c>
      <c r="B59" s="88" t="s">
        <v>43</v>
      </c>
      <c r="C59" s="87" t="s">
        <v>51</v>
      </c>
      <c r="D59" s="88" t="s">
        <v>52</v>
      </c>
      <c r="E59" s="89">
        <v>7.4</v>
      </c>
      <c r="F59" s="17">
        <f>SUM(E59/100)</f>
        <v>7.400000000000001E-2</v>
      </c>
      <c r="G59" s="17">
        <v>987.51</v>
      </c>
      <c r="H59" s="91">
        <f>F59*G59/1000</f>
        <v>7.3075740000000014E-2</v>
      </c>
      <c r="I59" s="17">
        <v>0</v>
      </c>
      <c r="J59" s="75"/>
      <c r="L59" s="24"/>
      <c r="M59" s="25"/>
      <c r="N59" s="26"/>
    </row>
    <row r="60" spans="1:14" ht="14.25" customHeight="1">
      <c r="A60" s="47"/>
      <c r="B60" s="71" t="s">
        <v>44</v>
      </c>
      <c r="C60" s="21"/>
      <c r="D60" s="66"/>
      <c r="E60" s="16"/>
      <c r="F60" s="16"/>
      <c r="G60" s="31"/>
      <c r="H60" s="31"/>
      <c r="I60" s="64"/>
      <c r="J60" s="75"/>
      <c r="L60" s="24"/>
      <c r="M60" s="25"/>
      <c r="N60" s="26"/>
    </row>
    <row r="61" spans="1:14" ht="15.75" customHeight="1">
      <c r="A61" s="47">
        <v>8</v>
      </c>
      <c r="B61" s="19" t="s">
        <v>45</v>
      </c>
      <c r="C61" s="21" t="s">
        <v>96</v>
      </c>
      <c r="D61" s="19" t="s">
        <v>173</v>
      </c>
      <c r="E61" s="23">
        <v>1</v>
      </c>
      <c r="F61" s="17">
        <f>SUM(E61)</f>
        <v>1</v>
      </c>
      <c r="G61" s="17">
        <v>276.74</v>
      </c>
      <c r="H61" s="80">
        <f t="shared" ref="H61:H69" si="7">SUM(F61*G61/1000)</f>
        <v>0.27673999999999999</v>
      </c>
      <c r="I61" s="17">
        <f>G61*1</f>
        <v>276.74</v>
      </c>
      <c r="J61" s="75"/>
      <c r="L61" s="24"/>
      <c r="M61" s="25"/>
      <c r="N61" s="26"/>
    </row>
    <row r="62" spans="1:14" ht="30" hidden="1" customHeight="1">
      <c r="A62" s="67"/>
      <c r="B62" s="19" t="s">
        <v>46</v>
      </c>
      <c r="C62" s="21" t="s">
        <v>96</v>
      </c>
      <c r="D62" s="19" t="s">
        <v>61</v>
      </c>
      <c r="E62" s="23">
        <v>2</v>
      </c>
      <c r="F62" s="17">
        <f>SUM(E62)</f>
        <v>2</v>
      </c>
      <c r="G62" s="17">
        <v>94.89</v>
      </c>
      <c r="H62" s="80">
        <f t="shared" si="7"/>
        <v>0.18978</v>
      </c>
      <c r="I62" s="17">
        <v>0</v>
      </c>
      <c r="J62" s="75"/>
      <c r="L62" s="24"/>
      <c r="M62" s="25"/>
      <c r="N62" s="26"/>
    </row>
    <row r="63" spans="1:14" ht="30.75" hidden="1" customHeight="1">
      <c r="A63" s="67"/>
      <c r="B63" s="19" t="s">
        <v>47</v>
      </c>
      <c r="C63" s="21" t="s">
        <v>97</v>
      </c>
      <c r="D63" s="19" t="s">
        <v>52</v>
      </c>
      <c r="E63" s="77">
        <v>10052</v>
      </c>
      <c r="F63" s="17">
        <f>SUM(E63/100)</f>
        <v>100.52</v>
      </c>
      <c r="G63" s="17">
        <v>263.99</v>
      </c>
      <c r="H63" s="80">
        <f t="shared" si="7"/>
        <v>26.536274799999997</v>
      </c>
      <c r="I63" s="17">
        <v>0</v>
      </c>
      <c r="J63" s="75"/>
      <c r="L63" s="24"/>
      <c r="M63" s="25"/>
      <c r="N63" s="26"/>
    </row>
    <row r="64" spans="1:14" ht="29.25" hidden="1" customHeight="1">
      <c r="A64" s="67"/>
      <c r="B64" s="19" t="s">
        <v>48</v>
      </c>
      <c r="C64" s="21" t="s">
        <v>98</v>
      </c>
      <c r="D64" s="19"/>
      <c r="E64" s="77">
        <v>10052</v>
      </c>
      <c r="F64" s="17">
        <f>SUM(E64/1000)</f>
        <v>10.052</v>
      </c>
      <c r="G64" s="17">
        <v>205.57</v>
      </c>
      <c r="H64" s="80">
        <f t="shared" si="7"/>
        <v>2.0663896399999997</v>
      </c>
      <c r="I64" s="17">
        <v>0</v>
      </c>
      <c r="J64" s="75"/>
      <c r="L64" s="24"/>
      <c r="M64" s="25"/>
      <c r="N64" s="26"/>
    </row>
    <row r="65" spans="1:14" ht="27" hidden="1" customHeight="1">
      <c r="A65" s="67"/>
      <c r="B65" s="19" t="s">
        <v>49</v>
      </c>
      <c r="C65" s="21" t="s">
        <v>69</v>
      </c>
      <c r="D65" s="19" t="s">
        <v>52</v>
      </c>
      <c r="E65" s="77">
        <v>2200</v>
      </c>
      <c r="F65" s="17">
        <f>SUM(E65/100)</f>
        <v>22</v>
      </c>
      <c r="G65" s="17">
        <v>2581.5300000000002</v>
      </c>
      <c r="H65" s="80">
        <f t="shared" si="7"/>
        <v>56.793660000000003</v>
      </c>
      <c r="I65" s="17">
        <v>0</v>
      </c>
      <c r="J65" s="75"/>
      <c r="L65" s="24"/>
      <c r="M65" s="25"/>
      <c r="N65" s="26"/>
    </row>
    <row r="66" spans="1:14" ht="23.25" hidden="1" customHeight="1">
      <c r="A66" s="67"/>
      <c r="B66" s="92" t="s">
        <v>99</v>
      </c>
      <c r="C66" s="21" t="s">
        <v>31</v>
      </c>
      <c r="D66" s="19"/>
      <c r="E66" s="77">
        <v>9.4</v>
      </c>
      <c r="F66" s="17">
        <f>SUM(E66)</f>
        <v>9.4</v>
      </c>
      <c r="G66" s="17">
        <v>47.45</v>
      </c>
      <c r="H66" s="80">
        <f t="shared" si="7"/>
        <v>0.44603000000000004</v>
      </c>
      <c r="I66" s="17">
        <v>0</v>
      </c>
      <c r="J66" s="75"/>
      <c r="L66" s="24"/>
      <c r="M66" s="25"/>
      <c r="N66" s="26"/>
    </row>
    <row r="67" spans="1:14" ht="20.25" hidden="1" customHeight="1">
      <c r="A67" s="67"/>
      <c r="B67" s="92" t="s">
        <v>100</v>
      </c>
      <c r="C67" s="21" t="s">
        <v>31</v>
      </c>
      <c r="D67" s="19"/>
      <c r="E67" s="77">
        <v>9.4</v>
      </c>
      <c r="F67" s="17">
        <f>SUM(E67)</f>
        <v>9.4</v>
      </c>
      <c r="G67" s="17">
        <v>44.27</v>
      </c>
      <c r="H67" s="80">
        <f t="shared" si="7"/>
        <v>0.41613800000000001</v>
      </c>
      <c r="I67" s="17">
        <v>0</v>
      </c>
      <c r="J67" s="75"/>
      <c r="L67" s="24"/>
      <c r="M67" s="25"/>
      <c r="N67" s="26"/>
    </row>
    <row r="68" spans="1:14" ht="17.25" hidden="1" customHeight="1">
      <c r="A68" s="67"/>
      <c r="B68" s="19" t="s">
        <v>55</v>
      </c>
      <c r="C68" s="21" t="s">
        <v>56</v>
      </c>
      <c r="D68" s="19" t="s">
        <v>52</v>
      </c>
      <c r="E68" s="23">
        <v>2</v>
      </c>
      <c r="F68" s="17">
        <f>SUM(E68)</f>
        <v>2</v>
      </c>
      <c r="G68" s="17">
        <v>62.07</v>
      </c>
      <c r="H68" s="80">
        <f t="shared" si="7"/>
        <v>0.12414</v>
      </c>
      <c r="I68" s="17">
        <v>0</v>
      </c>
      <c r="J68" s="75"/>
      <c r="L68" s="24"/>
      <c r="M68" s="25"/>
      <c r="N68" s="26"/>
    </row>
    <row r="69" spans="1:14" ht="15.75" customHeight="1">
      <c r="A69" s="68">
        <v>9</v>
      </c>
      <c r="B69" s="19" t="s">
        <v>81</v>
      </c>
      <c r="C69" s="31" t="s">
        <v>101</v>
      </c>
      <c r="D69" s="19"/>
      <c r="E69" s="23">
        <v>2549.5</v>
      </c>
      <c r="F69" s="17">
        <f>SUM(E69*12)</f>
        <v>30594</v>
      </c>
      <c r="G69" s="17">
        <v>2.16</v>
      </c>
      <c r="H69" s="80">
        <f t="shared" si="7"/>
        <v>66.083040000000011</v>
      </c>
      <c r="I69" s="17">
        <f>F69/12*G69</f>
        <v>5506.92</v>
      </c>
      <c r="J69" s="75"/>
      <c r="L69" s="24"/>
      <c r="M69" s="25"/>
      <c r="N69" s="26"/>
    </row>
    <row r="70" spans="1:14" ht="15.75" hidden="1" customHeight="1">
      <c r="A70" s="61"/>
      <c r="B70" s="71" t="s">
        <v>102</v>
      </c>
      <c r="C70" s="71"/>
      <c r="D70" s="71"/>
      <c r="E70" s="71"/>
      <c r="F70" s="71"/>
      <c r="G70" s="71"/>
      <c r="H70" s="71"/>
      <c r="I70" s="23"/>
      <c r="J70" s="75"/>
      <c r="L70" s="24"/>
      <c r="M70" s="25"/>
      <c r="N70" s="26"/>
    </row>
    <row r="71" spans="1:14" ht="15.75" hidden="1" customHeight="1">
      <c r="A71" s="31">
        <v>36</v>
      </c>
      <c r="B71" s="69" t="s">
        <v>103</v>
      </c>
      <c r="C71" s="21"/>
      <c r="D71" s="19"/>
      <c r="E71" s="94"/>
      <c r="F71" s="17">
        <v>1</v>
      </c>
      <c r="G71" s="17">
        <v>22720</v>
      </c>
      <c r="H71" s="80">
        <f>G71*F71/1000</f>
        <v>22.72</v>
      </c>
      <c r="I71" s="17">
        <v>0</v>
      </c>
      <c r="J71" s="75"/>
      <c r="L71" s="24"/>
      <c r="M71" s="25"/>
      <c r="N71" s="26"/>
    </row>
    <row r="72" spans="1:14" ht="15.75" hidden="1" customHeight="1">
      <c r="A72" s="68"/>
      <c r="B72" s="71" t="s">
        <v>64</v>
      </c>
      <c r="C72" s="21"/>
      <c r="D72" s="19"/>
      <c r="E72" s="16"/>
      <c r="F72" s="16"/>
      <c r="G72" s="31"/>
      <c r="H72" s="31"/>
      <c r="I72" s="64"/>
      <c r="J72" s="75"/>
      <c r="L72" s="24"/>
      <c r="M72" s="25"/>
      <c r="N72" s="26"/>
    </row>
    <row r="73" spans="1:14" ht="15.75" hidden="1" customHeight="1">
      <c r="A73" s="68">
        <v>16</v>
      </c>
      <c r="B73" s="19" t="s">
        <v>104</v>
      </c>
      <c r="C73" s="21" t="s">
        <v>105</v>
      </c>
      <c r="D73" s="19" t="s">
        <v>61</v>
      </c>
      <c r="E73" s="23">
        <v>1</v>
      </c>
      <c r="F73" s="17">
        <f>E73</f>
        <v>1</v>
      </c>
      <c r="G73" s="17">
        <v>976.4</v>
      </c>
      <c r="H73" s="80">
        <f t="shared" ref="H73:H75" si="8">SUM(F73*G73/1000)</f>
        <v>0.97639999999999993</v>
      </c>
      <c r="I73" s="17">
        <v>0</v>
      </c>
      <c r="J73" s="75"/>
      <c r="L73" s="24"/>
      <c r="M73" s="25"/>
      <c r="N73" s="26"/>
    </row>
    <row r="74" spans="1:14" ht="15.75" hidden="1" customHeight="1">
      <c r="A74" s="68"/>
      <c r="B74" s="19" t="s">
        <v>106</v>
      </c>
      <c r="C74" s="21" t="s">
        <v>107</v>
      </c>
      <c r="D74" s="19" t="s">
        <v>61</v>
      </c>
      <c r="E74" s="23">
        <v>1</v>
      </c>
      <c r="F74" s="17">
        <v>1</v>
      </c>
      <c r="G74" s="17">
        <v>735</v>
      </c>
      <c r="H74" s="80">
        <f t="shared" si="8"/>
        <v>0.73499999999999999</v>
      </c>
      <c r="I74" s="17">
        <v>0</v>
      </c>
      <c r="J74" s="75"/>
      <c r="L74" s="24"/>
      <c r="M74" s="25"/>
      <c r="N74" s="26"/>
    </row>
    <row r="75" spans="1:14" ht="15.75" hidden="1" customHeight="1">
      <c r="A75" s="68">
        <v>11</v>
      </c>
      <c r="B75" s="19" t="s">
        <v>65</v>
      </c>
      <c r="C75" s="21" t="s">
        <v>67</v>
      </c>
      <c r="D75" s="19" t="s">
        <v>61</v>
      </c>
      <c r="E75" s="23">
        <v>3</v>
      </c>
      <c r="F75" s="17">
        <v>0.3</v>
      </c>
      <c r="G75" s="17">
        <v>624.16999999999996</v>
      </c>
      <c r="H75" s="80">
        <f t="shared" si="8"/>
        <v>0.18725099999999997</v>
      </c>
      <c r="I75" s="17">
        <f>G75*0.2</f>
        <v>124.834</v>
      </c>
      <c r="J75" s="75"/>
      <c r="L75" s="24"/>
      <c r="M75" s="25"/>
      <c r="N75" s="26"/>
    </row>
    <row r="76" spans="1:14" ht="15.75" hidden="1" customHeight="1">
      <c r="A76" s="68"/>
      <c r="B76" s="19" t="s">
        <v>66</v>
      </c>
      <c r="C76" s="21" t="s">
        <v>29</v>
      </c>
      <c r="D76" s="19" t="s">
        <v>61</v>
      </c>
      <c r="E76" s="23">
        <v>1</v>
      </c>
      <c r="F76" s="93">
        <v>1</v>
      </c>
      <c r="G76" s="17">
        <v>1061.4100000000001</v>
      </c>
      <c r="H76" s="80">
        <f>F76*G76/1000</f>
        <v>1.0614100000000002</v>
      </c>
      <c r="I76" s="17">
        <v>0</v>
      </c>
      <c r="J76" s="75"/>
      <c r="L76" s="24"/>
      <c r="M76" s="25"/>
      <c r="N76" s="26"/>
    </row>
    <row r="77" spans="1:14" ht="15.75" hidden="1" customHeight="1">
      <c r="A77" s="68"/>
      <c r="B77" s="19" t="s">
        <v>82</v>
      </c>
      <c r="C77" s="21" t="s">
        <v>29</v>
      </c>
      <c r="D77" s="19" t="s">
        <v>61</v>
      </c>
      <c r="E77" s="23">
        <v>1</v>
      </c>
      <c r="F77" s="17">
        <v>1</v>
      </c>
      <c r="G77" s="17">
        <v>446.12</v>
      </c>
      <c r="H77" s="80">
        <f>G77*F77/1000</f>
        <v>0.44612000000000002</v>
      </c>
      <c r="I77" s="17">
        <v>0</v>
      </c>
      <c r="J77" s="75"/>
      <c r="L77" s="24"/>
      <c r="M77" s="25"/>
      <c r="N77" s="26"/>
    </row>
    <row r="78" spans="1:14" ht="15.75" hidden="1" customHeight="1">
      <c r="A78" s="68"/>
      <c r="B78" s="56" t="s">
        <v>68</v>
      </c>
      <c r="C78" s="44"/>
      <c r="D78" s="43"/>
      <c r="E78" s="23"/>
      <c r="F78" s="23"/>
      <c r="G78" s="42"/>
      <c r="H78" s="42"/>
      <c r="I78" s="64"/>
      <c r="J78" s="75"/>
      <c r="L78" s="24"/>
      <c r="M78" s="25"/>
      <c r="N78" s="26"/>
    </row>
    <row r="79" spans="1:14" ht="15.75" hidden="1" customHeight="1">
      <c r="A79" s="68"/>
      <c r="B79" s="57" t="s">
        <v>108</v>
      </c>
      <c r="C79" s="21" t="s">
        <v>69</v>
      </c>
      <c r="D79" s="19"/>
      <c r="E79" s="23"/>
      <c r="F79" s="17">
        <v>1</v>
      </c>
      <c r="G79" s="17">
        <v>3433.68</v>
      </c>
      <c r="H79" s="80">
        <f t="shared" ref="H79" si="9">SUM(F79*G79/1000)</f>
        <v>3.4336799999999998</v>
      </c>
      <c r="I79" s="17">
        <v>0</v>
      </c>
      <c r="J79" s="75"/>
      <c r="L79" s="24"/>
      <c r="M79" s="25"/>
      <c r="N79" s="26"/>
    </row>
    <row r="80" spans="1:14" ht="15.75" customHeight="1">
      <c r="A80" s="165" t="s">
        <v>133</v>
      </c>
      <c r="B80" s="166"/>
      <c r="C80" s="166"/>
      <c r="D80" s="166"/>
      <c r="E80" s="166"/>
      <c r="F80" s="166"/>
      <c r="G80" s="166"/>
      <c r="H80" s="166"/>
      <c r="I80" s="167"/>
      <c r="J80" s="75"/>
      <c r="L80" s="24"/>
      <c r="M80" s="25"/>
      <c r="N80" s="26"/>
    </row>
    <row r="81" spans="1:14" ht="15.75" customHeight="1">
      <c r="A81" s="68">
        <v>10</v>
      </c>
      <c r="B81" s="69" t="s">
        <v>123</v>
      </c>
      <c r="C81" s="21" t="s">
        <v>53</v>
      </c>
      <c r="D81" s="19"/>
      <c r="E81" s="17">
        <v>2549.5</v>
      </c>
      <c r="F81" s="17">
        <f>SUM(E81*12)</f>
        <v>30594</v>
      </c>
      <c r="G81" s="17">
        <v>2.95</v>
      </c>
      <c r="H81" s="80">
        <f>SUM(F81*G81/1000)</f>
        <v>90.252300000000005</v>
      </c>
      <c r="I81" s="17">
        <f>F81/12*G81</f>
        <v>7521.0250000000005</v>
      </c>
      <c r="J81" s="75"/>
      <c r="L81" s="24"/>
      <c r="M81" s="25"/>
      <c r="N81" s="26"/>
    </row>
    <row r="82" spans="1:14" ht="31.5" customHeight="1">
      <c r="A82" s="31">
        <v>11</v>
      </c>
      <c r="B82" s="19" t="s">
        <v>70</v>
      </c>
      <c r="C82" s="21"/>
      <c r="D82" s="19"/>
      <c r="E82" s="77">
        <v>2549.5</v>
      </c>
      <c r="F82" s="17">
        <f>E82*12</f>
        <v>30594</v>
      </c>
      <c r="G82" s="17">
        <v>3.05</v>
      </c>
      <c r="H82" s="80">
        <f>F82*G82/1000</f>
        <v>93.311700000000002</v>
      </c>
      <c r="I82" s="17">
        <f>F82/12*G82</f>
        <v>7775.9749999999995</v>
      </c>
      <c r="J82" s="75"/>
      <c r="L82" s="24"/>
      <c r="M82" s="25"/>
      <c r="N82" s="26"/>
    </row>
    <row r="83" spans="1:14" ht="15.75" customHeight="1">
      <c r="A83" s="61"/>
      <c r="B83" s="45" t="s">
        <v>72</v>
      </c>
      <c r="C83" s="47"/>
      <c r="D83" s="20"/>
      <c r="E83" s="20"/>
      <c r="F83" s="20"/>
      <c r="G83" s="23"/>
      <c r="H83" s="23"/>
      <c r="I83" s="35">
        <f>I82+I81+I69+I40+I39+I38+I37+I18+I17+I16+I61</f>
        <v>36919.753017499992</v>
      </c>
      <c r="J83" s="75"/>
      <c r="L83" s="24"/>
      <c r="M83" s="25"/>
      <c r="N83" s="26"/>
    </row>
    <row r="84" spans="1:14" ht="15.75" customHeight="1">
      <c r="A84" s="162" t="s">
        <v>57</v>
      </c>
      <c r="B84" s="163"/>
      <c r="C84" s="163"/>
      <c r="D84" s="163"/>
      <c r="E84" s="163"/>
      <c r="F84" s="163"/>
      <c r="G84" s="163"/>
      <c r="H84" s="163"/>
      <c r="I84" s="164"/>
      <c r="J84" s="75"/>
      <c r="L84" s="24"/>
      <c r="M84" s="25"/>
      <c r="N84" s="26"/>
    </row>
    <row r="85" spans="1:14" ht="15.75" customHeight="1">
      <c r="A85" s="68">
        <v>12</v>
      </c>
      <c r="B85" s="19" t="s">
        <v>154</v>
      </c>
      <c r="C85" s="21" t="s">
        <v>155</v>
      </c>
      <c r="D85" s="19"/>
      <c r="E85" s="23"/>
      <c r="F85" s="17">
        <v>96</v>
      </c>
      <c r="G85" s="17">
        <v>1.4</v>
      </c>
      <c r="H85" s="17">
        <f>F85*G85/1000</f>
        <v>0.13439999999999996</v>
      </c>
      <c r="I85" s="17">
        <f>G85*48</f>
        <v>67.199999999999989</v>
      </c>
      <c r="J85" s="75"/>
      <c r="L85" s="24"/>
      <c r="M85" s="25"/>
      <c r="N85" s="26"/>
    </row>
    <row r="86" spans="1:14" ht="34.5" customHeight="1">
      <c r="A86" s="68">
        <v>13</v>
      </c>
      <c r="B86" s="117" t="s">
        <v>160</v>
      </c>
      <c r="C86" s="118" t="s">
        <v>28</v>
      </c>
      <c r="D86" s="43"/>
      <c r="E86" s="22"/>
      <c r="F86" s="41">
        <v>20</v>
      </c>
      <c r="G86" s="135">
        <v>21369.24</v>
      </c>
      <c r="H86" s="115">
        <f>G86*F86/1000</f>
        <v>427.38480000000004</v>
      </c>
      <c r="I86" s="17">
        <f>G86*0.599*4/1000</f>
        <v>51.200699039999996</v>
      </c>
      <c r="J86" s="75"/>
      <c r="L86" s="24"/>
      <c r="M86" s="25"/>
      <c r="N86" s="26"/>
    </row>
    <row r="87" spans="1:14" ht="34.5" customHeight="1">
      <c r="A87" s="68">
        <v>14</v>
      </c>
      <c r="B87" s="117" t="s">
        <v>239</v>
      </c>
      <c r="C87" s="118" t="s">
        <v>96</v>
      </c>
      <c r="D87" s="43" t="s">
        <v>243</v>
      </c>
      <c r="E87" s="22"/>
      <c r="F87" s="41">
        <v>2</v>
      </c>
      <c r="G87" s="41">
        <v>228.9</v>
      </c>
      <c r="H87" s="115"/>
      <c r="I87" s="96">
        <f>G87*2</f>
        <v>457.8</v>
      </c>
      <c r="J87" s="75"/>
      <c r="L87" s="24"/>
      <c r="M87" s="25"/>
      <c r="N87" s="26"/>
    </row>
    <row r="88" spans="1:14" ht="15.75" customHeight="1">
      <c r="A88" s="68">
        <v>15</v>
      </c>
      <c r="B88" s="117" t="s">
        <v>240</v>
      </c>
      <c r="C88" s="118" t="s">
        <v>177</v>
      </c>
      <c r="D88" s="43" t="s">
        <v>242</v>
      </c>
      <c r="E88" s="22"/>
      <c r="F88" s="41">
        <v>0.5</v>
      </c>
      <c r="G88" s="41">
        <v>2006</v>
      </c>
      <c r="H88" s="115"/>
      <c r="I88" s="96">
        <f>G88*0.5</f>
        <v>1003</v>
      </c>
      <c r="J88" s="75"/>
      <c r="L88" s="24"/>
      <c r="M88" s="25"/>
      <c r="N88" s="26"/>
    </row>
    <row r="89" spans="1:14" ht="15.75" customHeight="1">
      <c r="A89" s="68">
        <v>16</v>
      </c>
      <c r="B89" s="117" t="s">
        <v>156</v>
      </c>
      <c r="C89" s="118" t="s">
        <v>164</v>
      </c>
      <c r="D89" s="43" t="s">
        <v>241</v>
      </c>
      <c r="E89" s="22"/>
      <c r="F89" s="41">
        <v>66</v>
      </c>
      <c r="G89" s="41">
        <v>295.36</v>
      </c>
      <c r="H89" s="115"/>
      <c r="I89" s="96">
        <v>0</v>
      </c>
      <c r="J89" s="75"/>
      <c r="L89" s="24"/>
      <c r="M89" s="25"/>
      <c r="N89" s="26"/>
    </row>
    <row r="90" spans="1:14" ht="15.75" customHeight="1">
      <c r="A90" s="68">
        <v>17</v>
      </c>
      <c r="B90" s="117" t="s">
        <v>183</v>
      </c>
      <c r="C90" s="118" t="s">
        <v>38</v>
      </c>
      <c r="D90" s="43" t="s">
        <v>168</v>
      </c>
      <c r="E90" s="22"/>
      <c r="F90" s="41">
        <v>0.01</v>
      </c>
      <c r="G90" s="41">
        <v>28224.75</v>
      </c>
      <c r="H90" s="115"/>
      <c r="I90" s="96">
        <v>0</v>
      </c>
      <c r="J90" s="75"/>
      <c r="L90" s="24"/>
      <c r="M90" s="25"/>
      <c r="N90" s="26"/>
    </row>
    <row r="91" spans="1:14" ht="15.75" customHeight="1">
      <c r="A91" s="31"/>
      <c r="B91" s="52" t="s">
        <v>50</v>
      </c>
      <c r="C91" s="48"/>
      <c r="D91" s="62"/>
      <c r="E91" s="48">
        <v>1</v>
      </c>
      <c r="F91" s="48"/>
      <c r="G91" s="48"/>
      <c r="H91" s="48"/>
      <c r="I91" s="35">
        <f>SUM(I85:I90)</f>
        <v>1579.20069904</v>
      </c>
      <c r="J91" s="75"/>
      <c r="L91" s="24"/>
      <c r="M91" s="25"/>
      <c r="N91" s="26"/>
    </row>
    <row r="92" spans="1:14" ht="15.75" customHeight="1">
      <c r="A92" s="31"/>
      <c r="B92" s="57" t="s">
        <v>71</v>
      </c>
      <c r="C92" s="20"/>
      <c r="D92" s="20"/>
      <c r="E92" s="49"/>
      <c r="F92" s="49"/>
      <c r="G92" s="50"/>
      <c r="H92" s="50"/>
      <c r="I92" s="22">
        <v>0</v>
      </c>
      <c r="J92" s="75"/>
      <c r="L92" s="24"/>
      <c r="M92" s="25"/>
      <c r="N92" s="26"/>
    </row>
    <row r="93" spans="1:14" ht="15.75" customHeight="1">
      <c r="A93" s="63"/>
      <c r="B93" s="53" t="s">
        <v>149</v>
      </c>
      <c r="C93" s="39"/>
      <c r="D93" s="39"/>
      <c r="E93" s="39"/>
      <c r="F93" s="39"/>
      <c r="G93" s="39"/>
      <c r="H93" s="39"/>
      <c r="I93" s="51">
        <f>I83+I91</f>
        <v>38498.953716539989</v>
      </c>
      <c r="J93" s="75"/>
      <c r="L93" s="24"/>
    </row>
    <row r="94" spans="1:14" ht="15.75">
      <c r="A94" s="157" t="s">
        <v>257</v>
      </c>
      <c r="B94" s="157"/>
      <c r="C94" s="157"/>
      <c r="D94" s="157"/>
      <c r="E94" s="157"/>
      <c r="F94" s="157"/>
      <c r="G94" s="157"/>
      <c r="H94" s="157"/>
      <c r="I94" s="157"/>
    </row>
    <row r="95" spans="1:14" ht="15.75">
      <c r="A95" s="12"/>
      <c r="B95" s="158" t="s">
        <v>258</v>
      </c>
      <c r="C95" s="158"/>
      <c r="D95" s="158"/>
      <c r="E95" s="158"/>
      <c r="F95" s="158"/>
      <c r="G95" s="158"/>
      <c r="H95" s="98"/>
      <c r="I95" s="4"/>
    </row>
    <row r="96" spans="1:14" ht="15.75">
      <c r="A96" s="70"/>
      <c r="B96" s="173" t="s">
        <v>6</v>
      </c>
      <c r="C96" s="173"/>
      <c r="D96" s="173"/>
      <c r="E96" s="173"/>
      <c r="F96" s="173"/>
      <c r="G96" s="173"/>
      <c r="H96" s="74"/>
      <c r="I96" s="59"/>
    </row>
    <row r="97" spans="1:22" ht="15.75" customHeight="1">
      <c r="A97" s="60"/>
      <c r="B97" s="60"/>
      <c r="C97" s="60"/>
      <c r="D97" s="60"/>
      <c r="E97" s="60"/>
      <c r="F97" s="60"/>
      <c r="G97" s="60"/>
      <c r="H97" s="60"/>
      <c r="I97" s="60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11"/>
    </row>
    <row r="98" spans="1:22" ht="15.75" customHeight="1">
      <c r="A98" s="174" t="s">
        <v>7</v>
      </c>
      <c r="B98" s="174"/>
      <c r="C98" s="174"/>
      <c r="D98" s="174"/>
      <c r="E98" s="174"/>
      <c r="F98" s="174"/>
      <c r="G98" s="174"/>
      <c r="H98" s="174"/>
      <c r="I98" s="174"/>
      <c r="J98" s="29"/>
      <c r="K98" s="29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2" ht="15.75">
      <c r="A99" s="174" t="s">
        <v>8</v>
      </c>
      <c r="B99" s="174"/>
      <c r="C99" s="174"/>
      <c r="D99" s="174"/>
      <c r="E99" s="174"/>
      <c r="F99" s="174"/>
      <c r="G99" s="174"/>
      <c r="H99" s="174"/>
      <c r="I99" s="174"/>
      <c r="J99" s="4"/>
      <c r="K99" s="4"/>
      <c r="L99" s="4"/>
      <c r="M99" s="4"/>
      <c r="N99" s="4"/>
      <c r="O99" s="4"/>
      <c r="P99" s="4"/>
      <c r="Q99" s="4"/>
      <c r="S99" s="4"/>
      <c r="T99" s="4"/>
      <c r="U99" s="4"/>
    </row>
    <row r="100" spans="1:22" ht="15.75">
      <c r="A100" s="157" t="s">
        <v>9</v>
      </c>
      <c r="B100" s="157"/>
      <c r="C100" s="157"/>
      <c r="D100" s="157"/>
      <c r="E100" s="157"/>
      <c r="F100" s="157"/>
      <c r="G100" s="157"/>
      <c r="H100" s="157"/>
      <c r="I100" s="157"/>
      <c r="J100" s="6"/>
      <c r="K100" s="6"/>
      <c r="L100" s="6"/>
      <c r="M100" s="6"/>
      <c r="N100" s="6"/>
      <c r="O100" s="6"/>
      <c r="P100" s="6"/>
      <c r="Q100" s="6"/>
      <c r="R100" s="155"/>
      <c r="S100" s="155"/>
      <c r="T100" s="155"/>
      <c r="U100" s="155"/>
    </row>
    <row r="101" spans="1:22" ht="15.75">
      <c r="A101" s="13"/>
      <c r="B101" s="58"/>
      <c r="C101" s="58"/>
      <c r="D101" s="58"/>
      <c r="E101" s="58"/>
      <c r="F101" s="58"/>
      <c r="G101" s="58"/>
      <c r="H101" s="58"/>
      <c r="I101" s="58"/>
    </row>
    <row r="102" spans="1:22" ht="15.75">
      <c r="A102" s="156" t="s">
        <v>10</v>
      </c>
      <c r="B102" s="156"/>
      <c r="C102" s="156"/>
      <c r="D102" s="156"/>
      <c r="E102" s="156"/>
      <c r="F102" s="156"/>
      <c r="G102" s="156"/>
      <c r="H102" s="156"/>
      <c r="I102" s="156"/>
    </row>
    <row r="103" spans="1:22" ht="15.75" customHeight="1">
      <c r="A103" s="5"/>
    </row>
    <row r="104" spans="1:22" ht="15.75">
      <c r="A104" s="157" t="s">
        <v>11</v>
      </c>
      <c r="B104" s="157"/>
      <c r="C104" s="175" t="s">
        <v>188</v>
      </c>
      <c r="D104" s="175"/>
      <c r="E104" s="175"/>
      <c r="F104" s="72"/>
      <c r="I104" s="103"/>
    </row>
    <row r="105" spans="1:22">
      <c r="A105" s="104"/>
      <c r="C105" s="171" t="s">
        <v>12</v>
      </c>
      <c r="D105" s="171"/>
      <c r="E105" s="171"/>
      <c r="F105" s="28"/>
      <c r="I105" s="102" t="s">
        <v>13</v>
      </c>
    </row>
    <row r="106" spans="1:22" ht="15.75">
      <c r="A106" s="29"/>
      <c r="C106" s="14"/>
      <c r="D106" s="14"/>
      <c r="G106" s="14"/>
      <c r="H106" s="14"/>
    </row>
    <row r="107" spans="1:22" ht="15.75" customHeight="1">
      <c r="A107" s="157" t="s">
        <v>14</v>
      </c>
      <c r="B107" s="157"/>
      <c r="C107" s="172"/>
      <c r="D107" s="172"/>
      <c r="E107" s="172"/>
      <c r="F107" s="73"/>
      <c r="I107" s="103"/>
    </row>
    <row r="108" spans="1:22">
      <c r="A108" s="104"/>
      <c r="C108" s="155" t="s">
        <v>12</v>
      </c>
      <c r="D108" s="155"/>
      <c r="E108" s="155"/>
      <c r="F108" s="104"/>
      <c r="I108" s="102" t="s">
        <v>13</v>
      </c>
    </row>
    <row r="109" spans="1:22" ht="15.75">
      <c r="A109" s="5" t="s">
        <v>15</v>
      </c>
    </row>
    <row r="110" spans="1:22">
      <c r="A110" s="176" t="s">
        <v>16</v>
      </c>
      <c r="B110" s="176"/>
      <c r="C110" s="176"/>
      <c r="D110" s="176"/>
      <c r="E110" s="176"/>
      <c r="F110" s="176"/>
      <c r="G110" s="176"/>
      <c r="H110" s="176"/>
      <c r="I110" s="176"/>
    </row>
    <row r="111" spans="1:22" ht="45" customHeight="1">
      <c r="A111" s="177" t="s">
        <v>17</v>
      </c>
      <c r="B111" s="177"/>
      <c r="C111" s="177"/>
      <c r="D111" s="177"/>
      <c r="E111" s="177"/>
      <c r="F111" s="177"/>
      <c r="G111" s="177"/>
      <c r="H111" s="177"/>
      <c r="I111" s="177"/>
    </row>
    <row r="112" spans="1:22" ht="30" customHeight="1">
      <c r="A112" s="177" t="s">
        <v>18</v>
      </c>
      <c r="B112" s="177"/>
      <c r="C112" s="177"/>
      <c r="D112" s="177"/>
      <c r="E112" s="177"/>
      <c r="F112" s="177"/>
      <c r="G112" s="177"/>
      <c r="H112" s="177"/>
      <c r="I112" s="177"/>
    </row>
    <row r="113" spans="1:9" ht="30" customHeight="1">
      <c r="A113" s="177" t="s">
        <v>22</v>
      </c>
      <c r="B113" s="177"/>
      <c r="C113" s="177"/>
      <c r="D113" s="177"/>
      <c r="E113" s="177"/>
      <c r="F113" s="177"/>
      <c r="G113" s="177"/>
      <c r="H113" s="177"/>
      <c r="I113" s="177"/>
    </row>
    <row r="114" spans="1:9" ht="15" customHeight="1">
      <c r="A114" s="177" t="s">
        <v>21</v>
      </c>
      <c r="B114" s="177"/>
      <c r="C114" s="177"/>
      <c r="D114" s="177"/>
      <c r="E114" s="177"/>
      <c r="F114" s="177"/>
      <c r="G114" s="177"/>
      <c r="H114" s="177"/>
      <c r="I114" s="177"/>
    </row>
    <row r="116" spans="1:9">
      <c r="A116" s="15"/>
      <c r="B116" s="15"/>
      <c r="C116" s="15"/>
      <c r="D116" s="15"/>
      <c r="E116" s="15"/>
      <c r="F116" s="15"/>
      <c r="G116" s="15"/>
      <c r="H116" s="15"/>
    </row>
  </sheetData>
  <autoFilter ref="I15:I95"/>
  <mergeCells count="31">
    <mergeCell ref="A114:I114"/>
    <mergeCell ref="R100:U100"/>
    <mergeCell ref="A102:I102"/>
    <mergeCell ref="A104:B104"/>
    <mergeCell ref="C104:E104"/>
    <mergeCell ref="C105:E105"/>
    <mergeCell ref="A107:B107"/>
    <mergeCell ref="C107:E107"/>
    <mergeCell ref="A100:I100"/>
    <mergeCell ref="C108:E108"/>
    <mergeCell ref="A110:I110"/>
    <mergeCell ref="A111:I111"/>
    <mergeCell ref="A112:I112"/>
    <mergeCell ref="A113:I113"/>
    <mergeCell ref="A94:I94"/>
    <mergeCell ref="B95:G95"/>
    <mergeCell ref="B96:G96"/>
    <mergeCell ref="A98:I98"/>
    <mergeCell ref="A99:I99"/>
    <mergeCell ref="A84:I84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  <mergeCell ref="A80:I80"/>
  </mergeCells>
  <pageMargins left="0.70866141732283472" right="0.23622047244094491" top="0.27559055118110237" bottom="0.27559055118110237" header="0.31496062992125984" footer="0.31496062992125984"/>
  <pageSetup paperSize="9" scale="57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C107" sqref="C107:E10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159</v>
      </c>
      <c r="I1" s="32"/>
    </row>
    <row r="2" spans="1:15" s="58" customFormat="1" ht="15.75" customHeight="1">
      <c r="A2" s="30" t="s">
        <v>58</v>
      </c>
      <c r="J2" s="1"/>
      <c r="K2" s="1"/>
      <c r="L2" s="1"/>
      <c r="M2" s="1"/>
    </row>
    <row r="3" spans="1:15" s="58" customFormat="1" ht="15.75" customHeight="1">
      <c r="A3" s="150" t="s">
        <v>129</v>
      </c>
      <c r="B3" s="150"/>
      <c r="C3" s="150"/>
      <c r="D3" s="150"/>
      <c r="E3" s="150"/>
      <c r="F3" s="150"/>
      <c r="G3" s="150"/>
      <c r="H3" s="150"/>
      <c r="I3" s="150"/>
      <c r="J3" s="2"/>
      <c r="K3" s="2"/>
      <c r="L3" s="2"/>
      <c r="M3" s="2"/>
    </row>
    <row r="4" spans="1:15" s="58" customFormat="1" ht="31.5" customHeight="1">
      <c r="A4" s="151" t="s">
        <v>85</v>
      </c>
      <c r="B4" s="151"/>
      <c r="C4" s="151"/>
      <c r="D4" s="151"/>
      <c r="E4" s="151"/>
      <c r="F4" s="151"/>
      <c r="G4" s="151"/>
      <c r="H4" s="151"/>
      <c r="I4" s="151"/>
      <c r="J4" s="3"/>
      <c r="K4" s="3"/>
      <c r="L4" s="3"/>
      <c r="M4" s="3"/>
    </row>
    <row r="5" spans="1:15" s="58" customFormat="1" ht="15.75" customHeight="1">
      <c r="A5" s="150" t="s">
        <v>244</v>
      </c>
      <c r="B5" s="152"/>
      <c r="C5" s="152"/>
      <c r="D5" s="152"/>
      <c r="E5" s="152"/>
      <c r="F5" s="152"/>
      <c r="G5" s="152"/>
      <c r="H5" s="152"/>
      <c r="I5" s="152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44347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53" t="s">
        <v>245</v>
      </c>
      <c r="B8" s="153"/>
      <c r="C8" s="153"/>
      <c r="D8" s="153"/>
      <c r="E8" s="153"/>
      <c r="F8" s="153"/>
      <c r="G8" s="153"/>
      <c r="H8" s="153"/>
      <c r="I8" s="15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54" t="s">
        <v>158</v>
      </c>
      <c r="B10" s="154"/>
      <c r="C10" s="154"/>
      <c r="D10" s="154"/>
      <c r="E10" s="154"/>
      <c r="F10" s="154"/>
      <c r="G10" s="154"/>
      <c r="H10" s="154"/>
      <c r="I10" s="15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48" t="s">
        <v>139</v>
      </c>
      <c r="B14" s="149"/>
      <c r="C14" s="149"/>
      <c r="D14" s="149"/>
      <c r="E14" s="149"/>
      <c r="F14" s="149"/>
      <c r="G14" s="149"/>
      <c r="H14" s="149"/>
      <c r="I14" s="149"/>
      <c r="J14" s="114"/>
      <c r="K14" s="114"/>
      <c r="L14" s="10"/>
      <c r="M14" s="10"/>
      <c r="N14" s="10"/>
      <c r="O14" s="10"/>
    </row>
    <row r="15" spans="1:15" ht="15.75" customHeight="1">
      <c r="A15" s="145" t="s">
        <v>4</v>
      </c>
      <c r="B15" s="146"/>
      <c r="C15" s="146"/>
      <c r="D15" s="146"/>
      <c r="E15" s="146"/>
      <c r="F15" s="146"/>
      <c r="G15" s="146"/>
      <c r="H15" s="146"/>
      <c r="I15" s="147"/>
      <c r="J15" s="11"/>
      <c r="K15" s="11"/>
    </row>
    <row r="16" spans="1:15" ht="15.75" customHeight="1">
      <c r="A16" s="31">
        <v>1</v>
      </c>
      <c r="B16" s="69" t="s">
        <v>76</v>
      </c>
      <c r="C16" s="76" t="s">
        <v>86</v>
      </c>
      <c r="D16" s="69" t="s">
        <v>166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18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77</v>
      </c>
      <c r="C17" s="76" t="s">
        <v>86</v>
      </c>
      <c r="D17" s="69" t="s">
        <v>167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78</v>
      </c>
      <c r="C18" s="76" t="s">
        <v>86</v>
      </c>
      <c r="D18" s="69" t="s">
        <v>168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69" t="s">
        <v>87</v>
      </c>
      <c r="C19" s="76" t="s">
        <v>88</v>
      </c>
      <c r="D19" s="69" t="s">
        <v>173</v>
      </c>
      <c r="E19" s="77">
        <v>40</v>
      </c>
      <c r="F19" s="78">
        <f>SUM(E19/10)</f>
        <v>4</v>
      </c>
      <c r="G19" s="78">
        <v>211.74</v>
      </c>
      <c r="H19" s="79">
        <f t="shared" ref="H19:H26" si="1">SUM(F19*G19/1000)</f>
        <v>0.84696000000000005</v>
      </c>
      <c r="I19" s="17">
        <f>F19*G19</f>
        <v>846.96</v>
      </c>
      <c r="J19" s="10"/>
      <c r="K19" s="10"/>
      <c r="L19" s="10"/>
      <c r="M19" s="10"/>
    </row>
    <row r="20" spans="1:13" ht="15.75" hidden="1" customHeight="1">
      <c r="A20" s="31">
        <v>5</v>
      </c>
      <c r="B20" s="69" t="s">
        <v>90</v>
      </c>
      <c r="C20" s="76" t="s">
        <v>86</v>
      </c>
      <c r="D20" s="69" t="s">
        <v>173</v>
      </c>
      <c r="E20" s="77">
        <v>10.5</v>
      </c>
      <c r="F20" s="78">
        <f>SUM(E20*2/100)</f>
        <v>0.21</v>
      </c>
      <c r="G20" s="78">
        <v>271.12</v>
      </c>
      <c r="H20" s="79">
        <f t="shared" si="1"/>
        <v>5.6935200000000005E-2</v>
      </c>
      <c r="I20" s="17">
        <f t="shared" ref="I20:I21" si="2">F20/2*G20</f>
        <v>28.467600000000001</v>
      </c>
      <c r="J20" s="10"/>
      <c r="K20" s="10"/>
      <c r="L20" s="10"/>
      <c r="M20" s="10"/>
    </row>
    <row r="21" spans="1:13" ht="15.75" hidden="1" customHeight="1">
      <c r="A21" s="31">
        <v>6</v>
      </c>
      <c r="B21" s="69" t="s">
        <v>91</v>
      </c>
      <c r="C21" s="76" t="s">
        <v>86</v>
      </c>
      <c r="D21" s="69" t="s">
        <v>173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1"/>
        <v>1.4521680000000002E-2</v>
      </c>
      <c r="I21" s="17">
        <f t="shared" si="2"/>
        <v>7.2608400000000008</v>
      </c>
      <c r="J21" s="10"/>
      <c r="K21" s="10"/>
      <c r="L21" s="10"/>
      <c r="M21" s="10"/>
    </row>
    <row r="22" spans="1:13" ht="15.75" hidden="1" customHeight="1">
      <c r="A22" s="31">
        <v>7</v>
      </c>
      <c r="B22" s="69" t="s">
        <v>92</v>
      </c>
      <c r="C22" s="76" t="s">
        <v>51</v>
      </c>
      <c r="D22" s="69" t="s">
        <v>173</v>
      </c>
      <c r="E22" s="77">
        <v>357</v>
      </c>
      <c r="F22" s="78">
        <f t="shared" ref="F22:F25" si="3">SUM(E22/100)</f>
        <v>3.57</v>
      </c>
      <c r="G22" s="78">
        <v>335.05</v>
      </c>
      <c r="H22" s="79">
        <f t="shared" si="1"/>
        <v>1.1961284999999999</v>
      </c>
      <c r="I22" s="17">
        <f>F22*G22</f>
        <v>1196.1285</v>
      </c>
      <c r="J22" s="10"/>
      <c r="K22" s="10"/>
      <c r="L22" s="10"/>
      <c r="M22" s="10"/>
    </row>
    <row r="23" spans="1:13" ht="15.75" hidden="1" customHeight="1">
      <c r="A23" s="31">
        <v>8</v>
      </c>
      <c r="B23" s="69" t="s">
        <v>93</v>
      </c>
      <c r="C23" s="76" t="s">
        <v>51</v>
      </c>
      <c r="D23" s="69" t="s">
        <v>175</v>
      </c>
      <c r="E23" s="81">
        <v>38.64</v>
      </c>
      <c r="F23" s="78">
        <f t="shared" si="3"/>
        <v>0.38640000000000002</v>
      </c>
      <c r="G23" s="78">
        <v>55.1</v>
      </c>
      <c r="H23" s="79">
        <f t="shared" si="1"/>
        <v>2.1290640000000003E-2</v>
      </c>
      <c r="I23" s="17">
        <f t="shared" ref="I23:I25" si="4">F23*G23</f>
        <v>21.290640000000003</v>
      </c>
      <c r="J23" s="10"/>
      <c r="K23" s="10"/>
      <c r="L23" s="10"/>
      <c r="M23" s="10"/>
    </row>
    <row r="24" spans="1:13" ht="15.75" hidden="1" customHeight="1">
      <c r="A24" s="31">
        <v>9</v>
      </c>
      <c r="B24" s="69" t="s">
        <v>94</v>
      </c>
      <c r="C24" s="76" t="s">
        <v>51</v>
      </c>
      <c r="D24" s="82" t="s">
        <v>176</v>
      </c>
      <c r="E24" s="23">
        <v>15</v>
      </c>
      <c r="F24" s="83">
        <f t="shared" si="3"/>
        <v>0.15</v>
      </c>
      <c r="G24" s="78">
        <v>484.94</v>
      </c>
      <c r="H24" s="79">
        <f t="shared" si="1"/>
        <v>7.2741E-2</v>
      </c>
      <c r="I24" s="17">
        <f t="shared" si="4"/>
        <v>72.741</v>
      </c>
      <c r="J24" s="10"/>
      <c r="K24" s="10"/>
      <c r="L24" s="10"/>
      <c r="M24" s="10"/>
    </row>
    <row r="25" spans="1:13" ht="15.75" hidden="1" customHeight="1">
      <c r="A25" s="31">
        <v>10</v>
      </c>
      <c r="B25" s="69" t="s">
        <v>95</v>
      </c>
      <c r="C25" s="76" t="s">
        <v>51</v>
      </c>
      <c r="D25" s="69" t="s">
        <v>175</v>
      </c>
      <c r="E25" s="84">
        <v>6.38</v>
      </c>
      <c r="F25" s="78">
        <f t="shared" si="3"/>
        <v>6.3799999999999996E-2</v>
      </c>
      <c r="G25" s="78">
        <v>684.05</v>
      </c>
      <c r="H25" s="79">
        <f t="shared" si="1"/>
        <v>4.3642389999999989E-2</v>
      </c>
      <c r="I25" s="17">
        <f t="shared" si="4"/>
        <v>43.642389999999992</v>
      </c>
      <c r="J25" s="10"/>
      <c r="K25" s="10"/>
      <c r="L25" s="10"/>
      <c r="M25" s="10"/>
    </row>
    <row r="26" spans="1:13" ht="15.75" hidden="1" customHeight="1">
      <c r="A26" s="31">
        <v>4</v>
      </c>
      <c r="B26" s="37" t="s">
        <v>165</v>
      </c>
      <c r="C26" s="46" t="s">
        <v>155</v>
      </c>
      <c r="D26" s="37" t="s">
        <v>169</v>
      </c>
      <c r="E26" s="122">
        <v>4.28</v>
      </c>
      <c r="F26" s="36">
        <f>E26*258</f>
        <v>1104.24</v>
      </c>
      <c r="G26" s="36">
        <v>10.39</v>
      </c>
      <c r="H26" s="79">
        <f t="shared" si="1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5" t="s">
        <v>75</v>
      </c>
      <c r="B27" s="146"/>
      <c r="C27" s="146"/>
      <c r="D27" s="146"/>
      <c r="E27" s="146"/>
      <c r="F27" s="146"/>
      <c r="G27" s="146"/>
      <c r="H27" s="146"/>
      <c r="I27" s="147"/>
      <c r="J27" s="27"/>
      <c r="K27" s="10"/>
      <c r="L27" s="10"/>
      <c r="M27" s="10"/>
    </row>
    <row r="28" spans="1:13" ht="15.75" customHeight="1">
      <c r="A28" s="47"/>
      <c r="B28" s="55" t="s">
        <v>136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customHeight="1">
      <c r="A29" s="68">
        <v>4</v>
      </c>
      <c r="B29" s="69" t="s">
        <v>140</v>
      </c>
      <c r="C29" s="76" t="s">
        <v>109</v>
      </c>
      <c r="D29" s="69" t="s">
        <v>167</v>
      </c>
      <c r="E29" s="78">
        <v>65.099999999999994</v>
      </c>
      <c r="F29" s="78">
        <f>SUM(E29*52/1000)</f>
        <v>3.3851999999999998</v>
      </c>
      <c r="G29" s="78">
        <v>193.97</v>
      </c>
      <c r="H29" s="79">
        <f t="shared" ref="H29:H31" si="5">SUM(F29*G29/1000)</f>
        <v>0.65662724399999994</v>
      </c>
      <c r="I29" s="17">
        <f>F29/6*G29</f>
        <v>109.43787399999998</v>
      </c>
      <c r="J29" s="27"/>
      <c r="K29" s="10"/>
      <c r="L29" s="10"/>
      <c r="M29" s="10"/>
    </row>
    <row r="30" spans="1:13" ht="31.5" customHeight="1">
      <c r="A30" s="68">
        <v>5</v>
      </c>
      <c r="B30" s="69" t="s">
        <v>141</v>
      </c>
      <c r="C30" s="76" t="s">
        <v>109</v>
      </c>
      <c r="D30" s="69" t="s">
        <v>166</v>
      </c>
      <c r="E30" s="78">
        <v>65.099999999999994</v>
      </c>
      <c r="F30" s="78">
        <f>SUM(E30*78/1000)</f>
        <v>5.077799999999999</v>
      </c>
      <c r="G30" s="78">
        <v>321.82</v>
      </c>
      <c r="H30" s="79">
        <f t="shared" si="5"/>
        <v>1.6341375959999995</v>
      </c>
      <c r="I30" s="17">
        <f t="shared" ref="I30" si="6">F30/6*G30</f>
        <v>272.35626599999995</v>
      </c>
      <c r="J30" s="27"/>
      <c r="K30" s="10"/>
      <c r="L30" s="10"/>
      <c r="M30" s="10"/>
    </row>
    <row r="31" spans="1:13" ht="15.75" customHeight="1">
      <c r="A31" s="68">
        <v>6</v>
      </c>
      <c r="B31" s="69" t="s">
        <v>27</v>
      </c>
      <c r="C31" s="76" t="s">
        <v>109</v>
      </c>
      <c r="D31" s="69" t="s">
        <v>173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si="5"/>
        <v>0.24466402799999998</v>
      </c>
      <c r="I31" s="17">
        <f>F31*G31</f>
        <v>244.66402799999997</v>
      </c>
      <c r="J31" s="27"/>
      <c r="K31" s="10"/>
      <c r="L31" s="10"/>
      <c r="M31" s="10"/>
    </row>
    <row r="32" spans="1:13" ht="15.75" hidden="1" customHeight="1">
      <c r="A32" s="68"/>
      <c r="B32" s="69" t="s">
        <v>60</v>
      </c>
      <c r="C32" s="76" t="s">
        <v>31</v>
      </c>
      <c r="D32" s="69" t="s">
        <v>61</v>
      </c>
      <c r="E32" s="77"/>
      <c r="F32" s="78">
        <v>1</v>
      </c>
      <c r="G32" s="78">
        <v>238.07</v>
      </c>
      <c r="H32" s="79">
        <f t="shared" ref="H32:H33" si="7">SUM(F32*G32/1000)</f>
        <v>0.23807</v>
      </c>
      <c r="I32" s="17">
        <v>0</v>
      </c>
      <c r="J32" s="27"/>
      <c r="K32" s="10"/>
      <c r="L32" s="10"/>
      <c r="M32" s="10"/>
    </row>
    <row r="33" spans="1:13" ht="15.75" hidden="1" customHeight="1">
      <c r="A33" s="68"/>
      <c r="B33" s="69" t="s">
        <v>110</v>
      </c>
      <c r="C33" s="76" t="s">
        <v>30</v>
      </c>
      <c r="D33" s="69" t="s">
        <v>61</v>
      </c>
      <c r="E33" s="77"/>
      <c r="F33" s="78">
        <v>1</v>
      </c>
      <c r="G33" s="78">
        <v>1413.96</v>
      </c>
      <c r="H33" s="79">
        <f t="shared" si="7"/>
        <v>1.4139600000000001</v>
      </c>
      <c r="I33" s="17">
        <v>0</v>
      </c>
      <c r="J33" s="27"/>
      <c r="K33" s="10"/>
      <c r="L33" s="10"/>
      <c r="M33" s="10"/>
    </row>
    <row r="34" spans="1:13" ht="15.75" hidden="1" customHeight="1">
      <c r="A34" s="47"/>
      <c r="B34" s="55" t="s">
        <v>5</v>
      </c>
      <c r="C34" s="47"/>
      <c r="D34" s="47"/>
      <c r="E34" s="16"/>
      <c r="F34" s="16"/>
      <c r="G34" s="18"/>
      <c r="H34" s="18"/>
      <c r="I34" s="64"/>
      <c r="J34" s="27"/>
      <c r="K34" s="10"/>
      <c r="L34" s="10"/>
      <c r="M34" s="10"/>
    </row>
    <row r="35" spans="1:13" ht="15.75" hidden="1" customHeight="1">
      <c r="A35" s="38">
        <v>6</v>
      </c>
      <c r="B35" s="69" t="s">
        <v>26</v>
      </c>
      <c r="C35" s="76" t="s">
        <v>30</v>
      </c>
      <c r="D35" s="69"/>
      <c r="E35" s="77"/>
      <c r="F35" s="78">
        <v>2</v>
      </c>
      <c r="G35" s="78">
        <v>1900.37</v>
      </c>
      <c r="H35" s="79">
        <f t="shared" ref="H35:H41" si="8">SUM(F35*G35/1000)</f>
        <v>3.8007399999999998</v>
      </c>
      <c r="I35" s="17">
        <f>F35/6*G35</f>
        <v>633.45666666666659</v>
      </c>
      <c r="J35" s="27"/>
      <c r="K35" s="10"/>
      <c r="L35" s="10"/>
      <c r="M35" s="10"/>
    </row>
    <row r="36" spans="1:13" ht="15.75" hidden="1" customHeight="1">
      <c r="A36" s="38">
        <v>7</v>
      </c>
      <c r="B36" s="69" t="s">
        <v>111</v>
      </c>
      <c r="C36" s="76" t="s">
        <v>28</v>
      </c>
      <c r="D36" s="69" t="s">
        <v>143</v>
      </c>
      <c r="E36" s="77">
        <v>65.099999999999994</v>
      </c>
      <c r="F36" s="78">
        <f>E36*24/1000</f>
        <v>1.5623999999999998</v>
      </c>
      <c r="G36" s="78">
        <v>2616.4899999999998</v>
      </c>
      <c r="H36" s="79">
        <f>G36*F36/1000</f>
        <v>4.0880039759999987</v>
      </c>
      <c r="I36" s="17">
        <f>F36/6*G36</f>
        <v>681.33399599999984</v>
      </c>
      <c r="J36" s="27"/>
      <c r="K36" s="10"/>
      <c r="L36" s="10"/>
      <c r="M36" s="10"/>
    </row>
    <row r="37" spans="1:13" ht="15.75" hidden="1" customHeight="1">
      <c r="A37" s="38">
        <v>8</v>
      </c>
      <c r="B37" s="69" t="s">
        <v>112</v>
      </c>
      <c r="C37" s="76" t="s">
        <v>113</v>
      </c>
      <c r="D37" s="69" t="s">
        <v>61</v>
      </c>
      <c r="E37" s="77"/>
      <c r="F37" s="78">
        <v>13</v>
      </c>
      <c r="G37" s="78">
        <v>226.84</v>
      </c>
      <c r="H37" s="79">
        <f>G37*F37/1000</f>
        <v>2.9489200000000002</v>
      </c>
      <c r="I37" s="17">
        <f>G37*26</f>
        <v>5897.84</v>
      </c>
      <c r="J37" s="27"/>
      <c r="K37" s="10"/>
      <c r="L37" s="10"/>
      <c r="M37" s="10"/>
    </row>
    <row r="38" spans="1:13" ht="15.75" hidden="1" customHeight="1">
      <c r="A38" s="38">
        <v>9</v>
      </c>
      <c r="B38" s="69" t="s">
        <v>144</v>
      </c>
      <c r="C38" s="76" t="s">
        <v>28</v>
      </c>
      <c r="D38" s="69" t="s">
        <v>114</v>
      </c>
      <c r="E38" s="78">
        <v>65.099999999999994</v>
      </c>
      <c r="F38" s="78">
        <f>SUM(E38*155/1000)</f>
        <v>10.0905</v>
      </c>
      <c r="G38" s="78">
        <v>436.45</v>
      </c>
      <c r="H38" s="79">
        <f t="shared" si="8"/>
        <v>4.4039987250000001</v>
      </c>
      <c r="I38" s="17">
        <f>F38/6*G38</f>
        <v>733.99978750000002</v>
      </c>
      <c r="J38" s="27"/>
      <c r="K38" s="10"/>
      <c r="L38" s="10"/>
      <c r="M38" s="10"/>
    </row>
    <row r="39" spans="1:13" ht="47.25" hidden="1" customHeight="1">
      <c r="A39" s="38">
        <v>10</v>
      </c>
      <c r="B39" s="69" t="s">
        <v>74</v>
      </c>
      <c r="C39" s="76" t="s">
        <v>109</v>
      </c>
      <c r="D39" s="69" t="s">
        <v>115</v>
      </c>
      <c r="E39" s="78">
        <v>65.099999999999994</v>
      </c>
      <c r="F39" s="78">
        <f>SUM(E39*24/1000)</f>
        <v>1.5623999999999998</v>
      </c>
      <c r="G39" s="78">
        <v>7221.21</v>
      </c>
      <c r="H39" s="79">
        <f t="shared" si="8"/>
        <v>11.282418503999999</v>
      </c>
      <c r="I39" s="17">
        <f>F39/6*G39</f>
        <v>1880.4030839999998</v>
      </c>
      <c r="J39" s="27"/>
      <c r="K39" s="10"/>
      <c r="L39" s="10"/>
      <c r="M39" s="10"/>
    </row>
    <row r="40" spans="1:13" ht="15.75" hidden="1" customHeight="1">
      <c r="A40" s="38">
        <v>11</v>
      </c>
      <c r="B40" s="69" t="s">
        <v>116</v>
      </c>
      <c r="C40" s="76" t="s">
        <v>109</v>
      </c>
      <c r="D40" s="69" t="s">
        <v>145</v>
      </c>
      <c r="E40" s="78">
        <v>65.099999999999994</v>
      </c>
      <c r="F40" s="78">
        <f>SUM(E40*18/1000)</f>
        <v>1.1718</v>
      </c>
      <c r="G40" s="78">
        <v>533.45000000000005</v>
      </c>
      <c r="H40" s="79">
        <f t="shared" si="8"/>
        <v>0.62509671</v>
      </c>
      <c r="I40" s="17">
        <f>F40/6*G40</f>
        <v>104.18278500000001</v>
      </c>
      <c r="J40" s="27"/>
      <c r="K40" s="10"/>
      <c r="L40" s="10"/>
      <c r="M40" s="10"/>
    </row>
    <row r="41" spans="1:13" ht="15.75" hidden="1" customHeight="1">
      <c r="A41" s="38">
        <v>12</v>
      </c>
      <c r="B41" s="69" t="s">
        <v>62</v>
      </c>
      <c r="C41" s="76" t="s">
        <v>31</v>
      </c>
      <c r="D41" s="69"/>
      <c r="E41" s="77"/>
      <c r="F41" s="78">
        <v>0.4</v>
      </c>
      <c r="G41" s="78">
        <v>992.97</v>
      </c>
      <c r="H41" s="79">
        <f t="shared" si="8"/>
        <v>0.39718800000000004</v>
      </c>
      <c r="I41" s="17">
        <f>F41/6*G41</f>
        <v>66.198000000000008</v>
      </c>
      <c r="J41" s="27"/>
      <c r="K41" s="10"/>
      <c r="L41" s="10"/>
      <c r="M41" s="10"/>
    </row>
    <row r="42" spans="1:13" ht="15.75" customHeight="1">
      <c r="A42" s="168" t="s">
        <v>146</v>
      </c>
      <c r="B42" s="169"/>
      <c r="C42" s="169"/>
      <c r="D42" s="169"/>
      <c r="E42" s="169"/>
      <c r="F42" s="169"/>
      <c r="G42" s="169"/>
      <c r="H42" s="169"/>
      <c r="I42" s="170"/>
      <c r="J42" s="27"/>
      <c r="K42" s="10"/>
      <c r="L42" s="10"/>
      <c r="M42" s="10"/>
    </row>
    <row r="43" spans="1:13" ht="15.75" customHeight="1">
      <c r="A43" s="47">
        <v>7</v>
      </c>
      <c r="B43" s="69" t="s">
        <v>117</v>
      </c>
      <c r="C43" s="76" t="s">
        <v>109</v>
      </c>
      <c r="D43" s="69" t="s">
        <v>173</v>
      </c>
      <c r="E43" s="77">
        <v>1060.4000000000001</v>
      </c>
      <c r="F43" s="78">
        <f>SUM(E43*2/1000)</f>
        <v>2.1208</v>
      </c>
      <c r="G43" s="17">
        <v>1283.46</v>
      </c>
      <c r="H43" s="79">
        <f t="shared" ref="H43:H52" si="9">SUM(F43*G43/1000)</f>
        <v>2.721961968</v>
      </c>
      <c r="I43" s="17">
        <f t="shared" ref="I43:I45" si="10">F43/2*G43</f>
        <v>1360.980984</v>
      </c>
      <c r="J43" s="27"/>
      <c r="K43" s="10"/>
      <c r="L43" s="10"/>
      <c r="M43" s="10"/>
    </row>
    <row r="44" spans="1:13" ht="15.75" customHeight="1">
      <c r="A44" s="47">
        <v>8</v>
      </c>
      <c r="B44" s="69" t="s">
        <v>34</v>
      </c>
      <c r="C44" s="76" t="s">
        <v>109</v>
      </c>
      <c r="D44" s="69" t="s">
        <v>173</v>
      </c>
      <c r="E44" s="77">
        <v>1251.6199999999999</v>
      </c>
      <c r="F44" s="78">
        <f>SUM(E44*2/1000)</f>
        <v>2.5032399999999999</v>
      </c>
      <c r="G44" s="17">
        <v>1712.28</v>
      </c>
      <c r="H44" s="79">
        <f t="shared" si="9"/>
        <v>4.2862477871999998</v>
      </c>
      <c r="I44" s="17">
        <f t="shared" si="10"/>
        <v>2143.1238936</v>
      </c>
      <c r="J44" s="27"/>
      <c r="K44" s="10"/>
      <c r="L44" s="10"/>
      <c r="M44" s="10"/>
    </row>
    <row r="45" spans="1:13" ht="15.75" customHeight="1">
      <c r="A45" s="47">
        <v>9</v>
      </c>
      <c r="B45" s="69" t="s">
        <v>35</v>
      </c>
      <c r="C45" s="76" t="s">
        <v>109</v>
      </c>
      <c r="D45" s="69" t="s">
        <v>173</v>
      </c>
      <c r="E45" s="77">
        <v>1295.68</v>
      </c>
      <c r="F45" s="78">
        <f>SUM(E45*2/1000)</f>
        <v>2.5913600000000003</v>
      </c>
      <c r="G45" s="17">
        <v>1179.73</v>
      </c>
      <c r="H45" s="79">
        <f t="shared" si="9"/>
        <v>3.0571051328000003</v>
      </c>
      <c r="I45" s="17">
        <f t="shared" si="10"/>
        <v>1528.5525664000002</v>
      </c>
      <c r="J45" s="27"/>
      <c r="K45" s="10"/>
      <c r="L45" s="10"/>
      <c r="M45" s="10"/>
    </row>
    <row r="46" spans="1:13" ht="15.75" customHeight="1">
      <c r="A46" s="47">
        <v>10</v>
      </c>
      <c r="B46" s="69" t="s">
        <v>32</v>
      </c>
      <c r="C46" s="76" t="s">
        <v>33</v>
      </c>
      <c r="D46" s="69" t="s">
        <v>173</v>
      </c>
      <c r="E46" s="77">
        <v>85.84</v>
      </c>
      <c r="F46" s="78">
        <f>E46*2/100</f>
        <v>1.7168000000000001</v>
      </c>
      <c r="G46" s="17">
        <v>90.61</v>
      </c>
      <c r="H46" s="79">
        <f t="shared" si="9"/>
        <v>0.15555924799999998</v>
      </c>
      <c r="I46" s="17">
        <f>F46/2*G46</f>
        <v>77.779623999999998</v>
      </c>
      <c r="J46" s="27"/>
      <c r="K46" s="10"/>
      <c r="L46" s="10"/>
      <c r="M46" s="10"/>
    </row>
    <row r="47" spans="1:13" ht="15.75" customHeight="1">
      <c r="A47" s="47">
        <v>11</v>
      </c>
      <c r="B47" s="69" t="s">
        <v>54</v>
      </c>
      <c r="C47" s="76" t="s">
        <v>109</v>
      </c>
      <c r="D47" s="69" t="s">
        <v>173</v>
      </c>
      <c r="E47" s="77">
        <v>2549.5</v>
      </c>
      <c r="F47" s="78">
        <f>SUM(E47*5/1000)</f>
        <v>12.7475</v>
      </c>
      <c r="G47" s="17">
        <v>1711.28</v>
      </c>
      <c r="H47" s="79">
        <f t="shared" si="9"/>
        <v>21.814541800000001</v>
      </c>
      <c r="I47" s="17">
        <f>F47/5*G47</f>
        <v>4362.9083600000004</v>
      </c>
      <c r="J47" s="27"/>
      <c r="K47" s="10"/>
      <c r="L47" s="10"/>
      <c r="M47" s="10"/>
    </row>
    <row r="48" spans="1:13" ht="31.5" customHeight="1">
      <c r="A48" s="47">
        <v>12</v>
      </c>
      <c r="B48" s="69" t="s">
        <v>118</v>
      </c>
      <c r="C48" s="76" t="s">
        <v>109</v>
      </c>
      <c r="D48" s="69" t="s">
        <v>173</v>
      </c>
      <c r="E48" s="77">
        <v>2549.5</v>
      </c>
      <c r="F48" s="78">
        <f>SUM(E48*2/1000)</f>
        <v>5.0990000000000002</v>
      </c>
      <c r="G48" s="17">
        <v>1510.06</v>
      </c>
      <c r="H48" s="79">
        <f t="shared" si="9"/>
        <v>7.6997959399999996</v>
      </c>
      <c r="I48" s="17">
        <f>F48/2*G48</f>
        <v>3849.89797</v>
      </c>
      <c r="J48" s="27"/>
      <c r="K48" s="10"/>
      <c r="L48" s="10"/>
      <c r="M48" s="10"/>
    </row>
    <row r="49" spans="1:14" ht="27.75" customHeight="1">
      <c r="A49" s="47">
        <v>13</v>
      </c>
      <c r="B49" s="69" t="s">
        <v>119</v>
      </c>
      <c r="C49" s="76" t="s">
        <v>36</v>
      </c>
      <c r="D49" s="69" t="s">
        <v>173</v>
      </c>
      <c r="E49" s="77">
        <v>16</v>
      </c>
      <c r="F49" s="78">
        <f>SUM(E49*2/100)</f>
        <v>0.32</v>
      </c>
      <c r="G49" s="17">
        <v>3850.4</v>
      </c>
      <c r="H49" s="79">
        <f t="shared" si="9"/>
        <v>1.2321280000000001</v>
      </c>
      <c r="I49" s="17">
        <f t="shared" ref="I49:I50" si="11">F49/2*G49</f>
        <v>616.06400000000008</v>
      </c>
      <c r="J49" s="27"/>
      <c r="K49" s="10"/>
    </row>
    <row r="50" spans="1:14" ht="24" customHeight="1">
      <c r="A50" s="47">
        <v>14</v>
      </c>
      <c r="B50" s="69" t="s">
        <v>37</v>
      </c>
      <c r="C50" s="76" t="s">
        <v>38</v>
      </c>
      <c r="D50" s="69" t="s">
        <v>173</v>
      </c>
      <c r="E50" s="77">
        <v>1</v>
      </c>
      <c r="F50" s="78">
        <v>0.02</v>
      </c>
      <c r="G50" s="17">
        <v>7033.13</v>
      </c>
      <c r="H50" s="79">
        <f t="shared" si="9"/>
        <v>0.1406626</v>
      </c>
      <c r="I50" s="17">
        <f t="shared" si="11"/>
        <v>70.331299999999999</v>
      </c>
      <c r="J50" s="75"/>
    </row>
    <row r="51" spans="1:14" ht="15.75" customHeight="1">
      <c r="A51" s="47">
        <v>15</v>
      </c>
      <c r="B51" s="69" t="s">
        <v>120</v>
      </c>
      <c r="C51" s="76" t="s">
        <v>96</v>
      </c>
      <c r="D51" s="121">
        <v>44342</v>
      </c>
      <c r="E51" s="77">
        <v>64</v>
      </c>
      <c r="F51" s="78">
        <f>E51*3</f>
        <v>192</v>
      </c>
      <c r="G51" s="17">
        <v>175.6</v>
      </c>
      <c r="H51" s="79">
        <f t="shared" si="9"/>
        <v>33.715199999999996</v>
      </c>
      <c r="I51" s="17">
        <f>E51*G51</f>
        <v>11238.4</v>
      </c>
      <c r="J51" s="75"/>
    </row>
    <row r="52" spans="1:14" ht="15.75" customHeight="1">
      <c r="A52" s="47">
        <v>16</v>
      </c>
      <c r="B52" s="69" t="s">
        <v>39</v>
      </c>
      <c r="C52" s="76" t="s">
        <v>96</v>
      </c>
      <c r="D52" s="121">
        <v>44342</v>
      </c>
      <c r="E52" s="77">
        <v>128</v>
      </c>
      <c r="F52" s="78">
        <f>SUM(E52)*3</f>
        <v>384</v>
      </c>
      <c r="G52" s="17">
        <v>81.73</v>
      </c>
      <c r="H52" s="79">
        <f t="shared" si="9"/>
        <v>31.384319999999999</v>
      </c>
      <c r="I52" s="17">
        <f>E52*G52</f>
        <v>10461.44</v>
      </c>
      <c r="J52" s="75"/>
    </row>
    <row r="53" spans="1:14" ht="15.75" customHeight="1">
      <c r="A53" s="159" t="s">
        <v>124</v>
      </c>
      <c r="B53" s="160"/>
      <c r="C53" s="160"/>
      <c r="D53" s="160"/>
      <c r="E53" s="160"/>
      <c r="F53" s="160"/>
      <c r="G53" s="160"/>
      <c r="H53" s="160"/>
      <c r="I53" s="161"/>
      <c r="J53" s="75"/>
    </row>
    <row r="54" spans="1:14" ht="15.75" hidden="1" customHeight="1">
      <c r="A54" s="100"/>
      <c r="B54" s="54" t="s">
        <v>41</v>
      </c>
      <c r="C54" s="21"/>
      <c r="D54" s="65"/>
      <c r="E54" s="16"/>
      <c r="F54" s="16"/>
      <c r="G54" s="31"/>
      <c r="H54" s="31"/>
      <c r="I54" s="64"/>
      <c r="J54" s="75"/>
    </row>
    <row r="55" spans="1:14" ht="31.5" hidden="1" customHeight="1">
      <c r="A55" s="47">
        <v>13</v>
      </c>
      <c r="B55" s="69" t="s">
        <v>121</v>
      </c>
      <c r="C55" s="76" t="s">
        <v>86</v>
      </c>
      <c r="D55" s="69" t="s">
        <v>122</v>
      </c>
      <c r="E55" s="77">
        <v>8</v>
      </c>
      <c r="F55" s="78">
        <f>SUM(E55*6/100)</f>
        <v>0.48</v>
      </c>
      <c r="G55" s="17">
        <v>2306.62</v>
      </c>
      <c r="H55" s="79">
        <f>SUM(F55*G55/1000)</f>
        <v>1.1071776</v>
      </c>
      <c r="I55" s="17">
        <f>F55/6*G55</f>
        <v>184.52959999999999</v>
      </c>
      <c r="J55" s="75"/>
    </row>
    <row r="56" spans="1:14" ht="15.75" hidden="1" customHeight="1">
      <c r="A56" s="47">
        <v>18</v>
      </c>
      <c r="B56" s="88" t="s">
        <v>80</v>
      </c>
      <c r="C56" s="87" t="s">
        <v>30</v>
      </c>
      <c r="D56" s="88"/>
      <c r="E56" s="89"/>
      <c r="F56" s="90">
        <v>1</v>
      </c>
      <c r="G56" s="17">
        <v>1501</v>
      </c>
      <c r="H56" s="79">
        <f>SUM(F56*G56/1000)</f>
        <v>1.5009999999999999</v>
      </c>
      <c r="I56" s="17">
        <f>G56*1.5</f>
        <v>2251.5</v>
      </c>
      <c r="J56" s="75"/>
    </row>
    <row r="57" spans="1:14" ht="15.75" hidden="1" customHeight="1">
      <c r="A57" s="47"/>
      <c r="B57" s="71" t="s">
        <v>42</v>
      </c>
      <c r="C57" s="39"/>
      <c r="D57" s="39"/>
      <c r="E57" s="16"/>
      <c r="F57" s="16"/>
      <c r="G57" s="40"/>
      <c r="H57" s="40"/>
      <c r="I57" s="64"/>
      <c r="J57" s="75"/>
      <c r="L57" s="24"/>
      <c r="M57" s="25"/>
      <c r="N57" s="26"/>
    </row>
    <row r="58" spans="1:14" ht="15.75" hidden="1" customHeight="1">
      <c r="A58" s="47">
        <v>29</v>
      </c>
      <c r="B58" s="88" t="s">
        <v>43</v>
      </c>
      <c r="C58" s="87" t="s">
        <v>51</v>
      </c>
      <c r="D58" s="88" t="s">
        <v>52</v>
      </c>
      <c r="E58" s="89">
        <v>7.4</v>
      </c>
      <c r="F58" s="17">
        <f>SUM(E58/100)</f>
        <v>7.400000000000001E-2</v>
      </c>
      <c r="G58" s="17">
        <v>987.51</v>
      </c>
      <c r="H58" s="91">
        <f>F58*G58/1000</f>
        <v>7.3075740000000014E-2</v>
      </c>
      <c r="I58" s="17">
        <v>0</v>
      </c>
      <c r="J58" s="75"/>
      <c r="L58" s="24"/>
      <c r="M58" s="25"/>
      <c r="N58" s="26"/>
    </row>
    <row r="59" spans="1:14" ht="15.75" customHeight="1">
      <c r="A59" s="47"/>
      <c r="B59" s="71" t="s">
        <v>44</v>
      </c>
      <c r="C59" s="21"/>
      <c r="D59" s="66"/>
      <c r="E59" s="16"/>
      <c r="F59" s="16"/>
      <c r="G59" s="31"/>
      <c r="H59" s="31"/>
      <c r="I59" s="64"/>
      <c r="J59" s="75"/>
      <c r="L59" s="24"/>
      <c r="M59" s="25"/>
      <c r="N59" s="26"/>
    </row>
    <row r="60" spans="1:14" ht="17.25" hidden="1" customHeight="1">
      <c r="A60" s="47">
        <v>25</v>
      </c>
      <c r="B60" s="19" t="s">
        <v>45</v>
      </c>
      <c r="C60" s="21" t="s">
        <v>96</v>
      </c>
      <c r="D60" s="19" t="s">
        <v>172</v>
      </c>
      <c r="E60" s="23">
        <v>1</v>
      </c>
      <c r="F60" s="17">
        <f>SUM(E60)</f>
        <v>1</v>
      </c>
      <c r="G60" s="17">
        <v>276.74</v>
      </c>
      <c r="H60" s="80">
        <f t="shared" ref="H60:H68" si="12">SUM(F60*G60/1000)</f>
        <v>0.27673999999999999</v>
      </c>
      <c r="I60" s="17">
        <f>G60*3</f>
        <v>830.22</v>
      </c>
      <c r="J60" s="75"/>
      <c r="L60" s="24"/>
      <c r="M60" s="25"/>
      <c r="N60" s="26"/>
    </row>
    <row r="61" spans="1:14" ht="18.75" hidden="1" customHeight="1">
      <c r="A61" s="67"/>
      <c r="B61" s="19" t="s">
        <v>46</v>
      </c>
      <c r="C61" s="21" t="s">
        <v>96</v>
      </c>
      <c r="D61" s="19" t="s">
        <v>61</v>
      </c>
      <c r="E61" s="23">
        <v>2</v>
      </c>
      <c r="F61" s="17">
        <f>SUM(E61)</f>
        <v>2</v>
      </c>
      <c r="G61" s="17">
        <v>94.89</v>
      </c>
      <c r="H61" s="80">
        <f t="shared" si="12"/>
        <v>0.18978</v>
      </c>
      <c r="I61" s="17">
        <v>0</v>
      </c>
      <c r="J61" s="75"/>
      <c r="L61" s="24"/>
      <c r="M61" s="25"/>
      <c r="N61" s="26"/>
    </row>
    <row r="62" spans="1:14" ht="15.75" hidden="1" customHeight="1">
      <c r="A62" s="67">
        <v>27</v>
      </c>
      <c r="B62" s="19" t="s">
        <v>47</v>
      </c>
      <c r="C62" s="21" t="s">
        <v>97</v>
      </c>
      <c r="D62" s="19" t="s">
        <v>52</v>
      </c>
      <c r="E62" s="77">
        <v>10052</v>
      </c>
      <c r="F62" s="17">
        <f>SUM(E62/100)</f>
        <v>100.52</v>
      </c>
      <c r="G62" s="17">
        <v>263.99</v>
      </c>
      <c r="H62" s="80">
        <f t="shared" si="12"/>
        <v>26.536274799999997</v>
      </c>
      <c r="I62" s="17">
        <f>F62*G62</f>
        <v>26536.274799999999</v>
      </c>
      <c r="J62" s="75"/>
      <c r="L62" s="24"/>
      <c r="M62" s="25"/>
      <c r="N62" s="26"/>
    </row>
    <row r="63" spans="1:14" ht="15.75" hidden="1" customHeight="1">
      <c r="A63" s="67">
        <v>28</v>
      </c>
      <c r="B63" s="19" t="s">
        <v>48</v>
      </c>
      <c r="C63" s="21" t="s">
        <v>98</v>
      </c>
      <c r="D63" s="19"/>
      <c r="E63" s="77">
        <v>10052</v>
      </c>
      <c r="F63" s="17">
        <f>SUM(E63/1000)</f>
        <v>10.052</v>
      </c>
      <c r="G63" s="17">
        <v>205.57</v>
      </c>
      <c r="H63" s="80">
        <f t="shared" si="12"/>
        <v>2.0663896399999997</v>
      </c>
      <c r="I63" s="17">
        <f t="shared" ref="I63:I67" si="13">F63*G63</f>
        <v>2066.3896399999999</v>
      </c>
      <c r="J63" s="75"/>
      <c r="L63" s="24"/>
      <c r="M63" s="25"/>
      <c r="N63" s="26"/>
    </row>
    <row r="64" spans="1:14" ht="15.75" hidden="1" customHeight="1">
      <c r="A64" s="67">
        <v>29</v>
      </c>
      <c r="B64" s="19" t="s">
        <v>49</v>
      </c>
      <c r="C64" s="21" t="s">
        <v>69</v>
      </c>
      <c r="D64" s="19" t="s">
        <v>52</v>
      </c>
      <c r="E64" s="77">
        <v>2200</v>
      </c>
      <c r="F64" s="17">
        <f>SUM(E64/100)</f>
        <v>22</v>
      </c>
      <c r="G64" s="17">
        <v>2581.5300000000002</v>
      </c>
      <c r="H64" s="80">
        <f t="shared" si="12"/>
        <v>56.793660000000003</v>
      </c>
      <c r="I64" s="17">
        <f t="shared" si="13"/>
        <v>56793.66</v>
      </c>
      <c r="J64" s="75"/>
      <c r="L64" s="24"/>
      <c r="M64" s="25"/>
      <c r="N64" s="26"/>
    </row>
    <row r="65" spans="1:14" ht="15.75" hidden="1" customHeight="1">
      <c r="A65" s="67">
        <v>30</v>
      </c>
      <c r="B65" s="92" t="s">
        <v>99</v>
      </c>
      <c r="C65" s="21" t="s">
        <v>31</v>
      </c>
      <c r="D65" s="19"/>
      <c r="E65" s="77">
        <v>9.4</v>
      </c>
      <c r="F65" s="17">
        <f>SUM(E65)</f>
        <v>9.4</v>
      </c>
      <c r="G65" s="17">
        <v>47.45</v>
      </c>
      <c r="H65" s="80">
        <f t="shared" si="12"/>
        <v>0.44603000000000004</v>
      </c>
      <c r="I65" s="17">
        <f t="shared" si="13"/>
        <v>446.03000000000003</v>
      </c>
      <c r="J65" s="75"/>
      <c r="L65" s="24"/>
      <c r="M65" s="25"/>
      <c r="N65" s="26"/>
    </row>
    <row r="66" spans="1:14" ht="15.75" hidden="1" customHeight="1">
      <c r="A66" s="67">
        <v>31</v>
      </c>
      <c r="B66" s="92" t="s">
        <v>100</v>
      </c>
      <c r="C66" s="21" t="s">
        <v>31</v>
      </c>
      <c r="D66" s="19"/>
      <c r="E66" s="77">
        <v>9.4</v>
      </c>
      <c r="F66" s="17">
        <f>SUM(E66)</f>
        <v>9.4</v>
      </c>
      <c r="G66" s="17">
        <v>44.27</v>
      </c>
      <c r="H66" s="80">
        <f t="shared" si="12"/>
        <v>0.41613800000000001</v>
      </c>
      <c r="I66" s="17">
        <f t="shared" si="13"/>
        <v>416.13800000000003</v>
      </c>
      <c r="J66" s="75"/>
      <c r="L66" s="24"/>
      <c r="M66" s="25"/>
      <c r="N66" s="26"/>
    </row>
    <row r="67" spans="1:14" ht="15.75" hidden="1" customHeight="1">
      <c r="A67" s="67"/>
      <c r="B67" s="19" t="s">
        <v>55</v>
      </c>
      <c r="C67" s="21" t="s">
        <v>56</v>
      </c>
      <c r="D67" s="19" t="s">
        <v>52</v>
      </c>
      <c r="E67" s="23">
        <v>2</v>
      </c>
      <c r="F67" s="17">
        <f>SUM(E67)</f>
        <v>2</v>
      </c>
      <c r="G67" s="17">
        <v>62.07</v>
      </c>
      <c r="H67" s="80">
        <f t="shared" si="12"/>
        <v>0.12414</v>
      </c>
      <c r="I67" s="17">
        <f t="shared" si="13"/>
        <v>124.14</v>
      </c>
      <c r="J67" s="75"/>
      <c r="L67" s="24"/>
      <c r="M67" s="25"/>
      <c r="N67" s="26"/>
    </row>
    <row r="68" spans="1:14" ht="15.75" customHeight="1">
      <c r="A68" s="68">
        <v>17</v>
      </c>
      <c r="B68" s="19" t="s">
        <v>81</v>
      </c>
      <c r="C68" s="31" t="s">
        <v>101</v>
      </c>
      <c r="D68" s="19"/>
      <c r="E68" s="23">
        <v>2549.5</v>
      </c>
      <c r="F68" s="17">
        <f>SUM(E68*12)</f>
        <v>30594</v>
      </c>
      <c r="G68" s="17">
        <v>2.16</v>
      </c>
      <c r="H68" s="80">
        <f t="shared" si="12"/>
        <v>66.083040000000011</v>
      </c>
      <c r="I68" s="17">
        <f>F68/12*G68</f>
        <v>5506.92</v>
      </c>
      <c r="J68" s="75"/>
      <c r="L68" s="24"/>
      <c r="M68" s="25"/>
      <c r="N68" s="26"/>
    </row>
    <row r="69" spans="1:14" ht="15.75" hidden="1" customHeight="1">
      <c r="A69" s="61"/>
      <c r="B69" s="71" t="s">
        <v>102</v>
      </c>
      <c r="C69" s="71"/>
      <c r="D69" s="71"/>
      <c r="E69" s="71"/>
      <c r="F69" s="71"/>
      <c r="G69" s="71"/>
      <c r="H69" s="71"/>
      <c r="I69" s="23"/>
      <c r="J69" s="75"/>
      <c r="L69" s="24"/>
      <c r="M69" s="25"/>
      <c r="N69" s="26"/>
    </row>
    <row r="70" spans="1:14" ht="15.75" hidden="1" customHeight="1">
      <c r="A70" s="31">
        <v>34</v>
      </c>
      <c r="B70" s="69" t="s">
        <v>103</v>
      </c>
      <c r="C70" s="21"/>
      <c r="D70" s="19"/>
      <c r="E70" s="94"/>
      <c r="F70" s="17">
        <v>1</v>
      </c>
      <c r="G70" s="17">
        <v>22720</v>
      </c>
      <c r="H70" s="80">
        <f>G70*F70/1000</f>
        <v>22.72</v>
      </c>
      <c r="I70" s="17">
        <f>G70</f>
        <v>22720</v>
      </c>
      <c r="J70" s="75"/>
      <c r="L70" s="24"/>
      <c r="M70" s="25"/>
      <c r="N70" s="26"/>
    </row>
    <row r="71" spans="1:14" ht="15.75" hidden="1" customHeight="1">
      <c r="A71" s="68"/>
      <c r="B71" s="71" t="s">
        <v>64</v>
      </c>
      <c r="C71" s="21"/>
      <c r="D71" s="19"/>
      <c r="E71" s="16"/>
      <c r="F71" s="16"/>
      <c r="G71" s="31"/>
      <c r="H71" s="31"/>
      <c r="I71" s="64"/>
      <c r="J71" s="75"/>
      <c r="L71" s="24"/>
      <c r="M71" s="25"/>
      <c r="N71" s="26"/>
    </row>
    <row r="72" spans="1:14" ht="15.75" hidden="1" customHeight="1">
      <c r="A72" s="68">
        <v>16</v>
      </c>
      <c r="B72" s="19" t="s">
        <v>104</v>
      </c>
      <c r="C72" s="21" t="s">
        <v>105</v>
      </c>
      <c r="D72" s="19" t="s">
        <v>61</v>
      </c>
      <c r="E72" s="23">
        <v>1</v>
      </c>
      <c r="F72" s="17">
        <f>E72</f>
        <v>1</v>
      </c>
      <c r="G72" s="17">
        <v>976.4</v>
      </c>
      <c r="H72" s="80">
        <f t="shared" ref="H72:H74" si="14">SUM(F72*G72/1000)</f>
        <v>0.97639999999999993</v>
      </c>
      <c r="I72" s="17">
        <v>0</v>
      </c>
      <c r="J72" s="75"/>
      <c r="L72" s="24"/>
      <c r="M72" s="25"/>
      <c r="N72" s="26"/>
    </row>
    <row r="73" spans="1:14" ht="15.75" hidden="1" customHeight="1">
      <c r="A73" s="68"/>
      <c r="B73" s="19" t="s">
        <v>106</v>
      </c>
      <c r="C73" s="21" t="s">
        <v>107</v>
      </c>
      <c r="D73" s="19" t="s">
        <v>61</v>
      </c>
      <c r="E73" s="23">
        <v>1</v>
      </c>
      <c r="F73" s="17">
        <v>1</v>
      </c>
      <c r="G73" s="17">
        <v>735</v>
      </c>
      <c r="H73" s="80">
        <f t="shared" si="14"/>
        <v>0.73499999999999999</v>
      </c>
      <c r="I73" s="17">
        <v>0</v>
      </c>
      <c r="J73" s="75"/>
      <c r="L73" s="24"/>
      <c r="M73" s="25"/>
      <c r="N73" s="26"/>
    </row>
    <row r="74" spans="1:14" ht="15.75" hidden="1" customHeight="1">
      <c r="A74" s="68">
        <v>11</v>
      </c>
      <c r="B74" s="19" t="s">
        <v>65</v>
      </c>
      <c r="C74" s="21" t="s">
        <v>67</v>
      </c>
      <c r="D74" s="19" t="s">
        <v>61</v>
      </c>
      <c r="E74" s="23">
        <v>3</v>
      </c>
      <c r="F74" s="17">
        <v>0.3</v>
      </c>
      <c r="G74" s="17">
        <v>624.16999999999996</v>
      </c>
      <c r="H74" s="80">
        <f t="shared" si="14"/>
        <v>0.18725099999999997</v>
      </c>
      <c r="I74" s="17">
        <f>G74*0.2</f>
        <v>124.834</v>
      </c>
      <c r="J74" s="75"/>
      <c r="L74" s="24"/>
      <c r="M74" s="25"/>
      <c r="N74" s="26"/>
    </row>
    <row r="75" spans="1:14" ht="15.75" hidden="1" customHeight="1">
      <c r="A75" s="68"/>
      <c r="B75" s="19" t="s">
        <v>66</v>
      </c>
      <c r="C75" s="21" t="s">
        <v>29</v>
      </c>
      <c r="D75" s="19" t="s">
        <v>61</v>
      </c>
      <c r="E75" s="23">
        <v>1</v>
      </c>
      <c r="F75" s="93">
        <v>1</v>
      </c>
      <c r="G75" s="17">
        <v>1061.4100000000001</v>
      </c>
      <c r="H75" s="80">
        <f>F75*G75/1000</f>
        <v>1.0614100000000002</v>
      </c>
      <c r="I75" s="17">
        <v>0</v>
      </c>
      <c r="J75" s="75"/>
      <c r="L75" s="24"/>
      <c r="M75" s="25"/>
      <c r="N75" s="26"/>
    </row>
    <row r="76" spans="1:14" ht="15.75" hidden="1" customHeight="1">
      <c r="A76" s="68"/>
      <c r="B76" s="19" t="s">
        <v>82</v>
      </c>
      <c r="C76" s="21" t="s">
        <v>29</v>
      </c>
      <c r="D76" s="19" t="s">
        <v>61</v>
      </c>
      <c r="E76" s="23">
        <v>1</v>
      </c>
      <c r="F76" s="17">
        <v>1</v>
      </c>
      <c r="G76" s="17">
        <v>446.12</v>
      </c>
      <c r="H76" s="80">
        <f>G76*F76/1000</f>
        <v>0.44612000000000002</v>
      </c>
      <c r="I76" s="17">
        <v>0</v>
      </c>
      <c r="J76" s="75"/>
      <c r="L76" s="24"/>
      <c r="M76" s="25"/>
      <c r="N76" s="26"/>
    </row>
    <row r="77" spans="1:14" ht="15.75" hidden="1" customHeight="1">
      <c r="A77" s="68"/>
      <c r="B77" s="56" t="s">
        <v>68</v>
      </c>
      <c r="C77" s="44"/>
      <c r="D77" s="43"/>
      <c r="E77" s="23"/>
      <c r="F77" s="23"/>
      <c r="G77" s="42"/>
      <c r="H77" s="42"/>
      <c r="I77" s="64"/>
      <c r="J77" s="75"/>
      <c r="L77" s="24"/>
      <c r="M77" s="25"/>
      <c r="N77" s="26"/>
    </row>
    <row r="78" spans="1:14" ht="15.75" hidden="1" customHeight="1">
      <c r="A78" s="68"/>
      <c r="B78" s="57" t="s">
        <v>108</v>
      </c>
      <c r="C78" s="21" t="s">
        <v>69</v>
      </c>
      <c r="D78" s="19"/>
      <c r="E78" s="23"/>
      <c r="F78" s="17">
        <v>1</v>
      </c>
      <c r="G78" s="17">
        <v>3433.68</v>
      </c>
      <c r="H78" s="80">
        <f t="shared" ref="H78" si="15">SUM(F78*G78/1000)</f>
        <v>3.4336799999999998</v>
      </c>
      <c r="I78" s="17">
        <v>0</v>
      </c>
      <c r="J78" s="75"/>
      <c r="L78" s="24"/>
      <c r="M78" s="25"/>
      <c r="N78" s="26"/>
    </row>
    <row r="79" spans="1:14" ht="15.75" customHeight="1">
      <c r="A79" s="165" t="s">
        <v>148</v>
      </c>
      <c r="B79" s="166"/>
      <c r="C79" s="166"/>
      <c r="D79" s="166"/>
      <c r="E79" s="166"/>
      <c r="F79" s="166"/>
      <c r="G79" s="166"/>
      <c r="H79" s="166"/>
      <c r="I79" s="167"/>
      <c r="J79" s="75"/>
      <c r="L79" s="24"/>
      <c r="M79" s="25"/>
      <c r="N79" s="26"/>
    </row>
    <row r="80" spans="1:14" ht="15.75" customHeight="1">
      <c r="A80" s="68">
        <v>18</v>
      </c>
      <c r="B80" s="69" t="s">
        <v>123</v>
      </c>
      <c r="C80" s="21" t="s">
        <v>53</v>
      </c>
      <c r="D80" s="19"/>
      <c r="E80" s="17">
        <v>2549.5</v>
      </c>
      <c r="F80" s="17">
        <f>SUM(E80*12)</f>
        <v>30594</v>
      </c>
      <c r="G80" s="17">
        <v>2.95</v>
      </c>
      <c r="H80" s="80">
        <f>SUM(F80*G80/1000)</f>
        <v>90.252300000000005</v>
      </c>
      <c r="I80" s="17">
        <f>F80/12*G80</f>
        <v>7521.0250000000005</v>
      </c>
      <c r="J80" s="75"/>
      <c r="L80" s="24"/>
      <c r="M80" s="25"/>
      <c r="N80" s="26"/>
    </row>
    <row r="81" spans="1:22" ht="31.5" customHeight="1">
      <c r="A81" s="31">
        <v>19</v>
      </c>
      <c r="B81" s="19" t="s">
        <v>70</v>
      </c>
      <c r="C81" s="21"/>
      <c r="D81" s="19"/>
      <c r="E81" s="77">
        <v>2549.5</v>
      </c>
      <c r="F81" s="17">
        <f>E81*12</f>
        <v>30594</v>
      </c>
      <c r="G81" s="17">
        <v>3.05</v>
      </c>
      <c r="H81" s="80">
        <f>F81*G81/1000</f>
        <v>93.311700000000002</v>
      </c>
      <c r="I81" s="17">
        <f>F81/12*G81</f>
        <v>7775.9749999999995</v>
      </c>
      <c r="J81" s="75"/>
      <c r="L81" s="24"/>
      <c r="M81" s="25"/>
      <c r="N81" s="26"/>
    </row>
    <row r="82" spans="1:22" ht="15.75" customHeight="1">
      <c r="A82" s="61"/>
      <c r="B82" s="45" t="s">
        <v>72</v>
      </c>
      <c r="C82" s="47"/>
      <c r="D82" s="20"/>
      <c r="E82" s="20"/>
      <c r="F82" s="20"/>
      <c r="G82" s="23"/>
      <c r="H82" s="23"/>
      <c r="I82" s="35">
        <f>I81+I80+I68+I52+I51+I50+I49+I48+I47+I46+I45+I44+I43+I31+I30+I29+I18+I17+I16</f>
        <v>66734.293016000011</v>
      </c>
      <c r="J82" s="75"/>
      <c r="L82" s="24"/>
      <c r="M82" s="25"/>
      <c r="N82" s="26"/>
    </row>
    <row r="83" spans="1:22" ht="15.75" customHeight="1">
      <c r="A83" s="162" t="s">
        <v>57</v>
      </c>
      <c r="B83" s="163"/>
      <c r="C83" s="163"/>
      <c r="D83" s="163"/>
      <c r="E83" s="163"/>
      <c r="F83" s="163"/>
      <c r="G83" s="163"/>
      <c r="H83" s="163"/>
      <c r="I83" s="164"/>
      <c r="J83" s="75"/>
      <c r="L83" s="24"/>
      <c r="M83" s="25"/>
      <c r="N83" s="26"/>
    </row>
    <row r="84" spans="1:22" ht="15.75" customHeight="1">
      <c r="A84" s="68">
        <v>20</v>
      </c>
      <c r="B84" s="19" t="s">
        <v>154</v>
      </c>
      <c r="C84" s="21" t="s">
        <v>155</v>
      </c>
      <c r="D84" s="19"/>
      <c r="E84" s="23"/>
      <c r="F84" s="17">
        <v>96</v>
      </c>
      <c r="G84" s="17">
        <v>1.4</v>
      </c>
      <c r="H84" s="17">
        <f>F84*G84/1000</f>
        <v>0.13439999999999996</v>
      </c>
      <c r="I84" s="17">
        <f>G84*48</f>
        <v>67.199999999999989</v>
      </c>
      <c r="J84" s="75"/>
      <c r="L84" s="24"/>
      <c r="M84" s="25"/>
      <c r="N84" s="26"/>
    </row>
    <row r="85" spans="1:22" ht="18" customHeight="1">
      <c r="A85" s="68">
        <v>21</v>
      </c>
      <c r="B85" s="117" t="s">
        <v>73</v>
      </c>
      <c r="C85" s="118" t="s">
        <v>96</v>
      </c>
      <c r="D85" s="43"/>
      <c r="E85" s="22"/>
      <c r="F85" s="41">
        <v>8</v>
      </c>
      <c r="G85" s="41">
        <v>224.48</v>
      </c>
      <c r="H85" s="116"/>
      <c r="I85" s="96">
        <f>G85*1</f>
        <v>224.48</v>
      </c>
      <c r="J85" s="75"/>
      <c r="L85" s="24"/>
      <c r="M85" s="25"/>
      <c r="N85" s="26"/>
    </row>
    <row r="86" spans="1:22" ht="15" customHeight="1">
      <c r="A86" s="68">
        <v>22</v>
      </c>
      <c r="B86" s="117" t="s">
        <v>183</v>
      </c>
      <c r="C86" s="118" t="s">
        <v>38</v>
      </c>
      <c r="D86" s="43" t="s">
        <v>173</v>
      </c>
      <c r="E86" s="22"/>
      <c r="F86" s="41">
        <v>0.02</v>
      </c>
      <c r="G86" s="41">
        <v>28224.75</v>
      </c>
      <c r="H86" s="116"/>
      <c r="I86" s="96">
        <v>0</v>
      </c>
      <c r="J86" s="75"/>
      <c r="L86" s="24"/>
      <c r="M86" s="25"/>
      <c r="N86" s="26"/>
    </row>
    <row r="87" spans="1:22" ht="14.25" customHeight="1">
      <c r="A87" s="68">
        <v>23</v>
      </c>
      <c r="B87" s="117" t="s">
        <v>161</v>
      </c>
      <c r="C87" s="118" t="s">
        <v>157</v>
      </c>
      <c r="D87" s="43"/>
      <c r="E87" s="22"/>
      <c r="F87" s="41">
        <v>3</v>
      </c>
      <c r="G87" s="41">
        <v>236.08</v>
      </c>
      <c r="H87" s="116"/>
      <c r="I87" s="96">
        <f>G87*1</f>
        <v>236.08</v>
      </c>
      <c r="J87" s="75"/>
      <c r="L87" s="24"/>
      <c r="M87" s="25"/>
      <c r="N87" s="26"/>
    </row>
    <row r="88" spans="1:22" ht="21.75" customHeight="1">
      <c r="A88" s="68">
        <v>24</v>
      </c>
      <c r="B88" s="117" t="s">
        <v>213</v>
      </c>
      <c r="C88" s="118" t="s">
        <v>164</v>
      </c>
      <c r="D88" s="43"/>
      <c r="E88" s="22"/>
      <c r="F88" s="41">
        <v>12</v>
      </c>
      <c r="G88" s="41">
        <v>295.36</v>
      </c>
      <c r="H88" s="80"/>
      <c r="I88" s="96">
        <f>G88*6</f>
        <v>1772.16</v>
      </c>
      <c r="J88" s="75"/>
      <c r="L88" s="24"/>
      <c r="M88" s="25"/>
      <c r="N88" s="26"/>
    </row>
    <row r="89" spans="1:22" ht="21.75" customHeight="1">
      <c r="A89" s="68">
        <v>25</v>
      </c>
      <c r="B89" s="117" t="s">
        <v>246</v>
      </c>
      <c r="C89" s="118" t="s">
        <v>184</v>
      </c>
      <c r="D89" s="43"/>
      <c r="E89" s="22"/>
      <c r="F89" s="41">
        <v>0.02</v>
      </c>
      <c r="G89" s="41">
        <v>26638.18</v>
      </c>
      <c r="H89" s="80"/>
      <c r="I89" s="96">
        <f>G89*0.02</f>
        <v>532.7636</v>
      </c>
      <c r="J89" s="75"/>
      <c r="L89" s="24"/>
      <c r="M89" s="25"/>
      <c r="N89" s="26"/>
    </row>
    <row r="90" spans="1:22" ht="15.75" customHeight="1">
      <c r="A90" s="31"/>
      <c r="B90" s="52" t="s">
        <v>50</v>
      </c>
      <c r="C90" s="48"/>
      <c r="D90" s="62"/>
      <c r="E90" s="48">
        <v>1</v>
      </c>
      <c r="F90" s="48"/>
      <c r="G90" s="48"/>
      <c r="H90" s="48"/>
      <c r="I90" s="35">
        <f>SUM(I84:I89)</f>
        <v>2832.6836000000003</v>
      </c>
      <c r="J90" s="75"/>
      <c r="L90" s="24"/>
      <c r="M90" s="25"/>
      <c r="N90" s="26"/>
    </row>
    <row r="91" spans="1:22" ht="15.75" customHeight="1">
      <c r="A91" s="31"/>
      <c r="B91" s="57" t="s">
        <v>71</v>
      </c>
      <c r="C91" s="20"/>
      <c r="D91" s="20"/>
      <c r="E91" s="49"/>
      <c r="F91" s="49"/>
      <c r="G91" s="50"/>
      <c r="H91" s="50"/>
      <c r="I91" s="22">
        <v>0</v>
      </c>
      <c r="J91" s="75"/>
      <c r="L91" s="24"/>
      <c r="M91" s="25"/>
      <c r="N91" s="26"/>
    </row>
    <row r="92" spans="1:22" ht="15.75" customHeight="1">
      <c r="A92" s="63"/>
      <c r="B92" s="53" t="s">
        <v>149</v>
      </c>
      <c r="C92" s="39"/>
      <c r="D92" s="39"/>
      <c r="E92" s="39"/>
      <c r="F92" s="39"/>
      <c r="G92" s="39"/>
      <c r="H92" s="39"/>
      <c r="I92" s="51">
        <f>I82+I90</f>
        <v>69566.976616000014</v>
      </c>
      <c r="J92" s="75"/>
      <c r="L92" s="24"/>
    </row>
    <row r="93" spans="1:22" ht="15.75">
      <c r="A93" s="157" t="s">
        <v>247</v>
      </c>
      <c r="B93" s="157"/>
      <c r="C93" s="157"/>
      <c r="D93" s="157"/>
      <c r="E93" s="157"/>
      <c r="F93" s="157"/>
      <c r="G93" s="157"/>
      <c r="H93" s="157"/>
      <c r="I93" s="157"/>
    </row>
    <row r="94" spans="1:22" ht="15.75">
      <c r="A94" s="12"/>
      <c r="B94" s="158" t="s">
        <v>248</v>
      </c>
      <c r="C94" s="158"/>
      <c r="D94" s="158"/>
      <c r="E94" s="158"/>
      <c r="F94" s="158"/>
      <c r="G94" s="158"/>
      <c r="H94" s="98"/>
      <c r="I94" s="4"/>
    </row>
    <row r="95" spans="1:22" ht="15.75">
      <c r="A95" s="70"/>
      <c r="B95" s="173" t="s">
        <v>6</v>
      </c>
      <c r="C95" s="173"/>
      <c r="D95" s="173"/>
      <c r="E95" s="173"/>
      <c r="F95" s="173"/>
      <c r="G95" s="173"/>
      <c r="H95" s="74"/>
      <c r="I95" s="59"/>
    </row>
    <row r="96" spans="1:22" ht="15.75" customHeight="1">
      <c r="A96" s="60"/>
      <c r="B96" s="60"/>
      <c r="C96" s="60"/>
      <c r="D96" s="60"/>
      <c r="E96" s="60"/>
      <c r="F96" s="60"/>
      <c r="G96" s="60"/>
      <c r="H96" s="60"/>
      <c r="I96" s="60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11"/>
    </row>
    <row r="97" spans="1:21" ht="15.75" customHeight="1">
      <c r="A97" s="174" t="s">
        <v>7</v>
      </c>
      <c r="B97" s="174"/>
      <c r="C97" s="174"/>
      <c r="D97" s="174"/>
      <c r="E97" s="174"/>
      <c r="F97" s="174"/>
      <c r="G97" s="174"/>
      <c r="H97" s="174"/>
      <c r="I97" s="174"/>
      <c r="J97" s="29"/>
      <c r="K97" s="29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>
      <c r="A98" s="174" t="s">
        <v>8</v>
      </c>
      <c r="B98" s="174"/>
      <c r="C98" s="174"/>
      <c r="D98" s="174"/>
      <c r="E98" s="174"/>
      <c r="F98" s="174"/>
      <c r="G98" s="174"/>
      <c r="H98" s="174"/>
      <c r="I98" s="174"/>
      <c r="J98" s="4"/>
      <c r="K98" s="4"/>
      <c r="L98" s="4"/>
      <c r="M98" s="4"/>
      <c r="N98" s="4"/>
      <c r="O98" s="4"/>
      <c r="P98" s="4"/>
      <c r="Q98" s="4"/>
      <c r="S98" s="4"/>
      <c r="T98" s="4"/>
      <c r="U98" s="4"/>
    </row>
    <row r="99" spans="1:21" ht="15.75">
      <c r="A99" s="157" t="s">
        <v>9</v>
      </c>
      <c r="B99" s="157"/>
      <c r="C99" s="157"/>
      <c r="D99" s="157"/>
      <c r="E99" s="157"/>
      <c r="F99" s="157"/>
      <c r="G99" s="157"/>
      <c r="H99" s="157"/>
      <c r="I99" s="157"/>
      <c r="J99" s="6"/>
      <c r="K99" s="6"/>
      <c r="L99" s="6"/>
      <c r="M99" s="6"/>
      <c r="N99" s="6"/>
      <c r="O99" s="6"/>
      <c r="P99" s="6"/>
      <c r="Q99" s="6"/>
      <c r="R99" s="155"/>
      <c r="S99" s="155"/>
      <c r="T99" s="155"/>
      <c r="U99" s="155"/>
    </row>
    <row r="100" spans="1:21" ht="15.75">
      <c r="A100" s="13"/>
      <c r="B100" s="58"/>
      <c r="C100" s="58"/>
      <c r="D100" s="58"/>
      <c r="E100" s="58"/>
      <c r="F100" s="58"/>
      <c r="G100" s="58"/>
      <c r="H100" s="58"/>
      <c r="I100" s="58"/>
    </row>
    <row r="101" spans="1:21" ht="15.75">
      <c r="A101" s="156" t="s">
        <v>10</v>
      </c>
      <c r="B101" s="156"/>
      <c r="C101" s="156"/>
      <c r="D101" s="156"/>
      <c r="E101" s="156"/>
      <c r="F101" s="156"/>
      <c r="G101" s="156"/>
      <c r="H101" s="156"/>
      <c r="I101" s="156"/>
    </row>
    <row r="102" spans="1:21" ht="15.75" customHeight="1">
      <c r="A102" s="5"/>
    </row>
    <row r="103" spans="1:21" ht="15.75">
      <c r="A103" s="157" t="s">
        <v>11</v>
      </c>
      <c r="B103" s="157"/>
      <c r="C103" s="175" t="s">
        <v>188</v>
      </c>
      <c r="D103" s="175"/>
      <c r="E103" s="175"/>
      <c r="F103" s="72"/>
      <c r="I103" s="103"/>
    </row>
    <row r="104" spans="1:21">
      <c r="A104" s="104"/>
      <c r="C104" s="171" t="s">
        <v>12</v>
      </c>
      <c r="D104" s="171"/>
      <c r="E104" s="171"/>
      <c r="F104" s="28"/>
      <c r="I104" s="102" t="s">
        <v>13</v>
      </c>
    </row>
    <row r="105" spans="1:21" ht="15.75">
      <c r="A105" s="29"/>
      <c r="C105" s="14"/>
      <c r="D105" s="14"/>
      <c r="G105" s="14"/>
      <c r="H105" s="14"/>
    </row>
    <row r="106" spans="1:21" ht="15.75" customHeight="1">
      <c r="A106" s="157" t="s">
        <v>14</v>
      </c>
      <c r="B106" s="157"/>
      <c r="C106" s="172"/>
      <c r="D106" s="172"/>
      <c r="E106" s="172"/>
      <c r="F106" s="73"/>
      <c r="I106" s="103"/>
    </row>
    <row r="107" spans="1:21">
      <c r="A107" s="104"/>
      <c r="C107" s="155" t="s">
        <v>12</v>
      </c>
      <c r="D107" s="155"/>
      <c r="E107" s="155"/>
      <c r="F107" s="104"/>
      <c r="I107" s="102" t="s">
        <v>13</v>
      </c>
    </row>
    <row r="108" spans="1:21" ht="15.75">
      <c r="A108" s="5" t="s">
        <v>15</v>
      </c>
    </row>
    <row r="109" spans="1:21">
      <c r="A109" s="176" t="s">
        <v>16</v>
      </c>
      <c r="B109" s="176"/>
      <c r="C109" s="176"/>
      <c r="D109" s="176"/>
      <c r="E109" s="176"/>
      <c r="F109" s="176"/>
      <c r="G109" s="176"/>
      <c r="H109" s="176"/>
      <c r="I109" s="176"/>
    </row>
    <row r="110" spans="1:21" ht="45" customHeight="1">
      <c r="A110" s="177" t="s">
        <v>17</v>
      </c>
      <c r="B110" s="177"/>
      <c r="C110" s="177"/>
      <c r="D110" s="177"/>
      <c r="E110" s="177"/>
      <c r="F110" s="177"/>
      <c r="G110" s="177"/>
      <c r="H110" s="177"/>
      <c r="I110" s="177"/>
    </row>
    <row r="111" spans="1:21" ht="30" customHeight="1">
      <c r="A111" s="177" t="s">
        <v>18</v>
      </c>
      <c r="B111" s="177"/>
      <c r="C111" s="177"/>
      <c r="D111" s="177"/>
      <c r="E111" s="177"/>
      <c r="F111" s="177"/>
      <c r="G111" s="177"/>
      <c r="H111" s="177"/>
      <c r="I111" s="177"/>
    </row>
    <row r="112" spans="1:21" ht="30" customHeight="1">
      <c r="A112" s="177" t="s">
        <v>22</v>
      </c>
      <c r="B112" s="177"/>
      <c r="C112" s="177"/>
      <c r="D112" s="177"/>
      <c r="E112" s="177"/>
      <c r="F112" s="177"/>
      <c r="G112" s="177"/>
      <c r="H112" s="177"/>
      <c r="I112" s="177"/>
    </row>
    <row r="113" spans="1:9" ht="15" customHeight="1">
      <c r="A113" s="177" t="s">
        <v>21</v>
      </c>
      <c r="B113" s="177"/>
      <c r="C113" s="177"/>
      <c r="D113" s="177"/>
      <c r="E113" s="177"/>
      <c r="F113" s="177"/>
      <c r="G113" s="177"/>
      <c r="H113" s="177"/>
      <c r="I113" s="177"/>
    </row>
    <row r="115" spans="1:9">
      <c r="A115" s="15"/>
      <c r="B115" s="15"/>
      <c r="C115" s="15"/>
      <c r="D115" s="15"/>
      <c r="E115" s="15"/>
      <c r="F115" s="15"/>
      <c r="G115" s="15"/>
      <c r="H115" s="15"/>
    </row>
  </sheetData>
  <autoFilter ref="I15:I94"/>
  <mergeCells count="31">
    <mergeCell ref="A113:I113"/>
    <mergeCell ref="R99:U99"/>
    <mergeCell ref="A101:I101"/>
    <mergeCell ref="A103:B103"/>
    <mergeCell ref="C103:E103"/>
    <mergeCell ref="C104:E104"/>
    <mergeCell ref="A106:B106"/>
    <mergeCell ref="C106:E106"/>
    <mergeCell ref="A99:I99"/>
    <mergeCell ref="C107:E107"/>
    <mergeCell ref="A109:I109"/>
    <mergeCell ref="A110:I110"/>
    <mergeCell ref="A111:I111"/>
    <mergeCell ref="A112:I112"/>
    <mergeCell ref="A93:I93"/>
    <mergeCell ref="B94:G94"/>
    <mergeCell ref="B95:G95"/>
    <mergeCell ref="A97:I97"/>
    <mergeCell ref="A98:I98"/>
    <mergeCell ref="A83:I83"/>
    <mergeCell ref="A3:I3"/>
    <mergeCell ref="A4:I4"/>
    <mergeCell ref="A5:I5"/>
    <mergeCell ref="A8:I8"/>
    <mergeCell ref="A10:I10"/>
    <mergeCell ref="A14:I14"/>
    <mergeCell ref="A15:I15"/>
    <mergeCell ref="A27:I27"/>
    <mergeCell ref="A42:I42"/>
    <mergeCell ref="A53:I53"/>
    <mergeCell ref="A79:I7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rowBreaks count="1" manualBreakCount="1">
    <brk id="108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G106" sqref="G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159</v>
      </c>
      <c r="I1" s="32"/>
    </row>
    <row r="2" spans="1:15" s="58" customFormat="1" ht="15.75" customHeight="1">
      <c r="A2" s="30" t="s">
        <v>58</v>
      </c>
      <c r="J2" s="1"/>
      <c r="K2" s="1"/>
      <c r="L2" s="1"/>
      <c r="M2" s="1"/>
    </row>
    <row r="3" spans="1:15" s="58" customFormat="1" ht="15.75" customHeight="1">
      <c r="A3" s="150" t="s">
        <v>130</v>
      </c>
      <c r="B3" s="150"/>
      <c r="C3" s="150"/>
      <c r="D3" s="150"/>
      <c r="E3" s="150"/>
      <c r="F3" s="150"/>
      <c r="G3" s="150"/>
      <c r="H3" s="150"/>
      <c r="I3" s="150"/>
      <c r="J3" s="2"/>
      <c r="K3" s="2"/>
      <c r="L3" s="2"/>
      <c r="M3" s="2"/>
    </row>
    <row r="4" spans="1:15" s="58" customFormat="1" ht="31.5" customHeight="1">
      <c r="A4" s="151" t="s">
        <v>85</v>
      </c>
      <c r="B4" s="151"/>
      <c r="C4" s="151"/>
      <c r="D4" s="151"/>
      <c r="E4" s="151"/>
      <c r="F4" s="151"/>
      <c r="G4" s="151"/>
      <c r="H4" s="151"/>
      <c r="I4" s="151"/>
      <c r="J4" s="3"/>
      <c r="K4" s="3"/>
      <c r="L4" s="3"/>
      <c r="M4" s="3"/>
    </row>
    <row r="5" spans="1:15" s="58" customFormat="1" ht="15.75" customHeight="1">
      <c r="A5" s="150" t="s">
        <v>249</v>
      </c>
      <c r="B5" s="152"/>
      <c r="C5" s="152"/>
      <c r="D5" s="152"/>
      <c r="E5" s="152"/>
      <c r="F5" s="152"/>
      <c r="G5" s="152"/>
      <c r="H5" s="152"/>
      <c r="I5" s="152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44377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53" t="s">
        <v>187</v>
      </c>
      <c r="B8" s="153"/>
      <c r="C8" s="153"/>
      <c r="D8" s="153"/>
      <c r="E8" s="153"/>
      <c r="F8" s="153"/>
      <c r="G8" s="153"/>
      <c r="H8" s="153"/>
      <c r="I8" s="15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54" t="s">
        <v>158</v>
      </c>
      <c r="B10" s="154"/>
      <c r="C10" s="154"/>
      <c r="D10" s="154"/>
      <c r="E10" s="154"/>
      <c r="F10" s="154"/>
      <c r="G10" s="154"/>
      <c r="H10" s="154"/>
      <c r="I10" s="15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48" t="s">
        <v>139</v>
      </c>
      <c r="B14" s="149"/>
      <c r="C14" s="149"/>
      <c r="D14" s="149"/>
      <c r="E14" s="149"/>
      <c r="F14" s="149"/>
      <c r="G14" s="149"/>
      <c r="H14" s="149"/>
      <c r="I14" s="149"/>
      <c r="J14" s="114"/>
      <c r="K14" s="114"/>
      <c r="L14" s="10"/>
      <c r="M14" s="10"/>
      <c r="N14" s="10"/>
      <c r="O14" s="10"/>
    </row>
    <row r="15" spans="1:15" ht="15.75" customHeight="1">
      <c r="A15" s="145" t="s">
        <v>4</v>
      </c>
      <c r="B15" s="146"/>
      <c r="C15" s="146"/>
      <c r="D15" s="146"/>
      <c r="E15" s="146"/>
      <c r="F15" s="146"/>
      <c r="G15" s="146"/>
      <c r="H15" s="146"/>
      <c r="I15" s="147"/>
      <c r="J15" s="11"/>
      <c r="K15" s="11"/>
    </row>
    <row r="16" spans="1:15" ht="15.75" customHeight="1">
      <c r="A16" s="31">
        <v>1</v>
      </c>
      <c r="B16" s="69" t="s">
        <v>76</v>
      </c>
      <c r="C16" s="76" t="s">
        <v>86</v>
      </c>
      <c r="D16" s="69" t="s">
        <v>166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77</v>
      </c>
      <c r="C17" s="76" t="s">
        <v>86</v>
      </c>
      <c r="D17" s="69" t="s">
        <v>167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78</v>
      </c>
      <c r="C18" s="76" t="s">
        <v>86</v>
      </c>
      <c r="D18" s="69" t="s">
        <v>168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customHeight="1">
      <c r="A19" s="31">
        <v>4</v>
      </c>
      <c r="B19" s="69" t="s">
        <v>87</v>
      </c>
      <c r="C19" s="76" t="s">
        <v>88</v>
      </c>
      <c r="D19" s="69" t="s">
        <v>175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f>G19*F19</f>
        <v>846.96</v>
      </c>
      <c r="J19" s="10"/>
      <c r="K19" s="10"/>
      <c r="L19" s="10"/>
      <c r="M19" s="10"/>
    </row>
    <row r="20" spans="1:13" ht="15.75" hidden="1" customHeight="1">
      <c r="A20" s="31">
        <v>5</v>
      </c>
      <c r="B20" s="69" t="s">
        <v>90</v>
      </c>
      <c r="C20" s="76" t="s">
        <v>86</v>
      </c>
      <c r="D20" s="69" t="s">
        <v>173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f>G20*F20/2</f>
        <v>28.467600000000001</v>
      </c>
      <c r="J20" s="10"/>
      <c r="K20" s="10"/>
      <c r="L20" s="10"/>
      <c r="M20" s="10"/>
    </row>
    <row r="21" spans="1:13" ht="15.75" hidden="1" customHeight="1">
      <c r="A21" s="31">
        <v>6</v>
      </c>
      <c r="B21" s="69" t="s">
        <v>91</v>
      </c>
      <c r="C21" s="76" t="s">
        <v>86</v>
      </c>
      <c r="D21" s="69" t="s">
        <v>173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f>G21*F21/2</f>
        <v>7.2608400000000008</v>
      </c>
      <c r="J21" s="10"/>
      <c r="K21" s="10"/>
      <c r="L21" s="10"/>
      <c r="M21" s="10"/>
    </row>
    <row r="22" spans="1:13" ht="15.75" hidden="1" customHeight="1">
      <c r="A22" s="31">
        <v>7</v>
      </c>
      <c r="B22" s="69" t="s">
        <v>92</v>
      </c>
      <c r="C22" s="76" t="s">
        <v>51</v>
      </c>
      <c r="D22" s="69" t="s">
        <v>176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f>G22*F22</f>
        <v>1196.1285</v>
      </c>
      <c r="J22" s="10"/>
      <c r="K22" s="10"/>
      <c r="L22" s="10"/>
      <c r="M22" s="10"/>
    </row>
    <row r="23" spans="1:13" ht="15.75" hidden="1" customHeight="1">
      <c r="A23" s="31">
        <v>8</v>
      </c>
      <c r="B23" s="69" t="s">
        <v>93</v>
      </c>
      <c r="C23" s="76" t="s">
        <v>51</v>
      </c>
      <c r="D23" s="69" t="s">
        <v>175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f>G23*F23</f>
        <v>21.290640000000003</v>
      </c>
      <c r="J23" s="10"/>
      <c r="K23" s="10"/>
      <c r="L23" s="10"/>
      <c r="M23" s="10"/>
    </row>
    <row r="24" spans="1:13" ht="15.75" hidden="1" customHeight="1">
      <c r="A24" s="31">
        <v>9</v>
      </c>
      <c r="B24" s="69" t="s">
        <v>94</v>
      </c>
      <c r="C24" s="76" t="s">
        <v>51</v>
      </c>
      <c r="D24" s="82" t="s">
        <v>178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f>G24*F24</f>
        <v>72.741</v>
      </c>
      <c r="J24" s="10"/>
      <c r="K24" s="10"/>
      <c r="L24" s="10"/>
      <c r="M24" s="10"/>
    </row>
    <row r="25" spans="1:13" ht="15.75" hidden="1" customHeight="1">
      <c r="A25" s="31">
        <v>10</v>
      </c>
      <c r="B25" s="69" t="s">
        <v>95</v>
      </c>
      <c r="C25" s="76" t="s">
        <v>51</v>
      </c>
      <c r="D25" s="69" t="s">
        <v>176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f>G25*F25</f>
        <v>43.642389999999992</v>
      </c>
      <c r="J25" s="10"/>
      <c r="K25" s="10"/>
      <c r="L25" s="10"/>
      <c r="M25" s="10"/>
    </row>
    <row r="26" spans="1:13" ht="15.75" hidden="1" customHeight="1">
      <c r="A26" s="31">
        <v>11</v>
      </c>
      <c r="B26" s="37" t="s">
        <v>165</v>
      </c>
      <c r="C26" s="46" t="s">
        <v>155</v>
      </c>
      <c r="D26" s="37" t="s">
        <v>169</v>
      </c>
      <c r="E26" s="122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hidden="1" customHeight="1">
      <c r="A27" s="31">
        <v>5</v>
      </c>
      <c r="B27" s="85" t="s">
        <v>24</v>
      </c>
      <c r="C27" s="76" t="s">
        <v>25</v>
      </c>
      <c r="D27" s="69"/>
      <c r="E27" s="77">
        <v>2549.5</v>
      </c>
      <c r="F27" s="78">
        <f>SUM(E27*12)</f>
        <v>30594</v>
      </c>
      <c r="G27" s="78">
        <v>4.24</v>
      </c>
      <c r="H27" s="79">
        <f t="shared" ref="H27" si="2">SUM(F27*G27/1000)</f>
        <v>129.71856000000002</v>
      </c>
      <c r="I27" s="17">
        <f>F27/12*G27</f>
        <v>10809.880000000001</v>
      </c>
      <c r="J27" s="27"/>
      <c r="K27" s="10"/>
      <c r="L27" s="10"/>
      <c r="M27" s="10"/>
    </row>
    <row r="28" spans="1:13" ht="15.75" customHeight="1">
      <c r="A28" s="145" t="s">
        <v>75</v>
      </c>
      <c r="B28" s="146"/>
      <c r="C28" s="146"/>
      <c r="D28" s="146"/>
      <c r="E28" s="146"/>
      <c r="F28" s="146"/>
      <c r="G28" s="146"/>
      <c r="H28" s="146"/>
      <c r="I28" s="147"/>
      <c r="J28" s="27"/>
      <c r="K28" s="10"/>
      <c r="L28" s="10"/>
      <c r="M28" s="10"/>
    </row>
    <row r="29" spans="1:13" ht="15.75" customHeight="1">
      <c r="A29" s="47"/>
      <c r="B29" s="55" t="s">
        <v>136</v>
      </c>
      <c r="C29" s="47"/>
      <c r="D29" s="47"/>
      <c r="E29" s="16"/>
      <c r="F29" s="16"/>
      <c r="G29" s="18"/>
      <c r="H29" s="18"/>
      <c r="I29" s="64"/>
      <c r="J29" s="27"/>
      <c r="K29" s="10"/>
      <c r="L29" s="10"/>
      <c r="M29" s="10"/>
    </row>
    <row r="30" spans="1:13" ht="15.75" customHeight="1">
      <c r="A30" s="68">
        <v>5</v>
      </c>
      <c r="B30" s="69" t="s">
        <v>140</v>
      </c>
      <c r="C30" s="76" t="s">
        <v>109</v>
      </c>
      <c r="D30" s="69" t="s">
        <v>167</v>
      </c>
      <c r="E30" s="78">
        <v>65.099999999999994</v>
      </c>
      <c r="F30" s="78">
        <f>SUM(E30*52/1000)</f>
        <v>3.3851999999999998</v>
      </c>
      <c r="G30" s="78">
        <v>193.97</v>
      </c>
      <c r="H30" s="79">
        <f t="shared" ref="H30:H34" si="3">SUM(F30*G30/1000)</f>
        <v>0.65662724399999994</v>
      </c>
      <c r="I30" s="17">
        <f>F30/6*G30</f>
        <v>109.43787399999998</v>
      </c>
      <c r="J30" s="27"/>
      <c r="K30" s="10"/>
      <c r="L30" s="10"/>
      <c r="M30" s="10"/>
    </row>
    <row r="31" spans="1:13" ht="31.5" customHeight="1">
      <c r="A31" s="68">
        <v>6</v>
      </c>
      <c r="B31" s="69" t="s">
        <v>141</v>
      </c>
      <c r="C31" s="76" t="s">
        <v>109</v>
      </c>
      <c r="D31" s="69" t="s">
        <v>166</v>
      </c>
      <c r="E31" s="78">
        <v>65.099999999999994</v>
      </c>
      <c r="F31" s="78">
        <f>SUM(E31*78/1000)</f>
        <v>5.077799999999999</v>
      </c>
      <c r="G31" s="78">
        <v>321.82</v>
      </c>
      <c r="H31" s="79">
        <f t="shared" si="3"/>
        <v>1.6341375959999995</v>
      </c>
      <c r="I31" s="17">
        <f t="shared" ref="I31" si="4">F31/6*G31</f>
        <v>272.35626599999995</v>
      </c>
      <c r="J31" s="27"/>
      <c r="K31" s="10"/>
      <c r="L31" s="10"/>
      <c r="M31" s="10"/>
    </row>
    <row r="32" spans="1:13" ht="15.75" hidden="1" customHeight="1">
      <c r="A32" s="68">
        <v>15</v>
      </c>
      <c r="B32" s="69" t="s">
        <v>27</v>
      </c>
      <c r="C32" s="76" t="s">
        <v>109</v>
      </c>
      <c r="D32" s="69" t="s">
        <v>52</v>
      </c>
      <c r="E32" s="78">
        <v>65.099999999999994</v>
      </c>
      <c r="F32" s="78">
        <f>SUM(E32/1000)</f>
        <v>6.5099999999999991E-2</v>
      </c>
      <c r="G32" s="78">
        <v>3758.28</v>
      </c>
      <c r="H32" s="79">
        <f t="shared" si="3"/>
        <v>0.24466402799999998</v>
      </c>
      <c r="I32" s="17">
        <f>F32*G32</f>
        <v>244.66402799999997</v>
      </c>
      <c r="J32" s="27"/>
      <c r="K32" s="10"/>
      <c r="L32" s="10"/>
      <c r="M32" s="10"/>
    </row>
    <row r="33" spans="1:13" ht="15.75" hidden="1" customHeight="1">
      <c r="A33" s="68"/>
      <c r="B33" s="69" t="s">
        <v>60</v>
      </c>
      <c r="C33" s="76" t="s">
        <v>31</v>
      </c>
      <c r="D33" s="69" t="s">
        <v>61</v>
      </c>
      <c r="E33" s="77"/>
      <c r="F33" s="78">
        <v>1</v>
      </c>
      <c r="G33" s="78">
        <v>238.07</v>
      </c>
      <c r="H33" s="79">
        <f t="shared" si="3"/>
        <v>0.23807</v>
      </c>
      <c r="I33" s="17">
        <v>0</v>
      </c>
      <c r="J33" s="27"/>
      <c r="K33" s="10"/>
      <c r="L33" s="10"/>
      <c r="M33" s="10"/>
    </row>
    <row r="34" spans="1:13" ht="15.75" hidden="1" customHeight="1">
      <c r="A34" s="68"/>
      <c r="B34" s="69" t="s">
        <v>110</v>
      </c>
      <c r="C34" s="76" t="s">
        <v>30</v>
      </c>
      <c r="D34" s="69" t="s">
        <v>61</v>
      </c>
      <c r="E34" s="77"/>
      <c r="F34" s="78">
        <v>1</v>
      </c>
      <c r="G34" s="78">
        <v>1413.96</v>
      </c>
      <c r="H34" s="79">
        <f t="shared" si="3"/>
        <v>1.4139600000000001</v>
      </c>
      <c r="I34" s="17">
        <v>0</v>
      </c>
      <c r="J34" s="27"/>
      <c r="K34" s="10"/>
      <c r="L34" s="10"/>
      <c r="M34" s="10"/>
    </row>
    <row r="35" spans="1:13" ht="15.75" hidden="1" customHeight="1">
      <c r="A35" s="47"/>
      <c r="B35" s="55" t="s">
        <v>5</v>
      </c>
      <c r="C35" s="47"/>
      <c r="D35" s="47"/>
      <c r="E35" s="16"/>
      <c r="F35" s="16"/>
      <c r="G35" s="18"/>
      <c r="H35" s="18"/>
      <c r="I35" s="64"/>
      <c r="J35" s="27"/>
      <c r="K35" s="10"/>
      <c r="L35" s="10"/>
      <c r="M35" s="10"/>
    </row>
    <row r="36" spans="1:13" ht="15.75" hidden="1" customHeight="1">
      <c r="A36" s="38">
        <v>6</v>
      </c>
      <c r="B36" s="69" t="s">
        <v>26</v>
      </c>
      <c r="C36" s="76" t="s">
        <v>30</v>
      </c>
      <c r="D36" s="69"/>
      <c r="E36" s="77"/>
      <c r="F36" s="78">
        <v>2</v>
      </c>
      <c r="G36" s="78">
        <v>1900.37</v>
      </c>
      <c r="H36" s="79">
        <f t="shared" ref="H36:H42" si="5">SUM(F36*G36/1000)</f>
        <v>3.8007399999999998</v>
      </c>
      <c r="I36" s="17">
        <f>F36/6*G36</f>
        <v>633.45666666666659</v>
      </c>
      <c r="J36" s="27"/>
      <c r="K36" s="10"/>
      <c r="L36" s="10"/>
      <c r="M36" s="10"/>
    </row>
    <row r="37" spans="1:13" ht="15.75" hidden="1" customHeight="1">
      <c r="A37" s="38">
        <v>7</v>
      </c>
      <c r="B37" s="69" t="s">
        <v>111</v>
      </c>
      <c r="C37" s="76" t="s">
        <v>28</v>
      </c>
      <c r="D37" s="69" t="s">
        <v>143</v>
      </c>
      <c r="E37" s="77">
        <v>65.099999999999994</v>
      </c>
      <c r="F37" s="78">
        <f>E37*24/1000</f>
        <v>1.5623999999999998</v>
      </c>
      <c r="G37" s="78">
        <v>2616.4899999999998</v>
      </c>
      <c r="H37" s="79">
        <f>G37*F37/1000</f>
        <v>4.0880039759999987</v>
      </c>
      <c r="I37" s="17">
        <f>F37/6*G37</f>
        <v>681.33399599999984</v>
      </c>
      <c r="J37" s="27"/>
      <c r="K37" s="10"/>
      <c r="L37" s="10"/>
      <c r="M37" s="10"/>
    </row>
    <row r="38" spans="1:13" ht="15.75" hidden="1" customHeight="1">
      <c r="A38" s="38">
        <v>8</v>
      </c>
      <c r="B38" s="69" t="s">
        <v>112</v>
      </c>
      <c r="C38" s="76" t="s">
        <v>113</v>
      </c>
      <c r="D38" s="69" t="s">
        <v>61</v>
      </c>
      <c r="E38" s="77"/>
      <c r="F38" s="78">
        <v>13</v>
      </c>
      <c r="G38" s="78">
        <v>226.84</v>
      </c>
      <c r="H38" s="79">
        <f>G38*F38/1000</f>
        <v>2.9489200000000002</v>
      </c>
      <c r="I38" s="17">
        <f>G38*26</f>
        <v>5897.84</v>
      </c>
      <c r="J38" s="27"/>
      <c r="K38" s="10"/>
      <c r="L38" s="10"/>
      <c r="M38" s="10"/>
    </row>
    <row r="39" spans="1:13" ht="15.75" hidden="1" customHeight="1">
      <c r="A39" s="38">
        <v>9</v>
      </c>
      <c r="B39" s="69" t="s">
        <v>144</v>
      </c>
      <c r="C39" s="76" t="s">
        <v>28</v>
      </c>
      <c r="D39" s="69" t="s">
        <v>114</v>
      </c>
      <c r="E39" s="78">
        <v>65.099999999999994</v>
      </c>
      <c r="F39" s="78">
        <f>SUM(E39*155/1000)</f>
        <v>10.0905</v>
      </c>
      <c r="G39" s="78">
        <v>436.45</v>
      </c>
      <c r="H39" s="79">
        <f t="shared" si="5"/>
        <v>4.4039987250000001</v>
      </c>
      <c r="I39" s="17">
        <f>F39/6*G39</f>
        <v>733.99978750000002</v>
      </c>
      <c r="J39" s="27"/>
      <c r="K39" s="10"/>
      <c r="L39" s="10"/>
      <c r="M39" s="10"/>
    </row>
    <row r="40" spans="1:13" ht="47.25" hidden="1" customHeight="1">
      <c r="A40" s="38">
        <v>10</v>
      </c>
      <c r="B40" s="69" t="s">
        <v>74</v>
      </c>
      <c r="C40" s="76" t="s">
        <v>109</v>
      </c>
      <c r="D40" s="69" t="s">
        <v>115</v>
      </c>
      <c r="E40" s="78">
        <v>65.099999999999994</v>
      </c>
      <c r="F40" s="78">
        <f>SUM(E40*24/1000)</f>
        <v>1.5623999999999998</v>
      </c>
      <c r="G40" s="78">
        <v>7221.21</v>
      </c>
      <c r="H40" s="79">
        <f t="shared" si="5"/>
        <v>11.282418503999999</v>
      </c>
      <c r="I40" s="17">
        <f>F40/6*G40</f>
        <v>1880.4030839999998</v>
      </c>
      <c r="J40" s="27"/>
      <c r="K40" s="10"/>
      <c r="L40" s="10"/>
      <c r="M40" s="10"/>
    </row>
    <row r="41" spans="1:13" ht="15.75" hidden="1" customHeight="1">
      <c r="A41" s="38">
        <v>11</v>
      </c>
      <c r="B41" s="69" t="s">
        <v>116</v>
      </c>
      <c r="C41" s="76" t="s">
        <v>109</v>
      </c>
      <c r="D41" s="69" t="s">
        <v>145</v>
      </c>
      <c r="E41" s="78">
        <v>65.099999999999994</v>
      </c>
      <c r="F41" s="78">
        <f>SUM(E41*18/1000)</f>
        <v>1.1718</v>
      </c>
      <c r="G41" s="78">
        <v>533.45000000000005</v>
      </c>
      <c r="H41" s="79">
        <f t="shared" si="5"/>
        <v>0.62509671</v>
      </c>
      <c r="I41" s="17">
        <f>F41/6*G41</f>
        <v>104.18278500000001</v>
      </c>
      <c r="J41" s="27"/>
      <c r="K41" s="10"/>
      <c r="L41" s="10"/>
      <c r="M41" s="10"/>
    </row>
    <row r="42" spans="1:13" ht="15.75" hidden="1" customHeight="1">
      <c r="A42" s="38">
        <v>12</v>
      </c>
      <c r="B42" s="69" t="s">
        <v>62</v>
      </c>
      <c r="C42" s="76" t="s">
        <v>31</v>
      </c>
      <c r="D42" s="69"/>
      <c r="E42" s="77"/>
      <c r="F42" s="78">
        <v>0.4</v>
      </c>
      <c r="G42" s="78">
        <v>992.97</v>
      </c>
      <c r="H42" s="79">
        <f t="shared" si="5"/>
        <v>0.39718800000000004</v>
      </c>
      <c r="I42" s="17">
        <f>F42/6*G42</f>
        <v>66.198000000000008</v>
      </c>
      <c r="J42" s="27"/>
      <c r="K42" s="10"/>
      <c r="L42" s="10"/>
      <c r="M42" s="10"/>
    </row>
    <row r="43" spans="1:13" ht="15.75" hidden="1" customHeight="1">
      <c r="A43" s="168" t="s">
        <v>146</v>
      </c>
      <c r="B43" s="169"/>
      <c r="C43" s="169"/>
      <c r="D43" s="169"/>
      <c r="E43" s="169"/>
      <c r="F43" s="169"/>
      <c r="G43" s="169"/>
      <c r="H43" s="169"/>
      <c r="I43" s="170"/>
      <c r="J43" s="27"/>
      <c r="K43" s="10"/>
      <c r="L43" s="10"/>
      <c r="M43" s="10"/>
    </row>
    <row r="44" spans="1:13" ht="15.75" hidden="1" customHeight="1">
      <c r="A44" s="47">
        <v>17</v>
      </c>
      <c r="B44" s="69" t="s">
        <v>117</v>
      </c>
      <c r="C44" s="76" t="s">
        <v>109</v>
      </c>
      <c r="D44" s="69" t="s">
        <v>40</v>
      </c>
      <c r="E44" s="77">
        <v>1060.4000000000001</v>
      </c>
      <c r="F44" s="78">
        <f>SUM(E44*2/1000)</f>
        <v>2.1208</v>
      </c>
      <c r="G44" s="17">
        <v>1283.46</v>
      </c>
      <c r="H44" s="79">
        <f t="shared" ref="H44:H53" si="6">SUM(F44*G44/1000)</f>
        <v>2.721961968</v>
      </c>
      <c r="I44" s="17">
        <f t="shared" ref="I44:I46" si="7">F44/2*G44</f>
        <v>1360.980984</v>
      </c>
      <c r="J44" s="27"/>
      <c r="K44" s="10"/>
      <c r="L44" s="10"/>
      <c r="M44" s="10"/>
    </row>
    <row r="45" spans="1:13" ht="15.75" hidden="1" customHeight="1">
      <c r="A45" s="47">
        <v>18</v>
      </c>
      <c r="B45" s="69" t="s">
        <v>34</v>
      </c>
      <c r="C45" s="76" t="s">
        <v>109</v>
      </c>
      <c r="D45" s="69" t="s">
        <v>40</v>
      </c>
      <c r="E45" s="77">
        <v>1251.6199999999999</v>
      </c>
      <c r="F45" s="78">
        <f>SUM(E45*2/1000)</f>
        <v>2.5032399999999999</v>
      </c>
      <c r="G45" s="17">
        <v>1712.28</v>
      </c>
      <c r="H45" s="79">
        <f t="shared" si="6"/>
        <v>4.2862477871999998</v>
      </c>
      <c r="I45" s="17">
        <f t="shared" si="7"/>
        <v>2143.1238936</v>
      </c>
      <c r="J45" s="27"/>
      <c r="K45" s="10"/>
      <c r="L45" s="10"/>
      <c r="M45" s="10"/>
    </row>
    <row r="46" spans="1:13" ht="15.75" hidden="1" customHeight="1">
      <c r="A46" s="47">
        <v>19</v>
      </c>
      <c r="B46" s="69" t="s">
        <v>35</v>
      </c>
      <c r="C46" s="76" t="s">
        <v>109</v>
      </c>
      <c r="D46" s="69" t="s">
        <v>40</v>
      </c>
      <c r="E46" s="77">
        <v>1295.68</v>
      </c>
      <c r="F46" s="78">
        <f>SUM(E46*2/1000)</f>
        <v>2.5913600000000003</v>
      </c>
      <c r="G46" s="17">
        <v>1179.73</v>
      </c>
      <c r="H46" s="79">
        <f t="shared" si="6"/>
        <v>3.0571051328000003</v>
      </c>
      <c r="I46" s="17">
        <f t="shared" si="7"/>
        <v>1528.5525664000002</v>
      </c>
      <c r="J46" s="27"/>
      <c r="K46" s="10"/>
      <c r="L46" s="10"/>
      <c r="M46" s="10"/>
    </row>
    <row r="47" spans="1:13" ht="15.75" hidden="1" customHeight="1">
      <c r="A47" s="47">
        <v>20</v>
      </c>
      <c r="B47" s="69" t="s">
        <v>32</v>
      </c>
      <c r="C47" s="76" t="s">
        <v>33</v>
      </c>
      <c r="D47" s="69" t="s">
        <v>40</v>
      </c>
      <c r="E47" s="77">
        <v>85.84</v>
      </c>
      <c r="F47" s="78">
        <f>E47*2/100</f>
        <v>1.7168000000000001</v>
      </c>
      <c r="G47" s="17">
        <v>90.61</v>
      </c>
      <c r="H47" s="79">
        <f t="shared" si="6"/>
        <v>0.15555924799999998</v>
      </c>
      <c r="I47" s="17">
        <f>F47/2*G47</f>
        <v>77.779623999999998</v>
      </c>
      <c r="J47" s="27"/>
      <c r="K47" s="10"/>
      <c r="L47" s="10"/>
      <c r="M47" s="10"/>
    </row>
    <row r="48" spans="1:13" ht="15.75" hidden="1" customHeight="1">
      <c r="A48" s="47">
        <v>21</v>
      </c>
      <c r="B48" s="69" t="s">
        <v>54</v>
      </c>
      <c r="C48" s="76" t="s">
        <v>109</v>
      </c>
      <c r="D48" s="69" t="s">
        <v>147</v>
      </c>
      <c r="E48" s="77">
        <v>2549.5</v>
      </c>
      <c r="F48" s="78">
        <f>SUM(E48*5/1000)</f>
        <v>12.7475</v>
      </c>
      <c r="G48" s="17">
        <v>1711.28</v>
      </c>
      <c r="H48" s="79">
        <f t="shared" si="6"/>
        <v>21.814541800000001</v>
      </c>
      <c r="I48" s="17">
        <f>F48/5*G48</f>
        <v>4362.9083600000004</v>
      </c>
      <c r="J48" s="27"/>
      <c r="K48" s="10"/>
      <c r="L48" s="10"/>
      <c r="M48" s="10"/>
    </row>
    <row r="49" spans="1:14" ht="31.5" hidden="1" customHeight="1">
      <c r="A49" s="47">
        <v>12</v>
      </c>
      <c r="B49" s="69" t="s">
        <v>118</v>
      </c>
      <c r="C49" s="76" t="s">
        <v>109</v>
      </c>
      <c r="D49" s="69" t="s">
        <v>40</v>
      </c>
      <c r="E49" s="77">
        <v>2549.5</v>
      </c>
      <c r="F49" s="78">
        <f>SUM(E49*2/1000)</f>
        <v>5.0990000000000002</v>
      </c>
      <c r="G49" s="17">
        <v>1510.06</v>
      </c>
      <c r="H49" s="79">
        <f t="shared" si="6"/>
        <v>7.6997959399999996</v>
      </c>
      <c r="I49" s="17">
        <f>F49/2*G49</f>
        <v>3849.89797</v>
      </c>
      <c r="J49" s="27"/>
      <c r="K49" s="10"/>
      <c r="L49" s="10"/>
      <c r="M49" s="10"/>
    </row>
    <row r="50" spans="1:14" ht="31.5" hidden="1" customHeight="1">
      <c r="A50" s="47">
        <v>13</v>
      </c>
      <c r="B50" s="69" t="s">
        <v>119</v>
      </c>
      <c r="C50" s="76" t="s">
        <v>36</v>
      </c>
      <c r="D50" s="69" t="s">
        <v>40</v>
      </c>
      <c r="E50" s="77">
        <v>16</v>
      </c>
      <c r="F50" s="78">
        <f>SUM(E50*2/100)</f>
        <v>0.32</v>
      </c>
      <c r="G50" s="17">
        <v>3850.4</v>
      </c>
      <c r="H50" s="79">
        <f t="shared" si="6"/>
        <v>1.2321280000000001</v>
      </c>
      <c r="I50" s="17">
        <f t="shared" ref="I50:I51" si="8">F50/2*G50</f>
        <v>616.06400000000008</v>
      </c>
      <c r="J50" s="27"/>
      <c r="K50" s="10"/>
    </row>
    <row r="51" spans="1:14" ht="15.75" hidden="1" customHeight="1">
      <c r="A51" s="47">
        <v>14</v>
      </c>
      <c r="B51" s="69" t="s">
        <v>37</v>
      </c>
      <c r="C51" s="76" t="s">
        <v>38</v>
      </c>
      <c r="D51" s="69" t="s">
        <v>40</v>
      </c>
      <c r="E51" s="77">
        <v>1</v>
      </c>
      <c r="F51" s="78">
        <v>0.02</v>
      </c>
      <c r="G51" s="17">
        <v>7033.13</v>
      </c>
      <c r="H51" s="79">
        <f t="shared" si="6"/>
        <v>0.1406626</v>
      </c>
      <c r="I51" s="17">
        <f t="shared" si="8"/>
        <v>70.331299999999999</v>
      </c>
      <c r="J51" s="75"/>
    </row>
    <row r="52" spans="1:14" ht="15.75" hidden="1" customHeight="1">
      <c r="A52" s="47">
        <v>22</v>
      </c>
      <c r="B52" s="69" t="s">
        <v>120</v>
      </c>
      <c r="C52" s="76" t="s">
        <v>96</v>
      </c>
      <c r="D52" s="121">
        <v>44350</v>
      </c>
      <c r="E52" s="77">
        <v>64</v>
      </c>
      <c r="F52" s="78">
        <f>E52*3</f>
        <v>192</v>
      </c>
      <c r="G52" s="17">
        <v>175.6</v>
      </c>
      <c r="H52" s="79">
        <f t="shared" si="6"/>
        <v>33.715199999999996</v>
      </c>
      <c r="I52" s="17">
        <f>E52*G52</f>
        <v>11238.4</v>
      </c>
      <c r="J52" s="75"/>
    </row>
    <row r="53" spans="1:14" ht="15.75" hidden="1" customHeight="1">
      <c r="A53" s="47">
        <v>23</v>
      </c>
      <c r="B53" s="69" t="s">
        <v>39</v>
      </c>
      <c r="C53" s="76" t="s">
        <v>96</v>
      </c>
      <c r="D53" s="121">
        <v>44350</v>
      </c>
      <c r="E53" s="77">
        <v>128</v>
      </c>
      <c r="F53" s="78">
        <f>SUM(E53)*3</f>
        <v>384</v>
      </c>
      <c r="G53" s="17">
        <v>81.73</v>
      </c>
      <c r="H53" s="79">
        <f t="shared" si="6"/>
        <v>31.384319999999999</v>
      </c>
      <c r="I53" s="17">
        <f>E53*G53</f>
        <v>10461.44</v>
      </c>
      <c r="J53" s="75"/>
    </row>
    <row r="54" spans="1:14" ht="15.75" customHeight="1">
      <c r="A54" s="159" t="s">
        <v>79</v>
      </c>
      <c r="B54" s="160"/>
      <c r="C54" s="160"/>
      <c r="D54" s="160"/>
      <c r="E54" s="160"/>
      <c r="F54" s="160"/>
      <c r="G54" s="160"/>
      <c r="H54" s="160"/>
      <c r="I54" s="161"/>
      <c r="J54" s="75"/>
    </row>
    <row r="55" spans="1:14" ht="15.75" hidden="1" customHeight="1">
      <c r="A55" s="100"/>
      <c r="B55" s="54" t="s">
        <v>41</v>
      </c>
      <c r="C55" s="21"/>
      <c r="D55" s="65"/>
      <c r="E55" s="16"/>
      <c r="F55" s="16"/>
      <c r="G55" s="31"/>
      <c r="H55" s="31"/>
      <c r="I55" s="64"/>
      <c r="J55" s="75"/>
    </row>
    <row r="56" spans="1:14" ht="31.5" hidden="1" customHeight="1">
      <c r="A56" s="47">
        <v>13</v>
      </c>
      <c r="B56" s="69" t="s">
        <v>121</v>
      </c>
      <c r="C56" s="76" t="s">
        <v>86</v>
      </c>
      <c r="D56" s="69" t="s">
        <v>122</v>
      </c>
      <c r="E56" s="77">
        <v>8</v>
      </c>
      <c r="F56" s="78">
        <f>SUM(E56*6/100)</f>
        <v>0.48</v>
      </c>
      <c r="G56" s="17">
        <v>2306.62</v>
      </c>
      <c r="H56" s="79">
        <f>SUM(F56*G56/1000)</f>
        <v>1.1071776</v>
      </c>
      <c r="I56" s="17">
        <f>F56/6*G56</f>
        <v>184.52959999999999</v>
      </c>
      <c r="J56" s="75"/>
    </row>
    <row r="57" spans="1:14" ht="15.75" hidden="1" customHeight="1">
      <c r="A57" s="47">
        <v>24</v>
      </c>
      <c r="B57" s="88" t="s">
        <v>80</v>
      </c>
      <c r="C57" s="87" t="s">
        <v>30</v>
      </c>
      <c r="D57" s="88" t="s">
        <v>61</v>
      </c>
      <c r="E57" s="89"/>
      <c r="F57" s="90">
        <v>1</v>
      </c>
      <c r="G57" s="17">
        <v>1501</v>
      </c>
      <c r="H57" s="79">
        <f>SUM(F57*G57/1000)</f>
        <v>1.5009999999999999</v>
      </c>
      <c r="I57" s="17">
        <f>G57*3</f>
        <v>4503</v>
      </c>
      <c r="J57" s="75"/>
    </row>
    <row r="58" spans="1:14" ht="15.75" hidden="1" customHeight="1">
      <c r="A58" s="47"/>
      <c r="B58" s="71" t="s">
        <v>42</v>
      </c>
      <c r="C58" s="39"/>
      <c r="D58" s="39"/>
      <c r="E58" s="16"/>
      <c r="F58" s="16"/>
      <c r="G58" s="40"/>
      <c r="H58" s="40"/>
      <c r="I58" s="64"/>
      <c r="J58" s="75"/>
      <c r="L58" s="24"/>
      <c r="M58" s="25"/>
      <c r="N58" s="26"/>
    </row>
    <row r="59" spans="1:14" ht="15.75" hidden="1" customHeight="1">
      <c r="A59" s="47">
        <v>29</v>
      </c>
      <c r="B59" s="88" t="s">
        <v>43</v>
      </c>
      <c r="C59" s="87" t="s">
        <v>51</v>
      </c>
      <c r="D59" s="88" t="s">
        <v>52</v>
      </c>
      <c r="E59" s="89">
        <v>7.4</v>
      </c>
      <c r="F59" s="17">
        <f>SUM(E59/100)</f>
        <v>7.400000000000001E-2</v>
      </c>
      <c r="G59" s="17">
        <v>987.51</v>
      </c>
      <c r="H59" s="91">
        <f>F59*G59/1000</f>
        <v>7.3075740000000014E-2</v>
      </c>
      <c r="I59" s="17">
        <v>0</v>
      </c>
      <c r="J59" s="75"/>
      <c r="L59" s="24"/>
      <c r="M59" s="25"/>
      <c r="N59" s="26"/>
    </row>
    <row r="60" spans="1:14" ht="15.75" hidden="1" customHeight="1">
      <c r="A60" s="47"/>
      <c r="B60" s="71" t="s">
        <v>44</v>
      </c>
      <c r="C60" s="21"/>
      <c r="D60" s="66"/>
      <c r="E60" s="16"/>
      <c r="F60" s="16"/>
      <c r="G60" s="31"/>
      <c r="H60" s="31"/>
      <c r="I60" s="64"/>
      <c r="J60" s="75"/>
      <c r="L60" s="24"/>
      <c r="M60" s="25"/>
      <c r="N60" s="26"/>
    </row>
    <row r="61" spans="1:14" ht="15.75" hidden="1" customHeight="1">
      <c r="A61" s="47">
        <v>9</v>
      </c>
      <c r="B61" s="19" t="s">
        <v>45</v>
      </c>
      <c r="C61" s="21" t="s">
        <v>96</v>
      </c>
      <c r="D61" s="19" t="s">
        <v>61</v>
      </c>
      <c r="E61" s="23">
        <v>1</v>
      </c>
      <c r="F61" s="17">
        <f>SUM(E61)</f>
        <v>1</v>
      </c>
      <c r="G61" s="17">
        <v>276.74</v>
      </c>
      <c r="H61" s="80">
        <f t="shared" ref="H61:H70" si="9">SUM(F61*G61/1000)</f>
        <v>0.27673999999999999</v>
      </c>
      <c r="I61" s="17">
        <v>0</v>
      </c>
      <c r="J61" s="75"/>
      <c r="L61" s="24"/>
      <c r="M61" s="25"/>
      <c r="N61" s="26"/>
    </row>
    <row r="62" spans="1:14" ht="15.75" hidden="1" customHeight="1">
      <c r="A62" s="67"/>
      <c r="B62" s="19" t="s">
        <v>46</v>
      </c>
      <c r="C62" s="21" t="s">
        <v>96</v>
      </c>
      <c r="D62" s="19" t="s">
        <v>61</v>
      </c>
      <c r="E62" s="23">
        <v>2</v>
      </c>
      <c r="F62" s="17">
        <f>SUM(E62)</f>
        <v>2</v>
      </c>
      <c r="G62" s="17">
        <v>94.89</v>
      </c>
      <c r="H62" s="80">
        <f t="shared" si="9"/>
        <v>0.18978</v>
      </c>
      <c r="I62" s="17">
        <v>0</v>
      </c>
      <c r="J62" s="75"/>
      <c r="L62" s="24"/>
      <c r="M62" s="25"/>
      <c r="N62" s="26"/>
    </row>
    <row r="63" spans="1:14" ht="15.75" hidden="1" customHeight="1">
      <c r="A63" s="67">
        <v>7</v>
      </c>
      <c r="B63" s="19" t="s">
        <v>47</v>
      </c>
      <c r="C63" s="21" t="s">
        <v>97</v>
      </c>
      <c r="D63" s="19"/>
      <c r="E63" s="77">
        <v>10052</v>
      </c>
      <c r="F63" s="17">
        <f>SUM(E63/100)</f>
        <v>100.52</v>
      </c>
      <c r="G63" s="17">
        <v>263.99</v>
      </c>
      <c r="H63" s="80">
        <f t="shared" si="9"/>
        <v>26.536274799999997</v>
      </c>
      <c r="I63" s="17">
        <f>F63*G63</f>
        <v>26536.274799999999</v>
      </c>
      <c r="J63" s="75"/>
      <c r="L63" s="24"/>
      <c r="M63" s="25"/>
      <c r="N63" s="26"/>
    </row>
    <row r="64" spans="1:14" ht="15.75" hidden="1" customHeight="1">
      <c r="A64" s="67">
        <v>8</v>
      </c>
      <c r="B64" s="19" t="s">
        <v>48</v>
      </c>
      <c r="C64" s="21" t="s">
        <v>98</v>
      </c>
      <c r="D64" s="19"/>
      <c r="E64" s="77">
        <v>10052</v>
      </c>
      <c r="F64" s="17">
        <f>SUM(E64/1000)</f>
        <v>10.052</v>
      </c>
      <c r="G64" s="17">
        <v>205.57</v>
      </c>
      <c r="H64" s="80">
        <f t="shared" si="9"/>
        <v>2.0663896399999997</v>
      </c>
      <c r="I64" s="17">
        <f t="shared" ref="I64:I68" si="10">F64*G64</f>
        <v>2066.3896399999999</v>
      </c>
      <c r="J64" s="75"/>
      <c r="L64" s="24"/>
      <c r="M64" s="25"/>
      <c r="N64" s="26"/>
    </row>
    <row r="65" spans="1:14" ht="15.75" hidden="1" customHeight="1">
      <c r="A65" s="67">
        <v>9</v>
      </c>
      <c r="B65" s="19" t="s">
        <v>49</v>
      </c>
      <c r="C65" s="21" t="s">
        <v>69</v>
      </c>
      <c r="D65" s="19"/>
      <c r="E65" s="77">
        <v>2200</v>
      </c>
      <c r="F65" s="17">
        <f>SUM(E65/100)</f>
        <v>22</v>
      </c>
      <c r="G65" s="17">
        <v>2581.5300000000002</v>
      </c>
      <c r="H65" s="80">
        <f t="shared" si="9"/>
        <v>56.793660000000003</v>
      </c>
      <c r="I65" s="17">
        <f t="shared" si="10"/>
        <v>56793.66</v>
      </c>
      <c r="J65" s="75"/>
      <c r="L65" s="24"/>
      <c r="M65" s="25"/>
      <c r="N65" s="26"/>
    </row>
    <row r="66" spans="1:14" ht="15.75" hidden="1" customHeight="1">
      <c r="A66" s="67">
        <v>10</v>
      </c>
      <c r="B66" s="92" t="s">
        <v>99</v>
      </c>
      <c r="C66" s="21" t="s">
        <v>31</v>
      </c>
      <c r="D66" s="19"/>
      <c r="E66" s="77">
        <v>9.4</v>
      </c>
      <c r="F66" s="17">
        <f>SUM(E66)</f>
        <v>9.4</v>
      </c>
      <c r="G66" s="17">
        <v>47.45</v>
      </c>
      <c r="H66" s="80">
        <f t="shared" si="9"/>
        <v>0.44603000000000004</v>
      </c>
      <c r="I66" s="17">
        <f t="shared" si="10"/>
        <v>446.03000000000003</v>
      </c>
      <c r="J66" s="75"/>
      <c r="L66" s="24"/>
      <c r="M66" s="25"/>
      <c r="N66" s="26"/>
    </row>
    <row r="67" spans="1:14" ht="15.75" hidden="1" customHeight="1">
      <c r="A67" s="67">
        <v>11</v>
      </c>
      <c r="B67" s="92" t="s">
        <v>100</v>
      </c>
      <c r="C67" s="21" t="s">
        <v>31</v>
      </c>
      <c r="D67" s="19"/>
      <c r="E67" s="77">
        <v>9.4</v>
      </c>
      <c r="F67" s="17">
        <f>SUM(E67)</f>
        <v>9.4</v>
      </c>
      <c r="G67" s="17">
        <v>44.27</v>
      </c>
      <c r="H67" s="80">
        <f t="shared" si="9"/>
        <v>0.41613800000000001</v>
      </c>
      <c r="I67" s="17">
        <f t="shared" si="10"/>
        <v>416.13800000000003</v>
      </c>
      <c r="J67" s="75"/>
      <c r="L67" s="24"/>
      <c r="M67" s="25"/>
      <c r="N67" s="26"/>
    </row>
    <row r="68" spans="1:14" ht="15.75" hidden="1" customHeight="1">
      <c r="A68" s="67"/>
      <c r="B68" s="19" t="s">
        <v>55</v>
      </c>
      <c r="C68" s="21" t="s">
        <v>56</v>
      </c>
      <c r="D68" s="19" t="s">
        <v>52</v>
      </c>
      <c r="E68" s="23">
        <v>2</v>
      </c>
      <c r="F68" s="17">
        <f>SUM(E68)</f>
        <v>2</v>
      </c>
      <c r="G68" s="17">
        <v>62.07</v>
      </c>
      <c r="H68" s="80">
        <f t="shared" si="9"/>
        <v>0.12414</v>
      </c>
      <c r="I68" s="17">
        <f t="shared" si="10"/>
        <v>124.14</v>
      </c>
      <c r="J68" s="75"/>
      <c r="L68" s="24"/>
      <c r="M68" s="25"/>
      <c r="N68" s="26"/>
    </row>
    <row r="69" spans="1:14" ht="15.75" customHeight="1">
      <c r="A69" s="67"/>
      <c r="B69" s="134" t="s">
        <v>181</v>
      </c>
      <c r="C69" s="21"/>
      <c r="D69" s="19"/>
      <c r="E69" s="23"/>
      <c r="F69" s="17"/>
      <c r="G69" s="17"/>
      <c r="H69" s="80"/>
      <c r="I69" s="17"/>
      <c r="J69" s="75"/>
      <c r="L69" s="24"/>
      <c r="M69" s="25"/>
      <c r="N69" s="26"/>
    </row>
    <row r="70" spans="1:14" ht="15.75" customHeight="1">
      <c r="A70" s="68">
        <v>7</v>
      </c>
      <c r="B70" s="19" t="s">
        <v>81</v>
      </c>
      <c r="C70" s="31" t="s">
        <v>101</v>
      </c>
      <c r="D70" s="19"/>
      <c r="E70" s="23">
        <v>2549.5</v>
      </c>
      <c r="F70" s="17">
        <f>SUM(E70*12)</f>
        <v>30594</v>
      </c>
      <c r="G70" s="17">
        <v>2.16</v>
      </c>
      <c r="H70" s="80">
        <f t="shared" si="9"/>
        <v>66.083040000000011</v>
      </c>
      <c r="I70" s="17">
        <f>F70/12*G70</f>
        <v>5506.92</v>
      </c>
      <c r="J70" s="75"/>
      <c r="L70" s="24"/>
      <c r="M70" s="25"/>
      <c r="N70" s="26"/>
    </row>
    <row r="71" spans="1:14" ht="15.75" hidden="1" customHeight="1">
      <c r="A71" s="61"/>
      <c r="B71" s="71" t="s">
        <v>102</v>
      </c>
      <c r="C71" s="71"/>
      <c r="D71" s="71"/>
      <c r="E71" s="71"/>
      <c r="F71" s="71"/>
      <c r="G71" s="71"/>
      <c r="H71" s="71"/>
      <c r="I71" s="23"/>
      <c r="J71" s="75"/>
      <c r="L71" s="24"/>
      <c r="M71" s="25"/>
      <c r="N71" s="26"/>
    </row>
    <row r="72" spans="1:14" ht="15.75" hidden="1" customHeight="1">
      <c r="A72" s="31">
        <v>31</v>
      </c>
      <c r="B72" s="69" t="s">
        <v>103</v>
      </c>
      <c r="C72" s="21"/>
      <c r="D72" s="19"/>
      <c r="E72" s="94"/>
      <c r="F72" s="17">
        <v>1</v>
      </c>
      <c r="G72" s="17">
        <v>22720</v>
      </c>
      <c r="H72" s="80">
        <f>G72*F72/1000</f>
        <v>22.72</v>
      </c>
      <c r="I72" s="17">
        <f>G72</f>
        <v>22720</v>
      </c>
      <c r="J72" s="75"/>
      <c r="L72" s="24"/>
      <c r="M72" s="25"/>
      <c r="N72" s="26"/>
    </row>
    <row r="73" spans="1:14" ht="15.75" hidden="1" customHeight="1">
      <c r="A73" s="68"/>
      <c r="B73" s="71" t="s">
        <v>64</v>
      </c>
      <c r="C73" s="21"/>
      <c r="D73" s="19"/>
      <c r="E73" s="16"/>
      <c r="F73" s="16"/>
      <c r="G73" s="31"/>
      <c r="H73" s="31"/>
      <c r="I73" s="64"/>
      <c r="J73" s="75"/>
      <c r="L73" s="24"/>
      <c r="M73" s="25"/>
      <c r="N73" s="26"/>
    </row>
    <row r="74" spans="1:14" ht="15.75" hidden="1" customHeight="1">
      <c r="A74" s="68">
        <v>16</v>
      </c>
      <c r="B74" s="19" t="s">
        <v>104</v>
      </c>
      <c r="C74" s="21" t="s">
        <v>105</v>
      </c>
      <c r="D74" s="19" t="s">
        <v>61</v>
      </c>
      <c r="E74" s="23">
        <v>1</v>
      </c>
      <c r="F74" s="17">
        <f>E74</f>
        <v>1</v>
      </c>
      <c r="G74" s="17">
        <v>976.4</v>
      </c>
      <c r="H74" s="80">
        <f t="shared" ref="H74:H76" si="11">SUM(F74*G74/1000)</f>
        <v>0.97639999999999993</v>
      </c>
      <c r="I74" s="17">
        <v>0</v>
      </c>
      <c r="J74" s="75"/>
      <c r="L74" s="24"/>
      <c r="M74" s="25"/>
      <c r="N74" s="26"/>
    </row>
    <row r="75" spans="1:14" ht="15.75" hidden="1" customHeight="1">
      <c r="A75" s="68"/>
      <c r="B75" s="19" t="s">
        <v>106</v>
      </c>
      <c r="C75" s="21" t="s">
        <v>107</v>
      </c>
      <c r="D75" s="19" t="s">
        <v>61</v>
      </c>
      <c r="E75" s="23">
        <v>1</v>
      </c>
      <c r="F75" s="17">
        <v>1</v>
      </c>
      <c r="G75" s="17">
        <v>735</v>
      </c>
      <c r="H75" s="80">
        <f t="shared" si="11"/>
        <v>0.73499999999999999</v>
      </c>
      <c r="I75" s="17">
        <v>0</v>
      </c>
      <c r="J75" s="75"/>
      <c r="L75" s="24"/>
      <c r="M75" s="25"/>
      <c r="N75" s="26"/>
    </row>
    <row r="76" spans="1:14" ht="15.75" hidden="1" customHeight="1">
      <c r="A76" s="68">
        <v>11</v>
      </c>
      <c r="B76" s="19" t="s">
        <v>65</v>
      </c>
      <c r="C76" s="21" t="s">
        <v>67</v>
      </c>
      <c r="D76" s="19" t="s">
        <v>61</v>
      </c>
      <c r="E76" s="23">
        <v>3</v>
      </c>
      <c r="F76" s="17">
        <v>0.3</v>
      </c>
      <c r="G76" s="17">
        <v>624.16999999999996</v>
      </c>
      <c r="H76" s="80">
        <f t="shared" si="11"/>
        <v>0.18725099999999997</v>
      </c>
      <c r="I76" s="17">
        <f>G76*0.2</f>
        <v>124.834</v>
      </c>
      <c r="J76" s="75"/>
      <c r="L76" s="24"/>
      <c r="M76" s="25"/>
      <c r="N76" s="26"/>
    </row>
    <row r="77" spans="1:14" ht="15.75" hidden="1" customHeight="1">
      <c r="A77" s="68"/>
      <c r="B77" s="19" t="s">
        <v>66</v>
      </c>
      <c r="C77" s="21" t="s">
        <v>29</v>
      </c>
      <c r="D77" s="19" t="s">
        <v>61</v>
      </c>
      <c r="E77" s="23">
        <v>1</v>
      </c>
      <c r="F77" s="93">
        <v>1</v>
      </c>
      <c r="G77" s="17">
        <v>1061.4100000000001</v>
      </c>
      <c r="H77" s="80">
        <f>F77*G77/1000</f>
        <v>1.0614100000000002</v>
      </c>
      <c r="I77" s="17">
        <v>0</v>
      </c>
      <c r="J77" s="75"/>
      <c r="L77" s="24"/>
      <c r="M77" s="25"/>
      <c r="N77" s="26"/>
    </row>
    <row r="78" spans="1:14" ht="15.75" hidden="1" customHeight="1">
      <c r="A78" s="68"/>
      <c r="B78" s="19" t="s">
        <v>82</v>
      </c>
      <c r="C78" s="21" t="s">
        <v>29</v>
      </c>
      <c r="D78" s="19" t="s">
        <v>61</v>
      </c>
      <c r="E78" s="23">
        <v>1</v>
      </c>
      <c r="F78" s="17">
        <v>1</v>
      </c>
      <c r="G78" s="17">
        <v>446.12</v>
      </c>
      <c r="H78" s="80">
        <f>G78*F78/1000</f>
        <v>0.44612000000000002</v>
      </c>
      <c r="I78" s="17">
        <v>0</v>
      </c>
      <c r="J78" s="75"/>
      <c r="L78" s="24"/>
      <c r="M78" s="25"/>
      <c r="N78" s="26"/>
    </row>
    <row r="79" spans="1:14" ht="15.75" hidden="1" customHeight="1">
      <c r="A79" s="68"/>
      <c r="B79" s="56" t="s">
        <v>68</v>
      </c>
      <c r="C79" s="44"/>
      <c r="D79" s="43"/>
      <c r="E79" s="23"/>
      <c r="F79" s="23"/>
      <c r="G79" s="42"/>
      <c r="H79" s="42"/>
      <c r="I79" s="64"/>
      <c r="J79" s="75"/>
      <c r="L79" s="24"/>
      <c r="M79" s="25"/>
      <c r="N79" s="26"/>
    </row>
    <row r="80" spans="1:14" ht="15.75" hidden="1" customHeight="1">
      <c r="A80" s="68"/>
      <c r="B80" s="57" t="s">
        <v>108</v>
      </c>
      <c r="C80" s="21" t="s">
        <v>69</v>
      </c>
      <c r="D80" s="19"/>
      <c r="E80" s="23"/>
      <c r="F80" s="17">
        <v>1</v>
      </c>
      <c r="G80" s="17">
        <v>3433.68</v>
      </c>
      <c r="H80" s="80">
        <f t="shared" ref="H80" si="12">SUM(F80*G80/1000)</f>
        <v>3.4336799999999998</v>
      </c>
      <c r="I80" s="17">
        <v>0</v>
      </c>
      <c r="J80" s="75"/>
      <c r="L80" s="24"/>
      <c r="M80" s="25"/>
      <c r="N80" s="26"/>
    </row>
    <row r="81" spans="1:14" ht="15.75" customHeight="1">
      <c r="A81" s="165" t="s">
        <v>133</v>
      </c>
      <c r="B81" s="166"/>
      <c r="C81" s="166"/>
      <c r="D81" s="166"/>
      <c r="E81" s="166"/>
      <c r="F81" s="166"/>
      <c r="G81" s="166"/>
      <c r="H81" s="166"/>
      <c r="I81" s="167"/>
      <c r="J81" s="75"/>
      <c r="L81" s="24"/>
      <c r="M81" s="25"/>
      <c r="N81" s="26"/>
    </row>
    <row r="82" spans="1:14" ht="15.75" customHeight="1">
      <c r="A82" s="68">
        <v>8</v>
      </c>
      <c r="B82" s="69" t="s">
        <v>123</v>
      </c>
      <c r="C82" s="21" t="s">
        <v>53</v>
      </c>
      <c r="D82" s="19"/>
      <c r="E82" s="17">
        <v>2549.5</v>
      </c>
      <c r="F82" s="17">
        <f>SUM(E82*12)</f>
        <v>30594</v>
      </c>
      <c r="G82" s="17">
        <v>2.95</v>
      </c>
      <c r="H82" s="80">
        <f>SUM(F82*G82/1000)</f>
        <v>90.252300000000005</v>
      </c>
      <c r="I82" s="17">
        <f>F82/12*G82</f>
        <v>7521.0250000000005</v>
      </c>
      <c r="J82" s="75"/>
      <c r="L82" s="24"/>
      <c r="M82" s="25"/>
      <c r="N82" s="26"/>
    </row>
    <row r="83" spans="1:14" ht="31.5" customHeight="1">
      <c r="A83" s="31">
        <v>9</v>
      </c>
      <c r="B83" s="19" t="s">
        <v>70</v>
      </c>
      <c r="C83" s="21"/>
      <c r="D83" s="19"/>
      <c r="E83" s="77">
        <v>2549.5</v>
      </c>
      <c r="F83" s="17">
        <f>E83*12</f>
        <v>30594</v>
      </c>
      <c r="G83" s="17">
        <v>3.05</v>
      </c>
      <c r="H83" s="80">
        <f>F83*G83/1000</f>
        <v>93.311700000000002</v>
      </c>
      <c r="I83" s="17">
        <f>F83/12*G83</f>
        <v>7775.9749999999995</v>
      </c>
      <c r="J83" s="75"/>
      <c r="L83" s="24"/>
      <c r="M83" s="25"/>
      <c r="N83" s="26"/>
    </row>
    <row r="84" spans="1:14" ht="15.75" customHeight="1">
      <c r="A84" s="61"/>
      <c r="B84" s="45" t="s">
        <v>72</v>
      </c>
      <c r="C84" s="47"/>
      <c r="D84" s="20"/>
      <c r="E84" s="20"/>
      <c r="F84" s="20"/>
      <c r="G84" s="23"/>
      <c r="H84" s="23"/>
      <c r="I84" s="35">
        <f>I83+I82+I70+I31+I30+I19+I18+I17+I16</f>
        <v>31627.110289999997</v>
      </c>
      <c r="J84" s="75"/>
      <c r="L84" s="24"/>
      <c r="M84" s="25"/>
      <c r="N84" s="26"/>
    </row>
    <row r="85" spans="1:14" ht="15.75" customHeight="1">
      <c r="A85" s="162" t="s">
        <v>57</v>
      </c>
      <c r="B85" s="163"/>
      <c r="C85" s="163"/>
      <c r="D85" s="163"/>
      <c r="E85" s="163"/>
      <c r="F85" s="163"/>
      <c r="G85" s="163"/>
      <c r="H85" s="163"/>
      <c r="I85" s="164"/>
      <c r="J85" s="75"/>
      <c r="L85" s="24"/>
      <c r="M85" s="25"/>
      <c r="N85" s="26"/>
    </row>
    <row r="86" spans="1:14" ht="18" customHeight="1">
      <c r="A86" s="68">
        <v>10</v>
      </c>
      <c r="B86" s="19" t="s">
        <v>154</v>
      </c>
      <c r="C86" s="21" t="s">
        <v>155</v>
      </c>
      <c r="D86" s="19"/>
      <c r="E86" s="23"/>
      <c r="F86" s="17">
        <v>96</v>
      </c>
      <c r="G86" s="17">
        <v>1.4</v>
      </c>
      <c r="H86" s="17">
        <f>F86*G86/1000</f>
        <v>0.13439999999999996</v>
      </c>
      <c r="I86" s="17">
        <f>G86*48</f>
        <v>67.199999999999989</v>
      </c>
      <c r="J86" s="75"/>
      <c r="L86" s="24"/>
      <c r="M86" s="25"/>
      <c r="N86" s="26"/>
    </row>
    <row r="87" spans="1:14" ht="18" customHeight="1">
      <c r="A87" s="68">
        <v>11</v>
      </c>
      <c r="B87" s="117" t="s">
        <v>250</v>
      </c>
      <c r="C87" s="118" t="s">
        <v>28</v>
      </c>
      <c r="D87" s="43"/>
      <c r="E87" s="22"/>
      <c r="F87" s="133">
        <v>0.2</v>
      </c>
      <c r="G87" s="41">
        <v>4683.09</v>
      </c>
      <c r="H87" s="17"/>
      <c r="I87" s="17">
        <f>G87*0.2</f>
        <v>936.61800000000005</v>
      </c>
      <c r="J87" s="75"/>
      <c r="L87" s="24"/>
      <c r="M87" s="25"/>
      <c r="N87" s="26"/>
    </row>
    <row r="88" spans="1:14" ht="18" customHeight="1">
      <c r="A88" s="68">
        <v>12</v>
      </c>
      <c r="B88" s="139" t="s">
        <v>251</v>
      </c>
      <c r="C88" s="140" t="s">
        <v>252</v>
      </c>
      <c r="D88" s="43" t="s">
        <v>253</v>
      </c>
      <c r="E88" s="22"/>
      <c r="F88" s="133">
        <f>0.5/3</f>
        <v>0.16666666666666666</v>
      </c>
      <c r="G88" s="41">
        <v>1325.15</v>
      </c>
      <c r="H88" s="17"/>
      <c r="I88" s="17">
        <f>G88*0.5/3</f>
        <v>220.85833333333335</v>
      </c>
      <c r="J88" s="75"/>
      <c r="L88" s="24"/>
      <c r="M88" s="25"/>
      <c r="N88" s="26"/>
    </row>
    <row r="89" spans="1:14" ht="28.5" customHeight="1">
      <c r="A89" s="68">
        <v>13</v>
      </c>
      <c r="B89" s="117" t="s">
        <v>162</v>
      </c>
      <c r="C89" s="118" t="s">
        <v>163</v>
      </c>
      <c r="D89" s="43" t="s">
        <v>254</v>
      </c>
      <c r="E89" s="22"/>
      <c r="F89" s="41">
        <v>3</v>
      </c>
      <c r="G89" s="41">
        <v>64.040000000000006</v>
      </c>
      <c r="H89" s="17"/>
      <c r="I89" s="17">
        <v>0</v>
      </c>
      <c r="J89" s="75"/>
      <c r="L89" s="24"/>
      <c r="M89" s="25"/>
      <c r="N89" s="26"/>
    </row>
    <row r="90" spans="1:14" ht="18" customHeight="1">
      <c r="A90" s="68">
        <v>14</v>
      </c>
      <c r="B90" s="117" t="s">
        <v>183</v>
      </c>
      <c r="C90" s="118" t="s">
        <v>38</v>
      </c>
      <c r="D90" s="43" t="s">
        <v>173</v>
      </c>
      <c r="E90" s="22"/>
      <c r="F90" s="41">
        <v>0.03</v>
      </c>
      <c r="G90" s="41">
        <v>28224.75</v>
      </c>
      <c r="H90" s="17"/>
      <c r="I90" s="17">
        <v>0</v>
      </c>
      <c r="J90" s="75"/>
      <c r="L90" s="24"/>
      <c r="M90" s="25"/>
      <c r="N90" s="26"/>
    </row>
    <row r="91" spans="1:14" ht="15.75" customHeight="1">
      <c r="A91" s="31"/>
      <c r="B91" s="52" t="s">
        <v>50</v>
      </c>
      <c r="C91" s="48"/>
      <c r="D91" s="62"/>
      <c r="E91" s="48">
        <v>1</v>
      </c>
      <c r="F91" s="48"/>
      <c r="G91" s="48"/>
      <c r="H91" s="48"/>
      <c r="I91" s="35">
        <f>SUM(I86:I90)</f>
        <v>1224.6763333333333</v>
      </c>
      <c r="J91" s="75"/>
      <c r="L91" s="24"/>
      <c r="M91" s="25"/>
      <c r="N91" s="26"/>
    </row>
    <row r="92" spans="1:14" ht="15.75" customHeight="1">
      <c r="A92" s="31"/>
      <c r="B92" s="57" t="s">
        <v>71</v>
      </c>
      <c r="C92" s="20"/>
      <c r="D92" s="20"/>
      <c r="E92" s="49"/>
      <c r="F92" s="49"/>
      <c r="G92" s="50"/>
      <c r="H92" s="50"/>
      <c r="I92" s="22">
        <v>0</v>
      </c>
      <c r="J92" s="75"/>
      <c r="L92" s="24"/>
      <c r="M92" s="25"/>
      <c r="N92" s="26"/>
    </row>
    <row r="93" spans="1:14" ht="15.75" customHeight="1">
      <c r="A93" s="63"/>
      <c r="B93" s="53" t="s">
        <v>149</v>
      </c>
      <c r="C93" s="39"/>
      <c r="D93" s="39"/>
      <c r="E93" s="39"/>
      <c r="F93" s="39"/>
      <c r="G93" s="39"/>
      <c r="H93" s="39"/>
      <c r="I93" s="51">
        <f>I84+I91</f>
        <v>32851.786623333333</v>
      </c>
      <c r="J93" s="75"/>
      <c r="L93" s="24"/>
    </row>
    <row r="94" spans="1:14" ht="15.75">
      <c r="A94" s="157" t="s">
        <v>255</v>
      </c>
      <c r="B94" s="157"/>
      <c r="C94" s="157"/>
      <c r="D94" s="157"/>
      <c r="E94" s="157"/>
      <c r="F94" s="157"/>
      <c r="G94" s="157"/>
      <c r="H94" s="157"/>
      <c r="I94" s="157"/>
    </row>
    <row r="95" spans="1:14" ht="15.75">
      <c r="A95" s="12"/>
      <c r="B95" s="158" t="s">
        <v>256</v>
      </c>
      <c r="C95" s="158"/>
      <c r="D95" s="158"/>
      <c r="E95" s="158"/>
      <c r="F95" s="158"/>
      <c r="G95" s="158"/>
      <c r="H95" s="98"/>
      <c r="I95" s="4"/>
    </row>
    <row r="96" spans="1:14" ht="15.75">
      <c r="A96" s="70"/>
      <c r="B96" s="173" t="s">
        <v>6</v>
      </c>
      <c r="C96" s="173"/>
      <c r="D96" s="173"/>
      <c r="E96" s="173"/>
      <c r="F96" s="173"/>
      <c r="G96" s="173"/>
      <c r="H96" s="74"/>
      <c r="I96" s="59"/>
    </row>
    <row r="97" spans="1:22" ht="15.75" customHeight="1">
      <c r="A97" s="60"/>
      <c r="B97" s="60"/>
      <c r="C97" s="60"/>
      <c r="D97" s="60"/>
      <c r="E97" s="60"/>
      <c r="F97" s="60"/>
      <c r="G97" s="60"/>
      <c r="H97" s="60"/>
      <c r="I97" s="60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11"/>
    </row>
    <row r="98" spans="1:22" ht="15.75" customHeight="1">
      <c r="A98" s="174" t="s">
        <v>7</v>
      </c>
      <c r="B98" s="174"/>
      <c r="C98" s="174"/>
      <c r="D98" s="174"/>
      <c r="E98" s="174"/>
      <c r="F98" s="174"/>
      <c r="G98" s="174"/>
      <c r="H98" s="174"/>
      <c r="I98" s="174"/>
      <c r="J98" s="29"/>
      <c r="K98" s="29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2" ht="15.75">
      <c r="A99" s="174" t="s">
        <v>8</v>
      </c>
      <c r="B99" s="174"/>
      <c r="C99" s="174"/>
      <c r="D99" s="174"/>
      <c r="E99" s="174"/>
      <c r="F99" s="174"/>
      <c r="G99" s="174"/>
      <c r="H99" s="174"/>
      <c r="I99" s="174"/>
      <c r="J99" s="4"/>
      <c r="K99" s="4"/>
      <c r="L99" s="4"/>
      <c r="M99" s="4"/>
      <c r="N99" s="4"/>
      <c r="O99" s="4"/>
      <c r="P99" s="4"/>
      <c r="Q99" s="4"/>
      <c r="S99" s="4"/>
      <c r="T99" s="4"/>
      <c r="U99" s="4"/>
    </row>
    <row r="100" spans="1:22" ht="15.75">
      <c r="A100" s="157" t="s">
        <v>9</v>
      </c>
      <c r="B100" s="157"/>
      <c r="C100" s="157"/>
      <c r="D100" s="157"/>
      <c r="E100" s="157"/>
      <c r="F100" s="157"/>
      <c r="G100" s="157"/>
      <c r="H100" s="157"/>
      <c r="I100" s="157"/>
      <c r="J100" s="6"/>
      <c r="K100" s="6"/>
      <c r="L100" s="6"/>
      <c r="M100" s="6"/>
      <c r="N100" s="6"/>
      <c r="O100" s="6"/>
      <c r="P100" s="6"/>
      <c r="Q100" s="6"/>
      <c r="R100" s="155"/>
      <c r="S100" s="155"/>
      <c r="T100" s="155"/>
      <c r="U100" s="155"/>
    </row>
    <row r="101" spans="1:22" ht="15.75">
      <c r="A101" s="13"/>
      <c r="B101" s="58"/>
      <c r="C101" s="58"/>
      <c r="D101" s="58"/>
      <c r="E101" s="58"/>
      <c r="F101" s="58"/>
      <c r="G101" s="58"/>
      <c r="H101" s="58"/>
      <c r="I101" s="58"/>
    </row>
    <row r="102" spans="1:22" ht="15.75">
      <c r="A102" s="156" t="s">
        <v>10</v>
      </c>
      <c r="B102" s="156"/>
      <c r="C102" s="156"/>
      <c r="D102" s="156"/>
      <c r="E102" s="156"/>
      <c r="F102" s="156"/>
      <c r="G102" s="156"/>
      <c r="H102" s="156"/>
      <c r="I102" s="156"/>
    </row>
    <row r="103" spans="1:22" ht="15.75" customHeight="1">
      <c r="A103" s="5"/>
    </row>
    <row r="104" spans="1:22" ht="15.75">
      <c r="A104" s="157" t="s">
        <v>11</v>
      </c>
      <c r="B104" s="157"/>
      <c r="C104" s="175" t="s">
        <v>188</v>
      </c>
      <c r="D104" s="175"/>
      <c r="E104" s="175"/>
      <c r="F104" s="72"/>
      <c r="I104" s="103"/>
    </row>
    <row r="105" spans="1:22">
      <c r="A105" s="104"/>
      <c r="C105" s="171" t="s">
        <v>12</v>
      </c>
      <c r="D105" s="171"/>
      <c r="E105" s="171"/>
      <c r="F105" s="28"/>
      <c r="I105" s="102" t="s">
        <v>13</v>
      </c>
    </row>
    <row r="106" spans="1:22" ht="15.75">
      <c r="A106" s="29"/>
      <c r="C106" s="14"/>
      <c r="D106" s="14"/>
      <c r="G106" s="14"/>
      <c r="H106" s="14"/>
    </row>
    <row r="107" spans="1:22" ht="15.75" customHeight="1">
      <c r="A107" s="157" t="s">
        <v>14</v>
      </c>
      <c r="B107" s="157"/>
      <c r="C107" s="172"/>
      <c r="D107" s="172"/>
      <c r="E107" s="172"/>
      <c r="F107" s="73"/>
      <c r="I107" s="103"/>
    </row>
    <row r="108" spans="1:22">
      <c r="A108" s="104"/>
      <c r="C108" s="155" t="s">
        <v>12</v>
      </c>
      <c r="D108" s="155"/>
      <c r="E108" s="155"/>
      <c r="F108" s="104"/>
      <c r="I108" s="102" t="s">
        <v>13</v>
      </c>
    </row>
    <row r="109" spans="1:22" ht="15.75">
      <c r="A109" s="5" t="s">
        <v>15</v>
      </c>
    </row>
    <row r="110" spans="1:22">
      <c r="A110" s="176" t="s">
        <v>16</v>
      </c>
      <c r="B110" s="176"/>
      <c r="C110" s="176"/>
      <c r="D110" s="176"/>
      <c r="E110" s="176"/>
      <c r="F110" s="176"/>
      <c r="G110" s="176"/>
      <c r="H110" s="176"/>
      <c r="I110" s="176"/>
    </row>
    <row r="111" spans="1:22" ht="45" customHeight="1">
      <c r="A111" s="177" t="s">
        <v>17</v>
      </c>
      <c r="B111" s="177"/>
      <c r="C111" s="177"/>
      <c r="D111" s="177"/>
      <c r="E111" s="177"/>
      <c r="F111" s="177"/>
      <c r="G111" s="177"/>
      <c r="H111" s="177"/>
      <c r="I111" s="177"/>
    </row>
    <row r="112" spans="1:22" ht="30" customHeight="1">
      <c r="A112" s="177" t="s">
        <v>18</v>
      </c>
      <c r="B112" s="177"/>
      <c r="C112" s="177"/>
      <c r="D112" s="177"/>
      <c r="E112" s="177"/>
      <c r="F112" s="177"/>
      <c r="G112" s="177"/>
      <c r="H112" s="177"/>
      <c r="I112" s="177"/>
    </row>
    <row r="113" spans="1:9" ht="30" customHeight="1">
      <c r="A113" s="177" t="s">
        <v>22</v>
      </c>
      <c r="B113" s="177"/>
      <c r="C113" s="177"/>
      <c r="D113" s="177"/>
      <c r="E113" s="177"/>
      <c r="F113" s="177"/>
      <c r="G113" s="177"/>
      <c r="H113" s="177"/>
      <c r="I113" s="177"/>
    </row>
    <row r="114" spans="1:9" ht="15" customHeight="1">
      <c r="A114" s="177" t="s">
        <v>21</v>
      </c>
      <c r="B114" s="177"/>
      <c r="C114" s="177"/>
      <c r="D114" s="177"/>
      <c r="E114" s="177"/>
      <c r="F114" s="177"/>
      <c r="G114" s="177"/>
      <c r="H114" s="177"/>
      <c r="I114" s="177"/>
    </row>
    <row r="116" spans="1:9">
      <c r="A116" s="15"/>
      <c r="B116" s="15"/>
      <c r="C116" s="15"/>
      <c r="D116" s="15"/>
      <c r="E116" s="15"/>
      <c r="F116" s="15"/>
      <c r="G116" s="15"/>
      <c r="H116" s="15"/>
    </row>
  </sheetData>
  <autoFilter ref="I15:I95"/>
  <mergeCells count="31">
    <mergeCell ref="A114:I114"/>
    <mergeCell ref="R100:U100"/>
    <mergeCell ref="A102:I102"/>
    <mergeCell ref="A104:B104"/>
    <mergeCell ref="C104:E104"/>
    <mergeCell ref="C105:E105"/>
    <mergeCell ref="A107:B107"/>
    <mergeCell ref="C107:E107"/>
    <mergeCell ref="A100:I100"/>
    <mergeCell ref="C108:E108"/>
    <mergeCell ref="A110:I110"/>
    <mergeCell ref="A111:I111"/>
    <mergeCell ref="A112:I112"/>
    <mergeCell ref="A113:I113"/>
    <mergeCell ref="A94:I94"/>
    <mergeCell ref="B95:G95"/>
    <mergeCell ref="B96:G96"/>
    <mergeCell ref="A98:I98"/>
    <mergeCell ref="A99:I99"/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3:I43"/>
    <mergeCell ref="A54:I54"/>
    <mergeCell ref="A81:I8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G103" sqref="G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159</v>
      </c>
      <c r="I1" s="32"/>
    </row>
    <row r="2" spans="1:15" s="58" customFormat="1" ht="15.75" customHeight="1">
      <c r="A2" s="30" t="s">
        <v>58</v>
      </c>
      <c r="J2" s="1"/>
      <c r="K2" s="1"/>
      <c r="L2" s="1"/>
      <c r="M2" s="1"/>
    </row>
    <row r="3" spans="1:15" s="58" customFormat="1" ht="15.75" customHeight="1">
      <c r="A3" s="150" t="s">
        <v>131</v>
      </c>
      <c r="B3" s="150"/>
      <c r="C3" s="150"/>
      <c r="D3" s="150"/>
      <c r="E3" s="150"/>
      <c r="F3" s="150"/>
      <c r="G3" s="150"/>
      <c r="H3" s="150"/>
      <c r="I3" s="150"/>
      <c r="J3" s="2"/>
      <c r="K3" s="2"/>
      <c r="L3" s="2"/>
      <c r="M3" s="2"/>
    </row>
    <row r="4" spans="1:15" s="58" customFormat="1" ht="31.5" customHeight="1">
      <c r="A4" s="151" t="s">
        <v>85</v>
      </c>
      <c r="B4" s="151"/>
      <c r="C4" s="151"/>
      <c r="D4" s="151"/>
      <c r="E4" s="151"/>
      <c r="F4" s="151"/>
      <c r="G4" s="151"/>
      <c r="H4" s="151"/>
      <c r="I4" s="151"/>
      <c r="J4" s="3"/>
      <c r="K4" s="3"/>
      <c r="L4" s="3"/>
      <c r="M4" s="3"/>
    </row>
    <row r="5" spans="1:15" s="58" customFormat="1" ht="15.75" customHeight="1">
      <c r="A5" s="150" t="s">
        <v>259</v>
      </c>
      <c r="B5" s="152"/>
      <c r="C5" s="152"/>
      <c r="D5" s="152"/>
      <c r="E5" s="152"/>
      <c r="F5" s="152"/>
      <c r="G5" s="152"/>
      <c r="H5" s="152"/>
      <c r="I5" s="152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44408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53" t="s">
        <v>187</v>
      </c>
      <c r="B8" s="153"/>
      <c r="C8" s="153"/>
      <c r="D8" s="153"/>
      <c r="E8" s="153"/>
      <c r="F8" s="153"/>
      <c r="G8" s="153"/>
      <c r="H8" s="153"/>
      <c r="I8" s="15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54" t="s">
        <v>158</v>
      </c>
      <c r="B10" s="154"/>
      <c r="C10" s="154"/>
      <c r="D10" s="154"/>
      <c r="E10" s="154"/>
      <c r="F10" s="154"/>
      <c r="G10" s="154"/>
      <c r="H10" s="154"/>
      <c r="I10" s="15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48" t="s">
        <v>139</v>
      </c>
      <c r="B14" s="149"/>
      <c r="C14" s="149"/>
      <c r="D14" s="149"/>
      <c r="E14" s="149"/>
      <c r="F14" s="149"/>
      <c r="G14" s="149"/>
      <c r="H14" s="149"/>
      <c r="I14" s="149"/>
      <c r="J14" s="114"/>
      <c r="K14" s="114"/>
      <c r="L14" s="10"/>
      <c r="M14" s="10"/>
      <c r="N14" s="10"/>
      <c r="O14" s="10"/>
    </row>
    <row r="15" spans="1:15" ht="15.75" customHeight="1">
      <c r="A15" s="145" t="s">
        <v>4</v>
      </c>
      <c r="B15" s="146"/>
      <c r="C15" s="146"/>
      <c r="D15" s="146"/>
      <c r="E15" s="146"/>
      <c r="F15" s="146"/>
      <c r="G15" s="146"/>
      <c r="H15" s="146"/>
      <c r="I15" s="147"/>
      <c r="J15" s="11"/>
      <c r="K15" s="11"/>
    </row>
    <row r="16" spans="1:15" ht="15.75" customHeight="1">
      <c r="A16" s="31">
        <v>1</v>
      </c>
      <c r="B16" s="69" t="s">
        <v>76</v>
      </c>
      <c r="C16" s="76" t="s">
        <v>86</v>
      </c>
      <c r="D16" s="69" t="s">
        <v>166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77</v>
      </c>
      <c r="C17" s="76" t="s">
        <v>86</v>
      </c>
      <c r="D17" s="69" t="s">
        <v>167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78</v>
      </c>
      <c r="C18" s="76" t="s">
        <v>86</v>
      </c>
      <c r="D18" s="69" t="s">
        <v>168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69" t="s">
        <v>87</v>
      </c>
      <c r="C19" s="76" t="s">
        <v>88</v>
      </c>
      <c r="D19" s="69" t="s">
        <v>89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customHeight="1">
      <c r="A20" s="31">
        <v>4</v>
      </c>
      <c r="B20" s="69" t="s">
        <v>90</v>
      </c>
      <c r="C20" s="76" t="s">
        <v>86</v>
      </c>
      <c r="D20" s="69" t="s">
        <v>173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f>G20*F20/2</f>
        <v>28.467600000000001</v>
      </c>
      <c r="J20" s="10"/>
      <c r="K20" s="10"/>
      <c r="L20" s="10"/>
      <c r="M20" s="10"/>
    </row>
    <row r="21" spans="1:13" ht="15.75" customHeight="1">
      <c r="A21" s="31">
        <v>5</v>
      </c>
      <c r="B21" s="69" t="s">
        <v>91</v>
      </c>
      <c r="C21" s="76" t="s">
        <v>86</v>
      </c>
      <c r="D21" s="69" t="s">
        <v>173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f>G21*F21/2</f>
        <v>7.2608400000000008</v>
      </c>
      <c r="J21" s="10"/>
      <c r="K21" s="10"/>
      <c r="L21" s="10"/>
      <c r="M21" s="10"/>
    </row>
    <row r="22" spans="1:13" ht="15.75" customHeight="1">
      <c r="A22" s="31">
        <v>6</v>
      </c>
      <c r="B22" s="69" t="s">
        <v>92</v>
      </c>
      <c r="C22" s="76" t="s">
        <v>51</v>
      </c>
      <c r="D22" s="69" t="s">
        <v>173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f>G22*F22</f>
        <v>1196.1285</v>
      </c>
      <c r="J22" s="10"/>
      <c r="K22" s="10"/>
      <c r="L22" s="10"/>
      <c r="M22" s="10"/>
    </row>
    <row r="23" spans="1:13" ht="15.75" customHeight="1">
      <c r="A23" s="31">
        <v>7</v>
      </c>
      <c r="B23" s="69" t="s">
        <v>93</v>
      </c>
      <c r="C23" s="76" t="s">
        <v>51</v>
      </c>
      <c r="D23" s="69" t="s">
        <v>260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f>G23*F23</f>
        <v>21.290640000000003</v>
      </c>
      <c r="J23" s="10"/>
      <c r="K23" s="10"/>
      <c r="L23" s="10"/>
      <c r="M23" s="10"/>
    </row>
    <row r="24" spans="1:13" ht="15.75" customHeight="1">
      <c r="A24" s="31">
        <v>8</v>
      </c>
      <c r="B24" s="69" t="s">
        <v>94</v>
      </c>
      <c r="C24" s="76" t="s">
        <v>51</v>
      </c>
      <c r="D24" s="82" t="s">
        <v>176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f>G24*F24</f>
        <v>72.741</v>
      </c>
      <c r="J24" s="10"/>
      <c r="K24" s="10"/>
      <c r="L24" s="10"/>
      <c r="M24" s="10"/>
    </row>
    <row r="25" spans="1:13" ht="15.75" customHeight="1">
      <c r="A25" s="31">
        <v>9</v>
      </c>
      <c r="B25" s="69" t="s">
        <v>95</v>
      </c>
      <c r="C25" s="76" t="s">
        <v>51</v>
      </c>
      <c r="D25" s="69" t="s">
        <v>260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f>G25*F25</f>
        <v>43.642389999999992</v>
      </c>
      <c r="J25" s="10"/>
      <c r="K25" s="10"/>
      <c r="L25" s="10"/>
      <c r="M25" s="10"/>
    </row>
    <row r="26" spans="1:13" ht="15.75" hidden="1" customHeight="1">
      <c r="A26" s="31">
        <v>4</v>
      </c>
      <c r="B26" s="37" t="s">
        <v>165</v>
      </c>
      <c r="C26" s="46" t="s">
        <v>155</v>
      </c>
      <c r="D26" s="37" t="s">
        <v>169</v>
      </c>
      <c r="E26" s="122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5" t="s">
        <v>75</v>
      </c>
      <c r="B27" s="146"/>
      <c r="C27" s="146"/>
      <c r="D27" s="146"/>
      <c r="E27" s="146"/>
      <c r="F27" s="146"/>
      <c r="G27" s="146"/>
      <c r="H27" s="146"/>
      <c r="I27" s="147"/>
      <c r="J27" s="27"/>
      <c r="K27" s="10"/>
      <c r="L27" s="10"/>
      <c r="M27" s="10"/>
    </row>
    <row r="28" spans="1:13" ht="15.75" customHeight="1">
      <c r="A28" s="47"/>
      <c r="B28" s="55" t="s">
        <v>136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customHeight="1">
      <c r="A29" s="68">
        <v>10</v>
      </c>
      <c r="B29" s="69" t="s">
        <v>140</v>
      </c>
      <c r="C29" s="76" t="s">
        <v>109</v>
      </c>
      <c r="D29" s="69" t="s">
        <v>167</v>
      </c>
      <c r="E29" s="78">
        <v>65.099999999999994</v>
      </c>
      <c r="F29" s="78">
        <f>SUM(E29*52/1000)</f>
        <v>3.3851999999999998</v>
      </c>
      <c r="G29" s="78">
        <v>193.97</v>
      </c>
      <c r="H29" s="79">
        <f t="shared" ref="H29:H33" si="2">SUM(F29*G29/1000)</f>
        <v>0.65662724399999994</v>
      </c>
      <c r="I29" s="17">
        <f>F29/6*G29</f>
        <v>109.43787399999998</v>
      </c>
      <c r="J29" s="27"/>
      <c r="K29" s="10"/>
      <c r="L29" s="10"/>
      <c r="M29" s="10"/>
    </row>
    <row r="30" spans="1:13" ht="31.5" customHeight="1">
      <c r="A30" s="68">
        <v>11</v>
      </c>
      <c r="B30" s="69" t="s">
        <v>141</v>
      </c>
      <c r="C30" s="76" t="s">
        <v>109</v>
      </c>
      <c r="D30" s="69" t="s">
        <v>166</v>
      </c>
      <c r="E30" s="78">
        <v>65.099999999999994</v>
      </c>
      <c r="F30" s="78">
        <f>SUM(E30*78/1000)</f>
        <v>5.077799999999999</v>
      </c>
      <c r="G30" s="78">
        <v>321.82</v>
      </c>
      <c r="H30" s="79">
        <f t="shared" si="2"/>
        <v>1.6341375959999995</v>
      </c>
      <c r="I30" s="17">
        <f t="shared" ref="I30" si="3">F30/6*G30</f>
        <v>272.35626599999995</v>
      </c>
      <c r="J30" s="27"/>
      <c r="K30" s="10"/>
      <c r="L30" s="10"/>
      <c r="M30" s="10"/>
    </row>
    <row r="31" spans="1:13" ht="15.75" hidden="1" customHeight="1">
      <c r="A31" s="68">
        <v>15</v>
      </c>
      <c r="B31" s="69" t="s">
        <v>27</v>
      </c>
      <c r="C31" s="76" t="s">
        <v>109</v>
      </c>
      <c r="D31" s="69" t="s">
        <v>52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si="2"/>
        <v>0.24466402799999998</v>
      </c>
      <c r="I31" s="17">
        <f>F31*G31</f>
        <v>244.66402799999997</v>
      </c>
      <c r="J31" s="27"/>
      <c r="K31" s="10"/>
      <c r="L31" s="10"/>
      <c r="M31" s="10"/>
    </row>
    <row r="32" spans="1:13" ht="15.75" hidden="1" customHeight="1">
      <c r="A32" s="68"/>
      <c r="B32" s="69" t="s">
        <v>60</v>
      </c>
      <c r="C32" s="76" t="s">
        <v>31</v>
      </c>
      <c r="D32" s="69" t="s">
        <v>61</v>
      </c>
      <c r="E32" s="77"/>
      <c r="F32" s="78">
        <v>1</v>
      </c>
      <c r="G32" s="78">
        <v>238.07</v>
      </c>
      <c r="H32" s="79">
        <f t="shared" si="2"/>
        <v>0.23807</v>
      </c>
      <c r="I32" s="17">
        <v>0</v>
      </c>
      <c r="J32" s="27"/>
      <c r="K32" s="10"/>
      <c r="L32" s="10"/>
      <c r="M32" s="10"/>
    </row>
    <row r="33" spans="1:13" ht="15.75" hidden="1" customHeight="1">
      <c r="A33" s="68"/>
      <c r="B33" s="69" t="s">
        <v>110</v>
      </c>
      <c r="C33" s="76" t="s">
        <v>30</v>
      </c>
      <c r="D33" s="69" t="s">
        <v>61</v>
      </c>
      <c r="E33" s="77"/>
      <c r="F33" s="78">
        <v>1</v>
      </c>
      <c r="G33" s="78">
        <v>1413.96</v>
      </c>
      <c r="H33" s="79">
        <f t="shared" si="2"/>
        <v>1.4139600000000001</v>
      </c>
      <c r="I33" s="17">
        <v>0</v>
      </c>
      <c r="J33" s="27"/>
      <c r="K33" s="10"/>
      <c r="L33" s="10"/>
      <c r="M33" s="10"/>
    </row>
    <row r="34" spans="1:13" ht="15.75" hidden="1" customHeight="1">
      <c r="A34" s="47"/>
      <c r="B34" s="55" t="s">
        <v>5</v>
      </c>
      <c r="C34" s="47"/>
      <c r="D34" s="47"/>
      <c r="E34" s="16"/>
      <c r="F34" s="16"/>
      <c r="G34" s="18"/>
      <c r="H34" s="18"/>
      <c r="I34" s="64"/>
      <c r="J34" s="27"/>
      <c r="K34" s="10"/>
      <c r="L34" s="10"/>
      <c r="M34" s="10"/>
    </row>
    <row r="35" spans="1:13" ht="15.75" hidden="1" customHeight="1">
      <c r="A35" s="38">
        <v>6</v>
      </c>
      <c r="B35" s="69" t="s">
        <v>26</v>
      </c>
      <c r="C35" s="76" t="s">
        <v>30</v>
      </c>
      <c r="D35" s="69"/>
      <c r="E35" s="77"/>
      <c r="F35" s="78">
        <v>2</v>
      </c>
      <c r="G35" s="78">
        <v>1900.37</v>
      </c>
      <c r="H35" s="79">
        <f t="shared" ref="H35:H41" si="4">SUM(F35*G35/1000)</f>
        <v>3.8007399999999998</v>
      </c>
      <c r="I35" s="17">
        <f>F35/6*G35</f>
        <v>633.45666666666659</v>
      </c>
      <c r="J35" s="27"/>
      <c r="K35" s="10"/>
      <c r="L35" s="10"/>
      <c r="M35" s="10"/>
    </row>
    <row r="36" spans="1:13" ht="15.75" hidden="1" customHeight="1">
      <c r="A36" s="38">
        <v>7</v>
      </c>
      <c r="B36" s="69" t="s">
        <v>111</v>
      </c>
      <c r="C36" s="76" t="s">
        <v>28</v>
      </c>
      <c r="D36" s="69" t="s">
        <v>143</v>
      </c>
      <c r="E36" s="77">
        <v>65.099999999999994</v>
      </c>
      <c r="F36" s="78">
        <f>E36*24/1000</f>
        <v>1.5623999999999998</v>
      </c>
      <c r="G36" s="78">
        <v>2616.4899999999998</v>
      </c>
      <c r="H36" s="79">
        <f>G36*F36/1000</f>
        <v>4.0880039759999987</v>
      </c>
      <c r="I36" s="17">
        <f>F36/6*G36</f>
        <v>681.33399599999984</v>
      </c>
      <c r="J36" s="27"/>
      <c r="K36" s="10"/>
      <c r="L36" s="10"/>
      <c r="M36" s="10"/>
    </row>
    <row r="37" spans="1:13" ht="15.75" hidden="1" customHeight="1">
      <c r="A37" s="38">
        <v>8</v>
      </c>
      <c r="B37" s="69" t="s">
        <v>112</v>
      </c>
      <c r="C37" s="76" t="s">
        <v>113</v>
      </c>
      <c r="D37" s="69" t="s">
        <v>61</v>
      </c>
      <c r="E37" s="77"/>
      <c r="F37" s="78">
        <v>13</v>
      </c>
      <c r="G37" s="78">
        <v>226.84</v>
      </c>
      <c r="H37" s="79">
        <f>G37*F37/1000</f>
        <v>2.9489200000000002</v>
      </c>
      <c r="I37" s="17">
        <f>G37*26</f>
        <v>5897.84</v>
      </c>
      <c r="J37" s="27"/>
      <c r="K37" s="10"/>
      <c r="L37" s="10"/>
      <c r="M37" s="10"/>
    </row>
    <row r="38" spans="1:13" ht="15.75" hidden="1" customHeight="1">
      <c r="A38" s="38">
        <v>9</v>
      </c>
      <c r="B38" s="69" t="s">
        <v>144</v>
      </c>
      <c r="C38" s="76" t="s">
        <v>28</v>
      </c>
      <c r="D38" s="69" t="s">
        <v>114</v>
      </c>
      <c r="E38" s="78">
        <v>65.099999999999994</v>
      </c>
      <c r="F38" s="78">
        <f>SUM(E38*155/1000)</f>
        <v>10.0905</v>
      </c>
      <c r="G38" s="78">
        <v>436.45</v>
      </c>
      <c r="H38" s="79">
        <f t="shared" si="4"/>
        <v>4.4039987250000001</v>
      </c>
      <c r="I38" s="17">
        <f>F38/6*G38</f>
        <v>733.99978750000002</v>
      </c>
      <c r="J38" s="27"/>
      <c r="K38" s="10"/>
      <c r="L38" s="10"/>
      <c r="M38" s="10"/>
    </row>
    <row r="39" spans="1:13" ht="47.25" hidden="1" customHeight="1">
      <c r="A39" s="38">
        <v>10</v>
      </c>
      <c r="B39" s="69" t="s">
        <v>74</v>
      </c>
      <c r="C39" s="76" t="s">
        <v>109</v>
      </c>
      <c r="D39" s="69" t="s">
        <v>115</v>
      </c>
      <c r="E39" s="78">
        <v>65.099999999999994</v>
      </c>
      <c r="F39" s="78">
        <f>SUM(E39*24/1000)</f>
        <v>1.5623999999999998</v>
      </c>
      <c r="G39" s="78">
        <v>7221.21</v>
      </c>
      <c r="H39" s="79">
        <f t="shared" si="4"/>
        <v>11.282418503999999</v>
      </c>
      <c r="I39" s="17">
        <f>F39/6*G39</f>
        <v>1880.4030839999998</v>
      </c>
      <c r="J39" s="27"/>
      <c r="K39" s="10"/>
      <c r="L39" s="10"/>
      <c r="M39" s="10"/>
    </row>
    <row r="40" spans="1:13" ht="15.75" hidden="1" customHeight="1">
      <c r="A40" s="38">
        <v>11</v>
      </c>
      <c r="B40" s="69" t="s">
        <v>116</v>
      </c>
      <c r="C40" s="76" t="s">
        <v>109</v>
      </c>
      <c r="D40" s="69" t="s">
        <v>145</v>
      </c>
      <c r="E40" s="78">
        <v>65.099999999999994</v>
      </c>
      <c r="F40" s="78">
        <f>SUM(E40*18/1000)</f>
        <v>1.1718</v>
      </c>
      <c r="G40" s="78">
        <v>533.45000000000005</v>
      </c>
      <c r="H40" s="79">
        <f t="shared" si="4"/>
        <v>0.62509671</v>
      </c>
      <c r="I40" s="17">
        <f>F40/6*G40</f>
        <v>104.18278500000001</v>
      </c>
      <c r="J40" s="27"/>
      <c r="K40" s="10"/>
      <c r="L40" s="10"/>
      <c r="M40" s="10"/>
    </row>
    <row r="41" spans="1:13" ht="15.75" hidden="1" customHeight="1">
      <c r="A41" s="38">
        <v>12</v>
      </c>
      <c r="B41" s="69" t="s">
        <v>62</v>
      </c>
      <c r="C41" s="76" t="s">
        <v>31</v>
      </c>
      <c r="D41" s="69"/>
      <c r="E41" s="77"/>
      <c r="F41" s="78">
        <v>0.4</v>
      </c>
      <c r="G41" s="78">
        <v>992.97</v>
      </c>
      <c r="H41" s="79">
        <f t="shared" si="4"/>
        <v>0.39718800000000004</v>
      </c>
      <c r="I41" s="17">
        <f>F41/6*G41</f>
        <v>66.198000000000008</v>
      </c>
      <c r="J41" s="27"/>
      <c r="K41" s="10"/>
      <c r="L41" s="10"/>
      <c r="M41" s="10"/>
    </row>
    <row r="42" spans="1:13" ht="15.75" hidden="1" customHeight="1">
      <c r="A42" s="168" t="s">
        <v>146</v>
      </c>
      <c r="B42" s="169"/>
      <c r="C42" s="169"/>
      <c r="D42" s="169"/>
      <c r="E42" s="169"/>
      <c r="F42" s="169"/>
      <c r="G42" s="169"/>
      <c r="H42" s="169"/>
      <c r="I42" s="170"/>
      <c r="J42" s="27"/>
      <c r="K42" s="10"/>
      <c r="L42" s="10"/>
      <c r="M42" s="10"/>
    </row>
    <row r="43" spans="1:13" ht="15.75" hidden="1" customHeight="1">
      <c r="A43" s="47">
        <v>17</v>
      </c>
      <c r="B43" s="69" t="s">
        <v>117</v>
      </c>
      <c r="C43" s="76" t="s">
        <v>109</v>
      </c>
      <c r="D43" s="69" t="s">
        <v>40</v>
      </c>
      <c r="E43" s="77">
        <v>1060.4000000000001</v>
      </c>
      <c r="F43" s="78">
        <f>SUM(E43*2/1000)</f>
        <v>2.1208</v>
      </c>
      <c r="G43" s="17">
        <v>1283.46</v>
      </c>
      <c r="H43" s="79">
        <f t="shared" ref="H43:H52" si="5">SUM(F43*G43/1000)</f>
        <v>2.721961968</v>
      </c>
      <c r="I43" s="17">
        <f t="shared" ref="I43:I45" si="6">F43/2*G43</f>
        <v>1360.980984</v>
      </c>
      <c r="J43" s="27"/>
      <c r="K43" s="10"/>
      <c r="L43" s="10"/>
      <c r="M43" s="10"/>
    </row>
    <row r="44" spans="1:13" ht="15.75" hidden="1" customHeight="1">
      <c r="A44" s="47">
        <v>18</v>
      </c>
      <c r="B44" s="69" t="s">
        <v>34</v>
      </c>
      <c r="C44" s="76" t="s">
        <v>109</v>
      </c>
      <c r="D44" s="69" t="s">
        <v>40</v>
      </c>
      <c r="E44" s="77">
        <v>1251.6199999999999</v>
      </c>
      <c r="F44" s="78">
        <f>SUM(E44*2/1000)</f>
        <v>2.5032399999999999</v>
      </c>
      <c r="G44" s="17">
        <v>1712.28</v>
      </c>
      <c r="H44" s="79">
        <f t="shared" si="5"/>
        <v>4.2862477871999998</v>
      </c>
      <c r="I44" s="17">
        <f t="shared" si="6"/>
        <v>2143.1238936</v>
      </c>
      <c r="J44" s="27"/>
      <c r="K44" s="10"/>
      <c r="L44" s="10"/>
      <c r="M44" s="10"/>
    </row>
    <row r="45" spans="1:13" ht="15.75" hidden="1" customHeight="1">
      <c r="A45" s="47">
        <v>19</v>
      </c>
      <c r="B45" s="69" t="s">
        <v>35</v>
      </c>
      <c r="C45" s="76" t="s">
        <v>109</v>
      </c>
      <c r="D45" s="69" t="s">
        <v>40</v>
      </c>
      <c r="E45" s="77">
        <v>1295.68</v>
      </c>
      <c r="F45" s="78">
        <f>SUM(E45*2/1000)</f>
        <v>2.5913600000000003</v>
      </c>
      <c r="G45" s="17">
        <v>1179.73</v>
      </c>
      <c r="H45" s="79">
        <f t="shared" si="5"/>
        <v>3.0571051328000003</v>
      </c>
      <c r="I45" s="17">
        <f t="shared" si="6"/>
        <v>1528.5525664000002</v>
      </c>
      <c r="J45" s="27"/>
      <c r="K45" s="10"/>
      <c r="L45" s="10"/>
      <c r="M45" s="10"/>
    </row>
    <row r="46" spans="1:13" ht="15.75" hidden="1" customHeight="1">
      <c r="A46" s="47">
        <v>20</v>
      </c>
      <c r="B46" s="69" t="s">
        <v>32</v>
      </c>
      <c r="C46" s="76" t="s">
        <v>33</v>
      </c>
      <c r="D46" s="69" t="s">
        <v>40</v>
      </c>
      <c r="E46" s="77">
        <v>85.84</v>
      </c>
      <c r="F46" s="78">
        <f>E46*2/100</f>
        <v>1.7168000000000001</v>
      </c>
      <c r="G46" s="17">
        <v>90.61</v>
      </c>
      <c r="H46" s="79">
        <f t="shared" si="5"/>
        <v>0.15555924799999998</v>
      </c>
      <c r="I46" s="17">
        <f>F46/2*G46</f>
        <v>77.779623999999998</v>
      </c>
      <c r="J46" s="27"/>
      <c r="K46" s="10"/>
      <c r="L46" s="10"/>
      <c r="M46" s="10"/>
    </row>
    <row r="47" spans="1:13" ht="15.75" hidden="1" customHeight="1">
      <c r="A47" s="47">
        <v>21</v>
      </c>
      <c r="B47" s="69" t="s">
        <v>54</v>
      </c>
      <c r="C47" s="76" t="s">
        <v>109</v>
      </c>
      <c r="D47" s="69" t="s">
        <v>147</v>
      </c>
      <c r="E47" s="77">
        <v>2549.5</v>
      </c>
      <c r="F47" s="78">
        <f>SUM(E47*5/1000)</f>
        <v>12.7475</v>
      </c>
      <c r="G47" s="17">
        <v>1711.28</v>
      </c>
      <c r="H47" s="79">
        <f t="shared" si="5"/>
        <v>21.814541800000001</v>
      </c>
      <c r="I47" s="17">
        <f>F47/5*G47</f>
        <v>4362.9083600000004</v>
      </c>
      <c r="J47" s="27"/>
      <c r="K47" s="10"/>
      <c r="L47" s="10"/>
      <c r="M47" s="10"/>
    </row>
    <row r="48" spans="1:13" ht="31.5" hidden="1" customHeight="1">
      <c r="A48" s="47">
        <v>12</v>
      </c>
      <c r="B48" s="69" t="s">
        <v>118</v>
      </c>
      <c r="C48" s="76" t="s">
        <v>109</v>
      </c>
      <c r="D48" s="69" t="s">
        <v>40</v>
      </c>
      <c r="E48" s="77">
        <v>2549.5</v>
      </c>
      <c r="F48" s="78">
        <f>SUM(E48*2/1000)</f>
        <v>5.0990000000000002</v>
      </c>
      <c r="G48" s="17">
        <v>1510.06</v>
      </c>
      <c r="H48" s="79">
        <f t="shared" si="5"/>
        <v>7.6997959399999996</v>
      </c>
      <c r="I48" s="17">
        <f>F48/2*G48</f>
        <v>3849.89797</v>
      </c>
      <c r="J48" s="27"/>
      <c r="K48" s="10"/>
      <c r="L48" s="10"/>
      <c r="M48" s="10"/>
    </row>
    <row r="49" spans="1:14" ht="31.5" hidden="1" customHeight="1">
      <c r="A49" s="47">
        <v>13</v>
      </c>
      <c r="B49" s="69" t="s">
        <v>119</v>
      </c>
      <c r="C49" s="76" t="s">
        <v>36</v>
      </c>
      <c r="D49" s="69" t="s">
        <v>40</v>
      </c>
      <c r="E49" s="77">
        <v>16</v>
      </c>
      <c r="F49" s="78">
        <f>SUM(E49*2/100)</f>
        <v>0.32</v>
      </c>
      <c r="G49" s="17">
        <v>3850.4</v>
      </c>
      <c r="H49" s="79">
        <f t="shared" si="5"/>
        <v>1.2321280000000001</v>
      </c>
      <c r="I49" s="17">
        <f t="shared" ref="I49:I50" si="7">F49/2*G49</f>
        <v>616.06400000000008</v>
      </c>
      <c r="J49" s="27"/>
      <c r="K49" s="10"/>
    </row>
    <row r="50" spans="1:14" ht="15.75" hidden="1" customHeight="1">
      <c r="A50" s="47">
        <v>14</v>
      </c>
      <c r="B50" s="69" t="s">
        <v>37</v>
      </c>
      <c r="C50" s="76" t="s">
        <v>38</v>
      </c>
      <c r="D50" s="69" t="s">
        <v>40</v>
      </c>
      <c r="E50" s="77">
        <v>1</v>
      </c>
      <c r="F50" s="78">
        <v>0.02</v>
      </c>
      <c r="G50" s="17">
        <v>7033.13</v>
      </c>
      <c r="H50" s="79">
        <f t="shared" si="5"/>
        <v>0.1406626</v>
      </c>
      <c r="I50" s="17">
        <f t="shared" si="7"/>
        <v>70.331299999999999</v>
      </c>
      <c r="J50" s="75"/>
    </row>
    <row r="51" spans="1:14" ht="15.75" hidden="1" customHeight="1">
      <c r="A51" s="47">
        <v>22</v>
      </c>
      <c r="B51" s="69" t="s">
        <v>120</v>
      </c>
      <c r="C51" s="76" t="s">
        <v>96</v>
      </c>
      <c r="D51" s="69" t="s">
        <v>63</v>
      </c>
      <c r="E51" s="77">
        <v>64</v>
      </c>
      <c r="F51" s="78">
        <f>E51*3</f>
        <v>192</v>
      </c>
      <c r="G51" s="17">
        <v>175.6</v>
      </c>
      <c r="H51" s="79">
        <f t="shared" si="5"/>
        <v>33.715199999999996</v>
      </c>
      <c r="I51" s="17">
        <f>E51*G51</f>
        <v>11238.4</v>
      </c>
      <c r="J51" s="75"/>
    </row>
    <row r="52" spans="1:14" ht="15.75" hidden="1" customHeight="1">
      <c r="A52" s="47">
        <v>23</v>
      </c>
      <c r="B52" s="69" t="s">
        <v>39</v>
      </c>
      <c r="C52" s="76" t="s">
        <v>96</v>
      </c>
      <c r="D52" s="69" t="s">
        <v>63</v>
      </c>
      <c r="E52" s="77">
        <v>128</v>
      </c>
      <c r="F52" s="78">
        <f>SUM(E52)*3</f>
        <v>384</v>
      </c>
      <c r="G52" s="17">
        <v>81.73</v>
      </c>
      <c r="H52" s="79">
        <f t="shared" si="5"/>
        <v>31.384319999999999</v>
      </c>
      <c r="I52" s="17">
        <f>E52*G52</f>
        <v>10461.44</v>
      </c>
      <c r="J52" s="75"/>
    </row>
    <row r="53" spans="1:14" ht="15.75" customHeight="1">
      <c r="A53" s="159" t="s">
        <v>79</v>
      </c>
      <c r="B53" s="160"/>
      <c r="C53" s="160"/>
      <c r="D53" s="160"/>
      <c r="E53" s="160"/>
      <c r="F53" s="160"/>
      <c r="G53" s="160"/>
      <c r="H53" s="160"/>
      <c r="I53" s="161"/>
      <c r="J53" s="75"/>
    </row>
    <row r="54" spans="1:14" ht="15.75" hidden="1" customHeight="1">
      <c r="A54" s="61"/>
      <c r="B54" s="61" t="s">
        <v>41</v>
      </c>
      <c r="C54" s="61"/>
      <c r="D54" s="61"/>
      <c r="E54" s="61"/>
      <c r="F54" s="61"/>
      <c r="G54" s="61"/>
      <c r="H54" s="61"/>
      <c r="I54" s="61"/>
      <c r="J54" s="75"/>
    </row>
    <row r="55" spans="1:14" ht="21" hidden="1" customHeight="1">
      <c r="A55" s="123"/>
      <c r="B55" s="124" t="s">
        <v>121</v>
      </c>
      <c r="C55" s="125" t="s">
        <v>86</v>
      </c>
      <c r="D55" s="124" t="s">
        <v>122</v>
      </c>
      <c r="E55" s="84">
        <v>8</v>
      </c>
      <c r="F55" s="126">
        <f>SUM(E55*6/100)</f>
        <v>0.48</v>
      </c>
      <c r="G55" s="127">
        <v>2306.62</v>
      </c>
      <c r="H55" s="128">
        <f>SUM(F55*G55/1000)</f>
        <v>1.1071776</v>
      </c>
      <c r="I55" s="127">
        <f>F55/6*G55</f>
        <v>184.52959999999999</v>
      </c>
      <c r="J55" s="75"/>
    </row>
    <row r="56" spans="1:14" ht="18.75" hidden="1" customHeight="1">
      <c r="A56" s="47">
        <v>7</v>
      </c>
      <c r="B56" s="19" t="s">
        <v>80</v>
      </c>
      <c r="C56" s="21" t="s">
        <v>177</v>
      </c>
      <c r="D56" s="19"/>
      <c r="E56" s="94"/>
      <c r="F56" s="93"/>
      <c r="G56" s="41">
        <v>1501</v>
      </c>
      <c r="H56" s="93"/>
      <c r="I56" s="17">
        <f>G56*3.5</f>
        <v>5253.5</v>
      </c>
      <c r="J56" s="75"/>
    </row>
    <row r="57" spans="1:14" ht="15.75" hidden="1" customHeight="1">
      <c r="A57" s="47"/>
      <c r="B57" s="71" t="s">
        <v>42</v>
      </c>
      <c r="C57" s="39"/>
      <c r="D57" s="39"/>
      <c r="E57" s="16"/>
      <c r="F57" s="16"/>
      <c r="G57" s="40"/>
      <c r="H57" s="40"/>
      <c r="I57" s="64"/>
      <c r="J57" s="75"/>
      <c r="L57" s="24"/>
      <c r="M57" s="25"/>
      <c r="N57" s="26"/>
    </row>
    <row r="58" spans="1:14" ht="15.75" hidden="1" customHeight="1">
      <c r="A58" s="47">
        <v>29</v>
      </c>
      <c r="B58" s="88" t="s">
        <v>43</v>
      </c>
      <c r="C58" s="87" t="s">
        <v>51</v>
      </c>
      <c r="D58" s="88" t="s">
        <v>52</v>
      </c>
      <c r="E58" s="89">
        <v>7.4</v>
      </c>
      <c r="F58" s="17">
        <f>SUM(E58/100)</f>
        <v>7.400000000000001E-2</v>
      </c>
      <c r="G58" s="17">
        <v>987.51</v>
      </c>
      <c r="H58" s="91">
        <f>F58*G58/1000</f>
        <v>7.3075740000000014E-2</v>
      </c>
      <c r="I58" s="17">
        <v>0</v>
      </c>
      <c r="J58" s="75"/>
      <c r="L58" s="24"/>
      <c r="M58" s="25"/>
      <c r="N58" s="26"/>
    </row>
    <row r="59" spans="1:14" ht="15.75" customHeight="1">
      <c r="A59" s="47"/>
      <c r="B59" s="71" t="s">
        <v>44</v>
      </c>
      <c r="C59" s="21"/>
      <c r="D59" s="66"/>
      <c r="E59" s="16"/>
      <c r="F59" s="16"/>
      <c r="G59" s="31"/>
      <c r="H59" s="31"/>
      <c r="I59" s="64"/>
      <c r="J59" s="75"/>
      <c r="L59" s="24"/>
      <c r="M59" s="25"/>
      <c r="N59" s="26"/>
    </row>
    <row r="60" spans="1:14" ht="15.75" hidden="1" customHeight="1">
      <c r="A60" s="47">
        <v>9</v>
      </c>
      <c r="B60" s="19" t="s">
        <v>45</v>
      </c>
      <c r="C60" s="21" t="s">
        <v>96</v>
      </c>
      <c r="D60" s="19" t="s">
        <v>61</v>
      </c>
      <c r="E60" s="23">
        <v>1</v>
      </c>
      <c r="F60" s="17">
        <f>SUM(E60)</f>
        <v>1</v>
      </c>
      <c r="G60" s="17">
        <v>276.74</v>
      </c>
      <c r="H60" s="80">
        <f t="shared" ref="H60:H69" si="8">SUM(F60*G60/1000)</f>
        <v>0.27673999999999999</v>
      </c>
      <c r="I60" s="17">
        <v>0</v>
      </c>
      <c r="J60" s="75"/>
      <c r="L60" s="24"/>
      <c r="M60" s="25"/>
      <c r="N60" s="26"/>
    </row>
    <row r="61" spans="1:14" ht="15.75" hidden="1" customHeight="1">
      <c r="A61" s="67"/>
      <c r="B61" s="19" t="s">
        <v>46</v>
      </c>
      <c r="C61" s="21" t="s">
        <v>96</v>
      </c>
      <c r="D61" s="19" t="s">
        <v>61</v>
      </c>
      <c r="E61" s="23">
        <v>2</v>
      </c>
      <c r="F61" s="17">
        <f>SUM(E61)</f>
        <v>2</v>
      </c>
      <c r="G61" s="17">
        <v>94.89</v>
      </c>
      <c r="H61" s="80">
        <f t="shared" si="8"/>
        <v>0.18978</v>
      </c>
      <c r="I61" s="17">
        <v>0</v>
      </c>
      <c r="J61" s="75"/>
      <c r="L61" s="24"/>
      <c r="M61" s="25"/>
      <c r="N61" s="26"/>
    </row>
    <row r="62" spans="1:14" ht="15.75" customHeight="1">
      <c r="A62" s="67">
        <v>12</v>
      </c>
      <c r="B62" s="19" t="s">
        <v>47</v>
      </c>
      <c r="C62" s="21" t="s">
        <v>97</v>
      </c>
      <c r="D62" s="19"/>
      <c r="E62" s="77">
        <v>10052</v>
      </c>
      <c r="F62" s="17">
        <f>SUM(E62/100)</f>
        <v>100.52</v>
      </c>
      <c r="G62" s="17">
        <v>263.99</v>
      </c>
      <c r="H62" s="80">
        <f t="shared" si="8"/>
        <v>26.536274799999997</v>
      </c>
      <c r="I62" s="17">
        <f>F62*G62</f>
        <v>26536.274799999999</v>
      </c>
      <c r="J62" s="75"/>
      <c r="L62" s="24"/>
      <c r="M62" s="25"/>
      <c r="N62" s="26"/>
    </row>
    <row r="63" spans="1:14" ht="15.75" customHeight="1">
      <c r="A63" s="67">
        <v>13</v>
      </c>
      <c r="B63" s="19" t="s">
        <v>48</v>
      </c>
      <c r="C63" s="21" t="s">
        <v>98</v>
      </c>
      <c r="D63" s="19"/>
      <c r="E63" s="77">
        <v>10052</v>
      </c>
      <c r="F63" s="17">
        <f>SUM(E63/1000)</f>
        <v>10.052</v>
      </c>
      <c r="G63" s="17">
        <v>205.57</v>
      </c>
      <c r="H63" s="80">
        <f t="shared" si="8"/>
        <v>2.0663896399999997</v>
      </c>
      <c r="I63" s="17">
        <f t="shared" ref="I63:I67" si="9">F63*G63</f>
        <v>2066.3896399999999</v>
      </c>
      <c r="J63" s="75"/>
      <c r="L63" s="24"/>
      <c r="M63" s="25"/>
      <c r="N63" s="26"/>
    </row>
    <row r="64" spans="1:14" ht="15.75" customHeight="1">
      <c r="A64" s="67">
        <v>14</v>
      </c>
      <c r="B64" s="19" t="s">
        <v>49</v>
      </c>
      <c r="C64" s="21" t="s">
        <v>69</v>
      </c>
      <c r="D64" s="19"/>
      <c r="E64" s="77">
        <v>2200</v>
      </c>
      <c r="F64" s="17">
        <f>SUM(E64/100)</f>
        <v>22</v>
      </c>
      <c r="G64" s="17">
        <v>2581.5300000000002</v>
      </c>
      <c r="H64" s="80">
        <f t="shared" si="8"/>
        <v>56.793660000000003</v>
      </c>
      <c r="I64" s="17">
        <f t="shared" si="9"/>
        <v>56793.66</v>
      </c>
      <c r="J64" s="75"/>
      <c r="L64" s="24"/>
      <c r="M64" s="25"/>
      <c r="N64" s="26"/>
    </row>
    <row r="65" spans="1:14" ht="15.75" customHeight="1">
      <c r="A65" s="67">
        <v>15</v>
      </c>
      <c r="B65" s="92" t="s">
        <v>99</v>
      </c>
      <c r="C65" s="21" t="s">
        <v>31</v>
      </c>
      <c r="D65" s="19"/>
      <c r="E65" s="77">
        <v>9.4</v>
      </c>
      <c r="F65" s="17">
        <f>SUM(E65)</f>
        <v>9.4</v>
      </c>
      <c r="G65" s="17">
        <v>47.45</v>
      </c>
      <c r="H65" s="80">
        <f t="shared" si="8"/>
        <v>0.44603000000000004</v>
      </c>
      <c r="I65" s="17">
        <f t="shared" si="9"/>
        <v>446.03000000000003</v>
      </c>
      <c r="J65" s="75"/>
      <c r="L65" s="24"/>
      <c r="M65" s="25"/>
      <c r="N65" s="26"/>
    </row>
    <row r="66" spans="1:14" ht="15.75" customHeight="1">
      <c r="A66" s="67">
        <v>16</v>
      </c>
      <c r="B66" s="92" t="s">
        <v>100</v>
      </c>
      <c r="C66" s="21" t="s">
        <v>31</v>
      </c>
      <c r="D66" s="19"/>
      <c r="E66" s="77">
        <v>9.4</v>
      </c>
      <c r="F66" s="17">
        <f>SUM(E66)</f>
        <v>9.4</v>
      </c>
      <c r="G66" s="17">
        <v>44.27</v>
      </c>
      <c r="H66" s="80">
        <f t="shared" si="8"/>
        <v>0.41613800000000001</v>
      </c>
      <c r="I66" s="17">
        <f t="shared" si="9"/>
        <v>416.13800000000003</v>
      </c>
      <c r="J66" s="75"/>
      <c r="L66" s="24"/>
      <c r="M66" s="25"/>
      <c r="N66" s="26"/>
    </row>
    <row r="67" spans="1:14" ht="15.75" hidden="1" customHeight="1">
      <c r="A67" s="67"/>
      <c r="B67" s="19" t="s">
        <v>55</v>
      </c>
      <c r="C67" s="21" t="s">
        <v>56</v>
      </c>
      <c r="D67" s="19" t="s">
        <v>52</v>
      </c>
      <c r="E67" s="23">
        <v>2</v>
      </c>
      <c r="F67" s="17">
        <f>SUM(E67)</f>
        <v>2</v>
      </c>
      <c r="G67" s="17">
        <v>62.07</v>
      </c>
      <c r="H67" s="80">
        <f t="shared" si="8"/>
        <v>0.12414</v>
      </c>
      <c r="I67" s="17">
        <f t="shared" si="9"/>
        <v>124.14</v>
      </c>
      <c r="J67" s="75"/>
      <c r="L67" s="24"/>
      <c r="M67" s="25"/>
      <c r="N67" s="26"/>
    </row>
    <row r="68" spans="1:14" ht="15.75" customHeight="1">
      <c r="A68" s="67"/>
      <c r="B68" s="134" t="s">
        <v>181</v>
      </c>
      <c r="C68" s="21"/>
      <c r="D68" s="19"/>
      <c r="E68" s="23"/>
      <c r="F68" s="17"/>
      <c r="G68" s="17"/>
      <c r="H68" s="80"/>
      <c r="I68" s="17"/>
      <c r="J68" s="75"/>
      <c r="L68" s="24"/>
      <c r="M68" s="25"/>
      <c r="N68" s="26"/>
    </row>
    <row r="69" spans="1:14" ht="15.75" customHeight="1">
      <c r="A69" s="68">
        <v>17</v>
      </c>
      <c r="B69" s="19" t="s">
        <v>81</v>
      </c>
      <c r="C69" s="31" t="s">
        <v>101</v>
      </c>
      <c r="D69" s="19"/>
      <c r="E69" s="23">
        <v>2549.5</v>
      </c>
      <c r="F69" s="17">
        <f>SUM(E69*12)</f>
        <v>30594</v>
      </c>
      <c r="G69" s="17">
        <v>2.16</v>
      </c>
      <c r="H69" s="80">
        <f t="shared" si="8"/>
        <v>66.083040000000011</v>
      </c>
      <c r="I69" s="17">
        <f>F69/12*G69</f>
        <v>5506.92</v>
      </c>
      <c r="J69" s="75"/>
      <c r="L69" s="24"/>
      <c r="M69" s="25"/>
      <c r="N69" s="26"/>
    </row>
    <row r="70" spans="1:14" ht="15.75" hidden="1" customHeight="1">
      <c r="A70" s="61"/>
      <c r="B70" s="71" t="s">
        <v>102</v>
      </c>
      <c r="C70" s="71"/>
      <c r="D70" s="71"/>
      <c r="E70" s="71"/>
      <c r="F70" s="71"/>
      <c r="G70" s="71"/>
      <c r="H70" s="71"/>
      <c r="I70" s="23"/>
      <c r="J70" s="75"/>
      <c r="L70" s="24"/>
      <c r="M70" s="25"/>
      <c r="N70" s="26"/>
    </row>
    <row r="71" spans="1:14" ht="15.75" hidden="1" customHeight="1">
      <c r="A71" s="31">
        <v>31</v>
      </c>
      <c r="B71" s="69" t="s">
        <v>103</v>
      </c>
      <c r="C71" s="21"/>
      <c r="D71" s="19"/>
      <c r="E71" s="94"/>
      <c r="F71" s="17">
        <v>1</v>
      </c>
      <c r="G71" s="17">
        <v>22720</v>
      </c>
      <c r="H71" s="80">
        <f>G71*F71/1000</f>
        <v>22.72</v>
      </c>
      <c r="I71" s="17">
        <f>G71</f>
        <v>22720</v>
      </c>
      <c r="J71" s="75"/>
      <c r="L71" s="24"/>
      <c r="M71" s="25"/>
      <c r="N71" s="26"/>
    </row>
    <row r="72" spans="1:14" ht="15.75" hidden="1" customHeight="1">
      <c r="A72" s="68"/>
      <c r="B72" s="71" t="s">
        <v>64</v>
      </c>
      <c r="C72" s="21"/>
      <c r="D72" s="19"/>
      <c r="E72" s="16"/>
      <c r="F72" s="16"/>
      <c r="G72" s="31"/>
      <c r="H72" s="31"/>
      <c r="I72" s="64"/>
      <c r="J72" s="75"/>
      <c r="L72" s="24"/>
      <c r="M72" s="25"/>
      <c r="N72" s="26"/>
    </row>
    <row r="73" spans="1:14" ht="15.75" hidden="1" customHeight="1">
      <c r="A73" s="68">
        <v>16</v>
      </c>
      <c r="B73" s="19" t="s">
        <v>104</v>
      </c>
      <c r="C73" s="21" t="s">
        <v>105</v>
      </c>
      <c r="D73" s="19" t="s">
        <v>61</v>
      </c>
      <c r="E73" s="23">
        <v>1</v>
      </c>
      <c r="F73" s="17">
        <f>E73</f>
        <v>1</v>
      </c>
      <c r="G73" s="17">
        <v>976.4</v>
      </c>
      <c r="H73" s="80">
        <f t="shared" ref="H73:H75" si="10">SUM(F73*G73/1000)</f>
        <v>0.97639999999999993</v>
      </c>
      <c r="I73" s="17">
        <v>0</v>
      </c>
      <c r="J73" s="75"/>
      <c r="L73" s="24"/>
      <c r="M73" s="25"/>
      <c r="N73" s="26"/>
    </row>
    <row r="74" spans="1:14" ht="15.75" hidden="1" customHeight="1">
      <c r="A74" s="68"/>
      <c r="B74" s="19" t="s">
        <v>106</v>
      </c>
      <c r="C74" s="21" t="s">
        <v>107</v>
      </c>
      <c r="D74" s="19" t="s">
        <v>61</v>
      </c>
      <c r="E74" s="23">
        <v>1</v>
      </c>
      <c r="F74" s="17">
        <v>1</v>
      </c>
      <c r="G74" s="17">
        <v>735</v>
      </c>
      <c r="H74" s="80">
        <f t="shared" si="10"/>
        <v>0.73499999999999999</v>
      </c>
      <c r="I74" s="17">
        <v>0</v>
      </c>
      <c r="J74" s="75"/>
      <c r="L74" s="24"/>
      <c r="M74" s="25"/>
      <c r="N74" s="26"/>
    </row>
    <row r="75" spans="1:14" ht="15.75" hidden="1" customHeight="1">
      <c r="A75" s="68">
        <v>11</v>
      </c>
      <c r="B75" s="19" t="s">
        <v>65</v>
      </c>
      <c r="C75" s="21" t="s">
        <v>67</v>
      </c>
      <c r="D75" s="19" t="s">
        <v>61</v>
      </c>
      <c r="E75" s="23">
        <v>3</v>
      </c>
      <c r="F75" s="17">
        <v>0.3</v>
      </c>
      <c r="G75" s="17">
        <v>624.16999999999996</v>
      </c>
      <c r="H75" s="80">
        <f t="shared" si="10"/>
        <v>0.18725099999999997</v>
      </c>
      <c r="I75" s="17">
        <f>G75*0.2</f>
        <v>124.834</v>
      </c>
      <c r="J75" s="75"/>
      <c r="L75" s="24"/>
      <c r="M75" s="25"/>
      <c r="N75" s="26"/>
    </row>
    <row r="76" spans="1:14" ht="15.75" hidden="1" customHeight="1">
      <c r="A76" s="68"/>
      <c r="B76" s="19" t="s">
        <v>66</v>
      </c>
      <c r="C76" s="21" t="s">
        <v>29</v>
      </c>
      <c r="D76" s="19" t="s">
        <v>61</v>
      </c>
      <c r="E76" s="23">
        <v>1</v>
      </c>
      <c r="F76" s="93">
        <v>1</v>
      </c>
      <c r="G76" s="17">
        <v>1061.4100000000001</v>
      </c>
      <c r="H76" s="80">
        <f>F76*G76/1000</f>
        <v>1.0614100000000002</v>
      </c>
      <c r="I76" s="17">
        <v>0</v>
      </c>
      <c r="J76" s="75"/>
      <c r="L76" s="24"/>
      <c r="M76" s="25"/>
      <c r="N76" s="26"/>
    </row>
    <row r="77" spans="1:14" ht="15.75" hidden="1" customHeight="1">
      <c r="A77" s="68"/>
      <c r="B77" s="19" t="s">
        <v>82</v>
      </c>
      <c r="C77" s="21" t="s">
        <v>29</v>
      </c>
      <c r="D77" s="19" t="s">
        <v>61</v>
      </c>
      <c r="E77" s="23">
        <v>1</v>
      </c>
      <c r="F77" s="17">
        <v>1</v>
      </c>
      <c r="G77" s="17">
        <v>446.12</v>
      </c>
      <c r="H77" s="80">
        <f>G77*F77/1000</f>
        <v>0.44612000000000002</v>
      </c>
      <c r="I77" s="17">
        <v>0</v>
      </c>
      <c r="J77" s="75"/>
      <c r="L77" s="24"/>
      <c r="M77" s="25"/>
      <c r="N77" s="26"/>
    </row>
    <row r="78" spans="1:14" ht="15.75" hidden="1" customHeight="1">
      <c r="A78" s="68"/>
      <c r="B78" s="56" t="s">
        <v>68</v>
      </c>
      <c r="C78" s="44"/>
      <c r="D78" s="43"/>
      <c r="E78" s="23"/>
      <c r="F78" s="23"/>
      <c r="G78" s="42"/>
      <c r="H78" s="42"/>
      <c r="I78" s="64"/>
      <c r="J78" s="75"/>
      <c r="L78" s="24"/>
      <c r="M78" s="25"/>
      <c r="N78" s="26"/>
    </row>
    <row r="79" spans="1:14" ht="15.75" hidden="1" customHeight="1">
      <c r="A79" s="68"/>
      <c r="B79" s="57" t="s">
        <v>108</v>
      </c>
      <c r="C79" s="21" t="s">
        <v>69</v>
      </c>
      <c r="D79" s="19"/>
      <c r="E79" s="23"/>
      <c r="F79" s="17">
        <v>1</v>
      </c>
      <c r="G79" s="17">
        <v>3433.68</v>
      </c>
      <c r="H79" s="80">
        <f t="shared" ref="H79" si="11">SUM(F79*G79/1000)</f>
        <v>3.4336799999999998</v>
      </c>
      <c r="I79" s="17">
        <v>0</v>
      </c>
      <c r="J79" s="75"/>
      <c r="L79" s="24"/>
      <c r="M79" s="25"/>
      <c r="N79" s="26"/>
    </row>
    <row r="80" spans="1:14" ht="15.75" customHeight="1">
      <c r="A80" s="165" t="s">
        <v>133</v>
      </c>
      <c r="B80" s="166"/>
      <c r="C80" s="166"/>
      <c r="D80" s="166"/>
      <c r="E80" s="166"/>
      <c r="F80" s="166"/>
      <c r="G80" s="166"/>
      <c r="H80" s="166"/>
      <c r="I80" s="167"/>
      <c r="J80" s="75"/>
      <c r="L80" s="24"/>
      <c r="M80" s="25"/>
      <c r="N80" s="26"/>
    </row>
    <row r="81" spans="1:22" ht="15.75" customHeight="1">
      <c r="A81" s="68">
        <v>18</v>
      </c>
      <c r="B81" s="69" t="s">
        <v>123</v>
      </c>
      <c r="C81" s="21" t="s">
        <v>53</v>
      </c>
      <c r="D81" s="19"/>
      <c r="E81" s="17">
        <v>2549.5</v>
      </c>
      <c r="F81" s="17">
        <f>SUM(E81*12)</f>
        <v>30594</v>
      </c>
      <c r="G81" s="17">
        <v>2.95</v>
      </c>
      <c r="H81" s="80">
        <f>SUM(F81*G81/1000)</f>
        <v>90.252300000000005</v>
      </c>
      <c r="I81" s="17">
        <f>F81/12*G81</f>
        <v>7521.0250000000005</v>
      </c>
      <c r="J81" s="75"/>
      <c r="L81" s="24"/>
      <c r="M81" s="25"/>
      <c r="N81" s="26"/>
    </row>
    <row r="82" spans="1:22" ht="31.5" customHeight="1">
      <c r="A82" s="31">
        <v>19</v>
      </c>
      <c r="B82" s="19" t="s">
        <v>70</v>
      </c>
      <c r="C82" s="21"/>
      <c r="D82" s="19"/>
      <c r="E82" s="77">
        <v>2549.5</v>
      </c>
      <c r="F82" s="17">
        <f>E82*12</f>
        <v>30594</v>
      </c>
      <c r="G82" s="17">
        <v>3.05</v>
      </c>
      <c r="H82" s="80">
        <f>F82*G82/1000</f>
        <v>93.311700000000002</v>
      </c>
      <c r="I82" s="17">
        <f>F82/12*G82</f>
        <v>7775.9749999999995</v>
      </c>
      <c r="J82" s="75"/>
      <c r="L82" s="24"/>
      <c r="M82" s="25"/>
      <c r="N82" s="26"/>
    </row>
    <row r="83" spans="1:22" ht="15.75" customHeight="1">
      <c r="A83" s="61"/>
      <c r="B83" s="45" t="s">
        <v>72</v>
      </c>
      <c r="C83" s="47"/>
      <c r="D83" s="20"/>
      <c r="E83" s="20"/>
      <c r="F83" s="20"/>
      <c r="G83" s="23"/>
      <c r="H83" s="23"/>
      <c r="I83" s="35">
        <f>I82+I81+I69+I66+I65+I64+I63+I62+I30+I29+I25+I24+I23+I22+I21+I20+I18+I17+I16</f>
        <v>118408.17369999998</v>
      </c>
      <c r="J83" s="75"/>
      <c r="L83" s="24"/>
      <c r="M83" s="25"/>
      <c r="N83" s="26"/>
    </row>
    <row r="84" spans="1:22" ht="15.75" customHeight="1">
      <c r="A84" s="162" t="s">
        <v>57</v>
      </c>
      <c r="B84" s="163"/>
      <c r="C84" s="163"/>
      <c r="D84" s="163"/>
      <c r="E84" s="163"/>
      <c r="F84" s="163"/>
      <c r="G84" s="163"/>
      <c r="H84" s="163"/>
      <c r="I84" s="164"/>
      <c r="J84" s="75"/>
      <c r="L84" s="24"/>
      <c r="M84" s="25"/>
      <c r="N84" s="26"/>
    </row>
    <row r="85" spans="1:22" ht="15.75" customHeight="1">
      <c r="A85" s="31">
        <v>20</v>
      </c>
      <c r="B85" s="19" t="s">
        <v>154</v>
      </c>
      <c r="C85" s="21" t="s">
        <v>155</v>
      </c>
      <c r="D85" s="19"/>
      <c r="E85" s="23"/>
      <c r="F85" s="17">
        <v>96</v>
      </c>
      <c r="G85" s="17">
        <v>1.4</v>
      </c>
      <c r="H85" s="17">
        <f>F85*G85/1000</f>
        <v>0.13439999999999996</v>
      </c>
      <c r="I85" s="17">
        <f>G85*48</f>
        <v>67.199999999999989</v>
      </c>
      <c r="J85" s="75"/>
      <c r="L85" s="24"/>
      <c r="M85" s="25"/>
      <c r="N85" s="26"/>
    </row>
    <row r="86" spans="1:22" ht="15.75" customHeight="1">
      <c r="A86" s="68">
        <v>21</v>
      </c>
      <c r="B86" s="117" t="s">
        <v>183</v>
      </c>
      <c r="C86" s="118" t="s">
        <v>38</v>
      </c>
      <c r="D86" s="43" t="s">
        <v>173</v>
      </c>
      <c r="E86" s="22"/>
      <c r="F86" s="41">
        <v>0.04</v>
      </c>
      <c r="G86" s="41">
        <v>28224.75</v>
      </c>
      <c r="H86" s="80"/>
      <c r="I86" s="96">
        <v>0</v>
      </c>
      <c r="J86" s="75"/>
      <c r="L86" s="24"/>
      <c r="M86" s="25"/>
      <c r="N86" s="26"/>
    </row>
    <row r="87" spans="1:22" ht="15.75" customHeight="1">
      <c r="A87" s="68">
        <v>22</v>
      </c>
      <c r="B87" s="117" t="s">
        <v>156</v>
      </c>
      <c r="C87" s="118" t="s">
        <v>164</v>
      </c>
      <c r="D87" s="43" t="s">
        <v>261</v>
      </c>
      <c r="E87" s="22"/>
      <c r="F87" s="41">
        <v>69</v>
      </c>
      <c r="G87" s="41">
        <v>295.36</v>
      </c>
      <c r="H87" s="80"/>
      <c r="I87" s="96">
        <v>0</v>
      </c>
      <c r="J87" s="75"/>
      <c r="L87" s="24"/>
      <c r="M87" s="25"/>
      <c r="N87" s="26"/>
    </row>
    <row r="88" spans="1:22" ht="17.25" customHeight="1">
      <c r="A88" s="68"/>
      <c r="B88" s="52" t="s">
        <v>50</v>
      </c>
      <c r="C88" s="118"/>
      <c r="D88" s="19"/>
      <c r="E88" s="23"/>
      <c r="F88" s="17"/>
      <c r="G88" s="41"/>
      <c r="H88" s="80"/>
      <c r="I88" s="119">
        <f>SUM(I85:I87)</f>
        <v>67.199999999999989</v>
      </c>
      <c r="J88" s="75"/>
      <c r="L88" s="24"/>
      <c r="M88" s="25"/>
      <c r="N88" s="26"/>
    </row>
    <row r="89" spans="1:22" ht="15.75" customHeight="1">
      <c r="A89" s="31"/>
      <c r="B89" s="57" t="s">
        <v>71</v>
      </c>
      <c r="C89" s="20"/>
      <c r="D89" s="20"/>
      <c r="E89" s="49"/>
      <c r="F89" s="49"/>
      <c r="G89" s="50"/>
      <c r="H89" s="50"/>
      <c r="I89" s="22">
        <v>0</v>
      </c>
      <c r="J89" s="75"/>
      <c r="L89" s="24"/>
      <c r="M89" s="25"/>
      <c r="N89" s="26"/>
    </row>
    <row r="90" spans="1:22" ht="15.75" customHeight="1">
      <c r="A90" s="63"/>
      <c r="B90" s="53" t="s">
        <v>149</v>
      </c>
      <c r="C90" s="39"/>
      <c r="D90" s="39"/>
      <c r="E90" s="39"/>
      <c r="F90" s="39"/>
      <c r="G90" s="39"/>
      <c r="H90" s="39"/>
      <c r="I90" s="51">
        <f>I88+I83</f>
        <v>118475.37369999998</v>
      </c>
      <c r="J90" s="75"/>
      <c r="L90" s="24"/>
    </row>
    <row r="91" spans="1:22" ht="15.75">
      <c r="A91" s="157" t="s">
        <v>262</v>
      </c>
      <c r="B91" s="157"/>
      <c r="C91" s="157"/>
      <c r="D91" s="157"/>
      <c r="E91" s="157"/>
      <c r="F91" s="157"/>
      <c r="G91" s="157"/>
      <c r="H91" s="157"/>
      <c r="I91" s="157"/>
    </row>
    <row r="92" spans="1:22" ht="15.75">
      <c r="A92" s="12"/>
      <c r="B92" s="158" t="s">
        <v>263</v>
      </c>
      <c r="C92" s="158"/>
      <c r="D92" s="158"/>
      <c r="E92" s="158"/>
      <c r="F92" s="158"/>
      <c r="G92" s="158"/>
      <c r="H92" s="98"/>
      <c r="I92" s="4"/>
    </row>
    <row r="93" spans="1:22" ht="15.75">
      <c r="A93" s="70"/>
      <c r="B93" s="173" t="s">
        <v>6</v>
      </c>
      <c r="C93" s="173"/>
      <c r="D93" s="173"/>
      <c r="E93" s="173"/>
      <c r="F93" s="173"/>
      <c r="G93" s="173"/>
      <c r="H93" s="74"/>
      <c r="I93" s="59"/>
    </row>
    <row r="94" spans="1:22" ht="15.75" customHeight="1">
      <c r="A94" s="60"/>
      <c r="B94" s="60"/>
      <c r="C94" s="60"/>
      <c r="D94" s="60"/>
      <c r="E94" s="60"/>
      <c r="F94" s="60"/>
      <c r="G94" s="60"/>
      <c r="H94" s="60"/>
      <c r="I94" s="60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11"/>
    </row>
    <row r="95" spans="1:22" ht="15.75" customHeight="1">
      <c r="A95" s="174" t="s">
        <v>7</v>
      </c>
      <c r="B95" s="174"/>
      <c r="C95" s="174"/>
      <c r="D95" s="174"/>
      <c r="E95" s="174"/>
      <c r="F95" s="174"/>
      <c r="G95" s="174"/>
      <c r="H95" s="174"/>
      <c r="I95" s="174"/>
      <c r="J95" s="29"/>
      <c r="K95" s="29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2" ht="15.75">
      <c r="A96" s="174" t="s">
        <v>8</v>
      </c>
      <c r="B96" s="174"/>
      <c r="C96" s="174"/>
      <c r="D96" s="174"/>
      <c r="E96" s="174"/>
      <c r="F96" s="174"/>
      <c r="G96" s="174"/>
      <c r="H96" s="174"/>
      <c r="I96" s="174"/>
      <c r="J96" s="4"/>
      <c r="K96" s="4"/>
      <c r="L96" s="4"/>
      <c r="M96" s="4"/>
      <c r="N96" s="4"/>
      <c r="O96" s="4"/>
      <c r="P96" s="4"/>
      <c r="Q96" s="4"/>
      <c r="S96" s="4"/>
      <c r="T96" s="4"/>
      <c r="U96" s="4"/>
    </row>
    <row r="97" spans="1:21" ht="15.75">
      <c r="A97" s="157" t="s">
        <v>9</v>
      </c>
      <c r="B97" s="157"/>
      <c r="C97" s="157"/>
      <c r="D97" s="157"/>
      <c r="E97" s="157"/>
      <c r="F97" s="157"/>
      <c r="G97" s="157"/>
      <c r="H97" s="157"/>
      <c r="I97" s="157"/>
      <c r="J97" s="6"/>
      <c r="K97" s="6"/>
      <c r="L97" s="6"/>
      <c r="M97" s="6"/>
      <c r="N97" s="6"/>
      <c r="O97" s="6"/>
      <c r="P97" s="6"/>
      <c r="Q97" s="6"/>
      <c r="R97" s="155"/>
      <c r="S97" s="155"/>
      <c r="T97" s="155"/>
      <c r="U97" s="155"/>
    </row>
    <row r="98" spans="1:21" ht="15.75">
      <c r="A98" s="13"/>
      <c r="B98" s="58"/>
      <c r="C98" s="58"/>
      <c r="D98" s="58"/>
      <c r="E98" s="58"/>
      <c r="F98" s="58"/>
      <c r="G98" s="58"/>
      <c r="H98" s="58"/>
      <c r="I98" s="58"/>
    </row>
    <row r="99" spans="1:21" ht="15.75">
      <c r="A99" s="156" t="s">
        <v>10</v>
      </c>
      <c r="B99" s="156"/>
      <c r="C99" s="156"/>
      <c r="D99" s="156"/>
      <c r="E99" s="156"/>
      <c r="F99" s="156"/>
      <c r="G99" s="156"/>
      <c r="H99" s="156"/>
      <c r="I99" s="156"/>
    </row>
    <row r="100" spans="1:21" ht="15.75" customHeight="1">
      <c r="A100" s="5"/>
    </row>
    <row r="101" spans="1:21" ht="15.75">
      <c r="A101" s="157" t="s">
        <v>11</v>
      </c>
      <c r="B101" s="157"/>
      <c r="C101" s="175" t="s">
        <v>188</v>
      </c>
      <c r="D101" s="175"/>
      <c r="E101" s="175"/>
      <c r="F101" s="72"/>
      <c r="I101" s="103"/>
    </row>
    <row r="102" spans="1:21">
      <c r="A102" s="104"/>
      <c r="C102" s="171" t="s">
        <v>12</v>
      </c>
      <c r="D102" s="171"/>
      <c r="E102" s="171"/>
      <c r="F102" s="28"/>
      <c r="I102" s="102" t="s">
        <v>13</v>
      </c>
    </row>
    <row r="103" spans="1:21" ht="15.75">
      <c r="A103" s="29"/>
      <c r="C103" s="14"/>
      <c r="D103" s="14"/>
      <c r="G103" s="14"/>
      <c r="H103" s="14"/>
    </row>
    <row r="104" spans="1:21" ht="15.75" customHeight="1">
      <c r="A104" s="157" t="s">
        <v>14</v>
      </c>
      <c r="B104" s="157"/>
      <c r="C104" s="172"/>
      <c r="D104" s="172"/>
      <c r="E104" s="172"/>
      <c r="F104" s="73"/>
      <c r="I104" s="103"/>
    </row>
    <row r="105" spans="1:21">
      <c r="A105" s="104"/>
      <c r="C105" s="155" t="s">
        <v>12</v>
      </c>
      <c r="D105" s="155"/>
      <c r="E105" s="155"/>
      <c r="F105" s="104"/>
      <c r="I105" s="102" t="s">
        <v>13</v>
      </c>
    </row>
    <row r="106" spans="1:21" ht="15.75">
      <c r="A106" s="5" t="s">
        <v>15</v>
      </c>
    </row>
    <row r="107" spans="1:21">
      <c r="A107" s="176" t="s">
        <v>16</v>
      </c>
      <c r="B107" s="176"/>
      <c r="C107" s="176"/>
      <c r="D107" s="176"/>
      <c r="E107" s="176"/>
      <c r="F107" s="176"/>
      <c r="G107" s="176"/>
      <c r="H107" s="176"/>
      <c r="I107" s="176"/>
    </row>
    <row r="108" spans="1:21" ht="45" customHeight="1">
      <c r="A108" s="177" t="s">
        <v>17</v>
      </c>
      <c r="B108" s="177"/>
      <c r="C108" s="177"/>
      <c r="D108" s="177"/>
      <c r="E108" s="177"/>
      <c r="F108" s="177"/>
      <c r="G108" s="177"/>
      <c r="H108" s="177"/>
      <c r="I108" s="177"/>
    </row>
    <row r="109" spans="1:21" ht="30" customHeight="1">
      <c r="A109" s="177" t="s">
        <v>18</v>
      </c>
      <c r="B109" s="177"/>
      <c r="C109" s="177"/>
      <c r="D109" s="177"/>
      <c r="E109" s="177"/>
      <c r="F109" s="177"/>
      <c r="G109" s="177"/>
      <c r="H109" s="177"/>
      <c r="I109" s="177"/>
    </row>
    <row r="110" spans="1:21" ht="30" customHeight="1">
      <c r="A110" s="177" t="s">
        <v>22</v>
      </c>
      <c r="B110" s="177"/>
      <c r="C110" s="177"/>
      <c r="D110" s="177"/>
      <c r="E110" s="177"/>
      <c r="F110" s="177"/>
      <c r="G110" s="177"/>
      <c r="H110" s="177"/>
      <c r="I110" s="177"/>
    </row>
    <row r="111" spans="1:21" ht="15" customHeight="1">
      <c r="A111" s="177" t="s">
        <v>21</v>
      </c>
      <c r="B111" s="177"/>
      <c r="C111" s="177"/>
      <c r="D111" s="177"/>
      <c r="E111" s="177"/>
      <c r="F111" s="177"/>
      <c r="G111" s="177"/>
      <c r="H111" s="177"/>
      <c r="I111" s="177"/>
    </row>
    <row r="113" spans="1:8">
      <c r="A113" s="15"/>
      <c r="B113" s="15"/>
      <c r="C113" s="15"/>
      <c r="D113" s="15"/>
      <c r="E113" s="15"/>
      <c r="F113" s="15"/>
      <c r="G113" s="15"/>
      <c r="H113" s="15"/>
    </row>
  </sheetData>
  <autoFilter ref="I15:I92"/>
  <mergeCells count="31">
    <mergeCell ref="A111:I111"/>
    <mergeCell ref="R97:U97"/>
    <mergeCell ref="A99:I99"/>
    <mergeCell ref="A101:B101"/>
    <mergeCell ref="C101:E101"/>
    <mergeCell ref="C102:E102"/>
    <mergeCell ref="A104:B104"/>
    <mergeCell ref="C104:E104"/>
    <mergeCell ref="A97:I97"/>
    <mergeCell ref="C105:E105"/>
    <mergeCell ref="A107:I107"/>
    <mergeCell ref="A108:I108"/>
    <mergeCell ref="A109:I109"/>
    <mergeCell ref="A110:I110"/>
    <mergeCell ref="A91:I91"/>
    <mergeCell ref="B92:G92"/>
    <mergeCell ref="B93:G93"/>
    <mergeCell ref="A95:I95"/>
    <mergeCell ref="A96:I96"/>
    <mergeCell ref="A84:I84"/>
    <mergeCell ref="A3:I3"/>
    <mergeCell ref="A4:I4"/>
    <mergeCell ref="A5:I5"/>
    <mergeCell ref="A8:I8"/>
    <mergeCell ref="A10:I10"/>
    <mergeCell ref="A14:I14"/>
    <mergeCell ref="A15:I15"/>
    <mergeCell ref="A27:I27"/>
    <mergeCell ref="A42:I42"/>
    <mergeCell ref="A53:I53"/>
    <mergeCell ref="A80:I80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8"/>
  <sheetViews>
    <sheetView topLeftCell="A18" workbookViewId="0">
      <selection activeCell="A92" sqref="A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159</v>
      </c>
      <c r="I1" s="32"/>
    </row>
    <row r="2" spans="1:15" s="58" customFormat="1" ht="15.75" customHeight="1">
      <c r="A2" s="30" t="s">
        <v>58</v>
      </c>
      <c r="J2" s="1"/>
      <c r="K2" s="1"/>
      <c r="L2" s="1"/>
      <c r="M2" s="1"/>
    </row>
    <row r="3" spans="1:15" s="58" customFormat="1" ht="15.75" customHeight="1">
      <c r="A3" s="150" t="s">
        <v>132</v>
      </c>
      <c r="B3" s="150"/>
      <c r="C3" s="150"/>
      <c r="D3" s="150"/>
      <c r="E3" s="150"/>
      <c r="F3" s="150"/>
      <c r="G3" s="150"/>
      <c r="H3" s="150"/>
      <c r="I3" s="150"/>
      <c r="J3" s="2"/>
      <c r="K3" s="2"/>
      <c r="L3" s="2"/>
      <c r="M3" s="2"/>
    </row>
    <row r="4" spans="1:15" s="58" customFormat="1" ht="31.5" customHeight="1">
      <c r="A4" s="151" t="s">
        <v>85</v>
      </c>
      <c r="B4" s="151"/>
      <c r="C4" s="151"/>
      <c r="D4" s="151"/>
      <c r="E4" s="151"/>
      <c r="F4" s="151"/>
      <c r="G4" s="151"/>
      <c r="H4" s="151"/>
      <c r="I4" s="151"/>
      <c r="J4" s="3"/>
      <c r="K4" s="3"/>
      <c r="L4" s="3"/>
      <c r="M4" s="3"/>
    </row>
    <row r="5" spans="1:15" s="58" customFormat="1" ht="15.75" customHeight="1">
      <c r="A5" s="150" t="s">
        <v>264</v>
      </c>
      <c r="B5" s="152"/>
      <c r="C5" s="152"/>
      <c r="D5" s="152"/>
      <c r="E5" s="152"/>
      <c r="F5" s="152"/>
      <c r="G5" s="152"/>
      <c r="H5" s="152"/>
      <c r="I5" s="152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44439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53" t="s">
        <v>187</v>
      </c>
      <c r="B8" s="153"/>
      <c r="C8" s="153"/>
      <c r="D8" s="153"/>
      <c r="E8" s="153"/>
      <c r="F8" s="153"/>
      <c r="G8" s="153"/>
      <c r="H8" s="153"/>
      <c r="I8" s="15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54" t="s">
        <v>158</v>
      </c>
      <c r="B10" s="154"/>
      <c r="C10" s="154"/>
      <c r="D10" s="154"/>
      <c r="E10" s="154"/>
      <c r="F10" s="154"/>
      <c r="G10" s="154"/>
      <c r="H10" s="154"/>
      <c r="I10" s="15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48" t="s">
        <v>139</v>
      </c>
      <c r="B14" s="149"/>
      <c r="C14" s="149"/>
      <c r="D14" s="149"/>
      <c r="E14" s="149"/>
      <c r="F14" s="149"/>
      <c r="G14" s="149"/>
      <c r="H14" s="149"/>
      <c r="I14" s="149"/>
      <c r="J14" s="114"/>
      <c r="K14" s="114"/>
      <c r="L14" s="10"/>
      <c r="M14" s="10"/>
      <c r="N14" s="10"/>
      <c r="O14" s="10"/>
    </row>
    <row r="15" spans="1:15" ht="15.75" customHeight="1">
      <c r="A15" s="145" t="s">
        <v>4</v>
      </c>
      <c r="B15" s="146"/>
      <c r="C15" s="146"/>
      <c r="D15" s="146"/>
      <c r="E15" s="146"/>
      <c r="F15" s="146"/>
      <c r="G15" s="146"/>
      <c r="H15" s="146"/>
      <c r="I15" s="147"/>
      <c r="J15" s="11"/>
      <c r="K15" s="11"/>
    </row>
    <row r="16" spans="1:15" ht="15.75" customHeight="1">
      <c r="A16" s="31">
        <v>1</v>
      </c>
      <c r="B16" s="69" t="s">
        <v>76</v>
      </c>
      <c r="C16" s="76" t="s">
        <v>86</v>
      </c>
      <c r="D16" s="69" t="s">
        <v>166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77</v>
      </c>
      <c r="C17" s="76" t="s">
        <v>86</v>
      </c>
      <c r="D17" s="69" t="s">
        <v>167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78</v>
      </c>
      <c r="C18" s="76" t="s">
        <v>86</v>
      </c>
      <c r="D18" s="69" t="s">
        <v>168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69" t="s">
        <v>87</v>
      </c>
      <c r="C19" s="76" t="s">
        <v>88</v>
      </c>
      <c r="D19" s="69" t="s">
        <v>89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5.75" hidden="1" customHeight="1">
      <c r="A20" s="31">
        <v>5</v>
      </c>
      <c r="B20" s="69" t="s">
        <v>90</v>
      </c>
      <c r="C20" s="76" t="s">
        <v>86</v>
      </c>
      <c r="D20" s="69" t="s">
        <v>40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v>0</v>
      </c>
      <c r="J20" s="10"/>
      <c r="K20" s="10"/>
      <c r="L20" s="10"/>
      <c r="M20" s="10"/>
    </row>
    <row r="21" spans="1:13" ht="15.75" hidden="1" customHeight="1">
      <c r="A21" s="31">
        <v>6</v>
      </c>
      <c r="B21" s="69" t="s">
        <v>91</v>
      </c>
      <c r="C21" s="76" t="s">
        <v>86</v>
      </c>
      <c r="D21" s="69" t="s">
        <v>40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v>0</v>
      </c>
      <c r="J21" s="10"/>
      <c r="K21" s="10"/>
      <c r="L21" s="10"/>
      <c r="M21" s="10"/>
    </row>
    <row r="22" spans="1:13" ht="15.75" hidden="1" customHeight="1">
      <c r="A22" s="31">
        <v>7</v>
      </c>
      <c r="B22" s="69" t="s">
        <v>92</v>
      </c>
      <c r="C22" s="76" t="s">
        <v>51</v>
      </c>
      <c r="D22" s="69" t="s">
        <v>89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5.75" hidden="1" customHeight="1">
      <c r="A23" s="31">
        <v>8</v>
      </c>
      <c r="B23" s="69" t="s">
        <v>93</v>
      </c>
      <c r="C23" s="76" t="s">
        <v>51</v>
      </c>
      <c r="D23" s="69" t="s">
        <v>89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5.75" hidden="1" customHeight="1">
      <c r="A24" s="31">
        <v>9</v>
      </c>
      <c r="B24" s="69" t="s">
        <v>94</v>
      </c>
      <c r="C24" s="76" t="s">
        <v>51</v>
      </c>
      <c r="D24" s="82" t="s">
        <v>89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.75" hidden="1" customHeight="1">
      <c r="A25" s="31">
        <v>10</v>
      </c>
      <c r="B25" s="69" t="s">
        <v>95</v>
      </c>
      <c r="C25" s="76" t="s">
        <v>51</v>
      </c>
      <c r="D25" s="69" t="s">
        <v>89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hidden="1" customHeight="1">
      <c r="A26" s="31">
        <v>4</v>
      </c>
      <c r="B26" s="37" t="s">
        <v>165</v>
      </c>
      <c r="C26" s="46" t="s">
        <v>155</v>
      </c>
      <c r="D26" s="37" t="s">
        <v>169</v>
      </c>
      <c r="E26" s="122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5" t="s">
        <v>75</v>
      </c>
      <c r="B27" s="146"/>
      <c r="C27" s="146"/>
      <c r="D27" s="146"/>
      <c r="E27" s="146"/>
      <c r="F27" s="146"/>
      <c r="G27" s="146"/>
      <c r="H27" s="146"/>
      <c r="I27" s="147"/>
      <c r="J27" s="27"/>
      <c r="K27" s="10"/>
      <c r="L27" s="10"/>
      <c r="M27" s="10"/>
    </row>
    <row r="28" spans="1:13" ht="15.75" customHeight="1">
      <c r="A28" s="47"/>
      <c r="B28" s="55" t="s">
        <v>136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customHeight="1">
      <c r="A29" s="68">
        <v>4</v>
      </c>
      <c r="B29" s="69" t="s">
        <v>140</v>
      </c>
      <c r="C29" s="76" t="s">
        <v>109</v>
      </c>
      <c r="D29" s="69" t="s">
        <v>167</v>
      </c>
      <c r="E29" s="78">
        <v>65.099999999999994</v>
      </c>
      <c r="F29" s="78">
        <f>SUM(E29*52/1000)</f>
        <v>3.3851999999999998</v>
      </c>
      <c r="G29" s="78">
        <v>193.97</v>
      </c>
      <c r="H29" s="79">
        <f t="shared" ref="H29:H30" si="2">SUM(F29*G29/1000)</f>
        <v>0.65662724399999994</v>
      </c>
      <c r="I29" s="17">
        <f>F29/6*G29</f>
        <v>109.43787399999998</v>
      </c>
      <c r="J29" s="27"/>
      <c r="K29" s="10"/>
      <c r="L29" s="10"/>
      <c r="M29" s="10"/>
    </row>
    <row r="30" spans="1:13" ht="31.5" customHeight="1">
      <c r="A30" s="68">
        <v>5</v>
      </c>
      <c r="B30" s="69" t="s">
        <v>141</v>
      </c>
      <c r="C30" s="76" t="s">
        <v>109</v>
      </c>
      <c r="D30" s="69" t="s">
        <v>166</v>
      </c>
      <c r="E30" s="78">
        <v>65.099999999999994</v>
      </c>
      <c r="F30" s="78">
        <f>SUM(E30*78/1000)</f>
        <v>5.077799999999999</v>
      </c>
      <c r="G30" s="78">
        <v>321.82</v>
      </c>
      <c r="H30" s="79">
        <f t="shared" si="2"/>
        <v>1.6341375959999995</v>
      </c>
      <c r="I30" s="17">
        <f t="shared" ref="I30" si="3">F30/6*G30</f>
        <v>272.35626599999995</v>
      </c>
      <c r="J30" s="27"/>
      <c r="K30" s="10"/>
      <c r="L30" s="10"/>
      <c r="M30" s="10"/>
    </row>
    <row r="31" spans="1:13" ht="15.75" hidden="1" customHeight="1">
      <c r="A31" s="68">
        <v>15</v>
      </c>
      <c r="B31" s="69" t="s">
        <v>27</v>
      </c>
      <c r="C31" s="76" t="s">
        <v>109</v>
      </c>
      <c r="D31" s="69" t="s">
        <v>52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ref="H31:H33" si="4">SUM(F31*G31/1000)</f>
        <v>0.24466402799999998</v>
      </c>
      <c r="I31" s="17">
        <f>F31*G31</f>
        <v>244.66402799999997</v>
      </c>
      <c r="J31" s="27"/>
      <c r="K31" s="10"/>
      <c r="L31" s="10"/>
      <c r="M31" s="10"/>
    </row>
    <row r="32" spans="1:13" ht="15.75" hidden="1" customHeight="1">
      <c r="A32" s="68"/>
      <c r="B32" s="69" t="s">
        <v>60</v>
      </c>
      <c r="C32" s="76" t="s">
        <v>31</v>
      </c>
      <c r="D32" s="69" t="s">
        <v>61</v>
      </c>
      <c r="E32" s="77"/>
      <c r="F32" s="78">
        <v>1</v>
      </c>
      <c r="G32" s="78">
        <v>238.07</v>
      </c>
      <c r="H32" s="79">
        <f t="shared" si="4"/>
        <v>0.23807</v>
      </c>
      <c r="I32" s="17">
        <v>0</v>
      </c>
      <c r="J32" s="27"/>
      <c r="K32" s="10"/>
      <c r="L32" s="10"/>
      <c r="M32" s="10"/>
    </row>
    <row r="33" spans="1:13" ht="15.75" hidden="1" customHeight="1">
      <c r="A33" s="68"/>
      <c r="B33" s="69" t="s">
        <v>110</v>
      </c>
      <c r="C33" s="76" t="s">
        <v>30</v>
      </c>
      <c r="D33" s="69" t="s">
        <v>61</v>
      </c>
      <c r="E33" s="77"/>
      <c r="F33" s="78">
        <v>1</v>
      </c>
      <c r="G33" s="78">
        <v>1413.96</v>
      </c>
      <c r="H33" s="79">
        <f t="shared" si="4"/>
        <v>1.4139600000000001</v>
      </c>
      <c r="I33" s="17">
        <v>0</v>
      </c>
      <c r="J33" s="27"/>
      <c r="K33" s="10"/>
      <c r="L33" s="10"/>
      <c r="M33" s="10"/>
    </row>
    <row r="34" spans="1:13" ht="15.75" hidden="1" customHeight="1">
      <c r="A34" s="47"/>
      <c r="B34" s="55" t="s">
        <v>5</v>
      </c>
      <c r="C34" s="47"/>
      <c r="D34" s="47"/>
      <c r="E34" s="16"/>
      <c r="F34" s="16"/>
      <c r="G34" s="18"/>
      <c r="H34" s="18"/>
      <c r="I34" s="64"/>
      <c r="J34" s="27"/>
      <c r="K34" s="10"/>
      <c r="L34" s="10"/>
      <c r="M34" s="10"/>
    </row>
    <row r="35" spans="1:13" ht="15.75" hidden="1" customHeight="1">
      <c r="A35" s="38">
        <v>6</v>
      </c>
      <c r="B35" s="69" t="s">
        <v>26</v>
      </c>
      <c r="C35" s="76" t="s">
        <v>30</v>
      </c>
      <c r="D35" s="69"/>
      <c r="E35" s="77"/>
      <c r="F35" s="78">
        <v>2</v>
      </c>
      <c r="G35" s="78">
        <v>1900.37</v>
      </c>
      <c r="H35" s="79">
        <f t="shared" ref="H35:H41" si="5">SUM(F35*G35/1000)</f>
        <v>3.8007399999999998</v>
      </c>
      <c r="I35" s="17">
        <f>F35/6*G35</f>
        <v>633.45666666666659</v>
      </c>
      <c r="J35" s="27"/>
      <c r="K35" s="10"/>
      <c r="L35" s="10"/>
      <c r="M35" s="10"/>
    </row>
    <row r="36" spans="1:13" ht="15.75" hidden="1" customHeight="1">
      <c r="A36" s="38">
        <v>7</v>
      </c>
      <c r="B36" s="69" t="s">
        <v>111</v>
      </c>
      <c r="C36" s="76" t="s">
        <v>28</v>
      </c>
      <c r="D36" s="69" t="s">
        <v>143</v>
      </c>
      <c r="E36" s="77">
        <v>65.099999999999994</v>
      </c>
      <c r="F36" s="78">
        <f>E36*24/1000</f>
        <v>1.5623999999999998</v>
      </c>
      <c r="G36" s="78">
        <v>2616.4899999999998</v>
      </c>
      <c r="H36" s="79">
        <f>G36*F36/1000</f>
        <v>4.0880039759999987</v>
      </c>
      <c r="I36" s="17">
        <f>F36/6*G36</f>
        <v>681.33399599999984</v>
      </c>
      <c r="J36" s="27"/>
      <c r="K36" s="10"/>
      <c r="L36" s="10"/>
      <c r="M36" s="10"/>
    </row>
    <row r="37" spans="1:13" ht="15.75" hidden="1" customHeight="1">
      <c r="A37" s="38">
        <v>8</v>
      </c>
      <c r="B37" s="69" t="s">
        <v>112</v>
      </c>
      <c r="C37" s="76" t="s">
        <v>113</v>
      </c>
      <c r="D37" s="69" t="s">
        <v>61</v>
      </c>
      <c r="E37" s="77"/>
      <c r="F37" s="78">
        <v>13</v>
      </c>
      <c r="G37" s="78">
        <v>226.84</v>
      </c>
      <c r="H37" s="79">
        <f>G37*F37/1000</f>
        <v>2.9489200000000002</v>
      </c>
      <c r="I37" s="17">
        <f>G37*26</f>
        <v>5897.84</v>
      </c>
      <c r="J37" s="27"/>
      <c r="K37" s="10"/>
      <c r="L37" s="10"/>
      <c r="M37" s="10"/>
    </row>
    <row r="38" spans="1:13" ht="15.75" hidden="1" customHeight="1">
      <c r="A38" s="38">
        <v>9</v>
      </c>
      <c r="B38" s="69" t="s">
        <v>144</v>
      </c>
      <c r="C38" s="76" t="s">
        <v>28</v>
      </c>
      <c r="D38" s="69" t="s">
        <v>114</v>
      </c>
      <c r="E38" s="78">
        <v>65.099999999999994</v>
      </c>
      <c r="F38" s="78">
        <f>SUM(E38*155/1000)</f>
        <v>10.0905</v>
      </c>
      <c r="G38" s="78">
        <v>436.45</v>
      </c>
      <c r="H38" s="79">
        <f t="shared" si="5"/>
        <v>4.4039987250000001</v>
      </c>
      <c r="I38" s="17">
        <f>F38/6*G38</f>
        <v>733.99978750000002</v>
      </c>
      <c r="J38" s="27"/>
      <c r="K38" s="10"/>
      <c r="L38" s="10"/>
      <c r="M38" s="10"/>
    </row>
    <row r="39" spans="1:13" ht="47.25" hidden="1" customHeight="1">
      <c r="A39" s="38">
        <v>10</v>
      </c>
      <c r="B39" s="69" t="s">
        <v>74</v>
      </c>
      <c r="C39" s="76" t="s">
        <v>109</v>
      </c>
      <c r="D39" s="69" t="s">
        <v>115</v>
      </c>
      <c r="E39" s="78">
        <v>65.099999999999994</v>
      </c>
      <c r="F39" s="78">
        <f>SUM(E39*24/1000)</f>
        <v>1.5623999999999998</v>
      </c>
      <c r="G39" s="78">
        <v>7221.21</v>
      </c>
      <c r="H39" s="79">
        <f t="shared" si="5"/>
        <v>11.282418503999999</v>
      </c>
      <c r="I39" s="17">
        <f>F39/6*G39</f>
        <v>1880.4030839999998</v>
      </c>
      <c r="J39" s="27"/>
      <c r="K39" s="10"/>
      <c r="L39" s="10"/>
      <c r="M39" s="10"/>
    </row>
    <row r="40" spans="1:13" ht="15.75" hidden="1" customHeight="1">
      <c r="A40" s="38">
        <v>11</v>
      </c>
      <c r="B40" s="69" t="s">
        <v>116</v>
      </c>
      <c r="C40" s="76" t="s">
        <v>109</v>
      </c>
      <c r="D40" s="69" t="s">
        <v>145</v>
      </c>
      <c r="E40" s="78">
        <v>65.099999999999994</v>
      </c>
      <c r="F40" s="78">
        <f>SUM(E40*18/1000)</f>
        <v>1.1718</v>
      </c>
      <c r="G40" s="78">
        <v>533.45000000000005</v>
      </c>
      <c r="H40" s="79">
        <f t="shared" si="5"/>
        <v>0.62509671</v>
      </c>
      <c r="I40" s="17">
        <f>F40/6*G40</f>
        <v>104.18278500000001</v>
      </c>
      <c r="J40" s="27"/>
      <c r="K40" s="10"/>
      <c r="L40" s="10"/>
      <c r="M40" s="10"/>
    </row>
    <row r="41" spans="1:13" ht="15.75" hidden="1" customHeight="1">
      <c r="A41" s="38">
        <v>12</v>
      </c>
      <c r="B41" s="69" t="s">
        <v>62</v>
      </c>
      <c r="C41" s="76" t="s">
        <v>31</v>
      </c>
      <c r="D41" s="69"/>
      <c r="E41" s="77"/>
      <c r="F41" s="78">
        <v>0.4</v>
      </c>
      <c r="G41" s="78">
        <v>992.97</v>
      </c>
      <c r="H41" s="79">
        <f t="shared" si="5"/>
        <v>0.39718800000000004</v>
      </c>
      <c r="I41" s="17">
        <f>F41/6*G41</f>
        <v>66.198000000000008</v>
      </c>
      <c r="J41" s="27"/>
      <c r="K41" s="10"/>
      <c r="L41" s="10"/>
      <c r="M41" s="10"/>
    </row>
    <row r="42" spans="1:13" ht="15.75" hidden="1" customHeight="1">
      <c r="A42" s="168" t="s">
        <v>146</v>
      </c>
      <c r="B42" s="169"/>
      <c r="C42" s="169"/>
      <c r="D42" s="169"/>
      <c r="E42" s="169"/>
      <c r="F42" s="169"/>
      <c r="G42" s="169"/>
      <c r="H42" s="169"/>
      <c r="I42" s="170"/>
      <c r="J42" s="27"/>
      <c r="K42" s="10"/>
      <c r="L42" s="10"/>
      <c r="M42" s="10"/>
    </row>
    <row r="43" spans="1:13" ht="15.75" hidden="1" customHeight="1">
      <c r="A43" s="47">
        <v>17</v>
      </c>
      <c r="B43" s="69" t="s">
        <v>117</v>
      </c>
      <c r="C43" s="76" t="s">
        <v>109</v>
      </c>
      <c r="D43" s="69" t="s">
        <v>40</v>
      </c>
      <c r="E43" s="77">
        <v>1060.4000000000001</v>
      </c>
      <c r="F43" s="78">
        <f>SUM(E43*2/1000)</f>
        <v>2.1208</v>
      </c>
      <c r="G43" s="17">
        <v>1283.46</v>
      </c>
      <c r="H43" s="79">
        <f t="shared" ref="H43:H52" si="6">SUM(F43*G43/1000)</f>
        <v>2.721961968</v>
      </c>
      <c r="I43" s="17">
        <f t="shared" ref="I43:I45" si="7">F43/2*G43</f>
        <v>1360.980984</v>
      </c>
      <c r="J43" s="27"/>
      <c r="K43" s="10"/>
      <c r="L43" s="10"/>
      <c r="M43" s="10"/>
    </row>
    <row r="44" spans="1:13" ht="15.75" hidden="1" customHeight="1">
      <c r="A44" s="47">
        <v>18</v>
      </c>
      <c r="B44" s="69" t="s">
        <v>34</v>
      </c>
      <c r="C44" s="76" t="s">
        <v>109</v>
      </c>
      <c r="D44" s="69" t="s">
        <v>40</v>
      </c>
      <c r="E44" s="77">
        <v>1251.6199999999999</v>
      </c>
      <c r="F44" s="78">
        <f>SUM(E44*2/1000)</f>
        <v>2.5032399999999999</v>
      </c>
      <c r="G44" s="17">
        <v>1712.28</v>
      </c>
      <c r="H44" s="79">
        <f t="shared" si="6"/>
        <v>4.2862477871999998</v>
      </c>
      <c r="I44" s="17">
        <f t="shared" si="7"/>
        <v>2143.1238936</v>
      </c>
      <c r="J44" s="27"/>
      <c r="K44" s="10"/>
      <c r="L44" s="10"/>
      <c r="M44" s="10"/>
    </row>
    <row r="45" spans="1:13" ht="15.75" hidden="1" customHeight="1">
      <c r="A45" s="47">
        <v>19</v>
      </c>
      <c r="B45" s="69" t="s">
        <v>35</v>
      </c>
      <c r="C45" s="76" t="s">
        <v>109</v>
      </c>
      <c r="D45" s="69" t="s">
        <v>40</v>
      </c>
      <c r="E45" s="77">
        <v>1295.68</v>
      </c>
      <c r="F45" s="78">
        <f>SUM(E45*2/1000)</f>
        <v>2.5913600000000003</v>
      </c>
      <c r="G45" s="17">
        <v>1179.73</v>
      </c>
      <c r="H45" s="79">
        <f t="shared" si="6"/>
        <v>3.0571051328000003</v>
      </c>
      <c r="I45" s="17">
        <f t="shared" si="7"/>
        <v>1528.5525664000002</v>
      </c>
      <c r="J45" s="27"/>
      <c r="K45" s="10"/>
      <c r="L45" s="10"/>
      <c r="M45" s="10"/>
    </row>
    <row r="46" spans="1:13" ht="15.75" hidden="1" customHeight="1">
      <c r="A46" s="47">
        <v>20</v>
      </c>
      <c r="B46" s="69" t="s">
        <v>32</v>
      </c>
      <c r="C46" s="76" t="s">
        <v>33</v>
      </c>
      <c r="D46" s="69" t="s">
        <v>40</v>
      </c>
      <c r="E46" s="77">
        <v>85.84</v>
      </c>
      <c r="F46" s="78">
        <f>E46*2/100</f>
        <v>1.7168000000000001</v>
      </c>
      <c r="G46" s="17">
        <v>90.61</v>
      </c>
      <c r="H46" s="79">
        <f t="shared" si="6"/>
        <v>0.15555924799999998</v>
      </c>
      <c r="I46" s="17">
        <f>F46/2*G46</f>
        <v>77.779623999999998</v>
      </c>
      <c r="J46" s="27"/>
      <c r="K46" s="10"/>
      <c r="L46" s="10"/>
      <c r="M46" s="10"/>
    </row>
    <row r="47" spans="1:13" ht="15.75" hidden="1" customHeight="1">
      <c r="A47" s="47">
        <v>21</v>
      </c>
      <c r="B47" s="69" t="s">
        <v>54</v>
      </c>
      <c r="C47" s="76" t="s">
        <v>109</v>
      </c>
      <c r="D47" s="69" t="s">
        <v>147</v>
      </c>
      <c r="E47" s="77">
        <v>2549.5</v>
      </c>
      <c r="F47" s="78">
        <f>SUM(E47*5/1000)</f>
        <v>12.7475</v>
      </c>
      <c r="G47" s="17">
        <v>1711.28</v>
      </c>
      <c r="H47" s="79">
        <f t="shared" si="6"/>
        <v>21.814541800000001</v>
      </c>
      <c r="I47" s="17">
        <f>F47/5*G47</f>
        <v>4362.9083600000004</v>
      </c>
      <c r="J47" s="27"/>
      <c r="K47" s="10"/>
      <c r="L47" s="10"/>
      <c r="M47" s="10"/>
    </row>
    <row r="48" spans="1:13" ht="31.5" hidden="1" customHeight="1">
      <c r="A48" s="47">
        <v>12</v>
      </c>
      <c r="B48" s="69" t="s">
        <v>118</v>
      </c>
      <c r="C48" s="76" t="s">
        <v>109</v>
      </c>
      <c r="D48" s="69" t="s">
        <v>40</v>
      </c>
      <c r="E48" s="77">
        <v>2549.5</v>
      </c>
      <c r="F48" s="78">
        <f>SUM(E48*2/1000)</f>
        <v>5.0990000000000002</v>
      </c>
      <c r="G48" s="17">
        <v>1510.06</v>
      </c>
      <c r="H48" s="79">
        <f t="shared" si="6"/>
        <v>7.6997959399999996</v>
      </c>
      <c r="I48" s="17">
        <f>F48/2*G48</f>
        <v>3849.89797</v>
      </c>
      <c r="J48" s="27"/>
      <c r="K48" s="10"/>
      <c r="L48" s="10"/>
      <c r="M48" s="10"/>
    </row>
    <row r="49" spans="1:14" ht="31.5" hidden="1" customHeight="1">
      <c r="A49" s="47">
        <v>13</v>
      </c>
      <c r="B49" s="69" t="s">
        <v>119</v>
      </c>
      <c r="C49" s="76" t="s">
        <v>36</v>
      </c>
      <c r="D49" s="69" t="s">
        <v>40</v>
      </c>
      <c r="E49" s="77">
        <v>16</v>
      </c>
      <c r="F49" s="78">
        <f>SUM(E49*2/100)</f>
        <v>0.32</v>
      </c>
      <c r="G49" s="17">
        <v>3850.4</v>
      </c>
      <c r="H49" s="79">
        <f t="shared" si="6"/>
        <v>1.2321280000000001</v>
      </c>
      <c r="I49" s="17">
        <f t="shared" ref="I49:I50" si="8">F49/2*G49</f>
        <v>616.06400000000008</v>
      </c>
      <c r="J49" s="27"/>
      <c r="K49" s="10"/>
    </row>
    <row r="50" spans="1:14" ht="15.75" hidden="1" customHeight="1">
      <c r="A50" s="47">
        <v>14</v>
      </c>
      <c r="B50" s="69" t="s">
        <v>37</v>
      </c>
      <c r="C50" s="76" t="s">
        <v>38</v>
      </c>
      <c r="D50" s="69" t="s">
        <v>40</v>
      </c>
      <c r="E50" s="77">
        <v>1</v>
      </c>
      <c r="F50" s="78">
        <v>0.02</v>
      </c>
      <c r="G50" s="17">
        <v>7033.13</v>
      </c>
      <c r="H50" s="79">
        <f t="shared" si="6"/>
        <v>0.1406626</v>
      </c>
      <c r="I50" s="17">
        <f t="shared" si="8"/>
        <v>70.331299999999999</v>
      </c>
      <c r="J50" s="75"/>
    </row>
    <row r="51" spans="1:14" ht="15.75" hidden="1" customHeight="1">
      <c r="A51" s="47">
        <v>7</v>
      </c>
      <c r="B51" s="69" t="s">
        <v>120</v>
      </c>
      <c r="C51" s="76" t="s">
        <v>96</v>
      </c>
      <c r="D51" s="121">
        <v>44071</v>
      </c>
      <c r="E51" s="77">
        <v>64</v>
      </c>
      <c r="F51" s="78">
        <f>E51*3</f>
        <v>192</v>
      </c>
      <c r="G51" s="17">
        <v>175.6</v>
      </c>
      <c r="H51" s="79">
        <f t="shared" si="6"/>
        <v>33.715199999999996</v>
      </c>
      <c r="I51" s="17">
        <f>E51*G51</f>
        <v>11238.4</v>
      </c>
      <c r="J51" s="75"/>
    </row>
    <row r="52" spans="1:14" ht="15.75" hidden="1" customHeight="1">
      <c r="A52" s="47">
        <v>8</v>
      </c>
      <c r="B52" s="69" t="s">
        <v>39</v>
      </c>
      <c r="C52" s="76" t="s">
        <v>96</v>
      </c>
      <c r="D52" s="121">
        <v>44071</v>
      </c>
      <c r="E52" s="77">
        <v>128</v>
      </c>
      <c r="F52" s="78">
        <f>SUM(E52)*3</f>
        <v>384</v>
      </c>
      <c r="G52" s="17">
        <v>81.73</v>
      </c>
      <c r="H52" s="79">
        <f t="shared" si="6"/>
        <v>31.384319999999999</v>
      </c>
      <c r="I52" s="17">
        <f>E52*G52</f>
        <v>10461.44</v>
      </c>
      <c r="J52" s="75"/>
    </row>
    <row r="53" spans="1:14" ht="15.75" customHeight="1">
      <c r="A53" s="159" t="s">
        <v>124</v>
      </c>
      <c r="B53" s="160"/>
      <c r="C53" s="160"/>
      <c r="D53" s="160"/>
      <c r="E53" s="160"/>
      <c r="F53" s="160"/>
      <c r="G53" s="160"/>
      <c r="H53" s="160"/>
      <c r="I53" s="161"/>
      <c r="J53" s="75"/>
    </row>
    <row r="54" spans="1:14" ht="15.75" customHeight="1">
      <c r="A54" s="100"/>
      <c r="B54" s="54" t="s">
        <v>41</v>
      </c>
      <c r="C54" s="21"/>
      <c r="D54" s="65"/>
      <c r="E54" s="16"/>
      <c r="F54" s="16"/>
      <c r="G54" s="31"/>
      <c r="H54" s="31"/>
      <c r="I54" s="64"/>
      <c r="J54" s="75"/>
    </row>
    <row r="55" spans="1:14" ht="31.5" hidden="1" customHeight="1">
      <c r="A55" s="47">
        <v>13</v>
      </c>
      <c r="B55" s="69" t="s">
        <v>121</v>
      </c>
      <c r="C55" s="76" t="s">
        <v>86</v>
      </c>
      <c r="D55" s="69" t="s">
        <v>122</v>
      </c>
      <c r="E55" s="77">
        <v>8</v>
      </c>
      <c r="F55" s="78">
        <f>SUM(E55*6/100)</f>
        <v>0.48</v>
      </c>
      <c r="G55" s="17">
        <v>2306.62</v>
      </c>
      <c r="H55" s="79">
        <f>SUM(F55*G55/1000)</f>
        <v>1.1071776</v>
      </c>
      <c r="I55" s="17">
        <f>F55/6*G55</f>
        <v>184.52959999999999</v>
      </c>
      <c r="J55" s="75"/>
    </row>
    <row r="56" spans="1:14" ht="17.25" customHeight="1">
      <c r="A56" s="47">
        <v>6</v>
      </c>
      <c r="B56" s="88" t="s">
        <v>80</v>
      </c>
      <c r="C56" s="87" t="s">
        <v>30</v>
      </c>
      <c r="D56" s="88" t="s">
        <v>267</v>
      </c>
      <c r="E56" s="89"/>
      <c r="F56" s="90">
        <v>1</v>
      </c>
      <c r="G56" s="17">
        <v>1501</v>
      </c>
      <c r="H56" s="79">
        <f>SUM(F56*G56/1000)</f>
        <v>1.5009999999999999</v>
      </c>
      <c r="I56" s="17">
        <f>G56*2</f>
        <v>3002</v>
      </c>
      <c r="J56" s="75"/>
    </row>
    <row r="57" spans="1:14" ht="15.75" hidden="1" customHeight="1">
      <c r="A57" s="47"/>
      <c r="B57" s="71" t="s">
        <v>42</v>
      </c>
      <c r="C57" s="39"/>
      <c r="D57" s="39"/>
      <c r="E57" s="16"/>
      <c r="F57" s="16"/>
      <c r="G57" s="40"/>
      <c r="H57" s="40"/>
      <c r="I57" s="64"/>
      <c r="J57" s="75"/>
      <c r="L57" s="24"/>
      <c r="M57" s="25"/>
      <c r="N57" s="26"/>
    </row>
    <row r="58" spans="1:14" ht="15.75" hidden="1" customHeight="1">
      <c r="A58" s="47">
        <v>29</v>
      </c>
      <c r="B58" s="88" t="s">
        <v>43</v>
      </c>
      <c r="C58" s="87" t="s">
        <v>51</v>
      </c>
      <c r="D58" s="88" t="s">
        <v>52</v>
      </c>
      <c r="E58" s="89">
        <v>7.4</v>
      </c>
      <c r="F58" s="17">
        <f>SUM(E58/100)</f>
        <v>7.400000000000001E-2</v>
      </c>
      <c r="G58" s="17">
        <v>987.51</v>
      </c>
      <c r="H58" s="91">
        <f>F58*G58/1000</f>
        <v>7.3075740000000014E-2</v>
      </c>
      <c r="I58" s="17">
        <v>0</v>
      </c>
      <c r="J58" s="75"/>
      <c r="L58" s="24"/>
      <c r="M58" s="25"/>
      <c r="N58" s="26"/>
    </row>
    <row r="59" spans="1:14" ht="15.75" customHeight="1">
      <c r="A59" s="47"/>
      <c r="B59" s="71" t="s">
        <v>44</v>
      </c>
      <c r="C59" s="21"/>
      <c r="D59" s="66"/>
      <c r="E59" s="16"/>
      <c r="F59" s="16"/>
      <c r="G59" s="31"/>
      <c r="H59" s="31"/>
      <c r="I59" s="64"/>
      <c r="J59" s="75"/>
      <c r="L59" s="24"/>
      <c r="M59" s="25"/>
      <c r="N59" s="26"/>
    </row>
    <row r="60" spans="1:14" ht="15.75" hidden="1" customHeight="1">
      <c r="A60" s="47">
        <v>9</v>
      </c>
      <c r="B60" s="19" t="s">
        <v>45</v>
      </c>
      <c r="C60" s="21" t="s">
        <v>96</v>
      </c>
      <c r="D60" s="19" t="s">
        <v>61</v>
      </c>
      <c r="E60" s="23">
        <v>1</v>
      </c>
      <c r="F60" s="17">
        <f>SUM(E60)</f>
        <v>1</v>
      </c>
      <c r="G60" s="17">
        <v>276.74</v>
      </c>
      <c r="H60" s="80">
        <f t="shared" ref="H60:H68" si="9">SUM(F60*G60/1000)</f>
        <v>0.27673999999999999</v>
      </c>
      <c r="I60" s="17">
        <v>0</v>
      </c>
      <c r="J60" s="75"/>
      <c r="L60" s="24"/>
      <c r="M60" s="25"/>
      <c r="N60" s="26"/>
    </row>
    <row r="61" spans="1:14" ht="15.75" hidden="1" customHeight="1">
      <c r="A61" s="67"/>
      <c r="B61" s="19" t="s">
        <v>46</v>
      </c>
      <c r="C61" s="21" t="s">
        <v>96</v>
      </c>
      <c r="D61" s="19" t="s">
        <v>61</v>
      </c>
      <c r="E61" s="23">
        <v>2</v>
      </c>
      <c r="F61" s="17">
        <f>SUM(E61)</f>
        <v>2</v>
      </c>
      <c r="G61" s="17">
        <v>94.89</v>
      </c>
      <c r="H61" s="80">
        <f t="shared" si="9"/>
        <v>0.18978</v>
      </c>
      <c r="I61" s="17">
        <v>0</v>
      </c>
      <c r="J61" s="75"/>
      <c r="L61" s="24"/>
      <c r="M61" s="25"/>
      <c r="N61" s="26"/>
    </row>
    <row r="62" spans="1:14" ht="15.75" hidden="1" customHeight="1">
      <c r="A62" s="67">
        <v>25</v>
      </c>
      <c r="B62" s="19" t="s">
        <v>47</v>
      </c>
      <c r="C62" s="21" t="s">
        <v>97</v>
      </c>
      <c r="D62" s="19" t="s">
        <v>52</v>
      </c>
      <c r="E62" s="77">
        <v>10052</v>
      </c>
      <c r="F62" s="17">
        <f>SUM(E62/100)</f>
        <v>100.52</v>
      </c>
      <c r="G62" s="17">
        <v>263.99</v>
      </c>
      <c r="H62" s="80">
        <f t="shared" si="9"/>
        <v>26.536274799999997</v>
      </c>
      <c r="I62" s="17">
        <f>F62*G62</f>
        <v>26536.274799999999</v>
      </c>
      <c r="J62" s="75"/>
      <c r="L62" s="24"/>
      <c r="M62" s="25"/>
      <c r="N62" s="26"/>
    </row>
    <row r="63" spans="1:14" ht="15.75" hidden="1" customHeight="1">
      <c r="A63" s="67">
        <v>26</v>
      </c>
      <c r="B63" s="19" t="s">
        <v>48</v>
      </c>
      <c r="C63" s="21" t="s">
        <v>98</v>
      </c>
      <c r="D63" s="19"/>
      <c r="E63" s="77">
        <v>10052</v>
      </c>
      <c r="F63" s="17">
        <f>SUM(E63/1000)</f>
        <v>10.052</v>
      </c>
      <c r="G63" s="17">
        <v>205.57</v>
      </c>
      <c r="H63" s="80">
        <f t="shared" si="9"/>
        <v>2.0663896399999997</v>
      </c>
      <c r="I63" s="17">
        <f t="shared" ref="I63:I67" si="10">F63*G63</f>
        <v>2066.3896399999999</v>
      </c>
      <c r="J63" s="75"/>
      <c r="L63" s="24"/>
      <c r="M63" s="25"/>
      <c r="N63" s="26"/>
    </row>
    <row r="64" spans="1:14" ht="15.75" hidden="1" customHeight="1">
      <c r="A64" s="67">
        <v>27</v>
      </c>
      <c r="B64" s="19" t="s">
        <v>49</v>
      </c>
      <c r="C64" s="21" t="s">
        <v>69</v>
      </c>
      <c r="D64" s="19" t="s">
        <v>52</v>
      </c>
      <c r="E64" s="77">
        <v>2200</v>
      </c>
      <c r="F64" s="17">
        <f>SUM(E64/100)</f>
        <v>22</v>
      </c>
      <c r="G64" s="17">
        <v>2581.5300000000002</v>
      </c>
      <c r="H64" s="80">
        <f t="shared" si="9"/>
        <v>56.793660000000003</v>
      </c>
      <c r="I64" s="17">
        <f t="shared" si="10"/>
        <v>56793.66</v>
      </c>
      <c r="J64" s="75"/>
      <c r="L64" s="24"/>
      <c r="M64" s="25"/>
      <c r="N64" s="26"/>
    </row>
    <row r="65" spans="1:14" ht="15.75" hidden="1" customHeight="1">
      <c r="A65" s="67">
        <v>28</v>
      </c>
      <c r="B65" s="92" t="s">
        <v>99</v>
      </c>
      <c r="C65" s="21" t="s">
        <v>31</v>
      </c>
      <c r="D65" s="19"/>
      <c r="E65" s="77">
        <v>9.4</v>
      </c>
      <c r="F65" s="17">
        <f>SUM(E65)</f>
        <v>9.4</v>
      </c>
      <c r="G65" s="17">
        <v>47.45</v>
      </c>
      <c r="H65" s="80">
        <f t="shared" si="9"/>
        <v>0.44603000000000004</v>
      </c>
      <c r="I65" s="17">
        <f t="shared" si="10"/>
        <v>446.03000000000003</v>
      </c>
      <c r="J65" s="75"/>
      <c r="L65" s="24"/>
      <c r="M65" s="25"/>
      <c r="N65" s="26"/>
    </row>
    <row r="66" spans="1:14" ht="15.75" hidden="1" customHeight="1">
      <c r="A66" s="67">
        <v>29</v>
      </c>
      <c r="B66" s="92" t="s">
        <v>100</v>
      </c>
      <c r="C66" s="21" t="s">
        <v>31</v>
      </c>
      <c r="D66" s="19"/>
      <c r="E66" s="77">
        <v>9.4</v>
      </c>
      <c r="F66" s="17">
        <f>SUM(E66)</f>
        <v>9.4</v>
      </c>
      <c r="G66" s="17">
        <v>44.27</v>
      </c>
      <c r="H66" s="80">
        <f t="shared" si="9"/>
        <v>0.41613800000000001</v>
      </c>
      <c r="I66" s="17">
        <f t="shared" si="10"/>
        <v>416.13800000000003</v>
      </c>
      <c r="J66" s="75"/>
      <c r="L66" s="24"/>
      <c r="M66" s="25"/>
      <c r="N66" s="26"/>
    </row>
    <row r="67" spans="1:14" ht="15.75" hidden="1" customHeight="1">
      <c r="A67" s="67"/>
      <c r="B67" s="19" t="s">
        <v>55</v>
      </c>
      <c r="C67" s="21" t="s">
        <v>56</v>
      </c>
      <c r="D67" s="19" t="s">
        <v>52</v>
      </c>
      <c r="E67" s="23">
        <v>2</v>
      </c>
      <c r="F67" s="17">
        <f>SUM(E67)</f>
        <v>2</v>
      </c>
      <c r="G67" s="17">
        <v>62.07</v>
      </c>
      <c r="H67" s="80">
        <f t="shared" si="9"/>
        <v>0.12414</v>
      </c>
      <c r="I67" s="17">
        <f t="shared" si="10"/>
        <v>124.14</v>
      </c>
      <c r="J67" s="75"/>
      <c r="L67" s="24"/>
      <c r="M67" s="25"/>
      <c r="N67" s="26"/>
    </row>
    <row r="68" spans="1:14" ht="15.75" customHeight="1">
      <c r="A68" s="68">
        <v>7</v>
      </c>
      <c r="B68" s="19" t="s">
        <v>81</v>
      </c>
      <c r="C68" s="31" t="s">
        <v>101</v>
      </c>
      <c r="D68" s="19"/>
      <c r="E68" s="23">
        <v>2549.5</v>
      </c>
      <c r="F68" s="17">
        <f>SUM(E68*12)</f>
        <v>30594</v>
      </c>
      <c r="G68" s="17">
        <v>2.16</v>
      </c>
      <c r="H68" s="80">
        <f t="shared" si="9"/>
        <v>66.083040000000011</v>
      </c>
      <c r="I68" s="17">
        <f>F68/12*G68</f>
        <v>5506.92</v>
      </c>
      <c r="J68" s="75"/>
      <c r="L68" s="24"/>
      <c r="M68" s="25"/>
      <c r="N68" s="26"/>
    </row>
    <row r="69" spans="1:14" ht="15.75" hidden="1" customHeight="1">
      <c r="A69" s="61"/>
      <c r="B69" s="71" t="s">
        <v>102</v>
      </c>
      <c r="C69" s="71"/>
      <c r="D69" s="71"/>
      <c r="E69" s="71"/>
      <c r="F69" s="71"/>
      <c r="G69" s="71"/>
      <c r="H69" s="71"/>
      <c r="I69" s="23"/>
      <c r="J69" s="75"/>
      <c r="L69" s="24"/>
      <c r="M69" s="25"/>
      <c r="N69" s="26"/>
    </row>
    <row r="70" spans="1:14" ht="15.75" hidden="1" customHeight="1">
      <c r="A70" s="31">
        <v>31</v>
      </c>
      <c r="B70" s="69" t="s">
        <v>103</v>
      </c>
      <c r="C70" s="21"/>
      <c r="D70" s="19"/>
      <c r="E70" s="94"/>
      <c r="F70" s="17">
        <v>1</v>
      </c>
      <c r="G70" s="17">
        <v>22720</v>
      </c>
      <c r="H70" s="80">
        <f>G70*F70/1000</f>
        <v>22.72</v>
      </c>
      <c r="I70" s="17">
        <f>G70</f>
        <v>22720</v>
      </c>
      <c r="J70" s="75"/>
      <c r="L70" s="24"/>
      <c r="M70" s="25"/>
      <c r="N70" s="26"/>
    </row>
    <row r="71" spans="1:14" ht="15.75" hidden="1" customHeight="1">
      <c r="A71" s="68"/>
      <c r="B71" s="71" t="s">
        <v>64</v>
      </c>
      <c r="C71" s="21"/>
      <c r="D71" s="19"/>
      <c r="E71" s="16"/>
      <c r="F71" s="16"/>
      <c r="G71" s="31"/>
      <c r="H71" s="31"/>
      <c r="I71" s="64"/>
      <c r="J71" s="75"/>
      <c r="L71" s="24"/>
      <c r="M71" s="25"/>
      <c r="N71" s="26"/>
    </row>
    <row r="72" spans="1:14" ht="15.75" hidden="1" customHeight="1">
      <c r="A72" s="68">
        <v>16</v>
      </c>
      <c r="B72" s="19" t="s">
        <v>104</v>
      </c>
      <c r="C72" s="21" t="s">
        <v>105</v>
      </c>
      <c r="D72" s="19" t="s">
        <v>61</v>
      </c>
      <c r="E72" s="23">
        <v>1</v>
      </c>
      <c r="F72" s="17">
        <f>E72</f>
        <v>1</v>
      </c>
      <c r="G72" s="17">
        <v>976.4</v>
      </c>
      <c r="H72" s="80">
        <f t="shared" ref="H72:H74" si="11">SUM(F72*G72/1000)</f>
        <v>0.97639999999999993</v>
      </c>
      <c r="I72" s="17">
        <v>0</v>
      </c>
      <c r="J72" s="75"/>
      <c r="L72" s="24"/>
      <c r="M72" s="25"/>
      <c r="N72" s="26"/>
    </row>
    <row r="73" spans="1:14" ht="15.75" hidden="1" customHeight="1">
      <c r="A73" s="68"/>
      <c r="B73" s="19" t="s">
        <v>106</v>
      </c>
      <c r="C73" s="21" t="s">
        <v>107</v>
      </c>
      <c r="D73" s="19" t="s">
        <v>61</v>
      </c>
      <c r="E73" s="23">
        <v>1</v>
      </c>
      <c r="F73" s="17">
        <v>1</v>
      </c>
      <c r="G73" s="17">
        <v>735</v>
      </c>
      <c r="H73" s="80">
        <f t="shared" si="11"/>
        <v>0.73499999999999999</v>
      </c>
      <c r="I73" s="17">
        <v>0</v>
      </c>
      <c r="J73" s="75"/>
      <c r="L73" s="24"/>
      <c r="M73" s="25"/>
      <c r="N73" s="26"/>
    </row>
    <row r="74" spans="1:14" ht="15.75" hidden="1" customHeight="1">
      <c r="A74" s="68">
        <v>11</v>
      </c>
      <c r="B74" s="19" t="s">
        <v>65</v>
      </c>
      <c r="C74" s="21" t="s">
        <v>67</v>
      </c>
      <c r="D74" s="19" t="s">
        <v>61</v>
      </c>
      <c r="E74" s="23">
        <v>3</v>
      </c>
      <c r="F74" s="17">
        <v>0.3</v>
      </c>
      <c r="G74" s="17">
        <v>624.16999999999996</v>
      </c>
      <c r="H74" s="80">
        <f t="shared" si="11"/>
        <v>0.18725099999999997</v>
      </c>
      <c r="I74" s="17">
        <f>G74*0.2</f>
        <v>124.834</v>
      </c>
      <c r="J74" s="75"/>
      <c r="L74" s="24"/>
      <c r="M74" s="25"/>
      <c r="N74" s="26"/>
    </row>
    <row r="75" spans="1:14" ht="15.75" hidden="1" customHeight="1">
      <c r="A75" s="68"/>
      <c r="B75" s="19" t="s">
        <v>66</v>
      </c>
      <c r="C75" s="21" t="s">
        <v>29</v>
      </c>
      <c r="D75" s="19" t="s">
        <v>61</v>
      </c>
      <c r="E75" s="23">
        <v>1</v>
      </c>
      <c r="F75" s="93">
        <v>1</v>
      </c>
      <c r="G75" s="17">
        <v>1061.4100000000001</v>
      </c>
      <c r="H75" s="80">
        <f>F75*G75/1000</f>
        <v>1.0614100000000002</v>
      </c>
      <c r="I75" s="17">
        <v>0</v>
      </c>
      <c r="J75" s="75"/>
      <c r="L75" s="24"/>
      <c r="M75" s="25"/>
      <c r="N75" s="26"/>
    </row>
    <row r="76" spans="1:14" ht="15.75" hidden="1" customHeight="1">
      <c r="A76" s="68"/>
      <c r="B76" s="19" t="s">
        <v>82</v>
      </c>
      <c r="C76" s="21" t="s">
        <v>29</v>
      </c>
      <c r="D76" s="19" t="s">
        <v>61</v>
      </c>
      <c r="E76" s="23">
        <v>1</v>
      </c>
      <c r="F76" s="17">
        <v>1</v>
      </c>
      <c r="G76" s="17">
        <v>446.12</v>
      </c>
      <c r="H76" s="80">
        <f>G76*F76/1000</f>
        <v>0.44612000000000002</v>
      </c>
      <c r="I76" s="17">
        <v>0</v>
      </c>
      <c r="J76" s="75"/>
      <c r="L76" s="24"/>
      <c r="M76" s="25"/>
      <c r="N76" s="26"/>
    </row>
    <row r="77" spans="1:14" ht="15.75" customHeight="1">
      <c r="A77" s="68"/>
      <c r="B77" s="56" t="s">
        <v>68</v>
      </c>
      <c r="C77" s="44"/>
      <c r="D77" s="43"/>
      <c r="E77" s="23"/>
      <c r="F77" s="23"/>
      <c r="G77" s="42"/>
      <c r="H77" s="42"/>
      <c r="I77" s="64"/>
      <c r="J77" s="75"/>
      <c r="L77" s="24"/>
      <c r="M77" s="25"/>
      <c r="N77" s="26"/>
    </row>
    <row r="78" spans="1:14" ht="15.75" customHeight="1">
      <c r="A78" s="68">
        <v>8</v>
      </c>
      <c r="B78" s="57" t="s">
        <v>108</v>
      </c>
      <c r="C78" s="21" t="s">
        <v>69</v>
      </c>
      <c r="D78" s="19"/>
      <c r="E78" s="23"/>
      <c r="F78" s="17">
        <v>1</v>
      </c>
      <c r="G78" s="17">
        <v>3433.68</v>
      </c>
      <c r="H78" s="80">
        <f t="shared" ref="H78" si="12">SUM(F78*G78/1000)</f>
        <v>3.4336799999999998</v>
      </c>
      <c r="I78" s="17">
        <f>G78*0.06</f>
        <v>206.02079999999998</v>
      </c>
      <c r="J78" s="75"/>
      <c r="L78" s="24"/>
      <c r="M78" s="25"/>
      <c r="N78" s="26"/>
    </row>
    <row r="79" spans="1:14" ht="15.75" customHeight="1">
      <c r="A79" s="165" t="s">
        <v>148</v>
      </c>
      <c r="B79" s="166"/>
      <c r="C79" s="166"/>
      <c r="D79" s="166"/>
      <c r="E79" s="166"/>
      <c r="F79" s="166"/>
      <c r="G79" s="166"/>
      <c r="H79" s="166"/>
      <c r="I79" s="167"/>
      <c r="J79" s="75"/>
      <c r="L79" s="24"/>
      <c r="M79" s="25"/>
      <c r="N79" s="26"/>
    </row>
    <row r="80" spans="1:14" ht="15.75" customHeight="1">
      <c r="A80" s="68">
        <v>9</v>
      </c>
      <c r="B80" s="69" t="s">
        <v>123</v>
      </c>
      <c r="C80" s="21" t="s">
        <v>53</v>
      </c>
      <c r="D80" s="19"/>
      <c r="E80" s="17">
        <v>2549.5</v>
      </c>
      <c r="F80" s="17">
        <f>SUM(E80*12)</f>
        <v>30594</v>
      </c>
      <c r="G80" s="17">
        <v>2.95</v>
      </c>
      <c r="H80" s="80">
        <f>SUM(F80*G80/1000)</f>
        <v>90.252300000000005</v>
      </c>
      <c r="I80" s="17">
        <f>F80/12*G80</f>
        <v>7521.0250000000005</v>
      </c>
      <c r="J80" s="75"/>
      <c r="L80" s="24"/>
      <c r="M80" s="25"/>
      <c r="N80" s="26"/>
    </row>
    <row r="81" spans="1:14" ht="31.5" customHeight="1">
      <c r="A81" s="31">
        <v>10</v>
      </c>
      <c r="B81" s="19" t="s">
        <v>70</v>
      </c>
      <c r="C81" s="21"/>
      <c r="D81" s="19"/>
      <c r="E81" s="77">
        <v>2549.5</v>
      </c>
      <c r="F81" s="17">
        <f>E81*12</f>
        <v>30594</v>
      </c>
      <c r="G81" s="17">
        <v>3.05</v>
      </c>
      <c r="H81" s="80">
        <f>F81*G81/1000</f>
        <v>93.311700000000002</v>
      </c>
      <c r="I81" s="17">
        <f>F81/12*G81</f>
        <v>7775.9749999999995</v>
      </c>
      <c r="J81" s="75"/>
      <c r="L81" s="24"/>
      <c r="M81" s="25"/>
      <c r="N81" s="26"/>
    </row>
    <row r="82" spans="1:14" ht="15.75" customHeight="1">
      <c r="A82" s="61"/>
      <c r="B82" s="45" t="s">
        <v>72</v>
      </c>
      <c r="C82" s="47"/>
      <c r="D82" s="20"/>
      <c r="E82" s="20"/>
      <c r="F82" s="20"/>
      <c r="G82" s="23"/>
      <c r="H82" s="23"/>
      <c r="I82" s="35">
        <f>I81+I80+I78+I68+I30+I29+I18+I17+I16+I56</f>
        <v>33988.171089999996</v>
      </c>
      <c r="J82" s="75"/>
      <c r="L82" s="24"/>
      <c r="M82" s="25"/>
      <c r="N82" s="26"/>
    </row>
    <row r="83" spans="1:14" ht="15.75" customHeight="1">
      <c r="A83" s="162" t="s">
        <v>57</v>
      </c>
      <c r="B83" s="163"/>
      <c r="C83" s="163"/>
      <c r="D83" s="163"/>
      <c r="E83" s="163"/>
      <c r="F83" s="163"/>
      <c r="G83" s="163"/>
      <c r="H83" s="163"/>
      <c r="I83" s="164"/>
      <c r="J83" s="75"/>
      <c r="L83" s="24"/>
      <c r="M83" s="25"/>
      <c r="N83" s="26"/>
    </row>
    <row r="84" spans="1:14" ht="15.75" customHeight="1">
      <c r="A84" s="68">
        <v>11</v>
      </c>
      <c r="B84" s="19" t="s">
        <v>154</v>
      </c>
      <c r="C84" s="21" t="s">
        <v>155</v>
      </c>
      <c r="D84" s="19"/>
      <c r="E84" s="23"/>
      <c r="F84" s="17">
        <v>96</v>
      </c>
      <c r="G84" s="17">
        <v>1.4</v>
      </c>
      <c r="H84" s="17">
        <f>F84*G84/1000</f>
        <v>0.13439999999999996</v>
      </c>
      <c r="I84" s="17">
        <f>G84*48</f>
        <v>67.199999999999989</v>
      </c>
      <c r="J84" s="75"/>
      <c r="L84" s="24"/>
      <c r="M84" s="25"/>
      <c r="N84" s="26"/>
    </row>
    <row r="85" spans="1:14" ht="15.75" customHeight="1">
      <c r="A85" s="68">
        <v>12</v>
      </c>
      <c r="B85" s="117" t="s">
        <v>265</v>
      </c>
      <c r="C85" s="118" t="s">
        <v>185</v>
      </c>
      <c r="D85" s="43" t="s">
        <v>268</v>
      </c>
      <c r="E85" s="22"/>
      <c r="F85" s="41">
        <v>1</v>
      </c>
      <c r="G85" s="41">
        <v>1167.74</v>
      </c>
      <c r="H85" s="17"/>
      <c r="I85" s="17">
        <f>G85*1</f>
        <v>1167.74</v>
      </c>
      <c r="J85" s="75"/>
      <c r="L85" s="24"/>
      <c r="M85" s="25"/>
      <c r="N85" s="26"/>
    </row>
    <row r="86" spans="1:14" ht="28.5" customHeight="1">
      <c r="A86" s="68">
        <v>13</v>
      </c>
      <c r="B86" s="117" t="s">
        <v>162</v>
      </c>
      <c r="C86" s="118" t="s">
        <v>163</v>
      </c>
      <c r="D86" s="43" t="s">
        <v>269</v>
      </c>
      <c r="E86" s="22"/>
      <c r="F86" s="41">
        <v>4</v>
      </c>
      <c r="G86" s="41">
        <v>64.040000000000006</v>
      </c>
      <c r="H86" s="17"/>
      <c r="I86" s="17">
        <f>G86*1</f>
        <v>64.040000000000006</v>
      </c>
      <c r="J86" s="75"/>
      <c r="L86" s="24"/>
      <c r="M86" s="25"/>
      <c r="N86" s="26"/>
    </row>
    <row r="87" spans="1:14" ht="16.5" customHeight="1">
      <c r="A87" s="68">
        <v>14</v>
      </c>
      <c r="B87" s="117" t="s">
        <v>73</v>
      </c>
      <c r="C87" s="118" t="s">
        <v>96</v>
      </c>
      <c r="D87" s="43"/>
      <c r="E87" s="22"/>
      <c r="F87" s="41">
        <v>12</v>
      </c>
      <c r="G87" s="41">
        <v>224.48</v>
      </c>
      <c r="H87" s="17"/>
      <c r="I87" s="17">
        <f>G87*4</f>
        <v>897.92</v>
      </c>
      <c r="J87" s="75"/>
      <c r="L87" s="24"/>
      <c r="M87" s="25"/>
      <c r="N87" s="26"/>
    </row>
    <row r="88" spans="1:14" ht="16.5" customHeight="1">
      <c r="A88" s="68">
        <v>15</v>
      </c>
      <c r="B88" s="117" t="s">
        <v>156</v>
      </c>
      <c r="C88" s="118" t="s">
        <v>164</v>
      </c>
      <c r="D88" s="43" t="s">
        <v>271</v>
      </c>
      <c r="E88" s="22"/>
      <c r="F88" s="41">
        <v>106</v>
      </c>
      <c r="G88" s="41">
        <v>295.36</v>
      </c>
      <c r="H88" s="17"/>
      <c r="I88" s="17">
        <v>0</v>
      </c>
      <c r="J88" s="75"/>
      <c r="L88" s="24"/>
      <c r="M88" s="25"/>
      <c r="N88" s="26"/>
    </row>
    <row r="89" spans="1:14" ht="21" customHeight="1">
      <c r="A89" s="68">
        <v>16</v>
      </c>
      <c r="B89" s="117" t="s">
        <v>161</v>
      </c>
      <c r="C89" s="118" t="s">
        <v>157</v>
      </c>
      <c r="D89" s="43"/>
      <c r="E89" s="22"/>
      <c r="F89" s="41">
        <v>6</v>
      </c>
      <c r="G89" s="41">
        <v>236.08</v>
      </c>
      <c r="H89" s="17"/>
      <c r="I89" s="17">
        <f>G89*3</f>
        <v>708.24</v>
      </c>
      <c r="J89" s="75"/>
      <c r="L89" s="24"/>
      <c r="M89" s="25"/>
      <c r="N89" s="26"/>
    </row>
    <row r="90" spans="1:14" ht="18" customHeight="1">
      <c r="A90" s="68">
        <v>17</v>
      </c>
      <c r="B90" s="117" t="s">
        <v>183</v>
      </c>
      <c r="C90" s="118" t="s">
        <v>38</v>
      </c>
      <c r="D90" s="43" t="s">
        <v>168</v>
      </c>
      <c r="E90" s="22"/>
      <c r="F90" s="41">
        <v>0.06</v>
      </c>
      <c r="G90" s="41">
        <v>28224.75</v>
      </c>
      <c r="H90" s="17"/>
      <c r="I90" s="17">
        <v>0</v>
      </c>
      <c r="J90" s="75"/>
      <c r="L90" s="24"/>
      <c r="M90" s="25"/>
      <c r="N90" s="26"/>
    </row>
    <row r="91" spans="1:14" ht="16.5" customHeight="1">
      <c r="A91" s="68">
        <v>18</v>
      </c>
      <c r="B91" s="117" t="s">
        <v>266</v>
      </c>
      <c r="C91" s="118" t="s">
        <v>51</v>
      </c>
      <c r="D91" s="43" t="s">
        <v>270</v>
      </c>
      <c r="E91" s="22"/>
      <c r="F91" s="41">
        <v>0.96599999999999997</v>
      </c>
      <c r="G91" s="41">
        <v>529</v>
      </c>
      <c r="H91" s="17"/>
      <c r="I91" s="17">
        <f>G91*0.966</f>
        <v>511.01400000000001</v>
      </c>
      <c r="J91" s="75"/>
      <c r="L91" s="24"/>
      <c r="M91" s="25"/>
      <c r="N91" s="26"/>
    </row>
    <row r="92" spans="1:14" ht="16.5" customHeight="1">
      <c r="A92" s="68">
        <v>19</v>
      </c>
      <c r="B92" s="117" t="s">
        <v>277</v>
      </c>
      <c r="C92" s="118" t="s">
        <v>185</v>
      </c>
      <c r="D92" s="43" t="s">
        <v>278</v>
      </c>
      <c r="E92" s="22"/>
      <c r="F92" s="41">
        <v>1</v>
      </c>
      <c r="G92" s="41">
        <v>141455.6</v>
      </c>
      <c r="H92" s="17"/>
      <c r="I92" s="17">
        <f>G92*1</f>
        <v>141455.6</v>
      </c>
      <c r="J92" s="75"/>
      <c r="L92" s="24"/>
      <c r="M92" s="25"/>
      <c r="N92" s="26"/>
    </row>
    <row r="93" spans="1:14" ht="15.75" customHeight="1">
      <c r="A93" s="31"/>
      <c r="B93" s="52" t="s">
        <v>50</v>
      </c>
      <c r="C93" s="48"/>
      <c r="D93" s="62"/>
      <c r="E93" s="48">
        <v>1</v>
      </c>
      <c r="F93" s="48"/>
      <c r="G93" s="48"/>
      <c r="H93" s="48"/>
      <c r="I93" s="35">
        <f>SUM(I84:I92)</f>
        <v>144871.75400000002</v>
      </c>
      <c r="J93" s="75"/>
      <c r="L93" s="24"/>
      <c r="M93" s="25"/>
      <c r="N93" s="26"/>
    </row>
    <row r="94" spans="1:14" ht="15.75" customHeight="1">
      <c r="A94" s="31"/>
      <c r="B94" s="57" t="s">
        <v>71</v>
      </c>
      <c r="C94" s="20"/>
      <c r="D94" s="20"/>
      <c r="E94" s="49"/>
      <c r="F94" s="49"/>
      <c r="G94" s="50"/>
      <c r="H94" s="50"/>
      <c r="I94" s="22">
        <v>0</v>
      </c>
      <c r="J94" s="75"/>
      <c r="L94" s="24"/>
      <c r="M94" s="25"/>
      <c r="N94" s="26"/>
    </row>
    <row r="95" spans="1:14" ht="15.75" customHeight="1">
      <c r="A95" s="63"/>
      <c r="B95" s="53" t="s">
        <v>149</v>
      </c>
      <c r="C95" s="39"/>
      <c r="D95" s="39"/>
      <c r="E95" s="39"/>
      <c r="F95" s="39"/>
      <c r="G95" s="39"/>
      <c r="H95" s="39"/>
      <c r="I95" s="51">
        <f>I82+I93</f>
        <v>178859.92509</v>
      </c>
      <c r="J95" s="75"/>
      <c r="L95" s="24"/>
    </row>
    <row r="96" spans="1:14" ht="15.75">
      <c r="A96" s="157" t="s">
        <v>279</v>
      </c>
      <c r="B96" s="157"/>
      <c r="C96" s="157"/>
      <c r="D96" s="157"/>
      <c r="E96" s="157"/>
      <c r="F96" s="157"/>
      <c r="G96" s="157"/>
      <c r="H96" s="157"/>
      <c r="I96" s="157"/>
    </row>
    <row r="97" spans="1:22" ht="15.75">
      <c r="A97" s="12"/>
      <c r="B97" s="158" t="s">
        <v>280</v>
      </c>
      <c r="C97" s="158"/>
      <c r="D97" s="158"/>
      <c r="E97" s="158"/>
      <c r="F97" s="158"/>
      <c r="G97" s="158"/>
      <c r="H97" s="98"/>
      <c r="I97" s="4"/>
    </row>
    <row r="98" spans="1:22" ht="15.75">
      <c r="A98" s="70"/>
      <c r="B98" s="173" t="s">
        <v>6</v>
      </c>
      <c r="C98" s="173"/>
      <c r="D98" s="173"/>
      <c r="E98" s="173"/>
      <c r="F98" s="173"/>
      <c r="G98" s="173"/>
      <c r="H98" s="74"/>
      <c r="I98" s="59"/>
    </row>
    <row r="99" spans="1:22" ht="15.75" customHeight="1">
      <c r="A99" s="60"/>
      <c r="B99" s="60"/>
      <c r="C99" s="60"/>
      <c r="D99" s="60"/>
      <c r="E99" s="60"/>
      <c r="F99" s="60"/>
      <c r="G99" s="60"/>
      <c r="H99" s="60"/>
      <c r="I99" s="60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11"/>
    </row>
    <row r="100" spans="1:22" ht="15.75" customHeight="1">
      <c r="A100" s="174" t="s">
        <v>7</v>
      </c>
      <c r="B100" s="174"/>
      <c r="C100" s="174"/>
      <c r="D100" s="174"/>
      <c r="E100" s="174"/>
      <c r="F100" s="174"/>
      <c r="G100" s="174"/>
      <c r="H100" s="174"/>
      <c r="I100" s="174"/>
      <c r="J100" s="29"/>
      <c r="K100" s="29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2" ht="15.75">
      <c r="A101" s="174" t="s">
        <v>8</v>
      </c>
      <c r="B101" s="174"/>
      <c r="C101" s="174"/>
      <c r="D101" s="174"/>
      <c r="E101" s="174"/>
      <c r="F101" s="174"/>
      <c r="G101" s="174"/>
      <c r="H101" s="174"/>
      <c r="I101" s="174"/>
      <c r="J101" s="4"/>
      <c r="K101" s="4"/>
      <c r="L101" s="4"/>
      <c r="M101" s="4"/>
      <c r="N101" s="4"/>
      <c r="O101" s="4"/>
      <c r="P101" s="4"/>
      <c r="Q101" s="4"/>
      <c r="S101" s="4"/>
      <c r="T101" s="4"/>
      <c r="U101" s="4"/>
    </row>
    <row r="102" spans="1:22" ht="15.75">
      <c r="A102" s="157" t="s">
        <v>9</v>
      </c>
      <c r="B102" s="157"/>
      <c r="C102" s="157"/>
      <c r="D102" s="157"/>
      <c r="E102" s="157"/>
      <c r="F102" s="157"/>
      <c r="G102" s="157"/>
      <c r="H102" s="157"/>
      <c r="I102" s="157"/>
      <c r="J102" s="6"/>
      <c r="K102" s="6"/>
      <c r="L102" s="6"/>
      <c r="M102" s="6"/>
      <c r="N102" s="6"/>
      <c r="O102" s="6"/>
      <c r="P102" s="6"/>
      <c r="Q102" s="6"/>
      <c r="R102" s="155"/>
      <c r="S102" s="155"/>
      <c r="T102" s="155"/>
      <c r="U102" s="155"/>
    </row>
    <row r="103" spans="1:22" ht="15.75">
      <c r="A103" s="13"/>
      <c r="B103" s="58"/>
      <c r="C103" s="58"/>
      <c r="D103" s="58"/>
      <c r="E103" s="58"/>
      <c r="F103" s="58"/>
      <c r="G103" s="58"/>
      <c r="H103" s="58"/>
      <c r="I103" s="58"/>
    </row>
    <row r="104" spans="1:22" ht="15.75">
      <c r="A104" s="156" t="s">
        <v>10</v>
      </c>
      <c r="B104" s="156"/>
      <c r="C104" s="156"/>
      <c r="D104" s="156"/>
      <c r="E104" s="156"/>
      <c r="F104" s="156"/>
      <c r="G104" s="156"/>
      <c r="H104" s="156"/>
      <c r="I104" s="156"/>
    </row>
    <row r="105" spans="1:22" ht="15.75" customHeight="1">
      <c r="A105" s="5"/>
    </row>
    <row r="106" spans="1:22" ht="15.75">
      <c r="A106" s="157" t="s">
        <v>11</v>
      </c>
      <c r="B106" s="157"/>
      <c r="C106" s="175" t="s">
        <v>188</v>
      </c>
      <c r="D106" s="175"/>
      <c r="E106" s="175"/>
      <c r="F106" s="72"/>
      <c r="I106" s="103"/>
    </row>
    <row r="107" spans="1:22">
      <c r="A107" s="104"/>
      <c r="C107" s="171" t="s">
        <v>12</v>
      </c>
      <c r="D107" s="171"/>
      <c r="E107" s="171"/>
      <c r="F107" s="28"/>
      <c r="I107" s="102" t="s">
        <v>13</v>
      </c>
    </row>
    <row r="108" spans="1:22" ht="15.75">
      <c r="A108" s="29"/>
      <c r="C108" s="14"/>
      <c r="D108" s="14"/>
      <c r="G108" s="14"/>
      <c r="H108" s="14"/>
    </row>
    <row r="109" spans="1:22" ht="15.75" customHeight="1">
      <c r="A109" s="157" t="s">
        <v>14</v>
      </c>
      <c r="B109" s="157"/>
      <c r="C109" s="172"/>
      <c r="D109" s="172"/>
      <c r="E109" s="172"/>
      <c r="F109" s="73"/>
      <c r="I109" s="103"/>
    </row>
    <row r="110" spans="1:22">
      <c r="A110" s="104"/>
      <c r="C110" s="155" t="s">
        <v>12</v>
      </c>
      <c r="D110" s="155"/>
      <c r="E110" s="155"/>
      <c r="F110" s="104"/>
      <c r="I110" s="102" t="s">
        <v>13</v>
      </c>
    </row>
    <row r="111" spans="1:22" ht="15.75">
      <c r="A111" s="5" t="s">
        <v>15</v>
      </c>
    </row>
    <row r="112" spans="1:22">
      <c r="A112" s="176" t="s">
        <v>16</v>
      </c>
      <c r="B112" s="176"/>
      <c r="C112" s="176"/>
      <c r="D112" s="176"/>
      <c r="E112" s="176"/>
      <c r="F112" s="176"/>
      <c r="G112" s="176"/>
      <c r="H112" s="176"/>
      <c r="I112" s="176"/>
    </row>
    <row r="113" spans="1:9" ht="45" customHeight="1">
      <c r="A113" s="177" t="s">
        <v>17</v>
      </c>
      <c r="B113" s="177"/>
      <c r="C113" s="177"/>
      <c r="D113" s="177"/>
      <c r="E113" s="177"/>
      <c r="F113" s="177"/>
      <c r="G113" s="177"/>
      <c r="H113" s="177"/>
      <c r="I113" s="177"/>
    </row>
    <row r="114" spans="1:9" ht="30" customHeight="1">
      <c r="A114" s="177" t="s">
        <v>18</v>
      </c>
      <c r="B114" s="177"/>
      <c r="C114" s="177"/>
      <c r="D114" s="177"/>
      <c r="E114" s="177"/>
      <c r="F114" s="177"/>
      <c r="G114" s="177"/>
      <c r="H114" s="177"/>
      <c r="I114" s="177"/>
    </row>
    <row r="115" spans="1:9" ht="30" customHeight="1">
      <c r="A115" s="177" t="s">
        <v>22</v>
      </c>
      <c r="B115" s="177"/>
      <c r="C115" s="177"/>
      <c r="D115" s="177"/>
      <c r="E115" s="177"/>
      <c r="F115" s="177"/>
      <c r="G115" s="177"/>
      <c r="H115" s="177"/>
      <c r="I115" s="177"/>
    </row>
    <row r="116" spans="1:9" ht="15" customHeight="1">
      <c r="A116" s="177" t="s">
        <v>21</v>
      </c>
      <c r="B116" s="177"/>
      <c r="C116" s="177"/>
      <c r="D116" s="177"/>
      <c r="E116" s="177"/>
      <c r="F116" s="177"/>
      <c r="G116" s="177"/>
      <c r="H116" s="177"/>
      <c r="I116" s="177"/>
    </row>
    <row r="118" spans="1:9">
      <c r="A118" s="15"/>
      <c r="B118" s="15"/>
      <c r="C118" s="15"/>
      <c r="D118" s="15"/>
      <c r="E118" s="15"/>
      <c r="F118" s="15"/>
      <c r="G118" s="15"/>
      <c r="H118" s="15"/>
    </row>
  </sheetData>
  <autoFilter ref="I15:I97"/>
  <mergeCells count="31">
    <mergeCell ref="A116:I116"/>
    <mergeCell ref="R102:U102"/>
    <mergeCell ref="A104:I104"/>
    <mergeCell ref="A106:B106"/>
    <mergeCell ref="C106:E106"/>
    <mergeCell ref="C107:E107"/>
    <mergeCell ref="A109:B109"/>
    <mergeCell ref="C109:E109"/>
    <mergeCell ref="A102:I102"/>
    <mergeCell ref="C110:E110"/>
    <mergeCell ref="A112:I112"/>
    <mergeCell ref="A113:I113"/>
    <mergeCell ref="A114:I114"/>
    <mergeCell ref="A115:I115"/>
    <mergeCell ref="A96:I96"/>
    <mergeCell ref="B97:G97"/>
    <mergeCell ref="B98:G98"/>
    <mergeCell ref="A100:I100"/>
    <mergeCell ref="A101:I101"/>
    <mergeCell ref="A83:I83"/>
    <mergeCell ref="A3:I3"/>
    <mergeCell ref="A4:I4"/>
    <mergeCell ref="A5:I5"/>
    <mergeCell ref="A8:I8"/>
    <mergeCell ref="A10:I10"/>
    <mergeCell ref="A14:I14"/>
    <mergeCell ref="A15:I15"/>
    <mergeCell ref="A27:I27"/>
    <mergeCell ref="A42:I42"/>
    <mergeCell ref="A53:I53"/>
    <mergeCell ref="A79:I7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8"/>
  <sheetViews>
    <sheetView topLeftCell="A48" workbookViewId="0">
      <selection activeCell="A102" sqref="A102:I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5" s="58" customFormat="1" ht="15.75" customHeight="1">
      <c r="A1" s="33" t="s">
        <v>159</v>
      </c>
      <c r="I1" s="32"/>
    </row>
    <row r="2" spans="1:15" s="58" customFormat="1" ht="15.75" customHeight="1">
      <c r="A2" s="30" t="s">
        <v>58</v>
      </c>
      <c r="J2" s="1"/>
      <c r="K2" s="1"/>
      <c r="L2" s="1"/>
      <c r="M2" s="1"/>
    </row>
    <row r="3" spans="1:15" s="58" customFormat="1" ht="15.75" customHeight="1">
      <c r="A3" s="150" t="s">
        <v>134</v>
      </c>
      <c r="B3" s="150"/>
      <c r="C3" s="150"/>
      <c r="D3" s="150"/>
      <c r="E3" s="150"/>
      <c r="F3" s="150"/>
      <c r="G3" s="150"/>
      <c r="H3" s="150"/>
      <c r="I3" s="150"/>
      <c r="J3" s="2"/>
      <c r="K3" s="2"/>
      <c r="L3" s="2"/>
      <c r="M3" s="2"/>
    </row>
    <row r="4" spans="1:15" s="58" customFormat="1" ht="31.5" customHeight="1">
      <c r="A4" s="151" t="s">
        <v>85</v>
      </c>
      <c r="B4" s="151"/>
      <c r="C4" s="151"/>
      <c r="D4" s="151"/>
      <c r="E4" s="151"/>
      <c r="F4" s="151"/>
      <c r="G4" s="151"/>
      <c r="H4" s="151"/>
      <c r="I4" s="151"/>
      <c r="J4" s="3"/>
      <c r="K4" s="3"/>
      <c r="L4" s="3"/>
      <c r="M4" s="3"/>
    </row>
    <row r="5" spans="1:15" s="58" customFormat="1" ht="15.75" customHeight="1">
      <c r="A5" s="150" t="s">
        <v>272</v>
      </c>
      <c r="B5" s="152"/>
      <c r="C5" s="152"/>
      <c r="D5" s="152"/>
      <c r="E5" s="152"/>
      <c r="F5" s="152"/>
      <c r="G5" s="152"/>
      <c r="H5" s="152"/>
      <c r="I5" s="152"/>
      <c r="J5" s="4"/>
      <c r="K5" s="4"/>
      <c r="L5" s="4"/>
    </row>
    <row r="6" spans="1:15" s="58" customFormat="1" ht="15.75" customHeight="1">
      <c r="A6" s="3"/>
      <c r="B6" s="99"/>
      <c r="C6" s="99"/>
      <c r="D6" s="99"/>
      <c r="E6" s="99"/>
      <c r="F6" s="99"/>
      <c r="G6" s="99"/>
      <c r="H6" s="99"/>
      <c r="I6" s="34">
        <v>44469</v>
      </c>
    </row>
    <row r="7" spans="1:15" ht="15.75">
      <c r="B7" s="97"/>
      <c r="C7" s="97"/>
      <c r="D7" s="97"/>
      <c r="E7" s="4"/>
      <c r="F7" s="4"/>
      <c r="G7" s="4"/>
      <c r="H7" s="4"/>
      <c r="J7" s="3"/>
      <c r="K7" s="3"/>
      <c r="L7" s="3"/>
      <c r="M7" s="3"/>
    </row>
    <row r="8" spans="1:15" ht="78.75" customHeight="1">
      <c r="A8" s="153" t="s">
        <v>187</v>
      </c>
      <c r="B8" s="153"/>
      <c r="C8" s="153"/>
      <c r="D8" s="153"/>
      <c r="E8" s="153"/>
      <c r="F8" s="153"/>
      <c r="G8" s="153"/>
      <c r="H8" s="153"/>
      <c r="I8" s="153"/>
      <c r="J8" s="3"/>
      <c r="K8" s="3"/>
      <c r="L8" s="3"/>
      <c r="M8" s="3"/>
    </row>
    <row r="9" spans="1:15" ht="15.75">
      <c r="A9" s="5"/>
      <c r="J9" s="4"/>
      <c r="K9" s="4"/>
      <c r="L9" s="4"/>
      <c r="M9" s="4"/>
    </row>
    <row r="10" spans="1:15" ht="47.25" customHeight="1">
      <c r="A10" s="154" t="s">
        <v>158</v>
      </c>
      <c r="B10" s="154"/>
      <c r="C10" s="154"/>
      <c r="D10" s="154"/>
      <c r="E10" s="154"/>
      <c r="F10" s="154"/>
      <c r="G10" s="154"/>
      <c r="H10" s="154"/>
      <c r="I10" s="154"/>
      <c r="J10" s="6"/>
      <c r="K10" s="6"/>
      <c r="L10" s="6"/>
      <c r="M10" s="6"/>
    </row>
    <row r="11" spans="1:15" ht="15.75" customHeight="1">
      <c r="A11" s="5"/>
      <c r="J11" s="3"/>
      <c r="K11" s="3"/>
      <c r="L11" s="3"/>
      <c r="M11" s="3"/>
    </row>
    <row r="12" spans="1:15" ht="51">
      <c r="A12" s="7" t="s">
        <v>0</v>
      </c>
      <c r="B12" s="7" t="s">
        <v>1</v>
      </c>
      <c r="C12" s="7" t="s">
        <v>2</v>
      </c>
      <c r="D12" s="7" t="s">
        <v>19</v>
      </c>
      <c r="E12" s="7" t="s">
        <v>20</v>
      </c>
      <c r="F12" s="7"/>
      <c r="G12" s="7" t="s">
        <v>23</v>
      </c>
      <c r="H12" s="7"/>
      <c r="I12" s="7" t="s">
        <v>3</v>
      </c>
      <c r="J12" s="4"/>
      <c r="K12" s="11"/>
    </row>
    <row r="13" spans="1:15">
      <c r="A13" s="8">
        <v>1</v>
      </c>
      <c r="B13" s="8">
        <v>2</v>
      </c>
      <c r="C13" s="8">
        <v>3</v>
      </c>
      <c r="D13" s="9">
        <v>4</v>
      </c>
      <c r="E13" s="8">
        <v>5</v>
      </c>
      <c r="F13" s="8"/>
      <c r="G13" s="8">
        <v>5</v>
      </c>
      <c r="H13" s="8"/>
      <c r="I13" s="8">
        <v>6</v>
      </c>
      <c r="J13" s="11"/>
      <c r="K13" s="11"/>
    </row>
    <row r="14" spans="1:15" ht="15.75" customHeight="1">
      <c r="A14" s="148" t="s">
        <v>139</v>
      </c>
      <c r="B14" s="149"/>
      <c r="C14" s="149"/>
      <c r="D14" s="149"/>
      <c r="E14" s="149"/>
      <c r="F14" s="149"/>
      <c r="G14" s="149"/>
      <c r="H14" s="149"/>
      <c r="I14" s="149"/>
      <c r="J14" s="114"/>
      <c r="K14" s="114"/>
      <c r="L14" s="10"/>
      <c r="M14" s="10"/>
      <c r="N14" s="10"/>
      <c r="O14" s="10"/>
    </row>
    <row r="15" spans="1:15" ht="15.75" customHeight="1">
      <c r="A15" s="145" t="s">
        <v>4</v>
      </c>
      <c r="B15" s="146"/>
      <c r="C15" s="146"/>
      <c r="D15" s="146"/>
      <c r="E15" s="146"/>
      <c r="F15" s="146"/>
      <c r="G15" s="146"/>
      <c r="H15" s="146"/>
      <c r="I15" s="147"/>
      <c r="J15" s="11"/>
      <c r="K15" s="11"/>
    </row>
    <row r="16" spans="1:15" ht="15.75" customHeight="1">
      <c r="A16" s="31">
        <v>1</v>
      </c>
      <c r="B16" s="69" t="s">
        <v>76</v>
      </c>
      <c r="C16" s="76" t="s">
        <v>86</v>
      </c>
      <c r="D16" s="69" t="s">
        <v>166</v>
      </c>
      <c r="E16" s="77">
        <v>70.900000000000006</v>
      </c>
      <c r="F16" s="78">
        <f>SUM(E16*156/100)</f>
        <v>110.60400000000001</v>
      </c>
      <c r="G16" s="78">
        <v>218.21</v>
      </c>
      <c r="H16" s="79">
        <f t="shared" ref="H16:H26" si="0">SUM(F16*G16/1000)</f>
        <v>24.134898840000005</v>
      </c>
      <c r="I16" s="17">
        <f>F16/12*G16</f>
        <v>2011.2415700000001</v>
      </c>
      <c r="J16" s="10"/>
      <c r="K16" s="10"/>
      <c r="L16" s="10"/>
      <c r="M16" s="10"/>
    </row>
    <row r="17" spans="1:13" ht="15.75" customHeight="1">
      <c r="A17" s="31">
        <v>2</v>
      </c>
      <c r="B17" s="69" t="s">
        <v>77</v>
      </c>
      <c r="C17" s="76" t="s">
        <v>86</v>
      </c>
      <c r="D17" s="69" t="s">
        <v>167</v>
      </c>
      <c r="E17" s="77">
        <v>212.7</v>
      </c>
      <c r="F17" s="78">
        <f>SUM(E17*104/100)</f>
        <v>221.208</v>
      </c>
      <c r="G17" s="78">
        <v>218.21</v>
      </c>
      <c r="H17" s="79">
        <f t="shared" si="0"/>
        <v>48.269797680000003</v>
      </c>
      <c r="I17" s="17">
        <f>F17/12*G17</f>
        <v>4022.4831400000003</v>
      </c>
      <c r="J17" s="10"/>
      <c r="K17" s="10"/>
      <c r="L17" s="10"/>
      <c r="M17" s="10"/>
    </row>
    <row r="18" spans="1:13" ht="15.75" customHeight="1">
      <c r="A18" s="31">
        <v>3</v>
      </c>
      <c r="B18" s="69" t="s">
        <v>78</v>
      </c>
      <c r="C18" s="76" t="s">
        <v>86</v>
      </c>
      <c r="D18" s="69" t="s">
        <v>168</v>
      </c>
      <c r="E18" s="77">
        <f>SUM(E16+E17)</f>
        <v>283.60000000000002</v>
      </c>
      <c r="F18" s="78">
        <f>SUM(E18*24/100)</f>
        <v>68.064000000000007</v>
      </c>
      <c r="G18" s="78">
        <v>627.77</v>
      </c>
      <c r="H18" s="79">
        <f t="shared" si="0"/>
        <v>42.728537280000005</v>
      </c>
      <c r="I18" s="17">
        <f>F18/12*G18</f>
        <v>3560.7114400000005</v>
      </c>
      <c r="J18" s="10"/>
      <c r="K18" s="10"/>
      <c r="L18" s="10"/>
      <c r="M18" s="10"/>
    </row>
    <row r="19" spans="1:13" ht="15.75" hidden="1" customHeight="1">
      <c r="A19" s="31">
        <v>4</v>
      </c>
      <c r="B19" s="69" t="s">
        <v>87</v>
      </c>
      <c r="C19" s="76" t="s">
        <v>88</v>
      </c>
      <c r="D19" s="69" t="s">
        <v>89</v>
      </c>
      <c r="E19" s="77">
        <v>40</v>
      </c>
      <c r="F19" s="78">
        <f>SUM(E19/10)</f>
        <v>4</v>
      </c>
      <c r="G19" s="78">
        <v>211.74</v>
      </c>
      <c r="H19" s="79">
        <f t="shared" si="0"/>
        <v>0.84696000000000005</v>
      </c>
      <c r="I19" s="17">
        <v>0</v>
      </c>
      <c r="J19" s="10"/>
      <c r="K19" s="10"/>
      <c r="L19" s="10"/>
      <c r="M19" s="10"/>
    </row>
    <row r="20" spans="1:13" ht="13.5" customHeight="1">
      <c r="A20" s="31">
        <v>4</v>
      </c>
      <c r="B20" s="69" t="s">
        <v>90</v>
      </c>
      <c r="C20" s="76" t="s">
        <v>86</v>
      </c>
      <c r="D20" s="69" t="s">
        <v>173</v>
      </c>
      <c r="E20" s="77">
        <v>10.5</v>
      </c>
      <c r="F20" s="78">
        <f>SUM(E20*2/100)</f>
        <v>0.21</v>
      </c>
      <c r="G20" s="78">
        <v>271.12</v>
      </c>
      <c r="H20" s="79">
        <f t="shared" si="0"/>
        <v>5.6935200000000005E-2</v>
      </c>
      <c r="I20" s="17">
        <f>G20*F20/2</f>
        <v>28.467600000000001</v>
      </c>
      <c r="J20" s="10"/>
      <c r="K20" s="10"/>
      <c r="L20" s="10"/>
      <c r="M20" s="10"/>
    </row>
    <row r="21" spans="1:13" ht="14.25" customHeight="1">
      <c r="A21" s="31">
        <v>5</v>
      </c>
      <c r="B21" s="69" t="s">
        <v>91</v>
      </c>
      <c r="C21" s="76" t="s">
        <v>86</v>
      </c>
      <c r="D21" s="69" t="s">
        <v>173</v>
      </c>
      <c r="E21" s="77">
        <v>2.7</v>
      </c>
      <c r="F21" s="78">
        <f>SUM(E21*2/100)</f>
        <v>5.4000000000000006E-2</v>
      </c>
      <c r="G21" s="78">
        <v>268.92</v>
      </c>
      <c r="H21" s="79">
        <f t="shared" si="0"/>
        <v>1.4521680000000002E-2</v>
      </c>
      <c r="I21" s="17">
        <f>G21*F21/2</f>
        <v>7.2608400000000008</v>
      </c>
      <c r="J21" s="10"/>
      <c r="K21" s="10"/>
      <c r="L21" s="10"/>
      <c r="M21" s="10"/>
    </row>
    <row r="22" spans="1:13" ht="15.75" hidden="1" customHeight="1">
      <c r="A22" s="31">
        <v>7</v>
      </c>
      <c r="B22" s="69" t="s">
        <v>92</v>
      </c>
      <c r="C22" s="76" t="s">
        <v>51</v>
      </c>
      <c r="D22" s="69" t="s">
        <v>89</v>
      </c>
      <c r="E22" s="77">
        <v>357</v>
      </c>
      <c r="F22" s="78">
        <f t="shared" ref="F22:F25" si="1">SUM(E22/100)</f>
        <v>3.57</v>
      </c>
      <c r="G22" s="78">
        <v>335.05</v>
      </c>
      <c r="H22" s="79">
        <f t="shared" si="0"/>
        <v>1.1961284999999999</v>
      </c>
      <c r="I22" s="17">
        <v>0</v>
      </c>
      <c r="J22" s="10"/>
      <c r="K22" s="10"/>
      <c r="L22" s="10"/>
      <c r="M22" s="10"/>
    </row>
    <row r="23" spans="1:13" ht="16.5" hidden="1" customHeight="1">
      <c r="A23" s="31">
        <v>8</v>
      </c>
      <c r="B23" s="69" t="s">
        <v>93</v>
      </c>
      <c r="C23" s="76" t="s">
        <v>51</v>
      </c>
      <c r="D23" s="69" t="s">
        <v>89</v>
      </c>
      <c r="E23" s="81">
        <v>38.64</v>
      </c>
      <c r="F23" s="78">
        <f t="shared" si="1"/>
        <v>0.38640000000000002</v>
      </c>
      <c r="G23" s="78">
        <v>55.1</v>
      </c>
      <c r="H23" s="79">
        <f t="shared" si="0"/>
        <v>2.1290640000000003E-2</v>
      </c>
      <c r="I23" s="17">
        <v>0</v>
      </c>
      <c r="J23" s="10"/>
      <c r="K23" s="10"/>
      <c r="L23" s="10"/>
      <c r="M23" s="10"/>
    </row>
    <row r="24" spans="1:13" ht="13.5" hidden="1" customHeight="1">
      <c r="A24" s="31">
        <v>9</v>
      </c>
      <c r="B24" s="69" t="s">
        <v>94</v>
      </c>
      <c r="C24" s="76" t="s">
        <v>51</v>
      </c>
      <c r="D24" s="82" t="s">
        <v>89</v>
      </c>
      <c r="E24" s="23">
        <v>15</v>
      </c>
      <c r="F24" s="83">
        <f t="shared" si="1"/>
        <v>0.15</v>
      </c>
      <c r="G24" s="78">
        <v>484.94</v>
      </c>
      <c r="H24" s="79">
        <f t="shared" si="0"/>
        <v>7.2741E-2</v>
      </c>
      <c r="I24" s="17">
        <v>0</v>
      </c>
      <c r="J24" s="10"/>
      <c r="K24" s="10"/>
      <c r="L24" s="10"/>
      <c r="M24" s="10"/>
    </row>
    <row r="25" spans="1:13" ht="15" hidden="1" customHeight="1">
      <c r="A25" s="31">
        <v>10</v>
      </c>
      <c r="B25" s="69" t="s">
        <v>95</v>
      </c>
      <c r="C25" s="76" t="s">
        <v>51</v>
      </c>
      <c r="D25" s="69" t="s">
        <v>89</v>
      </c>
      <c r="E25" s="84">
        <v>6.38</v>
      </c>
      <c r="F25" s="78">
        <f t="shared" si="1"/>
        <v>6.3799999999999996E-2</v>
      </c>
      <c r="G25" s="78">
        <v>684.05</v>
      </c>
      <c r="H25" s="79">
        <f t="shared" si="0"/>
        <v>4.3642389999999989E-2</v>
      </c>
      <c r="I25" s="17">
        <v>0</v>
      </c>
      <c r="J25" s="10"/>
      <c r="K25" s="10"/>
      <c r="L25" s="10"/>
      <c r="M25" s="10"/>
    </row>
    <row r="26" spans="1:13" ht="15.75" hidden="1" customHeight="1">
      <c r="A26" s="31">
        <v>6</v>
      </c>
      <c r="B26" s="37" t="s">
        <v>165</v>
      </c>
      <c r="C26" s="46" t="s">
        <v>155</v>
      </c>
      <c r="D26" s="37" t="s">
        <v>169</v>
      </c>
      <c r="E26" s="122">
        <v>4.28</v>
      </c>
      <c r="F26" s="36">
        <f>E26*258</f>
        <v>1104.24</v>
      </c>
      <c r="G26" s="36">
        <v>10.39</v>
      </c>
      <c r="H26" s="79">
        <f t="shared" si="0"/>
        <v>11.473053600000002</v>
      </c>
      <c r="I26" s="17">
        <f>F26/12*G26</f>
        <v>956.08780000000002</v>
      </c>
      <c r="J26" s="10"/>
      <c r="K26" s="10"/>
      <c r="L26" s="10"/>
      <c r="M26" s="10"/>
    </row>
    <row r="27" spans="1:13" ht="15.75" customHeight="1">
      <c r="A27" s="145" t="s">
        <v>75</v>
      </c>
      <c r="B27" s="146"/>
      <c r="C27" s="146"/>
      <c r="D27" s="146"/>
      <c r="E27" s="146"/>
      <c r="F27" s="146"/>
      <c r="G27" s="146"/>
      <c r="H27" s="146"/>
      <c r="I27" s="147"/>
      <c r="J27" s="27"/>
      <c r="K27" s="10"/>
      <c r="L27" s="10"/>
      <c r="M27" s="10"/>
    </row>
    <row r="28" spans="1:13" ht="15.75" customHeight="1">
      <c r="A28" s="47"/>
      <c r="B28" s="55" t="s">
        <v>136</v>
      </c>
      <c r="C28" s="47"/>
      <c r="D28" s="47"/>
      <c r="E28" s="16"/>
      <c r="F28" s="16"/>
      <c r="G28" s="18"/>
      <c r="H28" s="18"/>
      <c r="I28" s="64"/>
      <c r="J28" s="27"/>
      <c r="K28" s="10"/>
      <c r="L28" s="10"/>
      <c r="M28" s="10"/>
    </row>
    <row r="29" spans="1:13" ht="15.75" customHeight="1">
      <c r="A29" s="68">
        <v>6</v>
      </c>
      <c r="B29" s="69" t="s">
        <v>140</v>
      </c>
      <c r="C29" s="76" t="s">
        <v>109</v>
      </c>
      <c r="D29" s="69" t="s">
        <v>167</v>
      </c>
      <c r="E29" s="78">
        <v>65.099999999999994</v>
      </c>
      <c r="F29" s="78">
        <f>SUM(E29*52/1000)</f>
        <v>3.3851999999999998</v>
      </c>
      <c r="G29" s="78">
        <v>193.97</v>
      </c>
      <c r="H29" s="79">
        <f t="shared" ref="H29:H33" si="2">SUM(F29*G29/1000)</f>
        <v>0.65662724399999994</v>
      </c>
      <c r="I29" s="17">
        <f>F29/6*G29</f>
        <v>109.43787399999998</v>
      </c>
      <c r="J29" s="27"/>
      <c r="K29" s="10"/>
      <c r="L29" s="10"/>
      <c r="M29" s="10"/>
    </row>
    <row r="30" spans="1:13" ht="31.5" customHeight="1">
      <c r="A30" s="68">
        <v>7</v>
      </c>
      <c r="B30" s="69" t="s">
        <v>141</v>
      </c>
      <c r="C30" s="76" t="s">
        <v>109</v>
      </c>
      <c r="D30" s="69" t="s">
        <v>166</v>
      </c>
      <c r="E30" s="78">
        <v>65.099999999999994</v>
      </c>
      <c r="F30" s="78">
        <f>SUM(E30*78/1000)</f>
        <v>5.077799999999999</v>
      </c>
      <c r="G30" s="78">
        <v>321.82</v>
      </c>
      <c r="H30" s="79">
        <f t="shared" si="2"/>
        <v>1.6341375959999995</v>
      </c>
      <c r="I30" s="17">
        <f t="shared" ref="I30" si="3">F30/6*G30</f>
        <v>272.35626599999995</v>
      </c>
      <c r="J30" s="27"/>
      <c r="K30" s="10"/>
      <c r="L30" s="10"/>
      <c r="M30" s="10"/>
    </row>
    <row r="31" spans="1:13" ht="15.75" hidden="1" customHeight="1">
      <c r="A31" s="68">
        <v>15</v>
      </c>
      <c r="B31" s="69" t="s">
        <v>27</v>
      </c>
      <c r="C31" s="76" t="s">
        <v>109</v>
      </c>
      <c r="D31" s="69" t="s">
        <v>52</v>
      </c>
      <c r="E31" s="78">
        <v>65.099999999999994</v>
      </c>
      <c r="F31" s="78">
        <f>SUM(E31/1000)</f>
        <v>6.5099999999999991E-2</v>
      </c>
      <c r="G31" s="78">
        <v>3758.28</v>
      </c>
      <c r="H31" s="79">
        <f t="shared" si="2"/>
        <v>0.24466402799999998</v>
      </c>
      <c r="I31" s="17">
        <f>F31*G31</f>
        <v>244.66402799999997</v>
      </c>
      <c r="J31" s="27"/>
      <c r="K31" s="10"/>
      <c r="L31" s="10"/>
      <c r="M31" s="10"/>
    </row>
    <row r="32" spans="1:13" ht="15.75" hidden="1" customHeight="1">
      <c r="A32" s="68"/>
      <c r="B32" s="69" t="s">
        <v>60</v>
      </c>
      <c r="C32" s="76" t="s">
        <v>31</v>
      </c>
      <c r="D32" s="69" t="s">
        <v>61</v>
      </c>
      <c r="E32" s="77"/>
      <c r="F32" s="78">
        <v>1</v>
      </c>
      <c r="G32" s="78">
        <v>238.07</v>
      </c>
      <c r="H32" s="79">
        <f t="shared" si="2"/>
        <v>0.23807</v>
      </c>
      <c r="I32" s="17">
        <v>0</v>
      </c>
      <c r="J32" s="27"/>
      <c r="K32" s="10"/>
      <c r="L32" s="10"/>
      <c r="M32" s="10"/>
    </row>
    <row r="33" spans="1:13" ht="15.75" hidden="1" customHeight="1">
      <c r="A33" s="68"/>
      <c r="B33" s="69" t="s">
        <v>110</v>
      </c>
      <c r="C33" s="76" t="s">
        <v>30</v>
      </c>
      <c r="D33" s="69" t="s">
        <v>61</v>
      </c>
      <c r="E33" s="77"/>
      <c r="F33" s="78">
        <v>1</v>
      </c>
      <c r="G33" s="78">
        <v>1413.96</v>
      </c>
      <c r="H33" s="79">
        <f t="shared" si="2"/>
        <v>1.4139600000000001</v>
      </c>
      <c r="I33" s="17">
        <v>0</v>
      </c>
      <c r="J33" s="27"/>
      <c r="K33" s="10"/>
      <c r="L33" s="10"/>
      <c r="M33" s="10"/>
    </row>
    <row r="34" spans="1:13" ht="15.75" hidden="1" customHeight="1">
      <c r="A34" s="47"/>
      <c r="B34" s="55" t="s">
        <v>5</v>
      </c>
      <c r="C34" s="47"/>
      <c r="D34" s="47"/>
      <c r="E34" s="16"/>
      <c r="F34" s="16"/>
      <c r="G34" s="18"/>
      <c r="H34" s="18"/>
      <c r="I34" s="64"/>
      <c r="J34" s="27"/>
      <c r="K34" s="10"/>
      <c r="L34" s="10"/>
      <c r="M34" s="10"/>
    </row>
    <row r="35" spans="1:13" ht="15.75" hidden="1" customHeight="1">
      <c r="A35" s="38">
        <v>6</v>
      </c>
      <c r="B35" s="69" t="s">
        <v>26</v>
      </c>
      <c r="C35" s="76" t="s">
        <v>30</v>
      </c>
      <c r="D35" s="69"/>
      <c r="E35" s="77"/>
      <c r="F35" s="78">
        <v>2</v>
      </c>
      <c r="G35" s="78">
        <v>1900.37</v>
      </c>
      <c r="H35" s="79">
        <f t="shared" ref="H35:H41" si="4">SUM(F35*G35/1000)</f>
        <v>3.8007399999999998</v>
      </c>
      <c r="I35" s="17">
        <f>F35/6*G35</f>
        <v>633.45666666666659</v>
      </c>
      <c r="J35" s="27"/>
      <c r="K35" s="10"/>
      <c r="L35" s="10"/>
      <c r="M35" s="10"/>
    </row>
    <row r="36" spans="1:13" ht="15.75" hidden="1" customHeight="1">
      <c r="A36" s="38">
        <v>7</v>
      </c>
      <c r="B36" s="69" t="s">
        <v>111</v>
      </c>
      <c r="C36" s="76" t="s">
        <v>28</v>
      </c>
      <c r="D36" s="69" t="s">
        <v>143</v>
      </c>
      <c r="E36" s="77">
        <v>65.099999999999994</v>
      </c>
      <c r="F36" s="78">
        <f>E36*24/1000</f>
        <v>1.5623999999999998</v>
      </c>
      <c r="G36" s="78">
        <v>2616.4899999999998</v>
      </c>
      <c r="H36" s="79">
        <f>G36*F36/1000</f>
        <v>4.0880039759999987</v>
      </c>
      <c r="I36" s="17">
        <f>F36/6*G36</f>
        <v>681.33399599999984</v>
      </c>
      <c r="J36" s="27"/>
      <c r="K36" s="10"/>
      <c r="L36" s="10"/>
      <c r="M36" s="10"/>
    </row>
    <row r="37" spans="1:13" ht="15.75" hidden="1" customHeight="1">
      <c r="A37" s="38">
        <v>8</v>
      </c>
      <c r="B37" s="69" t="s">
        <v>112</v>
      </c>
      <c r="C37" s="76" t="s">
        <v>113</v>
      </c>
      <c r="D37" s="69" t="s">
        <v>61</v>
      </c>
      <c r="E37" s="77"/>
      <c r="F37" s="78">
        <v>13</v>
      </c>
      <c r="G37" s="78">
        <v>226.84</v>
      </c>
      <c r="H37" s="79">
        <f>G37*F37/1000</f>
        <v>2.9489200000000002</v>
      </c>
      <c r="I37" s="17">
        <f>G37*26</f>
        <v>5897.84</v>
      </c>
      <c r="J37" s="27"/>
      <c r="K37" s="10"/>
      <c r="L37" s="10"/>
      <c r="M37" s="10"/>
    </row>
    <row r="38" spans="1:13" ht="15.75" hidden="1" customHeight="1">
      <c r="A38" s="38">
        <v>9</v>
      </c>
      <c r="B38" s="69" t="s">
        <v>144</v>
      </c>
      <c r="C38" s="76" t="s">
        <v>28</v>
      </c>
      <c r="D38" s="69" t="s">
        <v>114</v>
      </c>
      <c r="E38" s="78">
        <v>65.099999999999994</v>
      </c>
      <c r="F38" s="78">
        <f>SUM(E38*155/1000)</f>
        <v>10.0905</v>
      </c>
      <c r="G38" s="78">
        <v>436.45</v>
      </c>
      <c r="H38" s="79">
        <f t="shared" si="4"/>
        <v>4.4039987250000001</v>
      </c>
      <c r="I38" s="17">
        <f>F38/6*G38</f>
        <v>733.99978750000002</v>
      </c>
      <c r="J38" s="27"/>
      <c r="K38" s="10"/>
      <c r="L38" s="10"/>
      <c r="M38" s="10"/>
    </row>
    <row r="39" spans="1:13" ht="47.25" hidden="1" customHeight="1">
      <c r="A39" s="38">
        <v>10</v>
      </c>
      <c r="B39" s="69" t="s">
        <v>74</v>
      </c>
      <c r="C39" s="76" t="s">
        <v>109</v>
      </c>
      <c r="D39" s="69" t="s">
        <v>115</v>
      </c>
      <c r="E39" s="78">
        <v>65.099999999999994</v>
      </c>
      <c r="F39" s="78">
        <f>SUM(E39*24/1000)</f>
        <v>1.5623999999999998</v>
      </c>
      <c r="G39" s="78">
        <v>7221.21</v>
      </c>
      <c r="H39" s="79">
        <f t="shared" si="4"/>
        <v>11.282418503999999</v>
      </c>
      <c r="I39" s="17">
        <f>F39/6*G39</f>
        <v>1880.4030839999998</v>
      </c>
      <c r="J39" s="27"/>
      <c r="K39" s="10"/>
      <c r="L39" s="10"/>
      <c r="M39" s="10"/>
    </row>
    <row r="40" spans="1:13" ht="15.75" hidden="1" customHeight="1">
      <c r="A40" s="38">
        <v>11</v>
      </c>
      <c r="B40" s="69" t="s">
        <v>116</v>
      </c>
      <c r="C40" s="76" t="s">
        <v>109</v>
      </c>
      <c r="D40" s="69" t="s">
        <v>145</v>
      </c>
      <c r="E40" s="78">
        <v>65.099999999999994</v>
      </c>
      <c r="F40" s="78">
        <f>SUM(E40*18/1000)</f>
        <v>1.1718</v>
      </c>
      <c r="G40" s="78">
        <v>533.45000000000005</v>
      </c>
      <c r="H40" s="79">
        <f t="shared" si="4"/>
        <v>0.62509671</v>
      </c>
      <c r="I40" s="17">
        <f>F40/6*G40</f>
        <v>104.18278500000001</v>
      </c>
      <c r="J40" s="27"/>
      <c r="K40" s="10"/>
      <c r="L40" s="10"/>
      <c r="M40" s="10"/>
    </row>
    <row r="41" spans="1:13" ht="15.75" hidden="1" customHeight="1">
      <c r="A41" s="38">
        <v>12</v>
      </c>
      <c r="B41" s="69" t="s">
        <v>62</v>
      </c>
      <c r="C41" s="76" t="s">
        <v>31</v>
      </c>
      <c r="D41" s="69"/>
      <c r="E41" s="77"/>
      <c r="F41" s="78">
        <v>0.4</v>
      </c>
      <c r="G41" s="78">
        <v>992.97</v>
      </c>
      <c r="H41" s="79">
        <f t="shared" si="4"/>
        <v>0.39718800000000004</v>
      </c>
      <c r="I41" s="17">
        <f>F41/6*G41</f>
        <v>66.198000000000008</v>
      </c>
      <c r="J41" s="27"/>
      <c r="K41" s="10"/>
      <c r="L41" s="10"/>
      <c r="M41" s="10"/>
    </row>
    <row r="42" spans="1:13" ht="15.75" customHeight="1">
      <c r="A42" s="168" t="s">
        <v>146</v>
      </c>
      <c r="B42" s="169"/>
      <c r="C42" s="169"/>
      <c r="D42" s="169"/>
      <c r="E42" s="169"/>
      <c r="F42" s="169"/>
      <c r="G42" s="169"/>
      <c r="H42" s="169"/>
      <c r="I42" s="170"/>
      <c r="J42" s="27"/>
      <c r="K42" s="10"/>
      <c r="L42" s="10"/>
      <c r="M42" s="10"/>
    </row>
    <row r="43" spans="1:13" ht="17.25" customHeight="1">
      <c r="A43" s="47">
        <v>8</v>
      </c>
      <c r="B43" s="69" t="s">
        <v>117</v>
      </c>
      <c r="C43" s="76" t="s">
        <v>109</v>
      </c>
      <c r="D43" s="69" t="s">
        <v>173</v>
      </c>
      <c r="E43" s="77">
        <v>1060.4000000000001</v>
      </c>
      <c r="F43" s="78">
        <f>SUM(E43*2/1000)</f>
        <v>2.1208</v>
      </c>
      <c r="G43" s="17">
        <v>1283.46</v>
      </c>
      <c r="H43" s="79">
        <f t="shared" ref="H43:H52" si="5">SUM(F43*G43/1000)</f>
        <v>2.721961968</v>
      </c>
      <c r="I43" s="17">
        <f t="shared" ref="I43:I45" si="6">F43/2*G43</f>
        <v>1360.980984</v>
      </c>
      <c r="J43" s="27"/>
      <c r="K43" s="10"/>
      <c r="L43" s="10"/>
      <c r="M43" s="10"/>
    </row>
    <row r="44" spans="1:13" ht="14.25" customHeight="1">
      <c r="A44" s="47">
        <v>9</v>
      </c>
      <c r="B44" s="69" t="s">
        <v>34</v>
      </c>
      <c r="C44" s="76" t="s">
        <v>109</v>
      </c>
      <c r="D44" s="69" t="s">
        <v>173</v>
      </c>
      <c r="E44" s="77">
        <v>1251.6199999999999</v>
      </c>
      <c r="F44" s="78">
        <f>SUM(E44*2/1000)</f>
        <v>2.5032399999999999</v>
      </c>
      <c r="G44" s="17">
        <v>1712.28</v>
      </c>
      <c r="H44" s="79">
        <f t="shared" si="5"/>
        <v>4.2862477871999998</v>
      </c>
      <c r="I44" s="17">
        <f t="shared" si="6"/>
        <v>2143.1238936</v>
      </c>
      <c r="J44" s="27"/>
      <c r="K44" s="10"/>
      <c r="L44" s="10"/>
      <c r="M44" s="10"/>
    </row>
    <row r="45" spans="1:13" ht="15.75" customHeight="1">
      <c r="A45" s="47">
        <v>10</v>
      </c>
      <c r="B45" s="69" t="s">
        <v>35</v>
      </c>
      <c r="C45" s="76" t="s">
        <v>109</v>
      </c>
      <c r="D45" s="69" t="s">
        <v>173</v>
      </c>
      <c r="E45" s="77">
        <v>1295.68</v>
      </c>
      <c r="F45" s="78">
        <f>SUM(E45*2/1000)</f>
        <v>2.5913600000000003</v>
      </c>
      <c r="G45" s="17">
        <v>1179.73</v>
      </c>
      <c r="H45" s="79">
        <f t="shared" si="5"/>
        <v>3.0571051328000003</v>
      </c>
      <c r="I45" s="17">
        <f t="shared" si="6"/>
        <v>1528.5525664000002</v>
      </c>
      <c r="J45" s="27"/>
      <c r="K45" s="10"/>
      <c r="L45" s="10"/>
      <c r="M45" s="10"/>
    </row>
    <row r="46" spans="1:13" ht="15" customHeight="1">
      <c r="A46" s="47">
        <v>11</v>
      </c>
      <c r="B46" s="69" t="s">
        <v>32</v>
      </c>
      <c r="C46" s="76" t="s">
        <v>33</v>
      </c>
      <c r="D46" s="69" t="s">
        <v>173</v>
      </c>
      <c r="E46" s="77">
        <v>85.84</v>
      </c>
      <c r="F46" s="78">
        <f>E46*2/100</f>
        <v>1.7168000000000001</v>
      </c>
      <c r="G46" s="17">
        <v>90.61</v>
      </c>
      <c r="H46" s="79">
        <f t="shared" si="5"/>
        <v>0.15555924799999998</v>
      </c>
      <c r="I46" s="17">
        <f>F46/2*G46</f>
        <v>77.779623999999998</v>
      </c>
      <c r="J46" s="27"/>
      <c r="K46" s="10"/>
      <c r="L46" s="10"/>
      <c r="M46" s="10"/>
    </row>
    <row r="47" spans="1:13" ht="15.75" customHeight="1">
      <c r="A47" s="47">
        <v>12</v>
      </c>
      <c r="B47" s="69" t="s">
        <v>54</v>
      </c>
      <c r="C47" s="76" t="s">
        <v>109</v>
      </c>
      <c r="D47" s="69" t="s">
        <v>173</v>
      </c>
      <c r="E47" s="77">
        <v>2549.5</v>
      </c>
      <c r="F47" s="78">
        <f>SUM(E47*5/1000)</f>
        <v>12.7475</v>
      </c>
      <c r="G47" s="17">
        <v>1711.28</v>
      </c>
      <c r="H47" s="79">
        <f t="shared" si="5"/>
        <v>21.814541800000001</v>
      </c>
      <c r="I47" s="17">
        <f>F47/5*G47</f>
        <v>4362.9083600000004</v>
      </c>
      <c r="J47" s="27"/>
      <c r="K47" s="10"/>
      <c r="L47" s="10"/>
      <c r="M47" s="10"/>
    </row>
    <row r="48" spans="1:13" ht="31.5" customHeight="1">
      <c r="A48" s="47">
        <v>13</v>
      </c>
      <c r="B48" s="69" t="s">
        <v>118</v>
      </c>
      <c r="C48" s="76" t="s">
        <v>109</v>
      </c>
      <c r="D48" s="69" t="s">
        <v>173</v>
      </c>
      <c r="E48" s="77">
        <v>2549.5</v>
      </c>
      <c r="F48" s="78">
        <f>SUM(E48*2/1000)</f>
        <v>5.0990000000000002</v>
      </c>
      <c r="G48" s="17">
        <v>1510.06</v>
      </c>
      <c r="H48" s="79">
        <f t="shared" si="5"/>
        <v>7.6997959399999996</v>
      </c>
      <c r="I48" s="17">
        <f>F48/2*G48</f>
        <v>3849.89797</v>
      </c>
      <c r="J48" s="27"/>
      <c r="K48" s="10"/>
      <c r="L48" s="10"/>
      <c r="M48" s="10"/>
    </row>
    <row r="49" spans="1:14" ht="31.5" customHeight="1">
      <c r="A49" s="47">
        <v>14</v>
      </c>
      <c r="B49" s="69" t="s">
        <v>119</v>
      </c>
      <c r="C49" s="76" t="s">
        <v>36</v>
      </c>
      <c r="D49" s="69" t="s">
        <v>173</v>
      </c>
      <c r="E49" s="77">
        <v>16</v>
      </c>
      <c r="F49" s="78">
        <f>SUM(E49*2/100)</f>
        <v>0.32</v>
      </c>
      <c r="G49" s="17">
        <v>3850.4</v>
      </c>
      <c r="H49" s="79">
        <f t="shared" si="5"/>
        <v>1.2321280000000001</v>
      </c>
      <c r="I49" s="17">
        <f t="shared" ref="I49:I50" si="7">F49/2*G49</f>
        <v>616.06400000000008</v>
      </c>
      <c r="J49" s="27"/>
      <c r="K49" s="10"/>
    </row>
    <row r="50" spans="1:14" ht="15.75" customHeight="1">
      <c r="A50" s="47">
        <v>15</v>
      </c>
      <c r="B50" s="69" t="s">
        <v>37</v>
      </c>
      <c r="C50" s="76" t="s">
        <v>38</v>
      </c>
      <c r="D50" s="69" t="s">
        <v>173</v>
      </c>
      <c r="E50" s="77">
        <v>1</v>
      </c>
      <c r="F50" s="78">
        <v>0.02</v>
      </c>
      <c r="G50" s="17">
        <v>7033.13</v>
      </c>
      <c r="H50" s="79">
        <f t="shared" si="5"/>
        <v>0.1406626</v>
      </c>
      <c r="I50" s="17">
        <f t="shared" si="7"/>
        <v>70.331299999999999</v>
      </c>
      <c r="J50" s="75"/>
    </row>
    <row r="51" spans="1:14" ht="15.75" hidden="1" customHeight="1">
      <c r="A51" s="47">
        <v>16</v>
      </c>
      <c r="B51" s="69" t="s">
        <v>120</v>
      </c>
      <c r="C51" s="76" t="s">
        <v>96</v>
      </c>
      <c r="D51" s="69" t="s">
        <v>63</v>
      </c>
      <c r="E51" s="77">
        <v>64</v>
      </c>
      <c r="F51" s="78">
        <f>E51*3</f>
        <v>192</v>
      </c>
      <c r="G51" s="17">
        <v>175.6</v>
      </c>
      <c r="H51" s="79">
        <f t="shared" si="5"/>
        <v>33.715199999999996</v>
      </c>
      <c r="I51" s="17">
        <f>E51*G51</f>
        <v>11238.4</v>
      </c>
      <c r="J51" s="75"/>
    </row>
    <row r="52" spans="1:14" ht="15.75" hidden="1" customHeight="1">
      <c r="A52" s="47">
        <v>17</v>
      </c>
      <c r="B52" s="69" t="s">
        <v>39</v>
      </c>
      <c r="C52" s="76" t="s">
        <v>96</v>
      </c>
      <c r="D52" s="69" t="s">
        <v>63</v>
      </c>
      <c r="E52" s="77">
        <v>128</v>
      </c>
      <c r="F52" s="78">
        <f>SUM(E52)*3</f>
        <v>384</v>
      </c>
      <c r="G52" s="17">
        <v>81.73</v>
      </c>
      <c r="H52" s="79">
        <f t="shared" si="5"/>
        <v>31.384319999999999</v>
      </c>
      <c r="I52" s="17">
        <f>E52*G52</f>
        <v>10461.44</v>
      </c>
      <c r="J52" s="75"/>
    </row>
    <row r="53" spans="1:14" ht="15.75" customHeight="1">
      <c r="A53" s="159" t="s">
        <v>124</v>
      </c>
      <c r="B53" s="160"/>
      <c r="C53" s="160"/>
      <c r="D53" s="160"/>
      <c r="E53" s="160"/>
      <c r="F53" s="160"/>
      <c r="G53" s="160"/>
      <c r="H53" s="160"/>
      <c r="I53" s="161"/>
      <c r="J53" s="75"/>
    </row>
    <row r="54" spans="1:14" ht="15.75" hidden="1" customHeight="1">
      <c r="A54" s="100"/>
      <c r="B54" s="54" t="s">
        <v>41</v>
      </c>
      <c r="C54" s="21"/>
      <c r="D54" s="65"/>
      <c r="E54" s="16"/>
      <c r="F54" s="16"/>
      <c r="G54" s="31"/>
      <c r="H54" s="31"/>
      <c r="I54" s="64"/>
      <c r="J54" s="75"/>
    </row>
    <row r="55" spans="1:14" ht="31.5" hidden="1" customHeight="1">
      <c r="A55" s="47">
        <v>13</v>
      </c>
      <c r="B55" s="69" t="s">
        <v>121</v>
      </c>
      <c r="C55" s="76" t="s">
        <v>86</v>
      </c>
      <c r="D55" s="69" t="s">
        <v>122</v>
      </c>
      <c r="E55" s="77">
        <v>8</v>
      </c>
      <c r="F55" s="78">
        <f>SUM(E55*6/100)</f>
        <v>0.48</v>
      </c>
      <c r="G55" s="17">
        <v>2306.62</v>
      </c>
      <c r="H55" s="79">
        <f>SUM(F55*G55/1000)</f>
        <v>1.1071776</v>
      </c>
      <c r="I55" s="17">
        <f>F55/6*G55</f>
        <v>184.52959999999999</v>
      </c>
      <c r="J55" s="75"/>
    </row>
    <row r="56" spans="1:14" ht="15.75" hidden="1" customHeight="1">
      <c r="A56" s="47">
        <v>9</v>
      </c>
      <c r="B56" s="88" t="s">
        <v>80</v>
      </c>
      <c r="C56" s="87" t="s">
        <v>30</v>
      </c>
      <c r="D56" s="88" t="s">
        <v>61</v>
      </c>
      <c r="E56" s="89"/>
      <c r="F56" s="90">
        <v>1</v>
      </c>
      <c r="G56" s="17">
        <v>1501</v>
      </c>
      <c r="H56" s="79">
        <f>SUM(F56*G56/1000)</f>
        <v>1.5009999999999999</v>
      </c>
      <c r="I56" s="17">
        <f>G56*3</f>
        <v>4503</v>
      </c>
      <c r="J56" s="75"/>
    </row>
    <row r="57" spans="1:14" ht="15.75" hidden="1" customHeight="1">
      <c r="A57" s="47"/>
      <c r="B57" s="71" t="s">
        <v>42</v>
      </c>
      <c r="C57" s="39"/>
      <c r="D57" s="39"/>
      <c r="E57" s="16"/>
      <c r="F57" s="16"/>
      <c r="G57" s="40"/>
      <c r="H57" s="40"/>
      <c r="I57" s="64"/>
      <c r="J57" s="75"/>
      <c r="L57" s="24"/>
      <c r="M57" s="25"/>
      <c r="N57" s="26"/>
    </row>
    <row r="58" spans="1:14" ht="15.75" hidden="1" customHeight="1">
      <c r="A58" s="47">
        <v>29</v>
      </c>
      <c r="B58" s="88" t="s">
        <v>43</v>
      </c>
      <c r="C58" s="87" t="s">
        <v>51</v>
      </c>
      <c r="D58" s="88" t="s">
        <v>52</v>
      </c>
      <c r="E58" s="89">
        <v>7.4</v>
      </c>
      <c r="F58" s="17">
        <f>SUM(E58/100)</f>
        <v>7.400000000000001E-2</v>
      </c>
      <c r="G58" s="17">
        <v>987.51</v>
      </c>
      <c r="H58" s="91">
        <f>F58*G58/1000</f>
        <v>7.3075740000000014E-2</v>
      </c>
      <c r="I58" s="17">
        <v>0</v>
      </c>
      <c r="J58" s="75"/>
      <c r="L58" s="24"/>
      <c r="M58" s="25"/>
      <c r="N58" s="26"/>
    </row>
    <row r="59" spans="1:14" ht="15.75" customHeight="1">
      <c r="A59" s="47"/>
      <c r="B59" s="71" t="s">
        <v>44</v>
      </c>
      <c r="C59" s="21"/>
      <c r="D59" s="66"/>
      <c r="E59" s="16"/>
      <c r="F59" s="16"/>
      <c r="G59" s="31"/>
      <c r="H59" s="31"/>
      <c r="I59" s="64"/>
      <c r="J59" s="75"/>
      <c r="L59" s="24"/>
      <c r="M59" s="25"/>
      <c r="N59" s="26"/>
    </row>
    <row r="60" spans="1:14" ht="15.75" hidden="1" customHeight="1">
      <c r="A60" s="47">
        <v>17</v>
      </c>
      <c r="B60" s="19" t="s">
        <v>45</v>
      </c>
      <c r="C60" s="21" t="s">
        <v>96</v>
      </c>
      <c r="D60" s="19" t="s">
        <v>186</v>
      </c>
      <c r="E60" s="23">
        <v>1</v>
      </c>
      <c r="F60" s="17">
        <f>SUM(E60)</f>
        <v>1</v>
      </c>
      <c r="G60" s="17">
        <v>276.74</v>
      </c>
      <c r="H60" s="80">
        <f t="shared" ref="H60:H68" si="8">SUM(F60*G60/1000)</f>
        <v>0.27673999999999999</v>
      </c>
      <c r="I60" s="17">
        <f>G60*5</f>
        <v>1383.7</v>
      </c>
      <c r="J60" s="75"/>
      <c r="L60" s="24"/>
      <c r="M60" s="25"/>
      <c r="N60" s="26"/>
    </row>
    <row r="61" spans="1:14" ht="15.75" customHeight="1">
      <c r="A61" s="67">
        <v>16</v>
      </c>
      <c r="B61" s="19" t="s">
        <v>46</v>
      </c>
      <c r="C61" s="21" t="s">
        <v>96</v>
      </c>
      <c r="D61" s="19" t="s">
        <v>166</v>
      </c>
      <c r="E61" s="23">
        <v>2</v>
      </c>
      <c r="F61" s="17">
        <f>SUM(E61)</f>
        <v>2</v>
      </c>
      <c r="G61" s="135">
        <v>94.89</v>
      </c>
      <c r="H61" s="80">
        <f t="shared" si="8"/>
        <v>0.18978</v>
      </c>
      <c r="I61" s="17">
        <f>G61*13</f>
        <v>1233.57</v>
      </c>
      <c r="J61" s="75"/>
      <c r="L61" s="24"/>
      <c r="M61" s="25"/>
      <c r="N61" s="26"/>
    </row>
    <row r="62" spans="1:14" ht="15.75" hidden="1" customHeight="1">
      <c r="A62" s="67">
        <v>25</v>
      </c>
      <c r="B62" s="19" t="s">
        <v>47</v>
      </c>
      <c r="C62" s="21" t="s">
        <v>97</v>
      </c>
      <c r="D62" s="19" t="s">
        <v>52</v>
      </c>
      <c r="E62" s="77">
        <v>10052</v>
      </c>
      <c r="F62" s="17">
        <f>SUM(E62/100)</f>
        <v>100.52</v>
      </c>
      <c r="G62" s="17">
        <v>263.99</v>
      </c>
      <c r="H62" s="80">
        <f t="shared" si="8"/>
        <v>26.536274799999997</v>
      </c>
      <c r="I62" s="17">
        <f>F62*G62</f>
        <v>26536.274799999999</v>
      </c>
      <c r="J62" s="75"/>
      <c r="L62" s="24"/>
      <c r="M62" s="25"/>
      <c r="N62" s="26"/>
    </row>
    <row r="63" spans="1:14" ht="15.75" hidden="1" customHeight="1">
      <c r="A63" s="67">
        <v>26</v>
      </c>
      <c r="B63" s="19" t="s">
        <v>48</v>
      </c>
      <c r="C63" s="21" t="s">
        <v>98</v>
      </c>
      <c r="D63" s="19"/>
      <c r="E63" s="77">
        <v>10052</v>
      </c>
      <c r="F63" s="17">
        <f>SUM(E63/1000)</f>
        <v>10.052</v>
      </c>
      <c r="G63" s="17">
        <v>205.57</v>
      </c>
      <c r="H63" s="80">
        <f t="shared" si="8"/>
        <v>2.0663896399999997</v>
      </c>
      <c r="I63" s="17">
        <f t="shared" ref="I63:I66" si="9">F63*G63</f>
        <v>2066.3896399999999</v>
      </c>
      <c r="J63" s="75"/>
      <c r="L63" s="24"/>
      <c r="M63" s="25"/>
      <c r="N63" s="26"/>
    </row>
    <row r="64" spans="1:14" ht="15.75" hidden="1" customHeight="1">
      <c r="A64" s="67">
        <v>27</v>
      </c>
      <c r="B64" s="19" t="s">
        <v>49</v>
      </c>
      <c r="C64" s="21" t="s">
        <v>69</v>
      </c>
      <c r="D64" s="19" t="s">
        <v>52</v>
      </c>
      <c r="E64" s="77">
        <v>2200</v>
      </c>
      <c r="F64" s="17">
        <f>SUM(E64/100)</f>
        <v>22</v>
      </c>
      <c r="G64" s="17">
        <v>2581.5300000000002</v>
      </c>
      <c r="H64" s="80">
        <f t="shared" si="8"/>
        <v>56.793660000000003</v>
      </c>
      <c r="I64" s="17">
        <f t="shared" si="9"/>
        <v>56793.66</v>
      </c>
      <c r="J64" s="75"/>
      <c r="L64" s="24"/>
      <c r="M64" s="25"/>
      <c r="N64" s="26"/>
    </row>
    <row r="65" spans="1:14" ht="15.75" hidden="1" customHeight="1">
      <c r="A65" s="67">
        <v>28</v>
      </c>
      <c r="B65" s="92" t="s">
        <v>99</v>
      </c>
      <c r="C65" s="21" t="s">
        <v>31</v>
      </c>
      <c r="D65" s="19"/>
      <c r="E65" s="77">
        <v>9.4</v>
      </c>
      <c r="F65" s="17">
        <f>SUM(E65)</f>
        <v>9.4</v>
      </c>
      <c r="G65" s="17">
        <v>47.45</v>
      </c>
      <c r="H65" s="80">
        <f t="shared" si="8"/>
        <v>0.44603000000000004</v>
      </c>
      <c r="I65" s="17">
        <f t="shared" si="9"/>
        <v>446.03000000000003</v>
      </c>
      <c r="J65" s="75"/>
      <c r="L65" s="24"/>
      <c r="M65" s="25"/>
      <c r="N65" s="26"/>
    </row>
    <row r="66" spans="1:14" ht="15.75" hidden="1" customHeight="1">
      <c r="A66" s="67">
        <v>29</v>
      </c>
      <c r="B66" s="92" t="s">
        <v>100</v>
      </c>
      <c r="C66" s="21" t="s">
        <v>31</v>
      </c>
      <c r="D66" s="19"/>
      <c r="E66" s="77">
        <v>9.4</v>
      </c>
      <c r="F66" s="17">
        <f>SUM(E66)</f>
        <v>9.4</v>
      </c>
      <c r="G66" s="17">
        <v>44.27</v>
      </c>
      <c r="H66" s="80">
        <f t="shared" si="8"/>
        <v>0.41613800000000001</v>
      </c>
      <c r="I66" s="17">
        <f t="shared" si="9"/>
        <v>416.13800000000003</v>
      </c>
      <c r="J66" s="75"/>
      <c r="L66" s="24"/>
      <c r="M66" s="25"/>
      <c r="N66" s="26"/>
    </row>
    <row r="67" spans="1:14" ht="15.75" customHeight="1">
      <c r="A67" s="67">
        <v>17</v>
      </c>
      <c r="B67" s="19" t="s">
        <v>55</v>
      </c>
      <c r="C67" s="21" t="s">
        <v>56</v>
      </c>
      <c r="D67" s="19" t="s">
        <v>178</v>
      </c>
      <c r="E67" s="23">
        <v>2</v>
      </c>
      <c r="F67" s="17">
        <f>SUM(E67)</f>
        <v>2</v>
      </c>
      <c r="G67" s="17">
        <v>62.07</v>
      </c>
      <c r="H67" s="80">
        <f t="shared" si="8"/>
        <v>0.12414</v>
      </c>
      <c r="I67" s="17">
        <f>G67*2</f>
        <v>124.14</v>
      </c>
      <c r="J67" s="75"/>
      <c r="L67" s="24"/>
      <c r="M67" s="25"/>
      <c r="N67" s="26"/>
    </row>
    <row r="68" spans="1:14" ht="15.75" customHeight="1">
      <c r="A68" s="68">
        <v>18</v>
      </c>
      <c r="B68" s="19" t="s">
        <v>81</v>
      </c>
      <c r="C68" s="31" t="s">
        <v>101</v>
      </c>
      <c r="D68" s="19"/>
      <c r="E68" s="23">
        <v>2549.5</v>
      </c>
      <c r="F68" s="17">
        <f>SUM(E68*12)</f>
        <v>30594</v>
      </c>
      <c r="G68" s="17">
        <v>2.16</v>
      </c>
      <c r="H68" s="80">
        <f t="shared" si="8"/>
        <v>66.083040000000011</v>
      </c>
      <c r="I68" s="17">
        <f>F68/12*G68</f>
        <v>5506.92</v>
      </c>
      <c r="J68" s="75"/>
      <c r="L68" s="24"/>
      <c r="M68" s="25"/>
      <c r="N68" s="26"/>
    </row>
    <row r="69" spans="1:14" ht="15.75" hidden="1" customHeight="1">
      <c r="A69" s="61"/>
      <c r="B69" s="71" t="s">
        <v>102</v>
      </c>
      <c r="C69" s="71"/>
      <c r="D69" s="71"/>
      <c r="E69" s="71"/>
      <c r="F69" s="71"/>
      <c r="G69" s="71"/>
      <c r="H69" s="71"/>
      <c r="I69" s="23"/>
      <c r="J69" s="75"/>
      <c r="L69" s="24"/>
      <c r="M69" s="25"/>
      <c r="N69" s="26"/>
    </row>
    <row r="70" spans="1:14" ht="15.75" hidden="1" customHeight="1">
      <c r="A70" s="31">
        <v>31</v>
      </c>
      <c r="B70" s="69" t="s">
        <v>103</v>
      </c>
      <c r="C70" s="21"/>
      <c r="D70" s="19"/>
      <c r="E70" s="94"/>
      <c r="F70" s="17">
        <v>1</v>
      </c>
      <c r="G70" s="17">
        <v>22720</v>
      </c>
      <c r="H70" s="80">
        <f>G70*F70/1000</f>
        <v>22.72</v>
      </c>
      <c r="I70" s="17">
        <f>G70</f>
        <v>22720</v>
      </c>
      <c r="J70" s="75"/>
      <c r="L70" s="24"/>
      <c r="M70" s="25"/>
      <c r="N70" s="26"/>
    </row>
    <row r="71" spans="1:14" ht="15.75" hidden="1" customHeight="1">
      <c r="A71" s="68"/>
      <c r="B71" s="71" t="s">
        <v>64</v>
      </c>
      <c r="C71" s="21"/>
      <c r="D71" s="19"/>
      <c r="E71" s="16"/>
      <c r="F71" s="16"/>
      <c r="G71" s="31"/>
      <c r="H71" s="31"/>
      <c r="I71" s="64"/>
      <c r="J71" s="75"/>
      <c r="L71" s="24"/>
      <c r="M71" s="25"/>
      <c r="N71" s="26"/>
    </row>
    <row r="72" spans="1:14" ht="15.75" hidden="1" customHeight="1">
      <c r="A72" s="68">
        <v>16</v>
      </c>
      <c r="B72" s="19" t="s">
        <v>104</v>
      </c>
      <c r="C72" s="21" t="s">
        <v>105</v>
      </c>
      <c r="D72" s="19" t="s">
        <v>61</v>
      </c>
      <c r="E72" s="23">
        <v>1</v>
      </c>
      <c r="F72" s="17">
        <f>E72</f>
        <v>1</v>
      </c>
      <c r="G72" s="17">
        <v>976.4</v>
      </c>
      <c r="H72" s="80">
        <f t="shared" ref="H72:H74" si="10">SUM(F72*G72/1000)</f>
        <v>0.97639999999999993</v>
      </c>
      <c r="I72" s="17">
        <v>0</v>
      </c>
      <c r="J72" s="75"/>
      <c r="L72" s="24"/>
      <c r="M72" s="25"/>
      <c r="N72" s="26"/>
    </row>
    <row r="73" spans="1:14" ht="15.75" hidden="1" customHeight="1">
      <c r="A73" s="68"/>
      <c r="B73" s="19" t="s">
        <v>106</v>
      </c>
      <c r="C73" s="21" t="s">
        <v>107</v>
      </c>
      <c r="D73" s="19" t="s">
        <v>61</v>
      </c>
      <c r="E73" s="23">
        <v>1</v>
      </c>
      <c r="F73" s="17">
        <v>1</v>
      </c>
      <c r="G73" s="17">
        <v>735</v>
      </c>
      <c r="H73" s="80">
        <f t="shared" si="10"/>
        <v>0.73499999999999999</v>
      </c>
      <c r="I73" s="17">
        <v>0</v>
      </c>
      <c r="J73" s="75"/>
      <c r="L73" s="24"/>
      <c r="M73" s="25"/>
      <c r="N73" s="26"/>
    </row>
    <row r="74" spans="1:14" ht="15.75" hidden="1" customHeight="1">
      <c r="A74" s="68">
        <v>11</v>
      </c>
      <c r="B74" s="19" t="s">
        <v>65</v>
      </c>
      <c r="C74" s="21" t="s">
        <v>67</v>
      </c>
      <c r="D74" s="19" t="s">
        <v>61</v>
      </c>
      <c r="E74" s="23">
        <v>3</v>
      </c>
      <c r="F74" s="17">
        <v>0.3</v>
      </c>
      <c r="G74" s="17">
        <v>624.16999999999996</v>
      </c>
      <c r="H74" s="80">
        <f t="shared" si="10"/>
        <v>0.18725099999999997</v>
      </c>
      <c r="I74" s="17">
        <f>G74*0.2</f>
        <v>124.834</v>
      </c>
      <c r="J74" s="75"/>
      <c r="L74" s="24"/>
      <c r="M74" s="25"/>
      <c r="N74" s="26"/>
    </row>
    <row r="75" spans="1:14" ht="15.75" hidden="1" customHeight="1">
      <c r="A75" s="68"/>
      <c r="B75" s="19" t="s">
        <v>66</v>
      </c>
      <c r="C75" s="21" t="s">
        <v>29</v>
      </c>
      <c r="D75" s="19" t="s">
        <v>61</v>
      </c>
      <c r="E75" s="23">
        <v>1</v>
      </c>
      <c r="F75" s="93">
        <v>1</v>
      </c>
      <c r="G75" s="17">
        <v>1061.4100000000001</v>
      </c>
      <c r="H75" s="80">
        <f>F75*G75/1000</f>
        <v>1.0614100000000002</v>
      </c>
      <c r="I75" s="17">
        <v>0</v>
      </c>
      <c r="J75" s="75"/>
      <c r="L75" s="24"/>
      <c r="M75" s="25"/>
      <c r="N75" s="26"/>
    </row>
    <row r="76" spans="1:14" ht="15.75" hidden="1" customHeight="1">
      <c r="A76" s="68"/>
      <c r="B76" s="19" t="s">
        <v>82</v>
      </c>
      <c r="C76" s="21" t="s">
        <v>29</v>
      </c>
      <c r="D76" s="19" t="s">
        <v>61</v>
      </c>
      <c r="E76" s="23">
        <v>1</v>
      </c>
      <c r="F76" s="17">
        <v>1</v>
      </c>
      <c r="G76" s="17">
        <v>446.12</v>
      </c>
      <c r="H76" s="80">
        <f>G76*F76/1000</f>
        <v>0.44612000000000002</v>
      </c>
      <c r="I76" s="17">
        <v>0</v>
      </c>
      <c r="J76" s="75"/>
      <c r="L76" s="24"/>
      <c r="M76" s="25"/>
      <c r="N76" s="26"/>
    </row>
    <row r="77" spans="1:14" ht="15.75" hidden="1" customHeight="1">
      <c r="A77" s="68"/>
      <c r="B77" s="56" t="s">
        <v>68</v>
      </c>
      <c r="C77" s="44"/>
      <c r="D77" s="43"/>
      <c r="E77" s="23"/>
      <c r="F77" s="23"/>
      <c r="G77" s="42"/>
      <c r="H77" s="42"/>
      <c r="I77" s="64"/>
      <c r="J77" s="75"/>
      <c r="L77" s="24"/>
      <c r="M77" s="25"/>
      <c r="N77" s="26"/>
    </row>
    <row r="78" spans="1:14" ht="15.75" hidden="1" customHeight="1">
      <c r="A78" s="68"/>
      <c r="B78" s="57" t="s">
        <v>108</v>
      </c>
      <c r="C78" s="21" t="s">
        <v>69</v>
      </c>
      <c r="D78" s="19"/>
      <c r="E78" s="23"/>
      <c r="F78" s="17">
        <v>1</v>
      </c>
      <c r="G78" s="17">
        <v>3433.68</v>
      </c>
      <c r="H78" s="80">
        <f t="shared" ref="H78" si="11">SUM(F78*G78/1000)</f>
        <v>3.4336799999999998</v>
      </c>
      <c r="I78" s="17">
        <v>0</v>
      </c>
      <c r="J78" s="75"/>
      <c r="L78" s="24"/>
      <c r="M78" s="25"/>
      <c r="N78" s="26"/>
    </row>
    <row r="79" spans="1:14" ht="15.75" customHeight="1">
      <c r="A79" s="165" t="s">
        <v>148</v>
      </c>
      <c r="B79" s="166"/>
      <c r="C79" s="166"/>
      <c r="D79" s="166"/>
      <c r="E79" s="166"/>
      <c r="F79" s="166"/>
      <c r="G79" s="166"/>
      <c r="H79" s="166"/>
      <c r="I79" s="167"/>
      <c r="J79" s="75"/>
      <c r="L79" s="24"/>
      <c r="M79" s="25"/>
      <c r="N79" s="26"/>
    </row>
    <row r="80" spans="1:14" ht="15.75" customHeight="1">
      <c r="A80" s="68">
        <v>19</v>
      </c>
      <c r="B80" s="69" t="s">
        <v>123</v>
      </c>
      <c r="C80" s="21" t="s">
        <v>53</v>
      </c>
      <c r="D80" s="19"/>
      <c r="E80" s="17">
        <v>2549.5</v>
      </c>
      <c r="F80" s="17">
        <f>SUM(E80*12)</f>
        <v>30594</v>
      </c>
      <c r="G80" s="17">
        <v>2.95</v>
      </c>
      <c r="H80" s="80">
        <f>SUM(F80*G80/1000)</f>
        <v>90.252300000000005</v>
      </c>
      <c r="I80" s="17">
        <f>F80/12*G80</f>
        <v>7521.0250000000005</v>
      </c>
      <c r="J80" s="75"/>
      <c r="L80" s="24"/>
      <c r="M80" s="25"/>
      <c r="N80" s="26"/>
    </row>
    <row r="81" spans="1:14" ht="31.5" customHeight="1">
      <c r="A81" s="31">
        <v>20</v>
      </c>
      <c r="B81" s="19" t="s">
        <v>70</v>
      </c>
      <c r="C81" s="21"/>
      <c r="D81" s="19"/>
      <c r="E81" s="77">
        <v>2549.5</v>
      </c>
      <c r="F81" s="17">
        <f>E81*12</f>
        <v>30594</v>
      </c>
      <c r="G81" s="17">
        <v>3.05</v>
      </c>
      <c r="H81" s="80">
        <f>F81*G81/1000</f>
        <v>93.311700000000002</v>
      </c>
      <c r="I81" s="17">
        <f>F81/12*G81</f>
        <v>7775.9749999999995</v>
      </c>
      <c r="J81" s="75"/>
      <c r="L81" s="24"/>
      <c r="M81" s="25"/>
      <c r="N81" s="26"/>
    </row>
    <row r="82" spans="1:14" ht="15.75" customHeight="1">
      <c r="A82" s="61"/>
      <c r="B82" s="45" t="s">
        <v>72</v>
      </c>
      <c r="C82" s="47"/>
      <c r="D82" s="20"/>
      <c r="E82" s="20"/>
      <c r="F82" s="20"/>
      <c r="G82" s="23"/>
      <c r="H82" s="23"/>
      <c r="I82" s="35">
        <f>I81+I80+I68+I67+I61+I50+I49+I48+I47+I46+I45+I44+I43+I30+I29+I21+I20+I18+I17+I16</f>
        <v>46183.227428000013</v>
      </c>
      <c r="J82" s="75"/>
      <c r="L82" s="24"/>
      <c r="M82" s="25"/>
      <c r="N82" s="26"/>
    </row>
    <row r="83" spans="1:14" ht="15.75" customHeight="1">
      <c r="A83" s="162" t="s">
        <v>57</v>
      </c>
      <c r="B83" s="163"/>
      <c r="C83" s="163"/>
      <c r="D83" s="163"/>
      <c r="E83" s="163"/>
      <c r="F83" s="163"/>
      <c r="G83" s="163"/>
      <c r="H83" s="163"/>
      <c r="I83" s="164"/>
      <c r="J83" s="75"/>
      <c r="L83" s="24"/>
      <c r="M83" s="25"/>
      <c r="N83" s="26"/>
    </row>
    <row r="84" spans="1:14" ht="15.75" customHeight="1">
      <c r="A84" s="68">
        <v>21</v>
      </c>
      <c r="B84" s="19" t="s">
        <v>154</v>
      </c>
      <c r="C84" s="21" t="s">
        <v>155</v>
      </c>
      <c r="D84" s="19"/>
      <c r="E84" s="23"/>
      <c r="F84" s="17">
        <v>96</v>
      </c>
      <c r="G84" s="17">
        <v>1.4</v>
      </c>
      <c r="H84" s="17">
        <f>F84*G84/1000</f>
        <v>0.13439999999999996</v>
      </c>
      <c r="I84" s="17">
        <f>G84*48</f>
        <v>67.199999999999989</v>
      </c>
      <c r="J84" s="75"/>
      <c r="L84" s="24"/>
      <c r="M84" s="25"/>
      <c r="N84" s="26"/>
    </row>
    <row r="85" spans="1:14" ht="15.75" customHeight="1">
      <c r="A85" s="68">
        <v>22</v>
      </c>
      <c r="B85" s="117" t="s">
        <v>273</v>
      </c>
      <c r="C85" s="141" t="s">
        <v>219</v>
      </c>
      <c r="D85" s="43"/>
      <c r="E85" s="22"/>
      <c r="F85" s="41">
        <v>0.1</v>
      </c>
      <c r="G85" s="41">
        <v>15537.68</v>
      </c>
      <c r="H85" s="17"/>
      <c r="I85" s="17">
        <f>G85*0.1</f>
        <v>1553.768</v>
      </c>
      <c r="J85" s="75"/>
      <c r="L85" s="24"/>
      <c r="M85" s="25"/>
      <c r="N85" s="26"/>
    </row>
    <row r="86" spans="1:14" ht="18" customHeight="1">
      <c r="A86" s="68">
        <v>23</v>
      </c>
      <c r="B86" s="117" t="s">
        <v>274</v>
      </c>
      <c r="C86" s="141" t="s">
        <v>150</v>
      </c>
      <c r="D86" s="43"/>
      <c r="E86" s="22"/>
      <c r="F86" s="41">
        <v>0.08</v>
      </c>
      <c r="G86" s="41">
        <v>4113.16</v>
      </c>
      <c r="H86" s="17"/>
      <c r="I86" s="17">
        <f>G86*0.08</f>
        <v>329.05279999999999</v>
      </c>
      <c r="J86" s="75"/>
      <c r="L86" s="24"/>
      <c r="M86" s="25"/>
      <c r="N86" s="26"/>
    </row>
    <row r="87" spans="1:14" ht="30.75" customHeight="1">
      <c r="A87" s="68">
        <v>24</v>
      </c>
      <c r="B87" s="117" t="s">
        <v>275</v>
      </c>
      <c r="C87" s="118" t="s">
        <v>164</v>
      </c>
      <c r="D87" s="43" t="s">
        <v>283</v>
      </c>
      <c r="E87" s="22"/>
      <c r="F87" s="41">
        <v>3</v>
      </c>
      <c r="G87" s="41">
        <v>1584.54</v>
      </c>
      <c r="H87" s="17"/>
      <c r="I87" s="17">
        <f>G87*7</f>
        <v>11091.779999999999</v>
      </c>
      <c r="J87" s="75"/>
      <c r="L87" s="24"/>
      <c r="M87" s="25"/>
      <c r="N87" s="26"/>
    </row>
    <row r="88" spans="1:14" ht="15.75" customHeight="1">
      <c r="A88" s="68">
        <v>25</v>
      </c>
      <c r="B88" s="117" t="s">
        <v>156</v>
      </c>
      <c r="C88" s="118" t="s">
        <v>164</v>
      </c>
      <c r="D88" s="43" t="s">
        <v>276</v>
      </c>
      <c r="E88" s="22"/>
      <c r="F88" s="41">
        <v>129</v>
      </c>
      <c r="G88" s="41">
        <v>295.36</v>
      </c>
      <c r="H88" s="17"/>
      <c r="I88" s="17">
        <v>0</v>
      </c>
      <c r="J88" s="75"/>
      <c r="L88" s="24"/>
      <c r="M88" s="25"/>
      <c r="N88" s="26"/>
    </row>
    <row r="89" spans="1:14" ht="15.75" customHeight="1">
      <c r="A89" s="68">
        <v>26</v>
      </c>
      <c r="B89" s="117" t="s">
        <v>161</v>
      </c>
      <c r="C89" s="118" t="s">
        <v>157</v>
      </c>
      <c r="D89" s="43"/>
      <c r="E89" s="22"/>
      <c r="F89" s="41">
        <v>10</v>
      </c>
      <c r="G89" s="41">
        <v>236.08</v>
      </c>
      <c r="H89" s="17"/>
      <c r="I89" s="17">
        <f>G89*4</f>
        <v>944.32</v>
      </c>
      <c r="J89" s="75"/>
      <c r="L89" s="24"/>
      <c r="M89" s="25"/>
      <c r="N89" s="26"/>
    </row>
    <row r="90" spans="1:14" ht="15.75" customHeight="1">
      <c r="A90" s="68">
        <v>27</v>
      </c>
      <c r="B90" s="117" t="s">
        <v>183</v>
      </c>
      <c r="C90" s="118" t="s">
        <v>38</v>
      </c>
      <c r="D90" s="43" t="s">
        <v>173</v>
      </c>
      <c r="E90" s="22"/>
      <c r="F90" s="41">
        <v>7.0000000000000007E-2</v>
      </c>
      <c r="G90" s="41">
        <v>28224.75</v>
      </c>
      <c r="H90" s="17"/>
      <c r="I90" s="17">
        <v>0</v>
      </c>
      <c r="J90" s="75"/>
      <c r="L90" s="24"/>
      <c r="M90" s="25"/>
      <c r="N90" s="26"/>
    </row>
    <row r="91" spans="1:14" ht="15.75" customHeight="1">
      <c r="A91" s="68">
        <v>28</v>
      </c>
      <c r="B91" s="117" t="s">
        <v>281</v>
      </c>
      <c r="C91" s="118" t="s">
        <v>96</v>
      </c>
      <c r="D91" s="43"/>
      <c r="E91" s="22"/>
      <c r="F91" s="41">
        <v>1</v>
      </c>
      <c r="G91" s="41">
        <v>224.48</v>
      </c>
      <c r="H91" s="17"/>
      <c r="I91" s="17">
        <f>G91*1</f>
        <v>224.48</v>
      </c>
      <c r="J91" s="75"/>
      <c r="L91" s="24"/>
      <c r="M91" s="25"/>
      <c r="N91" s="26"/>
    </row>
    <row r="92" spans="1:14" ht="28.5" customHeight="1">
      <c r="A92" s="68">
        <v>29</v>
      </c>
      <c r="B92" s="117" t="s">
        <v>83</v>
      </c>
      <c r="C92" s="118" t="s">
        <v>84</v>
      </c>
      <c r="D92" s="43" t="s">
        <v>282</v>
      </c>
      <c r="E92" s="22"/>
      <c r="F92" s="41">
        <v>2</v>
      </c>
      <c r="G92" s="41">
        <v>697.33</v>
      </c>
      <c r="H92" s="17"/>
      <c r="I92" s="17">
        <f>G92*2</f>
        <v>1394.66</v>
      </c>
      <c r="J92" s="75"/>
      <c r="L92" s="24"/>
      <c r="M92" s="25"/>
      <c r="N92" s="26"/>
    </row>
    <row r="93" spans="1:14" ht="15.75" customHeight="1">
      <c r="A93" s="31"/>
      <c r="B93" s="52" t="s">
        <v>50</v>
      </c>
      <c r="C93" s="48"/>
      <c r="D93" s="62"/>
      <c r="E93" s="48">
        <v>1</v>
      </c>
      <c r="F93" s="48"/>
      <c r="G93" s="48"/>
      <c r="H93" s="48"/>
      <c r="I93" s="35">
        <f>SUM(I84:I92)</f>
        <v>15605.260799999998</v>
      </c>
      <c r="J93" s="75"/>
      <c r="L93" s="24"/>
      <c r="M93" s="25"/>
      <c r="N93" s="26"/>
    </row>
    <row r="94" spans="1:14" ht="15.75" customHeight="1">
      <c r="A94" s="31"/>
      <c r="B94" s="57" t="s">
        <v>71</v>
      </c>
      <c r="C94" s="20"/>
      <c r="D94" s="20"/>
      <c r="E94" s="49"/>
      <c r="F94" s="49"/>
      <c r="G94" s="50"/>
      <c r="H94" s="50"/>
      <c r="I94" s="22">
        <v>0</v>
      </c>
      <c r="J94" s="75"/>
      <c r="L94" s="24"/>
      <c r="M94" s="25"/>
      <c r="N94" s="26"/>
    </row>
    <row r="95" spans="1:14" ht="15.75" customHeight="1">
      <c r="A95" s="63"/>
      <c r="B95" s="53" t="s">
        <v>149</v>
      </c>
      <c r="C95" s="39"/>
      <c r="D95" s="39"/>
      <c r="E95" s="39"/>
      <c r="F95" s="39"/>
      <c r="G95" s="39"/>
      <c r="H95" s="39"/>
      <c r="I95" s="51">
        <f>I82+I93</f>
        <v>61788.488228000009</v>
      </c>
      <c r="J95" s="75"/>
      <c r="L95" s="24"/>
    </row>
    <row r="96" spans="1:14" ht="15.75">
      <c r="A96" s="157" t="s">
        <v>284</v>
      </c>
      <c r="B96" s="157"/>
      <c r="C96" s="157"/>
      <c r="D96" s="157"/>
      <c r="E96" s="157"/>
      <c r="F96" s="157"/>
      <c r="G96" s="157"/>
      <c r="H96" s="157"/>
      <c r="I96" s="157"/>
    </row>
    <row r="97" spans="1:22" ht="15.75">
      <c r="A97" s="12"/>
      <c r="B97" s="158" t="s">
        <v>285</v>
      </c>
      <c r="C97" s="158"/>
      <c r="D97" s="158"/>
      <c r="E97" s="158"/>
      <c r="F97" s="158"/>
      <c r="G97" s="158"/>
      <c r="H97" s="98"/>
      <c r="I97" s="4"/>
    </row>
    <row r="98" spans="1:22" ht="15.75">
      <c r="A98" s="70"/>
      <c r="B98" s="173" t="s">
        <v>6</v>
      </c>
      <c r="C98" s="173"/>
      <c r="D98" s="173"/>
      <c r="E98" s="173"/>
      <c r="F98" s="173"/>
      <c r="G98" s="173"/>
      <c r="H98" s="74"/>
      <c r="I98" s="59"/>
    </row>
    <row r="99" spans="1:22" ht="15.75" customHeight="1">
      <c r="A99" s="60"/>
      <c r="B99" s="60"/>
      <c r="C99" s="60"/>
      <c r="D99" s="60"/>
      <c r="E99" s="60"/>
      <c r="F99" s="60"/>
      <c r="G99" s="60"/>
      <c r="H99" s="60"/>
      <c r="I99" s="60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11"/>
    </row>
    <row r="100" spans="1:22" ht="15.75" customHeight="1">
      <c r="A100" s="174" t="s">
        <v>7</v>
      </c>
      <c r="B100" s="174"/>
      <c r="C100" s="174"/>
      <c r="D100" s="174"/>
      <c r="E100" s="174"/>
      <c r="F100" s="174"/>
      <c r="G100" s="174"/>
      <c r="H100" s="174"/>
      <c r="I100" s="174"/>
      <c r="J100" s="29"/>
      <c r="K100" s="29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2" ht="15.75">
      <c r="A101" s="174" t="s">
        <v>8</v>
      </c>
      <c r="B101" s="174"/>
      <c r="C101" s="174"/>
      <c r="D101" s="174"/>
      <c r="E101" s="174"/>
      <c r="F101" s="174"/>
      <c r="G101" s="174"/>
      <c r="H101" s="174"/>
      <c r="I101" s="174"/>
      <c r="J101" s="4"/>
      <c r="K101" s="4"/>
      <c r="L101" s="4"/>
      <c r="M101" s="4"/>
      <c r="N101" s="4"/>
      <c r="O101" s="4"/>
      <c r="P101" s="4"/>
      <c r="Q101" s="4"/>
      <c r="S101" s="4"/>
      <c r="T101" s="4"/>
      <c r="U101" s="4"/>
    </row>
    <row r="102" spans="1:22" ht="15.75">
      <c r="A102" s="157" t="s">
        <v>9</v>
      </c>
      <c r="B102" s="157"/>
      <c r="C102" s="157"/>
      <c r="D102" s="157"/>
      <c r="E102" s="157"/>
      <c r="F102" s="157"/>
      <c r="G102" s="157"/>
      <c r="H102" s="157"/>
      <c r="I102" s="157"/>
      <c r="J102" s="6"/>
      <c r="K102" s="6"/>
      <c r="L102" s="6"/>
      <c r="M102" s="6"/>
      <c r="N102" s="6"/>
      <c r="O102" s="6"/>
      <c r="P102" s="6"/>
      <c r="Q102" s="6"/>
      <c r="R102" s="155"/>
      <c r="S102" s="155"/>
      <c r="T102" s="155"/>
      <c r="U102" s="155"/>
    </row>
    <row r="103" spans="1:22" ht="15.75">
      <c r="A103" s="13"/>
      <c r="B103" s="58"/>
      <c r="C103" s="58"/>
      <c r="D103" s="58"/>
      <c r="E103" s="58"/>
      <c r="F103" s="58"/>
      <c r="G103" s="58"/>
      <c r="H103" s="58"/>
      <c r="I103" s="58"/>
    </row>
    <row r="104" spans="1:22" ht="15.75">
      <c r="A104" s="156" t="s">
        <v>10</v>
      </c>
      <c r="B104" s="156"/>
      <c r="C104" s="156"/>
      <c r="D104" s="156"/>
      <c r="E104" s="156"/>
      <c r="F104" s="156"/>
      <c r="G104" s="156"/>
      <c r="H104" s="156"/>
      <c r="I104" s="156"/>
    </row>
    <row r="105" spans="1:22" ht="15.75" customHeight="1">
      <c r="A105" s="5"/>
    </row>
    <row r="106" spans="1:22" ht="15.75">
      <c r="A106" s="157" t="s">
        <v>11</v>
      </c>
      <c r="B106" s="157"/>
      <c r="C106" s="175" t="s">
        <v>188</v>
      </c>
      <c r="D106" s="175"/>
      <c r="E106" s="175"/>
      <c r="F106" s="72"/>
      <c r="I106" s="103"/>
    </row>
    <row r="107" spans="1:22">
      <c r="A107" s="104"/>
      <c r="C107" s="171" t="s">
        <v>12</v>
      </c>
      <c r="D107" s="171"/>
      <c r="E107" s="171"/>
      <c r="F107" s="28"/>
      <c r="I107" s="102" t="s">
        <v>13</v>
      </c>
    </row>
    <row r="108" spans="1:22" ht="15.75">
      <c r="A108" s="29"/>
      <c r="C108" s="14"/>
      <c r="D108" s="14"/>
      <c r="G108" s="14"/>
      <c r="H108" s="14"/>
    </row>
    <row r="109" spans="1:22" ht="15.75" customHeight="1">
      <c r="A109" s="157" t="s">
        <v>14</v>
      </c>
      <c r="B109" s="157"/>
      <c r="C109" s="172"/>
      <c r="D109" s="172"/>
      <c r="E109" s="172"/>
      <c r="F109" s="73"/>
      <c r="I109" s="103"/>
    </row>
    <row r="110" spans="1:22">
      <c r="A110" s="104"/>
      <c r="C110" s="155" t="s">
        <v>12</v>
      </c>
      <c r="D110" s="155"/>
      <c r="E110" s="155"/>
      <c r="F110" s="104"/>
      <c r="I110" s="102" t="s">
        <v>13</v>
      </c>
    </row>
    <row r="111" spans="1:22" ht="15.75">
      <c r="A111" s="5" t="s">
        <v>15</v>
      </c>
    </row>
    <row r="112" spans="1:22">
      <c r="A112" s="176" t="s">
        <v>16</v>
      </c>
      <c r="B112" s="176"/>
      <c r="C112" s="176"/>
      <c r="D112" s="176"/>
      <c r="E112" s="176"/>
      <c r="F112" s="176"/>
      <c r="G112" s="176"/>
      <c r="H112" s="176"/>
      <c r="I112" s="176"/>
    </row>
    <row r="113" spans="1:9" ht="45" customHeight="1">
      <c r="A113" s="177" t="s">
        <v>17</v>
      </c>
      <c r="B113" s="177"/>
      <c r="C113" s="177"/>
      <c r="D113" s="177"/>
      <c r="E113" s="177"/>
      <c r="F113" s="177"/>
      <c r="G113" s="177"/>
      <c r="H113" s="177"/>
      <c r="I113" s="177"/>
    </row>
    <row r="114" spans="1:9" ht="30" customHeight="1">
      <c r="A114" s="177" t="s">
        <v>18</v>
      </c>
      <c r="B114" s="177"/>
      <c r="C114" s="177"/>
      <c r="D114" s="177"/>
      <c r="E114" s="177"/>
      <c r="F114" s="177"/>
      <c r="G114" s="177"/>
      <c r="H114" s="177"/>
      <c r="I114" s="177"/>
    </row>
    <row r="115" spans="1:9" ht="30" customHeight="1">
      <c r="A115" s="177" t="s">
        <v>22</v>
      </c>
      <c r="B115" s="177"/>
      <c r="C115" s="177"/>
      <c r="D115" s="177"/>
      <c r="E115" s="177"/>
      <c r="F115" s="177"/>
      <c r="G115" s="177"/>
      <c r="H115" s="177"/>
      <c r="I115" s="177"/>
    </row>
    <row r="116" spans="1:9" ht="15" customHeight="1">
      <c r="A116" s="177" t="s">
        <v>21</v>
      </c>
      <c r="B116" s="177"/>
      <c r="C116" s="177"/>
      <c r="D116" s="177"/>
      <c r="E116" s="177"/>
      <c r="F116" s="177"/>
      <c r="G116" s="177"/>
      <c r="H116" s="177"/>
      <c r="I116" s="177"/>
    </row>
    <row r="118" spans="1:9">
      <c r="A118" s="15"/>
      <c r="B118" s="15"/>
      <c r="C118" s="15"/>
      <c r="D118" s="15"/>
      <c r="E118" s="15"/>
      <c r="F118" s="15"/>
      <c r="G118" s="15"/>
      <c r="H118" s="15"/>
    </row>
  </sheetData>
  <autoFilter ref="I15:I97"/>
  <mergeCells count="31">
    <mergeCell ref="A116:I116"/>
    <mergeCell ref="R102:U102"/>
    <mergeCell ref="A104:I104"/>
    <mergeCell ref="A106:B106"/>
    <mergeCell ref="C106:E106"/>
    <mergeCell ref="C107:E107"/>
    <mergeCell ref="A109:B109"/>
    <mergeCell ref="C109:E109"/>
    <mergeCell ref="A102:I102"/>
    <mergeCell ref="C110:E110"/>
    <mergeCell ref="A112:I112"/>
    <mergeCell ref="A113:I113"/>
    <mergeCell ref="A114:I114"/>
    <mergeCell ref="A115:I115"/>
    <mergeCell ref="A96:I96"/>
    <mergeCell ref="B97:G97"/>
    <mergeCell ref="B98:G98"/>
    <mergeCell ref="A100:I100"/>
    <mergeCell ref="A101:I101"/>
    <mergeCell ref="A83:I83"/>
    <mergeCell ref="A3:I3"/>
    <mergeCell ref="A4:I4"/>
    <mergeCell ref="A5:I5"/>
    <mergeCell ref="A8:I8"/>
    <mergeCell ref="A10:I10"/>
    <mergeCell ref="A14:I14"/>
    <mergeCell ref="A15:I15"/>
    <mergeCell ref="A27:I27"/>
    <mergeCell ref="A42:I42"/>
    <mergeCell ref="A53:I53"/>
    <mergeCell ref="A79:I7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2022-01-20T10:20:13Z</cp:lastPrinted>
  <dcterms:created xsi:type="dcterms:W3CDTF">2016-03-25T08:33:47Z</dcterms:created>
  <dcterms:modified xsi:type="dcterms:W3CDTF">2022-01-20T10:20:51Z</dcterms:modified>
</cp:coreProperties>
</file>