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7"/>
  </bookViews>
  <sheets>
    <sheet name="01.18" sheetId="17" r:id="rId1"/>
    <sheet name="02.18" sheetId="18" r:id="rId2"/>
    <sheet name="03.18" sheetId="19" r:id="rId3"/>
    <sheet name="04.18" sheetId="20" r:id="rId4"/>
    <sheet name="05.18" sheetId="21" r:id="rId5"/>
    <sheet name="06.18" sheetId="22" r:id="rId6"/>
    <sheet name="07.18" sheetId="23" r:id="rId7"/>
    <sheet name="08.18" sheetId="24" r:id="rId8"/>
    <sheet name="09.18" sheetId="25" r:id="rId9"/>
    <sheet name="10.18" sheetId="26" r:id="rId10"/>
    <sheet name="11.18" sheetId="27" r:id="rId11"/>
    <sheet name="12.18" sheetId="28" r:id="rId12"/>
  </sheets>
  <definedNames>
    <definedName name="_xlnm._FilterDatabase" localSheetId="0" hidden="1">'01.18'!$I$12:$I$61</definedName>
    <definedName name="_xlnm._FilterDatabase" localSheetId="1" hidden="1">'02.18'!$I$12:$I$61</definedName>
    <definedName name="_xlnm._FilterDatabase" localSheetId="2" hidden="1">'03.18'!$I$12:$I$61</definedName>
    <definedName name="_xlnm._FilterDatabase" localSheetId="3" hidden="1">'04.18'!$I$12:$I$61</definedName>
    <definedName name="_xlnm._FilterDatabase" localSheetId="4" hidden="1">'05.18'!$I$12:$I$61</definedName>
    <definedName name="_xlnm._FilterDatabase" localSheetId="5" hidden="1">'06.18'!$I$12:$I$61</definedName>
    <definedName name="_xlnm._FilterDatabase" localSheetId="6" hidden="1">'07.18'!$I$12:$I$61</definedName>
    <definedName name="_xlnm._FilterDatabase" localSheetId="7" hidden="1">'08.18'!$I$12:$I$61</definedName>
    <definedName name="_xlnm._FilterDatabase" localSheetId="8" hidden="1">'09.18'!$I$12:$I$61</definedName>
    <definedName name="_xlnm._FilterDatabase" localSheetId="9" hidden="1">'10.18'!$I$12:$I$61</definedName>
    <definedName name="_xlnm._FilterDatabase" localSheetId="10" hidden="1">'11.18'!$I$12:$I$61</definedName>
    <definedName name="_xlnm._FilterDatabase" localSheetId="11" hidden="1">'12.18'!$I$12:$I$61</definedName>
    <definedName name="_xlnm.Print_Area" localSheetId="0">'01.18'!$A$1:$I$107</definedName>
    <definedName name="_xlnm.Print_Area" localSheetId="1">'02.18'!$A$1:$I$107</definedName>
    <definedName name="_xlnm.Print_Area" localSheetId="2">'03.18'!$A$1:$I$108</definedName>
    <definedName name="_xlnm.Print_Area" localSheetId="3">'04.18'!$A$1:$I$109</definedName>
    <definedName name="_xlnm.Print_Area" localSheetId="4">'05.18'!$A$1:$I$109</definedName>
    <definedName name="_xlnm.Print_Area" localSheetId="5">'06.18'!$A$1:$I$117</definedName>
    <definedName name="_xlnm.Print_Area" localSheetId="6">'07.18'!$A$1:$I$111</definedName>
    <definedName name="_xlnm.Print_Area" localSheetId="7">'08.18'!$A$1:$I$114</definedName>
    <definedName name="_xlnm.Print_Area" localSheetId="8">'09.18'!$A$1:$I$117</definedName>
    <definedName name="_xlnm.Print_Area" localSheetId="9">'10.18'!$A$1:$I$113</definedName>
    <definedName name="_xlnm.Print_Area" localSheetId="10">'11.18'!$A$1:$I$111</definedName>
    <definedName name="_xlnm.Print_Area" localSheetId="11">'12.18'!$A$1:$I$111</definedName>
  </definedNames>
  <calcPr calcId="124519"/>
</workbook>
</file>

<file path=xl/calcChain.xml><?xml version="1.0" encoding="utf-8"?>
<calcChain xmlns="http://schemas.openxmlformats.org/spreadsheetml/2006/main">
  <c r="I91" i="24"/>
  <c r="I90"/>
  <c r="I89"/>
  <c r="I88"/>
  <c r="I81" i="28"/>
  <c r="I88"/>
  <c r="I87"/>
  <c r="I86"/>
  <c r="I85"/>
  <c r="I84"/>
  <c r="I83"/>
  <c r="H83"/>
  <c r="I43"/>
  <c r="I42"/>
  <c r="I81" i="27" l="1"/>
  <c r="I88"/>
  <c r="I87"/>
  <c r="I86"/>
  <c r="I85"/>
  <c r="I84"/>
  <c r="I83"/>
  <c r="H83"/>
  <c r="I43"/>
  <c r="I42"/>
  <c r="I81" i="26" l="1"/>
  <c r="I51"/>
  <c r="I52"/>
  <c r="I53"/>
  <c r="I90"/>
  <c r="I89"/>
  <c r="I88"/>
  <c r="I87"/>
  <c r="I86"/>
  <c r="I85"/>
  <c r="I84"/>
  <c r="I83"/>
  <c r="H83"/>
  <c r="I94" i="25"/>
  <c r="I93"/>
  <c r="I81"/>
  <c r="I91"/>
  <c r="I88"/>
  <c r="H88"/>
  <c r="I81" i="24"/>
  <c r="I87" l="1"/>
  <c r="I86"/>
  <c r="I85"/>
  <c r="I84"/>
  <c r="I83"/>
  <c r="H83"/>
  <c r="I81" i="19"/>
  <c r="I81" i="18"/>
  <c r="I81" i="17"/>
  <c r="I81" i="23"/>
  <c r="I87"/>
  <c r="I85"/>
  <c r="I86"/>
  <c r="I88"/>
  <c r="I83"/>
  <c r="H83"/>
  <c r="I81" i="21"/>
  <c r="I94" i="22"/>
  <c r="I81"/>
  <c r="I91"/>
  <c r="I90"/>
  <c r="I89"/>
  <c r="I88"/>
  <c r="I87"/>
  <c r="I86"/>
  <c r="I85"/>
  <c r="I84"/>
  <c r="I61"/>
  <c r="I93"/>
  <c r="I83"/>
  <c r="H83"/>
  <c r="I68"/>
  <c r="I86" i="21" l="1"/>
  <c r="I85"/>
  <c r="I84"/>
  <c r="I83"/>
  <c r="H83"/>
  <c r="I75"/>
  <c r="I19"/>
  <c r="I81" i="20"/>
  <c r="I86"/>
  <c r="I57"/>
  <c r="I85"/>
  <c r="I84"/>
  <c r="I83"/>
  <c r="H83"/>
  <c r="I43"/>
  <c r="I84" i="19" l="1"/>
  <c r="H84"/>
  <c r="I83"/>
  <c r="H83"/>
  <c r="I43"/>
  <c r="I42"/>
  <c r="I43" i="18"/>
  <c r="I42"/>
  <c r="I43" i="17"/>
  <c r="I42"/>
  <c r="I84" i="18" l="1"/>
  <c r="I83"/>
  <c r="H83"/>
  <c r="I83" i="17"/>
  <c r="H83"/>
  <c r="H86" i="28" l="1"/>
  <c r="H85"/>
  <c r="I70"/>
  <c r="E80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I53"/>
  <c r="H53"/>
  <c r="F52"/>
  <c r="I52" s="1"/>
  <c r="F51"/>
  <c r="H51" s="1"/>
  <c r="F50"/>
  <c r="I50" s="1"/>
  <c r="F49"/>
  <c r="H49" s="1"/>
  <c r="F48"/>
  <c r="H48" s="1"/>
  <c r="F47"/>
  <c r="H47" s="1"/>
  <c r="F46"/>
  <c r="H46" s="1"/>
  <c r="F45"/>
  <c r="H45" s="1"/>
  <c r="H43"/>
  <c r="F42"/>
  <c r="H42" s="1"/>
  <c r="F41"/>
  <c r="I41" s="1"/>
  <c r="F40"/>
  <c r="H40" s="1"/>
  <c r="I39"/>
  <c r="H39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53" i="27"/>
  <c r="E80"/>
  <c r="F80" s="1"/>
  <c r="F79"/>
  <c r="I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H57" s="1"/>
  <c r="H76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H43"/>
  <c r="F42"/>
  <c r="H42" s="1"/>
  <c r="F41"/>
  <c r="I41" s="1"/>
  <c r="F40"/>
  <c r="H40" s="1"/>
  <c r="I39"/>
  <c r="H39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85" i="26"/>
  <c r="H84"/>
  <c r="H28" i="27" l="1"/>
  <c r="H80" i="28"/>
  <c r="H81" s="1"/>
  <c r="I80"/>
  <c r="I18"/>
  <c r="H18"/>
  <c r="I16"/>
  <c r="H17"/>
  <c r="I20"/>
  <c r="H21"/>
  <c r="I27"/>
  <c r="H28"/>
  <c r="I31"/>
  <c r="H32"/>
  <c r="I33"/>
  <c r="I40"/>
  <c r="H41"/>
  <c r="H50"/>
  <c r="I51"/>
  <c r="H52"/>
  <c r="H57"/>
  <c r="H76" s="1"/>
  <c r="I79"/>
  <c r="H17" i="27"/>
  <c r="I51"/>
  <c r="I52"/>
  <c r="H50"/>
  <c r="H32"/>
  <c r="H21"/>
  <c r="H41"/>
  <c r="I80"/>
  <c r="H80"/>
  <c r="H81" s="1"/>
  <c r="I18"/>
  <c r="H18"/>
  <c r="I16"/>
  <c r="I20"/>
  <c r="I27"/>
  <c r="I31"/>
  <c r="I33"/>
  <c r="I40"/>
  <c r="I57"/>
  <c r="H79"/>
  <c r="I90" i="28" l="1"/>
  <c r="I90" i="27"/>
  <c r="H87" i="24" l="1"/>
  <c r="I61"/>
  <c r="H85" i="23"/>
  <c r="H84"/>
  <c r="H93" i="22"/>
  <c r="I85" i="19"/>
  <c r="E80" i="26" l="1"/>
  <c r="F80" s="1"/>
  <c r="H80" s="1"/>
  <c r="H81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77" i="25"/>
  <c r="I68"/>
  <c r="I45"/>
  <c r="I46"/>
  <c r="I47"/>
  <c r="I48"/>
  <c r="I49"/>
  <c r="H90"/>
  <c r="H89"/>
  <c r="H87"/>
  <c r="H86"/>
  <c r="H85"/>
  <c r="H84"/>
  <c r="H83"/>
  <c r="E80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E80" i="24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53" i="23"/>
  <c r="E80"/>
  <c r="F80" s="1"/>
  <c r="H80" s="1"/>
  <c r="H81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E80" i="22"/>
  <c r="F80" s="1"/>
  <c r="H80" s="1"/>
  <c r="H81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23" i="21"/>
  <c r="I24"/>
  <c r="I25"/>
  <c r="I26"/>
  <c r="I22"/>
  <c r="I68"/>
  <c r="I69"/>
  <c r="I70"/>
  <c r="I71"/>
  <c r="I72"/>
  <c r="I73"/>
  <c r="I77"/>
  <c r="E80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53" i="20"/>
  <c r="E80"/>
  <c r="F80" s="1"/>
  <c r="H80" s="1"/>
  <c r="H81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E80" i="19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51" i="20" l="1"/>
  <c r="I52"/>
  <c r="H57" i="26"/>
  <c r="H76" s="1"/>
  <c r="H18"/>
  <c r="I18"/>
  <c r="H16"/>
  <c r="I17"/>
  <c r="H20"/>
  <c r="I21"/>
  <c r="H27"/>
  <c r="I28"/>
  <c r="H31"/>
  <c r="I32"/>
  <c r="H33"/>
  <c r="H40"/>
  <c r="I41"/>
  <c r="H42"/>
  <c r="I50"/>
  <c r="I79"/>
  <c r="I80"/>
  <c r="H18" i="25"/>
  <c r="I18"/>
  <c r="H80"/>
  <c r="H81" s="1"/>
  <c r="I80"/>
  <c r="H16"/>
  <c r="I17"/>
  <c r="H20"/>
  <c r="I21"/>
  <c r="H27"/>
  <c r="I28"/>
  <c r="H31"/>
  <c r="I32"/>
  <c r="H33"/>
  <c r="H40"/>
  <c r="I41"/>
  <c r="H42"/>
  <c r="I50"/>
  <c r="H57"/>
  <c r="H76" s="1"/>
  <c r="I79"/>
  <c r="H18" i="24"/>
  <c r="I18"/>
  <c r="H80"/>
  <c r="H81" s="1"/>
  <c r="I80"/>
  <c r="H16"/>
  <c r="I17"/>
  <c r="H20"/>
  <c r="I21"/>
  <c r="H27"/>
  <c r="I28"/>
  <c r="H31"/>
  <c r="I32"/>
  <c r="H33"/>
  <c r="H40"/>
  <c r="I41"/>
  <c r="H42"/>
  <c r="I50"/>
  <c r="H57"/>
  <c r="H76" s="1"/>
  <c r="I79"/>
  <c r="H20" i="23"/>
  <c r="H16"/>
  <c r="H27"/>
  <c r="H57"/>
  <c r="H76" s="1"/>
  <c r="H40"/>
  <c r="H42"/>
  <c r="H33"/>
  <c r="H31"/>
  <c r="I17"/>
  <c r="I18"/>
  <c r="I21"/>
  <c r="I28"/>
  <c r="I32"/>
  <c r="I41"/>
  <c r="I50"/>
  <c r="I79"/>
  <c r="I80"/>
  <c r="H18" i="22"/>
  <c r="I18"/>
  <c r="H16"/>
  <c r="I17"/>
  <c r="H20"/>
  <c r="I21"/>
  <c r="H27"/>
  <c r="I28"/>
  <c r="H31"/>
  <c r="I32"/>
  <c r="H33"/>
  <c r="H40"/>
  <c r="I41"/>
  <c r="H42"/>
  <c r="I50"/>
  <c r="H57"/>
  <c r="H76" s="1"/>
  <c r="I79"/>
  <c r="I80"/>
  <c r="I48" i="21"/>
  <c r="I46"/>
  <c r="I63"/>
  <c r="I66"/>
  <c r="I64"/>
  <c r="I49"/>
  <c r="I47"/>
  <c r="I45"/>
  <c r="I67"/>
  <c r="I65"/>
  <c r="H18"/>
  <c r="I18"/>
  <c r="H80"/>
  <c r="H81" s="1"/>
  <c r="I80"/>
  <c r="H16"/>
  <c r="I17"/>
  <c r="H20"/>
  <c r="I21"/>
  <c r="H27"/>
  <c r="I28"/>
  <c r="H31"/>
  <c r="I32"/>
  <c r="H33"/>
  <c r="H40"/>
  <c r="I41"/>
  <c r="H42"/>
  <c r="I50"/>
  <c r="H57"/>
  <c r="H76" s="1"/>
  <c r="I79"/>
  <c r="H18" i="20"/>
  <c r="I18"/>
  <c r="H16"/>
  <c r="I17"/>
  <c r="H20"/>
  <c r="I21"/>
  <c r="H27"/>
  <c r="I28"/>
  <c r="H31"/>
  <c r="I32"/>
  <c r="H33"/>
  <c r="H40"/>
  <c r="I41"/>
  <c r="H42"/>
  <c r="I50"/>
  <c r="H57"/>
  <c r="H76" s="1"/>
  <c r="I79"/>
  <c r="I80"/>
  <c r="H18" i="19"/>
  <c r="I18"/>
  <c r="H80"/>
  <c r="H81" s="1"/>
  <c r="I80"/>
  <c r="H16"/>
  <c r="I17"/>
  <c r="H20"/>
  <c r="I21"/>
  <c r="H27"/>
  <c r="I28"/>
  <c r="H31"/>
  <c r="I32"/>
  <c r="H33"/>
  <c r="H40"/>
  <c r="I41"/>
  <c r="H42"/>
  <c r="I50"/>
  <c r="H57"/>
  <c r="H76" s="1"/>
  <c r="I79"/>
  <c r="I88" i="21" l="1"/>
  <c r="I88" i="20"/>
  <c r="I96" i="25"/>
  <c r="I93" i="24"/>
  <c r="I92" i="26"/>
  <c r="I90" i="23"/>
  <c r="I96" i="22"/>
  <c r="I87" i="19"/>
  <c r="E80" i="18" l="1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4" i="17"/>
  <c r="E80"/>
  <c r="F79"/>
  <c r="I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H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H42" s="1"/>
  <c r="F41"/>
  <c r="I41" s="1"/>
  <c r="F40"/>
  <c r="H40" s="1"/>
  <c r="I39"/>
  <c r="H39"/>
  <c r="I38"/>
  <c r="H38"/>
  <c r="F28"/>
  <c r="H28" s="1"/>
  <c r="H36"/>
  <c r="H35"/>
  <c r="F27"/>
  <c r="I27" s="1"/>
  <c r="H34"/>
  <c r="F34"/>
  <c r="I34" s="1"/>
  <c r="F33"/>
  <c r="H33" s="1"/>
  <c r="F32"/>
  <c r="H32" s="1"/>
  <c r="F31"/>
  <c r="H31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18" i="18" l="1"/>
  <c r="I18"/>
  <c r="H80"/>
  <c r="H81" s="1"/>
  <c r="I80"/>
  <c r="H16"/>
  <c r="I17"/>
  <c r="I86" s="1"/>
  <c r="H20"/>
  <c r="I21"/>
  <c r="H27"/>
  <c r="I28"/>
  <c r="H31"/>
  <c r="I32"/>
  <c r="H33"/>
  <c r="H40"/>
  <c r="I41"/>
  <c r="H42"/>
  <c r="I50"/>
  <c r="H57"/>
  <c r="H76" s="1"/>
  <c r="I79"/>
  <c r="I33" i="17"/>
  <c r="I31"/>
  <c r="I32"/>
  <c r="H17"/>
  <c r="H76"/>
  <c r="H21"/>
  <c r="H79"/>
  <c r="I18"/>
  <c r="H18"/>
  <c r="I16"/>
  <c r="I20"/>
  <c r="H27"/>
  <c r="I28"/>
  <c r="I40"/>
  <c r="H41"/>
  <c r="I50"/>
  <c r="I57"/>
  <c r="F80"/>
  <c r="H80" l="1"/>
  <c r="H81" s="1"/>
  <c r="I80"/>
  <c r="I86" s="1"/>
</calcChain>
</file>

<file path=xl/sharedStrings.xml><?xml version="1.0" encoding="utf-8"?>
<sst xmlns="http://schemas.openxmlformats.org/spreadsheetml/2006/main" count="2535" uniqueCount="254">
  <si>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</si>
  <si>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</si>
  <si>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</si>
  <si>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</si>
  <si>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</si>
  <si>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</si>
  <si>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</si>
  <si>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</si>
  <si>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</si>
  <si>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</si>
  <si>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</si>
  <si>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</si>
  <si>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</si>
  <si>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</si>
  <si>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</si>
  <si>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</si>
  <si>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</si>
  <si>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</si>
  <si>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</si>
  <si>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</si>
  <si>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</si>
  <si>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</si>
  <si>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</si>
  <si>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</si>
  <si>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</si>
  <si>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</si>
  <si>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</si>
  <si>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</si>
  <si>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</si>
  <si>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</si>
  <si>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</si>
  <si>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</si>
  <si>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</si>
  <si>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</si>
  <si>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</si>
  <si>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</si>
  <si>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</si>
  <si>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</si>
  <si>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</si>
  <si>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</si>
  <si>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</si>
  <si>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</si>
  <si>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</si>
  <si>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</si>
  <si>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</si>
  <si>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</si>
  <si>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</si>
  <si>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</si>
  <si>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</si>
  <si>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</si>
  <si>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</si>
  <si>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</si>
  <si>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</si>
  <si>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</si>
  <si>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</si>
  <si>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</si>
  <si>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</si>
  <si>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</si>
  <si>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</si>
  <si>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</si>
  <si>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</si>
  <si>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</si>
  <si>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</si>
  <si>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</si>
  <si>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</si>
  <si>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</si>
  <si>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</si>
  <si>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</si>
  <si>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</si>
  <si>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</si>
  <si>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</si>
  <si>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</si>
  <si>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</si>
  <si>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</si>
  <si>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</si>
  <si>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</si>
  <si>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</si>
  <si>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</si>
  <si>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</si>
  <si>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</si>
  <si>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</si>
  <si>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</si>
  <si>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</si>
  <si>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</si>
  <si>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</si>
  <si>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</si>
  <si>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</si>
  <si>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ООО «Жилсервис»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</si>
  <si>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</si>
  <si>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</si>
  <si>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</si>
  <si>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</si>
  <si>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</si>
  <si>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</si>
  <si>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</si>
  <si>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</si>
  <si>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</si>
  <si>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1 шт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</si>
  <si>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</si>
  <si>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</si>
  <si>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</si>
  <si>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</si>
  <si>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</si>
  <si>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>1 раз в два месяца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</si>
  <si>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</si>
  <si>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</si>
  <si>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</si>
  <si>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</si>
  <si>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</si>
  <si>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</si>
  <si>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</si>
  <si>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</si>
  <si>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</si>
  <si>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</si>
  <si>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</si>
  <si>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Сдвигание снега в дни снегопада (крыльца, тротуары)</t>
  </si>
  <si>
    <t>35 раз за сезон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</si>
  <si>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</si>
  <si>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</si>
  <si>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</si>
  <si>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</si>
  <si>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чердака, подвала от мусора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</si>
  <si>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</si>
  <si>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</si>
  <si>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</si>
  <si>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</si>
  <si>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</si>
  <si>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</si>
  <si>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</si>
  <si>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Устройство хомута диаметром до 50 мм</t>
  </si>
  <si>
    <t xml:space="preserve">приемки оказанных услуг и выполненных работ по содержанию и текущему ремонту
общего имущества в многоквартирном доме №47 по ул.Октябрьская пгт.Ярега
</t>
  </si>
  <si>
    <t>генеральный директор Куканов Ю.Л.</t>
  </si>
  <si>
    <t>III. Проведение технических осмотров</t>
  </si>
  <si>
    <t>5 раз в год</t>
  </si>
  <si>
    <t>IV. Содержание oбщего имущества МКД</t>
  </si>
  <si>
    <t>V. Прочие услуги</t>
  </si>
  <si>
    <t>АКТ №1</t>
  </si>
  <si>
    <t>Влажное подметание лестничных клеток 2-3 этажа</t>
  </si>
  <si>
    <t>Мытье лестничных  площадок и маршей 1-3 этаж.</t>
  </si>
  <si>
    <t xml:space="preserve"> </t>
  </si>
  <si>
    <t>Мелкий ремонт электропроводки</t>
  </si>
  <si>
    <t>1п.м.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</si>
  <si>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</si>
  <si>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</si>
  <si>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Работа автовышки</t>
  </si>
  <si>
    <t>маш/час</t>
  </si>
  <si>
    <t>Ремонт ограждений контейнерной площадки</t>
  </si>
  <si>
    <t>тыс.руб.</t>
  </si>
  <si>
    <t>Смена тройника 25*20*25</t>
  </si>
  <si>
    <t>Смена светодиодных светильников</t>
  </si>
  <si>
    <t>1 шт.</t>
  </si>
  <si>
    <t>Прочистка каналов</t>
  </si>
  <si>
    <t>АКТ №2</t>
  </si>
  <si>
    <t>АКТ №3</t>
  </si>
  <si>
    <t>III. Содержание oбщего имущества МКД</t>
  </si>
  <si>
    <t>IV. Прочие услуги</t>
  </si>
  <si>
    <t>АКТ №4</t>
  </si>
  <si>
    <t>АКТ №5</t>
  </si>
  <si>
    <t>АКТ №6</t>
  </si>
  <si>
    <t>III. Прочие услуги</t>
  </si>
  <si>
    <t>АКТ №7</t>
  </si>
  <si>
    <t>АКТ №8</t>
  </si>
  <si>
    <t>АКТ №9</t>
  </si>
  <si>
    <t>АКТ №10</t>
  </si>
  <si>
    <r>
      <t xml:space="preserve">    Собственники помещений в многоквартирном доме, расположенном по адресу: пгт.Ярега, ул.Октябрьская, д.47,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14.02.2014г.  стороны, и ООО «Жилсервис»,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</si>
  <si>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д.47</t>
    </r>
  </si>
  <si>
    <t>156 раз в год</t>
  </si>
  <si>
    <t>104 раза в год</t>
  </si>
  <si>
    <t xml:space="preserve">24 раза в год </t>
  </si>
  <si>
    <t>Итого затраты за месяц</t>
  </si>
  <si>
    <t>52 раза в сезон</t>
  </si>
  <si>
    <t>78 раз за сезон</t>
  </si>
  <si>
    <t>1 м</t>
  </si>
  <si>
    <t>Подключение и отключение сварочного аппарата</t>
  </si>
  <si>
    <t>10 м2</t>
  </si>
  <si>
    <t>АКТ №11</t>
  </si>
  <si>
    <t>1 раз в 2 месяца</t>
  </si>
  <si>
    <t>АКТ №12</t>
  </si>
  <si>
    <t>за период с 01.01.2018 г. по 31.01.2018 г.</t>
  </si>
  <si>
    <t>Дератизация</t>
  </si>
  <si>
    <t>м2</t>
  </si>
  <si>
    <t>за период с 01.02.2018 г. по 28.02.2018 г.</t>
  </si>
  <si>
    <t>за период с 01.03.2018 г. по 31.03.2018 г.</t>
  </si>
  <si>
    <t>за период с 01.04.2018 г. по 30.04.2018 г.</t>
  </si>
  <si>
    <t>маш-час</t>
  </si>
  <si>
    <t>36м2</t>
  </si>
  <si>
    <t>2. Всего за период с 01.04.2018 по 30.04.2018 выполнено работ (оказано услуг) на общую сумму: 21574,70 руб.</t>
  </si>
  <si>
    <t>(двадцать одна тысяча пятьсот семьдесят четыре рубля 70 копеек)</t>
  </si>
  <si>
    <t>за период с 01.05.2018 г. по 31.05.2018 г.</t>
  </si>
  <si>
    <t>Ремонт отдельных мест покрытия из асбоцементных листов обыкновенного профиля</t>
  </si>
  <si>
    <t>3м2</t>
  </si>
  <si>
    <t>за период с 01.06.2018 г. по 30.06.2018 г.</t>
  </si>
  <si>
    <t>Заделка подвальных окон фанерой</t>
  </si>
  <si>
    <t>Смена трубопровода на полипропиленовые трубы PN25 Dу25</t>
  </si>
  <si>
    <t>м</t>
  </si>
  <si>
    <t>Колено 25-90</t>
  </si>
  <si>
    <t>Муфта разъемная 25*3/4 ВР</t>
  </si>
  <si>
    <t>Муфта разъемная 25*3/4 НР</t>
  </si>
  <si>
    <t>Тройник 25*20</t>
  </si>
  <si>
    <t>Муфта 25</t>
  </si>
  <si>
    <t>Вентиль(ш) ПП Dу 25</t>
  </si>
  <si>
    <t>Муфта разъемная 20*1/2 НР</t>
  </si>
  <si>
    <t>2. Всего за период с 01.06.2018 по 30.06.2018 выполнено работ (оказано услуг) на общую сумму: 35708,55 руб.</t>
  </si>
  <si>
    <t>(тридцать пять тысяч семьсот восемь рублей 55 копеек)</t>
  </si>
  <si>
    <t>2. Всего за период с 01.05.2018 по 31.05.2018 выполнено работ (оказано услуг) на общую сумму: 47140,12 руб.</t>
  </si>
  <si>
    <t>(сорок семь тысяч сто сорок рублей 12 копеек)</t>
  </si>
  <si>
    <t>ООО «Движение»</t>
  </si>
  <si>
    <t>за период с 01.07.2018 г. по 31.07.2018 г.</t>
  </si>
  <si>
    <r>
      <t xml:space="preserve">    Собственники помещений в многоквартирном доме, расположенном по адресу: пгт.Ярега, ул.Октябрьская, д.47,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14.02.2014г.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</si>
  <si>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Смена светильников с лампами накаливания</t>
  </si>
  <si>
    <t>Смена обделок из листовой стали, примыканий к каменным стенам</t>
  </si>
  <si>
    <t>10 м</t>
  </si>
  <si>
    <t>Герметизация трубопроводов</t>
  </si>
  <si>
    <t>1 место</t>
  </si>
  <si>
    <t>2. Всего за период с 01.01.2018 по 31.01.2018 выполнено работ (оказано услуг) на общую сумму: 21408,34 руб.</t>
  </si>
  <si>
    <t>(двадцать одна тысяча четыреста восемь рублей 34 копейки)</t>
  </si>
  <si>
    <t>2. Всего за период с 01.02.2018 по 28.02.2018 выполнено работ (оказано услуг) на общую сумму: 19179,91 руб.</t>
  </si>
  <si>
    <t>(девятьнадцать тысяч сто семьдесят девять рублей 91 копейка)</t>
  </si>
  <si>
    <t>2. Всего за период с 01.03.2018 по 31.03.2018 выполнено работ (оказано услуг) на общую сумму: 18001,35 руб.</t>
  </si>
  <si>
    <t>(восемьнадцать тысяч один рубль 35 копеек)</t>
  </si>
  <si>
    <t>за период с 01.08.2018 г. по 31.08.2018 г.</t>
  </si>
  <si>
    <t>Смена выключателей</t>
  </si>
  <si>
    <t>за период с 01.09.2018 г. по 30.09.2018 г.</t>
  </si>
  <si>
    <t>Очистка канализационной сети внутренней</t>
  </si>
  <si>
    <t>1м</t>
  </si>
  <si>
    <t>Закрыли слуховое окно</t>
  </si>
  <si>
    <t>2. Всего за период с 01.07.2018 по 31.07.2018 выполнено работ (оказано услуг) на общую сумму: 17634,42 руб.</t>
  </si>
  <si>
    <t>(семнадцать тысяч шестьсот тридцать четыре рубля 42 копейки)</t>
  </si>
  <si>
    <t>2. Всего за период с 01.09.2018 по 30.09.2018 выполнено работ (оказано услуг) на общую сумму: 22638,55 руб.</t>
  </si>
  <si>
    <t>(двадцать две тысячи шестьсот тридцать восемь рублей 55 копеек)</t>
  </si>
  <si>
    <t>за период с 01.10.2018 г. по 31.10.2018 г.</t>
  </si>
  <si>
    <t>Муфта переходная (ниппель) 3/4*1 ВР</t>
  </si>
  <si>
    <t>Пресс муфта НР 20*3/4</t>
  </si>
  <si>
    <t>Смена дверных приборов - петли</t>
  </si>
  <si>
    <t>Утепление окна</t>
  </si>
  <si>
    <t>2. Всего за период с 01.10.2018 по 31.10.2018 выполнено работ (оказано услуг) на общую сумму: 21891,31 руб.</t>
  </si>
  <si>
    <t>(двадцать одна тысяча восемьсот девяносто один рубль 31 копейка)</t>
  </si>
  <si>
    <t>за период с 01.11.2018 г. по 30.11.2018 г.</t>
  </si>
  <si>
    <t>Очистка вручную от снега и наледи люков каналиационных и водопроводных колодцев</t>
  </si>
  <si>
    <t>Ремонт и регулировка доводчика ( со стоимостью доводчика)</t>
  </si>
  <si>
    <t>Ш. Прочие услуги</t>
  </si>
  <si>
    <t>2. Всего за период с 01.11.2018 по 30.11.2018 выполнено работ (оказано услуг) на общую сумму: 13626,22 руб.</t>
  </si>
  <si>
    <t>(тринадцать тысяч шестьсот двадцать шесть рублей 22 копейки)</t>
  </si>
  <si>
    <t>за период с 01.12.2018 г. по 31.12.2018 г.</t>
  </si>
  <si>
    <t>Осмотр водопроводов, канализации, отопления в квартирах</t>
  </si>
  <si>
    <t>100 кв.</t>
  </si>
  <si>
    <t>Ремонт внутренних трубопроводов и стояков д=51 - 75 мм</t>
  </si>
  <si>
    <t>2. Всего за период с 01.12.2018 по 31.12.2018 выполнено работ (оказано услуг) на общую сумму: 13678,39 руб.</t>
  </si>
  <si>
    <t>(тринадцать тысяч шестьсот семьдесят восемь рублей 39 копеек)</t>
  </si>
  <si>
    <t>Ремонт кирпичной кладки главного фасада</t>
  </si>
  <si>
    <t>Оштукатуривание цоколя с щебенением</t>
  </si>
  <si>
    <t>Оштукатуривание цоколя</t>
  </si>
  <si>
    <t>2. Всего за период с 01.08.2018 по 31.08.2018 выполнено работ (оказано услуг) на общую сумму: 32168,69 руб.</t>
  </si>
  <si>
    <t>(тридцать две тысячи сто шестьдесят восемь рублей 69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</si>
</sst>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A93" sqref="A93: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63</v>
      </c>
      <c r="J2" s="2"/>
      <c r="K2" s="2"/>
      <c r="L2" s="2"/>
      <c r="M2" s="2"/>
    </row>
    <row r="3" spans="1:13" ht="15.75" customHeight="1">
      <c r="A3" s="112" t="s">
        <v>136</v>
      </c>
      <c r="B3" s="112"/>
      <c r="C3" s="112"/>
      <c r="D3" s="112"/>
      <c r="E3" s="112"/>
      <c r="F3" s="112"/>
      <c r="G3" s="112"/>
      <c r="H3" s="112"/>
      <c r="I3" s="112"/>
      <c r="J3" s="3"/>
      <c r="K3" s="3"/>
      <c r="L3" s="3"/>
    </row>
    <row r="4" spans="1:13" ht="31.5" customHeight="1">
      <c r="A4" s="113" t="s">
        <v>130</v>
      </c>
      <c r="B4" s="113"/>
      <c r="C4" s="113"/>
      <c r="D4" s="113"/>
      <c r="E4" s="113"/>
      <c r="F4" s="113"/>
      <c r="G4" s="113"/>
      <c r="H4" s="113"/>
      <c r="I4" s="113"/>
    </row>
    <row r="5" spans="1:13" ht="15.75">
      <c r="A5" s="112" t="s">
        <v>178</v>
      </c>
      <c r="B5" s="114"/>
      <c r="C5" s="114"/>
      <c r="D5" s="114"/>
      <c r="E5" s="114"/>
      <c r="F5" s="114"/>
      <c r="G5" s="114"/>
      <c r="H5" s="114"/>
      <c r="I5" s="114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43131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5" t="s">
        <v>164</v>
      </c>
      <c r="B8" s="115"/>
      <c r="C8" s="115"/>
      <c r="D8" s="115"/>
      <c r="E8" s="115"/>
      <c r="F8" s="115"/>
      <c r="G8" s="115"/>
      <c r="H8" s="115"/>
      <c r="I8" s="115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16" t="s">
        <v>165</v>
      </c>
      <c r="B10" s="116"/>
      <c r="C10" s="116"/>
      <c r="D10" s="116"/>
      <c r="E10" s="116"/>
      <c r="F10" s="116"/>
      <c r="G10" s="116"/>
      <c r="H10" s="116"/>
      <c r="I10" s="116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17" t="s">
        <v>60</v>
      </c>
      <c r="B14" s="117"/>
      <c r="C14" s="117"/>
      <c r="D14" s="117"/>
      <c r="E14" s="117"/>
      <c r="F14" s="117"/>
      <c r="G14" s="117"/>
      <c r="H14" s="117"/>
      <c r="I14" s="117"/>
      <c r="J14" s="8"/>
      <c r="K14" s="8"/>
      <c r="L14" s="8"/>
      <c r="M14" s="8"/>
    </row>
    <row r="15" spans="1:13" ht="15.75" customHeight="1">
      <c r="A15" s="111" t="s">
        <v>4</v>
      </c>
      <c r="B15" s="111"/>
      <c r="C15" s="111"/>
      <c r="D15" s="111"/>
      <c r="E15" s="111"/>
      <c r="F15" s="111"/>
      <c r="G15" s="111"/>
      <c r="H15" s="111"/>
      <c r="I15" s="111"/>
      <c r="J15" s="8"/>
      <c r="K15" s="8"/>
      <c r="L15" s="8"/>
      <c r="M15" s="8"/>
    </row>
    <row r="16" spans="1:13" ht="15.75" customHeight="1">
      <c r="A16" s="33">
        <v>1</v>
      </c>
      <c r="B16" s="64" t="s">
        <v>88</v>
      </c>
      <c r="C16" s="65" t="s">
        <v>89</v>
      </c>
      <c r="D16" s="64" t="s">
        <v>166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137</v>
      </c>
      <c r="C17" s="65" t="s">
        <v>89</v>
      </c>
      <c r="D17" s="64" t="s">
        <v>167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138</v>
      </c>
      <c r="C18" s="65" t="s">
        <v>89</v>
      </c>
      <c r="D18" s="64" t="s">
        <v>168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98</v>
      </c>
      <c r="C19" s="65" t="s">
        <v>99</v>
      </c>
      <c r="D19" s="64" t="s">
        <v>100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101</v>
      </c>
      <c r="C20" s="65" t="s">
        <v>89</v>
      </c>
      <c r="D20" s="64" t="s">
        <v>29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5</v>
      </c>
      <c r="B21" s="64" t="s">
        <v>102</v>
      </c>
      <c r="C21" s="65" t="s">
        <v>89</v>
      </c>
      <c r="D21" s="64" t="s">
        <v>103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104</v>
      </c>
      <c r="C22" s="65" t="s">
        <v>53</v>
      </c>
      <c r="D22" s="64" t="s">
        <v>100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105</v>
      </c>
      <c r="C23" s="65" t="s">
        <v>53</v>
      </c>
      <c r="D23" s="64" t="s">
        <v>100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106</v>
      </c>
      <c r="C24" s="65" t="s">
        <v>53</v>
      </c>
      <c r="D24" s="64" t="s">
        <v>107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108</v>
      </c>
      <c r="C25" s="65" t="s">
        <v>53</v>
      </c>
      <c r="D25" s="64" t="s">
        <v>54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109</v>
      </c>
      <c r="C26" s="65" t="s">
        <v>53</v>
      </c>
      <c r="D26" s="64" t="s">
        <v>100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4" t="s">
        <v>65</v>
      </c>
      <c r="C27" s="65" t="s">
        <v>32</v>
      </c>
      <c r="D27" s="64"/>
      <c r="E27" s="66">
        <v>0.1</v>
      </c>
      <c r="F27" s="67">
        <f>SUM(E27*365)</f>
        <v>36.5</v>
      </c>
      <c r="G27" s="67">
        <v>138.44999999999999</v>
      </c>
      <c r="H27" s="68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7</v>
      </c>
      <c r="B28" s="72" t="s">
        <v>23</v>
      </c>
      <c r="C28" s="65" t="s">
        <v>24</v>
      </c>
      <c r="D28" s="64"/>
      <c r="E28" s="66">
        <v>1042.5999999999999</v>
      </c>
      <c r="F28" s="67">
        <f>SUM(E28*12)</f>
        <v>12511.199999999999</v>
      </c>
      <c r="G28" s="67">
        <v>6.15</v>
      </c>
      <c r="H28" s="68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23" t="s">
        <v>86</v>
      </c>
      <c r="B29" s="124"/>
      <c r="C29" s="124"/>
      <c r="D29" s="124"/>
      <c r="E29" s="124"/>
      <c r="F29" s="124"/>
      <c r="G29" s="124"/>
      <c r="H29" s="124"/>
      <c r="I29" s="125"/>
      <c r="J29" s="26"/>
      <c r="K29" s="8"/>
      <c r="L29" s="8"/>
      <c r="M29" s="8"/>
    </row>
    <row r="30" spans="1:13" ht="15.75" hidden="1" customHeight="1">
      <c r="A30" s="33"/>
      <c r="B30" s="85" t="s">
        <v>27</v>
      </c>
      <c r="C30" s="65"/>
      <c r="D30" s="64"/>
      <c r="E30" s="66"/>
      <c r="F30" s="67"/>
      <c r="G30" s="67"/>
      <c r="H30" s="68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4" t="s">
        <v>114</v>
      </c>
      <c r="C31" s="65" t="s">
        <v>92</v>
      </c>
      <c r="D31" s="64" t="s">
        <v>110</v>
      </c>
      <c r="E31" s="67">
        <v>266.57</v>
      </c>
      <c r="F31" s="67">
        <f>SUM(E31*52/1000)</f>
        <v>13.86164</v>
      </c>
      <c r="G31" s="67">
        <v>146.79</v>
      </c>
      <c r="H31" s="68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hidden="1" customHeight="1">
      <c r="A32" s="33">
        <v>9</v>
      </c>
      <c r="B32" s="64" t="s">
        <v>113</v>
      </c>
      <c r="C32" s="65" t="s">
        <v>92</v>
      </c>
      <c r="D32" s="64" t="s">
        <v>111</v>
      </c>
      <c r="E32" s="67">
        <v>48.03</v>
      </c>
      <c r="F32" s="67">
        <f>SUM(E32*78/1000)</f>
        <v>3.74634</v>
      </c>
      <c r="G32" s="67">
        <v>243.54</v>
      </c>
      <c r="H32" s="68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26</v>
      </c>
      <c r="C33" s="65" t="s">
        <v>92</v>
      </c>
      <c r="D33" s="64" t="s">
        <v>54</v>
      </c>
      <c r="E33" s="67">
        <v>266.57</v>
      </c>
      <c r="F33" s="67">
        <f>SUM(E33/1000)</f>
        <v>0.26656999999999997</v>
      </c>
      <c r="G33" s="67">
        <v>2844</v>
      </c>
      <c r="H33" s="68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hidden="1" customHeight="1">
      <c r="A34" s="33">
        <v>10</v>
      </c>
      <c r="B34" s="64" t="s">
        <v>112</v>
      </c>
      <c r="C34" s="65" t="s">
        <v>30</v>
      </c>
      <c r="D34" s="64" t="s">
        <v>64</v>
      </c>
      <c r="E34" s="71">
        <v>0.33333333333333331</v>
      </c>
      <c r="F34" s="67">
        <f>155/3</f>
        <v>51.666666666666664</v>
      </c>
      <c r="G34" s="67">
        <v>53.38</v>
      </c>
      <c r="H34" s="68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4" t="s">
        <v>66</v>
      </c>
      <c r="C35" s="65" t="s">
        <v>32</v>
      </c>
      <c r="D35" s="64" t="s">
        <v>68</v>
      </c>
      <c r="E35" s="66"/>
      <c r="F35" s="67">
        <v>1</v>
      </c>
      <c r="G35" s="67">
        <v>180.15</v>
      </c>
      <c r="H35" s="68">
        <f t="shared" si="1"/>
        <v>0.18015</v>
      </c>
      <c r="I35" s="13">
        <v>0</v>
      </c>
      <c r="J35" s="27"/>
    </row>
    <row r="36" spans="1:14" ht="15.75" hidden="1" customHeight="1">
      <c r="A36" s="33"/>
      <c r="B36" s="64" t="s">
        <v>67</v>
      </c>
      <c r="C36" s="65" t="s">
        <v>31</v>
      </c>
      <c r="D36" s="64" t="s">
        <v>68</v>
      </c>
      <c r="E36" s="66"/>
      <c r="F36" s="67">
        <v>1</v>
      </c>
      <c r="G36" s="67">
        <v>1214.74</v>
      </c>
      <c r="H36" s="68">
        <f t="shared" si="1"/>
        <v>1.2147399999999999</v>
      </c>
      <c r="I36" s="13">
        <v>0</v>
      </c>
      <c r="J36" s="27"/>
    </row>
    <row r="37" spans="1:14" ht="15.75" customHeight="1">
      <c r="A37" s="33"/>
      <c r="B37" s="85" t="s">
        <v>5</v>
      </c>
      <c r="C37" s="65"/>
      <c r="D37" s="64"/>
      <c r="E37" s="66"/>
      <c r="F37" s="67"/>
      <c r="G37" s="67"/>
      <c r="H37" s="68" t="s">
        <v>139</v>
      </c>
      <c r="I37" s="13"/>
      <c r="J37" s="27"/>
    </row>
    <row r="38" spans="1:14" ht="15.75" customHeight="1">
      <c r="A38" s="33">
        <v>8</v>
      </c>
      <c r="B38" s="64" t="s">
        <v>25</v>
      </c>
      <c r="C38" s="65" t="s">
        <v>31</v>
      </c>
      <c r="D38" s="64"/>
      <c r="E38" s="66"/>
      <c r="F38" s="67">
        <v>3</v>
      </c>
      <c r="G38" s="67">
        <v>1632.6</v>
      </c>
      <c r="H38" s="68">
        <f t="shared" ref="H38:H43" si="3">SUM(F38*G38/1000)</f>
        <v>4.8977999999999993</v>
      </c>
      <c r="I38" s="13">
        <f t="shared" ref="I38:I41" si="4">F38/6*G38</f>
        <v>816.3</v>
      </c>
      <c r="J38" s="27"/>
    </row>
    <row r="39" spans="1:14" ht="15.75" customHeight="1">
      <c r="A39" s="33">
        <v>9</v>
      </c>
      <c r="B39" s="64" t="s">
        <v>115</v>
      </c>
      <c r="C39" s="65" t="s">
        <v>28</v>
      </c>
      <c r="D39" s="64" t="s">
        <v>90</v>
      </c>
      <c r="E39" s="66">
        <v>48.03</v>
      </c>
      <c r="F39" s="67">
        <v>1.44</v>
      </c>
      <c r="G39" s="67">
        <v>1979.95</v>
      </c>
      <c r="H39" s="68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customHeight="1">
      <c r="A40" s="33">
        <v>10</v>
      </c>
      <c r="B40" s="64" t="s">
        <v>69</v>
      </c>
      <c r="C40" s="65" t="s">
        <v>28</v>
      </c>
      <c r="D40" s="64" t="s">
        <v>91</v>
      </c>
      <c r="E40" s="67">
        <v>48.03</v>
      </c>
      <c r="F40" s="67">
        <f>SUM(E40*155/1000)</f>
        <v>7.4446500000000002</v>
      </c>
      <c r="G40" s="67">
        <v>330.27</v>
      </c>
      <c r="H40" s="68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customHeight="1">
      <c r="A41" s="33">
        <v>11</v>
      </c>
      <c r="B41" s="64" t="s">
        <v>84</v>
      </c>
      <c r="C41" s="65" t="s">
        <v>92</v>
      </c>
      <c r="D41" s="64" t="s">
        <v>116</v>
      </c>
      <c r="E41" s="67">
        <v>48.03</v>
      </c>
      <c r="F41" s="67">
        <f>SUM(E41*35/1000)</f>
        <v>1.6810499999999999</v>
      </c>
      <c r="G41" s="67">
        <v>5464.48</v>
      </c>
      <c r="H41" s="68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customHeight="1">
      <c r="A42" s="33">
        <v>12</v>
      </c>
      <c r="B42" s="64" t="s">
        <v>93</v>
      </c>
      <c r="C42" s="65" t="s">
        <v>92</v>
      </c>
      <c r="D42" s="64" t="s">
        <v>70</v>
      </c>
      <c r="E42" s="67">
        <v>48.03</v>
      </c>
      <c r="F42" s="67">
        <f>SUM(E42*45/1000)</f>
        <v>2.1613500000000001</v>
      </c>
      <c r="G42" s="67">
        <v>403.67</v>
      </c>
      <c r="H42" s="68">
        <f t="shared" si="3"/>
        <v>0.87247215450000015</v>
      </c>
      <c r="I42" s="13">
        <f>F42/7.5*G42</f>
        <v>116.3296206</v>
      </c>
      <c r="J42" s="27"/>
      <c r="L42" s="20"/>
      <c r="M42" s="21"/>
      <c r="N42" s="22"/>
    </row>
    <row r="43" spans="1:14" ht="15.75" customHeight="1">
      <c r="A43" s="33">
        <v>13</v>
      </c>
      <c r="B43" s="64" t="s">
        <v>71</v>
      </c>
      <c r="C43" s="65" t="s">
        <v>32</v>
      </c>
      <c r="D43" s="64"/>
      <c r="E43" s="66"/>
      <c r="F43" s="67">
        <v>0.53</v>
      </c>
      <c r="G43" s="67">
        <v>750.34</v>
      </c>
      <c r="H43" s="68">
        <f t="shared" si="3"/>
        <v>0.39768020000000004</v>
      </c>
      <c r="I43" s="13">
        <f>F43/7.5*G43</f>
        <v>53.024026666666671</v>
      </c>
      <c r="J43" s="27"/>
      <c r="L43" s="20"/>
      <c r="M43" s="21"/>
      <c r="N43" s="22"/>
    </row>
    <row r="44" spans="1:14" ht="15.75" customHeight="1">
      <c r="A44" s="123" t="s">
        <v>132</v>
      </c>
      <c r="B44" s="124"/>
      <c r="C44" s="124"/>
      <c r="D44" s="124"/>
      <c r="E44" s="124"/>
      <c r="F44" s="124"/>
      <c r="G44" s="124"/>
      <c r="H44" s="124"/>
      <c r="I44" s="125"/>
      <c r="J44" s="27"/>
      <c r="L44" s="20"/>
      <c r="M44" s="21"/>
      <c r="N44" s="22"/>
    </row>
    <row r="45" spans="1:14" ht="15.75" hidden="1" customHeight="1">
      <c r="A45" s="33"/>
      <c r="B45" s="64" t="s">
        <v>117</v>
      </c>
      <c r="C45" s="65" t="s">
        <v>92</v>
      </c>
      <c r="D45" s="64" t="s">
        <v>42</v>
      </c>
      <c r="E45" s="66">
        <v>636.25</v>
      </c>
      <c r="F45" s="67">
        <f>SUM(E45*2/1000)</f>
        <v>1.2725</v>
      </c>
      <c r="G45" s="13">
        <v>762.53</v>
      </c>
      <c r="H45" s="68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4" t="s">
        <v>35</v>
      </c>
      <c r="C46" s="65" t="s">
        <v>92</v>
      </c>
      <c r="D46" s="64" t="s">
        <v>42</v>
      </c>
      <c r="E46" s="66">
        <v>26</v>
      </c>
      <c r="F46" s="67">
        <f>SUM(E46*2/1000)</f>
        <v>5.1999999999999998E-2</v>
      </c>
      <c r="G46" s="13">
        <v>545.65</v>
      </c>
      <c r="H46" s="68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4" t="s">
        <v>36</v>
      </c>
      <c r="C47" s="65" t="s">
        <v>92</v>
      </c>
      <c r="D47" s="64" t="s">
        <v>42</v>
      </c>
      <c r="E47" s="66">
        <v>579</v>
      </c>
      <c r="F47" s="67">
        <f>SUM(E47*2/1000)</f>
        <v>1.1579999999999999</v>
      </c>
      <c r="G47" s="13">
        <v>545.65</v>
      </c>
      <c r="H47" s="68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4" t="s">
        <v>37</v>
      </c>
      <c r="C48" s="65" t="s">
        <v>92</v>
      </c>
      <c r="D48" s="64" t="s">
        <v>42</v>
      </c>
      <c r="E48" s="66">
        <v>683.33</v>
      </c>
      <c r="F48" s="67">
        <f>SUM(E48*2/1000)</f>
        <v>1.36666</v>
      </c>
      <c r="G48" s="13">
        <v>571.35</v>
      </c>
      <c r="H48" s="68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4" t="s">
        <v>33</v>
      </c>
      <c r="C49" s="65" t="s">
        <v>34</v>
      </c>
      <c r="D49" s="64" t="s">
        <v>42</v>
      </c>
      <c r="E49" s="66">
        <v>44.11</v>
      </c>
      <c r="F49" s="67">
        <f>SUM(E49*2/100)</f>
        <v>0.88219999999999998</v>
      </c>
      <c r="G49" s="13">
        <v>68.56</v>
      </c>
      <c r="H49" s="68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customHeight="1">
      <c r="A50" s="33">
        <v>14</v>
      </c>
      <c r="B50" s="64" t="s">
        <v>57</v>
      </c>
      <c r="C50" s="65" t="s">
        <v>92</v>
      </c>
      <c r="D50" s="64" t="s">
        <v>133</v>
      </c>
      <c r="E50" s="66">
        <v>1140</v>
      </c>
      <c r="F50" s="67">
        <f>SUM(E50*5/1000)</f>
        <v>5.7</v>
      </c>
      <c r="G50" s="13">
        <v>1142.7</v>
      </c>
      <c r="H50" s="68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4" t="s">
        <v>94</v>
      </c>
      <c r="C51" s="65" t="s">
        <v>92</v>
      </c>
      <c r="D51" s="64" t="s">
        <v>42</v>
      </c>
      <c r="E51" s="66">
        <v>1140</v>
      </c>
      <c r="F51" s="67">
        <f>SUM(E51*2/1000)</f>
        <v>2.2799999999999998</v>
      </c>
      <c r="G51" s="13">
        <v>1142.7</v>
      </c>
      <c r="H51" s="68">
        <f t="shared" si="5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4" t="s">
        <v>95</v>
      </c>
      <c r="C52" s="65" t="s">
        <v>38</v>
      </c>
      <c r="D52" s="64" t="s">
        <v>42</v>
      </c>
      <c r="E52" s="66">
        <v>9</v>
      </c>
      <c r="F52" s="67">
        <f>SUM(E52*2/100)</f>
        <v>0.18</v>
      </c>
      <c r="G52" s="13">
        <v>2571.08</v>
      </c>
      <c r="H52" s="68">
        <f t="shared" si="5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4" t="s">
        <v>39</v>
      </c>
      <c r="C53" s="65" t="s">
        <v>40</v>
      </c>
      <c r="D53" s="64" t="s">
        <v>42</v>
      </c>
      <c r="E53" s="66">
        <v>1</v>
      </c>
      <c r="F53" s="67">
        <v>0.02</v>
      </c>
      <c r="G53" s="13">
        <v>5322.15</v>
      </c>
      <c r="H53" s="68">
        <f t="shared" si="5"/>
        <v>0.106443</v>
      </c>
      <c r="I53" s="13">
        <v>0</v>
      </c>
      <c r="J53" s="27"/>
      <c r="L53" s="20"/>
      <c r="M53" s="21"/>
      <c r="N53" s="22"/>
    </row>
    <row r="54" spans="1:22" ht="15.75" customHeight="1">
      <c r="A54" s="33">
        <v>15</v>
      </c>
      <c r="B54" s="64" t="s">
        <v>41</v>
      </c>
      <c r="C54" s="65" t="s">
        <v>118</v>
      </c>
      <c r="D54" s="64" t="s">
        <v>72</v>
      </c>
      <c r="E54" s="66">
        <v>36</v>
      </c>
      <c r="F54" s="67">
        <f>SUM(E54)*3</f>
        <v>108</v>
      </c>
      <c r="G54" s="13">
        <v>61.84</v>
      </c>
      <c r="H54" s="68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customHeight="1">
      <c r="A55" s="123" t="s">
        <v>134</v>
      </c>
      <c r="B55" s="124"/>
      <c r="C55" s="124"/>
      <c r="D55" s="124"/>
      <c r="E55" s="124"/>
      <c r="F55" s="124"/>
      <c r="G55" s="124"/>
      <c r="H55" s="124"/>
      <c r="I55" s="125"/>
      <c r="J55" s="27"/>
      <c r="L55" s="20"/>
      <c r="M55" s="21"/>
      <c r="N55" s="22"/>
    </row>
    <row r="56" spans="1:22" ht="15.75" hidden="1" customHeight="1">
      <c r="A56" s="33"/>
      <c r="B56" s="85" t="s">
        <v>43</v>
      </c>
      <c r="C56" s="65"/>
      <c r="D56" s="64"/>
      <c r="E56" s="66"/>
      <c r="F56" s="67"/>
      <c r="G56" s="67"/>
      <c r="H56" s="68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4" t="s">
        <v>119</v>
      </c>
      <c r="C57" s="65" t="s">
        <v>89</v>
      </c>
      <c r="D57" s="64" t="s">
        <v>120</v>
      </c>
      <c r="E57" s="66">
        <v>72.33</v>
      </c>
      <c r="F57" s="67">
        <f>SUM(E57*6/100)</f>
        <v>4.3398000000000003</v>
      </c>
      <c r="G57" s="13">
        <v>1456.95</v>
      </c>
      <c r="H57" s="68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5" t="s">
        <v>44</v>
      </c>
      <c r="C58" s="65"/>
      <c r="D58" s="64"/>
      <c r="E58" s="66"/>
      <c r="F58" s="67"/>
      <c r="G58" s="60"/>
      <c r="H58" s="68"/>
      <c r="I58" s="13"/>
      <c r="J58" s="27"/>
      <c r="L58" s="20"/>
      <c r="M58" s="21"/>
      <c r="N58" s="22"/>
    </row>
    <row r="59" spans="1:22" ht="15.75" hidden="1" customHeight="1">
      <c r="A59" s="33"/>
      <c r="B59" s="64" t="s">
        <v>121</v>
      </c>
      <c r="C59" s="65"/>
      <c r="D59" s="64" t="s">
        <v>54</v>
      </c>
      <c r="E59" s="66">
        <v>952</v>
      </c>
      <c r="F59" s="68">
        <v>9.52</v>
      </c>
      <c r="G59" s="13">
        <v>848.37</v>
      </c>
      <c r="H59" s="73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6" t="s">
        <v>45</v>
      </c>
      <c r="C60" s="74"/>
      <c r="D60" s="75"/>
      <c r="E60" s="76"/>
      <c r="F60" s="77"/>
      <c r="G60" s="77"/>
      <c r="H60" s="78" t="s">
        <v>139</v>
      </c>
      <c r="I60" s="13"/>
    </row>
    <row r="61" spans="1:22" ht="15.75" hidden="1" customHeight="1">
      <c r="A61" s="33">
        <v>17</v>
      </c>
      <c r="B61" s="14" t="s">
        <v>46</v>
      </c>
      <c r="C61" s="16" t="s">
        <v>118</v>
      </c>
      <c r="D61" s="14" t="s">
        <v>68</v>
      </c>
      <c r="E61" s="18">
        <v>5</v>
      </c>
      <c r="F61" s="67">
        <v>5</v>
      </c>
      <c r="G61" s="13">
        <v>237.74</v>
      </c>
      <c r="H61" s="79">
        <f t="shared" ref="H61:H75" si="6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47</v>
      </c>
      <c r="C62" s="16" t="s">
        <v>118</v>
      </c>
      <c r="D62" s="14" t="s">
        <v>68</v>
      </c>
      <c r="E62" s="18">
        <v>2</v>
      </c>
      <c r="F62" s="67">
        <v>2</v>
      </c>
      <c r="G62" s="13">
        <v>81.510000000000005</v>
      </c>
      <c r="H62" s="79">
        <f t="shared" si="6"/>
        <v>0.16302</v>
      </c>
      <c r="I62" s="13">
        <v>0</v>
      </c>
    </row>
    <row r="63" spans="1:22" ht="15.75" hidden="1" customHeight="1">
      <c r="A63" s="33"/>
      <c r="B63" s="14" t="s">
        <v>48</v>
      </c>
      <c r="C63" s="16" t="s">
        <v>122</v>
      </c>
      <c r="D63" s="14" t="s">
        <v>54</v>
      </c>
      <c r="E63" s="66">
        <v>4292</v>
      </c>
      <c r="F63" s="13">
        <f>SUM(E63/100)</f>
        <v>42.92</v>
      </c>
      <c r="G63" s="13">
        <v>226.79</v>
      </c>
      <c r="H63" s="79">
        <f t="shared" si="6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49</v>
      </c>
      <c r="C64" s="16" t="s">
        <v>123</v>
      </c>
      <c r="D64" s="14"/>
      <c r="E64" s="66">
        <v>4292</v>
      </c>
      <c r="F64" s="13">
        <f>SUM(E64/1000)</f>
        <v>4.2919999999999998</v>
      </c>
      <c r="G64" s="13">
        <v>176.61</v>
      </c>
      <c r="H64" s="79">
        <f t="shared" si="6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50</v>
      </c>
      <c r="C65" s="16" t="s">
        <v>78</v>
      </c>
      <c r="D65" s="14" t="s">
        <v>54</v>
      </c>
      <c r="E65" s="66">
        <v>510</v>
      </c>
      <c r="F65" s="13">
        <f>SUM(E65/100)</f>
        <v>5.0999999999999996</v>
      </c>
      <c r="G65" s="13">
        <v>2217.7800000000002</v>
      </c>
      <c r="H65" s="79">
        <f t="shared" si="6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0" t="s">
        <v>124</v>
      </c>
      <c r="C66" s="16" t="s">
        <v>32</v>
      </c>
      <c r="D66" s="14"/>
      <c r="E66" s="66">
        <v>4.5999999999999996</v>
      </c>
      <c r="F66" s="13">
        <f>SUM(E66)</f>
        <v>4.5999999999999996</v>
      </c>
      <c r="G66" s="13">
        <v>42.67</v>
      </c>
      <c r="H66" s="79">
        <f t="shared" si="6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8"/>
      <c r="S66" s="118"/>
      <c r="T66" s="118"/>
      <c r="U66" s="118"/>
    </row>
    <row r="67" spans="1:21" ht="15.75" hidden="1" customHeight="1">
      <c r="A67" s="33"/>
      <c r="B67" s="80" t="s">
        <v>125</v>
      </c>
      <c r="C67" s="16" t="s">
        <v>32</v>
      </c>
      <c r="D67" s="14"/>
      <c r="E67" s="66">
        <v>4.5999999999999996</v>
      </c>
      <c r="F67" s="13">
        <f>SUM(E67)</f>
        <v>4.5999999999999996</v>
      </c>
      <c r="G67" s="13">
        <v>39.81</v>
      </c>
      <c r="H67" s="79">
        <f t="shared" si="6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58</v>
      </c>
      <c r="C68" s="16" t="s">
        <v>59</v>
      </c>
      <c r="D68" s="14" t="s">
        <v>54</v>
      </c>
      <c r="E68" s="18">
        <v>3</v>
      </c>
      <c r="F68" s="67">
        <v>3</v>
      </c>
      <c r="G68" s="13">
        <v>53.32</v>
      </c>
      <c r="H68" s="79">
        <f t="shared" si="6"/>
        <v>0.15996000000000002</v>
      </c>
      <c r="I68" s="13">
        <v>0</v>
      </c>
    </row>
    <row r="69" spans="1:21" ht="15.75" hidden="1" customHeight="1">
      <c r="A69" s="33"/>
      <c r="B69" s="51" t="s">
        <v>73</v>
      </c>
      <c r="C69" s="16"/>
      <c r="D69" s="14"/>
      <c r="E69" s="18"/>
      <c r="F69" s="13"/>
      <c r="G69" s="13"/>
      <c r="H69" s="79" t="s">
        <v>139</v>
      </c>
      <c r="I69" s="13"/>
    </row>
    <row r="70" spans="1:21" ht="15.75" hidden="1" customHeight="1">
      <c r="A70" s="33"/>
      <c r="B70" s="14" t="s">
        <v>74</v>
      </c>
      <c r="C70" s="16" t="s">
        <v>76</v>
      </c>
      <c r="D70" s="14"/>
      <c r="E70" s="18">
        <v>2</v>
      </c>
      <c r="F70" s="13">
        <v>0.2</v>
      </c>
      <c r="G70" s="13">
        <v>536.23</v>
      </c>
      <c r="H70" s="79">
        <f t="shared" si="6"/>
        <v>0.10724600000000001</v>
      </c>
      <c r="I70" s="13">
        <v>0</v>
      </c>
    </row>
    <row r="71" spans="1:21" ht="15.75" hidden="1" customHeight="1">
      <c r="A71" s="33"/>
      <c r="B71" s="14" t="s">
        <v>75</v>
      </c>
      <c r="C71" s="16" t="s">
        <v>30</v>
      </c>
      <c r="D71" s="14"/>
      <c r="E71" s="18">
        <v>1</v>
      </c>
      <c r="F71" s="60">
        <v>1</v>
      </c>
      <c r="G71" s="13">
        <v>911.85</v>
      </c>
      <c r="H71" s="79">
        <f t="shared" si="6"/>
        <v>0.91185000000000005</v>
      </c>
      <c r="I71" s="13">
        <v>0</v>
      </c>
    </row>
    <row r="72" spans="1:21" ht="15.75" hidden="1" customHeight="1">
      <c r="A72" s="33"/>
      <c r="B72" s="14" t="s">
        <v>140</v>
      </c>
      <c r="C72" s="16" t="s">
        <v>141</v>
      </c>
      <c r="D72" s="14"/>
      <c r="E72" s="18"/>
      <c r="F72" s="13"/>
      <c r="G72" s="13">
        <v>31.54</v>
      </c>
      <c r="H72" s="79">
        <f t="shared" si="6"/>
        <v>0</v>
      </c>
      <c r="I72" s="13"/>
    </row>
    <row r="73" spans="1:21" ht="15.75" hidden="1" customHeight="1">
      <c r="A73" s="33"/>
      <c r="B73" s="14" t="s">
        <v>127</v>
      </c>
      <c r="C73" s="16" t="s">
        <v>30</v>
      </c>
      <c r="D73" s="14"/>
      <c r="E73" s="18">
        <v>1</v>
      </c>
      <c r="F73" s="13">
        <v>1</v>
      </c>
      <c r="G73" s="13">
        <v>383.25</v>
      </c>
      <c r="H73" s="79">
        <f>G73*F73/1000</f>
        <v>0.38324999999999998</v>
      </c>
      <c r="I73" s="13">
        <v>0</v>
      </c>
    </row>
    <row r="74" spans="1:21" ht="15.75" hidden="1" customHeight="1">
      <c r="A74" s="33"/>
      <c r="B74" s="82" t="s">
        <v>77</v>
      </c>
      <c r="C74" s="16"/>
      <c r="D74" s="14"/>
      <c r="E74" s="18"/>
      <c r="F74" s="13"/>
      <c r="G74" s="13" t="s">
        <v>139</v>
      </c>
      <c r="H74" s="79" t="s">
        <v>139</v>
      </c>
      <c r="I74" s="13"/>
    </row>
    <row r="75" spans="1:21" ht="15.75" hidden="1" customHeight="1">
      <c r="A75" s="33"/>
      <c r="B75" s="45" t="s">
        <v>151</v>
      </c>
      <c r="C75" s="16" t="s">
        <v>78</v>
      </c>
      <c r="D75" s="14"/>
      <c r="E75" s="18"/>
      <c r="F75" s="13">
        <v>0.1</v>
      </c>
      <c r="G75" s="13">
        <v>2949.85</v>
      </c>
      <c r="H75" s="79">
        <f t="shared" si="6"/>
        <v>0.294985</v>
      </c>
      <c r="I75" s="13">
        <v>0</v>
      </c>
    </row>
    <row r="76" spans="1:21" ht="15.75" hidden="1" customHeight="1">
      <c r="A76" s="33"/>
      <c r="B76" s="89" t="s">
        <v>96</v>
      </c>
      <c r="C76" s="89"/>
      <c r="D76" s="89"/>
      <c r="E76" s="89"/>
      <c r="F76" s="89"/>
      <c r="G76" s="70"/>
      <c r="H76" s="83">
        <f>SUM(H57:H75)</f>
        <v>39.790287929999998</v>
      </c>
      <c r="I76" s="70"/>
    </row>
    <row r="77" spans="1:21" ht="15.75" hidden="1" customHeight="1">
      <c r="A77" s="33"/>
      <c r="B77" s="87" t="s">
        <v>126</v>
      </c>
      <c r="C77" s="24"/>
      <c r="D77" s="23"/>
      <c r="E77" s="84"/>
      <c r="F77" s="88">
        <v>1</v>
      </c>
      <c r="G77" s="13">
        <v>3124.9</v>
      </c>
      <c r="H77" s="79">
        <f>G77*F77/1000</f>
        <v>3.1249000000000002</v>
      </c>
      <c r="I77" s="13">
        <v>0</v>
      </c>
    </row>
    <row r="78" spans="1:21" ht="15.75" customHeight="1">
      <c r="A78" s="123" t="s">
        <v>135</v>
      </c>
      <c r="B78" s="124"/>
      <c r="C78" s="124"/>
      <c r="D78" s="124"/>
      <c r="E78" s="124"/>
      <c r="F78" s="124"/>
      <c r="G78" s="124"/>
      <c r="H78" s="124"/>
      <c r="I78" s="125"/>
    </row>
    <row r="79" spans="1:21" ht="15.75" customHeight="1">
      <c r="A79" s="33">
        <v>16</v>
      </c>
      <c r="B79" s="64" t="s">
        <v>128</v>
      </c>
      <c r="C79" s="16" t="s">
        <v>55</v>
      </c>
      <c r="D79" s="50" t="s">
        <v>56</v>
      </c>
      <c r="E79" s="13">
        <v>1042.5999999999999</v>
      </c>
      <c r="F79" s="13">
        <f>SUM(E79*12)</f>
        <v>12511.199999999999</v>
      </c>
      <c r="G79" s="13">
        <v>2.2400000000000002</v>
      </c>
      <c r="H79" s="79">
        <f>SUM(F79*G79/1000)</f>
        <v>28.025088</v>
      </c>
      <c r="I79" s="13">
        <f>F79/12*G79</f>
        <v>2335.424</v>
      </c>
    </row>
    <row r="80" spans="1:21" ht="31.5" customHeight="1">
      <c r="A80" s="33">
        <v>17</v>
      </c>
      <c r="B80" s="14" t="s">
        <v>79</v>
      </c>
      <c r="C80" s="16"/>
      <c r="D80" s="50" t="s">
        <v>56</v>
      </c>
      <c r="E80" s="66">
        <f>E79</f>
        <v>1042.5999999999999</v>
      </c>
      <c r="F80" s="13">
        <f>E80*12</f>
        <v>12511.199999999999</v>
      </c>
      <c r="G80" s="13">
        <v>1.74</v>
      </c>
      <c r="H80" s="79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82</v>
      </c>
      <c r="C81" s="82"/>
      <c r="D81" s="81"/>
      <c r="E81" s="70"/>
      <c r="F81" s="70"/>
      <c r="G81" s="70"/>
      <c r="H81" s="83">
        <f>H80</f>
        <v>21.769487999999999</v>
      </c>
      <c r="I81" s="70">
        <f>I80+I79+I54+I50+I43+I42+I41+I40+I39+I38+I28+I27+I21+I20+I18+I17+I16</f>
        <v>21288.342909850002</v>
      </c>
    </row>
    <row r="82" spans="1:9" ht="15.75" customHeight="1">
      <c r="A82" s="132" t="s">
        <v>61</v>
      </c>
      <c r="B82" s="133"/>
      <c r="C82" s="133"/>
      <c r="D82" s="133"/>
      <c r="E82" s="133"/>
      <c r="F82" s="133"/>
      <c r="G82" s="133"/>
      <c r="H82" s="133"/>
      <c r="I82" s="134"/>
    </row>
    <row r="83" spans="1:9" ht="15.75" customHeight="1">
      <c r="A83" s="33">
        <v>18</v>
      </c>
      <c r="B83" s="75" t="s">
        <v>179</v>
      </c>
      <c r="C83" s="74" t="s">
        <v>180</v>
      </c>
      <c r="D83" s="75"/>
      <c r="E83" s="76"/>
      <c r="F83" s="77">
        <v>200</v>
      </c>
      <c r="G83" s="60">
        <v>1.2</v>
      </c>
      <c r="H83" s="78">
        <f>F83*G83/1000</f>
        <v>0.24</v>
      </c>
      <c r="I83" s="101">
        <f>G83*100</f>
        <v>120</v>
      </c>
    </row>
    <row r="84" spans="1:9">
      <c r="A84" s="33"/>
      <c r="B84" s="43" t="s">
        <v>51</v>
      </c>
      <c r="C84" s="39"/>
      <c r="D84" s="46"/>
      <c r="E84" s="39">
        <v>1</v>
      </c>
      <c r="F84" s="39"/>
      <c r="G84" s="39"/>
      <c r="H84" s="39"/>
      <c r="I84" s="35">
        <f>SUM(I83:I83)</f>
        <v>120</v>
      </c>
    </row>
    <row r="85" spans="1:9" ht="16.5" customHeight="1">
      <c r="A85" s="33"/>
      <c r="B85" s="45" t="s">
        <v>80</v>
      </c>
      <c r="C85" s="15"/>
      <c r="D85" s="15"/>
      <c r="E85" s="40"/>
      <c r="F85" s="40"/>
      <c r="G85" s="41"/>
      <c r="H85" s="41"/>
      <c r="I85" s="17">
        <v>0</v>
      </c>
    </row>
    <row r="86" spans="1:9" ht="16.5" customHeight="1">
      <c r="A86" s="47"/>
      <c r="B86" s="44" t="s">
        <v>169</v>
      </c>
      <c r="C86" s="36"/>
      <c r="D86" s="36"/>
      <c r="E86" s="36"/>
      <c r="F86" s="36"/>
      <c r="G86" s="36"/>
      <c r="H86" s="36"/>
      <c r="I86" s="42">
        <f>I81+I84</f>
        <v>21408.342909850002</v>
      </c>
    </row>
    <row r="87" spans="1:9" ht="15.75" customHeight="1">
      <c r="A87" s="119" t="s">
        <v>214</v>
      </c>
      <c r="B87" s="119"/>
      <c r="C87" s="119"/>
      <c r="D87" s="119"/>
      <c r="E87" s="119"/>
      <c r="F87" s="119"/>
      <c r="G87" s="119"/>
      <c r="H87" s="119"/>
      <c r="I87" s="119"/>
    </row>
    <row r="88" spans="1:9" ht="15.75" customHeight="1">
      <c r="A88" s="57"/>
      <c r="B88" s="120" t="s">
        <v>215</v>
      </c>
      <c r="C88" s="120"/>
      <c r="D88" s="120"/>
      <c r="E88" s="120"/>
      <c r="F88" s="120"/>
      <c r="G88" s="120"/>
      <c r="H88" s="63"/>
      <c r="I88" s="3"/>
    </row>
    <row r="89" spans="1:9">
      <c r="A89" s="56"/>
      <c r="B89" s="121" t="s">
        <v>6</v>
      </c>
      <c r="C89" s="121"/>
      <c r="D89" s="121"/>
      <c r="E89" s="121"/>
      <c r="F89" s="121"/>
      <c r="G89" s="121"/>
      <c r="H89" s="28"/>
      <c r="I89" s="5"/>
    </row>
    <row r="90" spans="1:9" ht="15.75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75">
      <c r="A91" s="122" t="s">
        <v>7</v>
      </c>
      <c r="B91" s="122"/>
      <c r="C91" s="122"/>
      <c r="D91" s="122"/>
      <c r="E91" s="122"/>
      <c r="F91" s="122"/>
      <c r="G91" s="122"/>
      <c r="H91" s="122"/>
      <c r="I91" s="122"/>
    </row>
    <row r="92" spans="1:9" ht="15.75">
      <c r="A92" s="122" t="s">
        <v>8</v>
      </c>
      <c r="B92" s="122"/>
      <c r="C92" s="122"/>
      <c r="D92" s="122"/>
      <c r="E92" s="122"/>
      <c r="F92" s="122"/>
      <c r="G92" s="122"/>
      <c r="H92" s="122"/>
      <c r="I92" s="122"/>
    </row>
    <row r="93" spans="1:9" ht="15.75">
      <c r="A93" s="127" t="s">
        <v>62</v>
      </c>
      <c r="B93" s="127"/>
      <c r="C93" s="127"/>
      <c r="D93" s="127"/>
      <c r="E93" s="127"/>
      <c r="F93" s="127"/>
      <c r="G93" s="127"/>
      <c r="H93" s="127"/>
      <c r="I93" s="127"/>
    </row>
    <row r="94" spans="1:9" ht="15.75">
      <c r="A94" s="11"/>
    </row>
    <row r="95" spans="1:9" ht="15.75">
      <c r="A95" s="128" t="s">
        <v>9</v>
      </c>
      <c r="B95" s="128"/>
      <c r="C95" s="128"/>
      <c r="D95" s="128"/>
      <c r="E95" s="128"/>
      <c r="F95" s="128"/>
      <c r="G95" s="128"/>
      <c r="H95" s="128"/>
      <c r="I95" s="128"/>
    </row>
    <row r="96" spans="1:9" ht="15.75">
      <c r="A96" s="4"/>
    </row>
    <row r="97" spans="1:9" ht="15.75">
      <c r="B97" s="53" t="s">
        <v>10</v>
      </c>
      <c r="C97" s="129" t="s">
        <v>131</v>
      </c>
      <c r="D97" s="129"/>
      <c r="E97" s="129"/>
      <c r="F97" s="61"/>
      <c r="I97" s="55"/>
    </row>
    <row r="98" spans="1:9">
      <c r="A98" s="56"/>
      <c r="C98" s="121" t="s">
        <v>11</v>
      </c>
      <c r="D98" s="121"/>
      <c r="E98" s="121"/>
      <c r="F98" s="28"/>
      <c r="I98" s="54" t="s">
        <v>12</v>
      </c>
    </row>
    <row r="99" spans="1:9" ht="15.75">
      <c r="A99" s="29"/>
      <c r="C99" s="12"/>
      <c r="D99" s="12"/>
      <c r="G99" s="12"/>
      <c r="H99" s="12"/>
    </row>
    <row r="100" spans="1:9" ht="15.75">
      <c r="B100" s="53" t="s">
        <v>13</v>
      </c>
      <c r="C100" s="130"/>
      <c r="D100" s="130"/>
      <c r="E100" s="130"/>
      <c r="F100" s="62"/>
      <c r="I100" s="55"/>
    </row>
    <row r="101" spans="1:9">
      <c r="A101" s="56"/>
      <c r="C101" s="118" t="s">
        <v>11</v>
      </c>
      <c r="D101" s="118"/>
      <c r="E101" s="118"/>
      <c r="F101" s="56"/>
      <c r="I101" s="54" t="s">
        <v>12</v>
      </c>
    </row>
    <row r="102" spans="1:9" ht="15.75">
      <c r="A102" s="4" t="s">
        <v>14</v>
      </c>
    </row>
    <row r="103" spans="1:9">
      <c r="A103" s="131" t="s">
        <v>15</v>
      </c>
      <c r="B103" s="131"/>
      <c r="C103" s="131"/>
      <c r="D103" s="131"/>
      <c r="E103" s="131"/>
      <c r="F103" s="131"/>
      <c r="G103" s="131"/>
      <c r="H103" s="131"/>
      <c r="I103" s="131"/>
    </row>
    <row r="104" spans="1:9" ht="45" customHeight="1">
      <c r="A104" s="126" t="s">
        <v>16</v>
      </c>
      <c r="B104" s="126"/>
      <c r="C104" s="126"/>
      <c r="D104" s="126"/>
      <c r="E104" s="126"/>
      <c r="F104" s="126"/>
      <c r="G104" s="126"/>
      <c r="H104" s="126"/>
      <c r="I104" s="126"/>
    </row>
    <row r="105" spans="1:9" ht="30" customHeight="1">
      <c r="A105" s="126" t="s">
        <v>17</v>
      </c>
      <c r="B105" s="126"/>
      <c r="C105" s="126"/>
      <c r="D105" s="126"/>
      <c r="E105" s="126"/>
      <c r="F105" s="126"/>
      <c r="G105" s="126"/>
      <c r="H105" s="126"/>
      <c r="I105" s="126"/>
    </row>
    <row r="106" spans="1:9" ht="30" customHeight="1">
      <c r="A106" s="126" t="s">
        <v>21</v>
      </c>
      <c r="B106" s="126"/>
      <c r="C106" s="126"/>
      <c r="D106" s="126"/>
      <c r="E106" s="126"/>
      <c r="F106" s="126"/>
      <c r="G106" s="126"/>
      <c r="H106" s="126"/>
      <c r="I106" s="126"/>
    </row>
    <row r="107" spans="1:9" ht="14.25" customHeight="1">
      <c r="A107" s="126" t="s">
        <v>20</v>
      </c>
      <c r="B107" s="126"/>
      <c r="C107" s="126"/>
      <c r="D107" s="126"/>
      <c r="E107" s="126"/>
      <c r="F107" s="126"/>
      <c r="G107" s="126"/>
      <c r="H107" s="126"/>
      <c r="I107" s="126"/>
    </row>
  </sheetData>
  <autoFilter ref="I12:I61"/>
  <mergeCells count="29">
    <mergeCell ref="A29:I29"/>
    <mergeCell ref="A44:I44"/>
    <mergeCell ref="A55:I55"/>
    <mergeCell ref="C101:E101"/>
    <mergeCell ref="A103:I103"/>
    <mergeCell ref="A82:I82"/>
    <mergeCell ref="A104:I104"/>
    <mergeCell ref="A105:I105"/>
    <mergeCell ref="A106:I106"/>
    <mergeCell ref="A107:I107"/>
    <mergeCell ref="A92:I92"/>
    <mergeCell ref="A93:I93"/>
    <mergeCell ref="A95:I95"/>
    <mergeCell ref="C97:E97"/>
    <mergeCell ref="C98:E98"/>
    <mergeCell ref="C100:E100"/>
    <mergeCell ref="R66:U66"/>
    <mergeCell ref="A87:I87"/>
    <mergeCell ref="B88:G88"/>
    <mergeCell ref="B89:G89"/>
    <mergeCell ref="A91:I91"/>
    <mergeCell ref="A78:I78"/>
    <mergeCell ref="A15:I15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3"/>
  <sheetViews>
    <sheetView topLeftCell="A30" workbookViewId="0">
      <selection activeCell="B83" sqref="B83:I8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28515625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206</v>
      </c>
      <c r="I1" s="30"/>
      <c r="J1" s="1"/>
      <c r="K1" s="1"/>
      <c r="L1" s="1"/>
      <c r="M1" s="1"/>
    </row>
    <row r="2" spans="1:13" ht="15.75">
      <c r="A2" s="32" t="s">
        <v>63</v>
      </c>
      <c r="J2" s="2"/>
      <c r="K2" s="2"/>
      <c r="L2" s="2"/>
      <c r="M2" s="2"/>
    </row>
    <row r="3" spans="1:13" ht="15.75" customHeight="1">
      <c r="A3" s="112" t="s">
        <v>163</v>
      </c>
      <c r="B3" s="112"/>
      <c r="C3" s="112"/>
      <c r="D3" s="112"/>
      <c r="E3" s="112"/>
      <c r="F3" s="112"/>
      <c r="G3" s="112"/>
      <c r="H3" s="112"/>
      <c r="I3" s="112"/>
      <c r="J3" s="3"/>
      <c r="K3" s="3"/>
      <c r="L3" s="3"/>
    </row>
    <row r="4" spans="1:13" ht="31.5" customHeight="1">
      <c r="A4" s="113" t="s">
        <v>130</v>
      </c>
      <c r="B4" s="113"/>
      <c r="C4" s="113"/>
      <c r="D4" s="113"/>
      <c r="E4" s="113"/>
      <c r="F4" s="113"/>
      <c r="G4" s="113"/>
      <c r="H4" s="113"/>
      <c r="I4" s="113"/>
    </row>
    <row r="5" spans="1:13" ht="15.75">
      <c r="A5" s="112" t="s">
        <v>230</v>
      </c>
      <c r="B5" s="114"/>
      <c r="C5" s="114"/>
      <c r="D5" s="114"/>
      <c r="E5" s="114"/>
      <c r="F5" s="114"/>
      <c r="G5" s="114"/>
      <c r="H5" s="114"/>
      <c r="I5" s="114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43404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5" t="s">
        <v>208</v>
      </c>
      <c r="B8" s="115"/>
      <c r="C8" s="115"/>
      <c r="D8" s="115"/>
      <c r="E8" s="115"/>
      <c r="F8" s="115"/>
      <c r="G8" s="115"/>
      <c r="H8" s="115"/>
      <c r="I8" s="115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16" t="s">
        <v>165</v>
      </c>
      <c r="B10" s="116"/>
      <c r="C10" s="116"/>
      <c r="D10" s="116"/>
      <c r="E10" s="116"/>
      <c r="F10" s="116"/>
      <c r="G10" s="116"/>
      <c r="H10" s="116"/>
      <c r="I10" s="116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7" t="s">
        <v>60</v>
      </c>
      <c r="B14" s="117"/>
      <c r="C14" s="117"/>
      <c r="D14" s="117"/>
      <c r="E14" s="117"/>
      <c r="F14" s="117"/>
      <c r="G14" s="117"/>
      <c r="H14" s="117"/>
      <c r="I14" s="117"/>
      <c r="J14" s="8"/>
      <c r="K14" s="8"/>
      <c r="L14" s="8"/>
      <c r="M14" s="8"/>
    </row>
    <row r="15" spans="1:13">
      <c r="A15" s="111" t="s">
        <v>4</v>
      </c>
      <c r="B15" s="111"/>
      <c r="C15" s="111"/>
      <c r="D15" s="111"/>
      <c r="E15" s="111"/>
      <c r="F15" s="111"/>
      <c r="G15" s="111"/>
      <c r="H15" s="111"/>
      <c r="I15" s="111"/>
      <c r="J15" s="8"/>
      <c r="K15" s="8"/>
      <c r="L15" s="8"/>
      <c r="M15" s="8"/>
    </row>
    <row r="16" spans="1:13" ht="15.75" customHeight="1">
      <c r="A16" s="33">
        <v>1</v>
      </c>
      <c r="B16" s="64" t="s">
        <v>88</v>
      </c>
      <c r="C16" s="65" t="s">
        <v>89</v>
      </c>
      <c r="D16" s="64" t="s">
        <v>166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137</v>
      </c>
      <c r="C17" s="65" t="s">
        <v>89</v>
      </c>
      <c r="D17" s="64" t="s">
        <v>167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138</v>
      </c>
      <c r="C18" s="65" t="s">
        <v>89</v>
      </c>
      <c r="D18" s="64" t="s">
        <v>168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98</v>
      </c>
      <c r="C19" s="65" t="s">
        <v>99</v>
      </c>
      <c r="D19" s="64" t="s">
        <v>100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101</v>
      </c>
      <c r="C20" s="65" t="s">
        <v>89</v>
      </c>
      <c r="D20" s="64" t="s">
        <v>29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4" t="s">
        <v>102</v>
      </c>
      <c r="C21" s="65" t="s">
        <v>89</v>
      </c>
      <c r="D21" s="64" t="s">
        <v>103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104</v>
      </c>
      <c r="C22" s="65" t="s">
        <v>53</v>
      </c>
      <c r="D22" s="64" t="s">
        <v>100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105</v>
      </c>
      <c r="C23" s="65" t="s">
        <v>53</v>
      </c>
      <c r="D23" s="64" t="s">
        <v>100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106</v>
      </c>
      <c r="C24" s="65" t="s">
        <v>53</v>
      </c>
      <c r="D24" s="64" t="s">
        <v>107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108</v>
      </c>
      <c r="C25" s="65" t="s">
        <v>53</v>
      </c>
      <c r="D25" s="64" t="s">
        <v>54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109</v>
      </c>
      <c r="C26" s="65" t="s">
        <v>53</v>
      </c>
      <c r="D26" s="64" t="s">
        <v>100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4" t="s">
        <v>65</v>
      </c>
      <c r="C27" s="65" t="s">
        <v>32</v>
      </c>
      <c r="D27" s="64"/>
      <c r="E27" s="66">
        <v>0.1</v>
      </c>
      <c r="F27" s="67">
        <f>SUM(E27*365)</f>
        <v>36.5</v>
      </c>
      <c r="G27" s="67">
        <v>138.44999999999999</v>
      </c>
      <c r="H27" s="68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6</v>
      </c>
      <c r="B28" s="72" t="s">
        <v>23</v>
      </c>
      <c r="C28" s="65" t="s">
        <v>24</v>
      </c>
      <c r="D28" s="64"/>
      <c r="E28" s="66">
        <v>1042.5999999999999</v>
      </c>
      <c r="F28" s="67">
        <f>SUM(E28*12)</f>
        <v>12511.199999999999</v>
      </c>
      <c r="G28" s="67">
        <v>6.15</v>
      </c>
      <c r="H28" s="68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23" t="s">
        <v>86</v>
      </c>
      <c r="B29" s="124"/>
      <c r="C29" s="124"/>
      <c r="D29" s="124"/>
      <c r="E29" s="124"/>
      <c r="F29" s="124"/>
      <c r="G29" s="124"/>
      <c r="H29" s="124"/>
      <c r="I29" s="125"/>
      <c r="J29" s="26"/>
      <c r="K29" s="8"/>
      <c r="L29" s="8"/>
      <c r="M29" s="8"/>
    </row>
    <row r="30" spans="1:13" ht="15.75" customHeight="1">
      <c r="A30" s="33"/>
      <c r="B30" s="85" t="s">
        <v>27</v>
      </c>
      <c r="C30" s="65"/>
      <c r="D30" s="64"/>
      <c r="E30" s="66"/>
      <c r="F30" s="67"/>
      <c r="G30" s="67"/>
      <c r="H30" s="68"/>
      <c r="I30" s="13"/>
      <c r="J30" s="26"/>
      <c r="K30" s="8"/>
      <c r="L30" s="8"/>
      <c r="M30" s="8"/>
    </row>
    <row r="31" spans="1:13" ht="15.75" customHeight="1">
      <c r="A31" s="33">
        <v>7</v>
      </c>
      <c r="B31" s="64" t="s">
        <v>114</v>
      </c>
      <c r="C31" s="65" t="s">
        <v>92</v>
      </c>
      <c r="D31" s="64" t="s">
        <v>170</v>
      </c>
      <c r="E31" s="67">
        <v>266.57</v>
      </c>
      <c r="F31" s="67">
        <f>SUM(E31*52/1000)</f>
        <v>13.86164</v>
      </c>
      <c r="G31" s="67">
        <v>146.79</v>
      </c>
      <c r="H31" s="68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customHeight="1">
      <c r="A32" s="33">
        <v>8</v>
      </c>
      <c r="B32" s="64" t="s">
        <v>113</v>
      </c>
      <c r="C32" s="65" t="s">
        <v>92</v>
      </c>
      <c r="D32" s="64" t="s">
        <v>171</v>
      </c>
      <c r="E32" s="67">
        <v>48.03</v>
      </c>
      <c r="F32" s="67">
        <f>SUM(E32*78/1000)</f>
        <v>3.74634</v>
      </c>
      <c r="G32" s="67">
        <v>243.54</v>
      </c>
      <c r="H32" s="68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26</v>
      </c>
      <c r="C33" s="65" t="s">
        <v>92</v>
      </c>
      <c r="D33" s="64" t="s">
        <v>54</v>
      </c>
      <c r="E33" s="67">
        <v>266.57</v>
      </c>
      <c r="F33" s="67">
        <f>SUM(E33/1000)</f>
        <v>0.26656999999999997</v>
      </c>
      <c r="G33" s="67">
        <v>2844</v>
      </c>
      <c r="H33" s="68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customHeight="1">
      <c r="A34" s="33">
        <v>9</v>
      </c>
      <c r="B34" s="64" t="s">
        <v>112</v>
      </c>
      <c r="C34" s="65" t="s">
        <v>30</v>
      </c>
      <c r="D34" s="64" t="s">
        <v>64</v>
      </c>
      <c r="E34" s="71">
        <v>0.33333333333333331</v>
      </c>
      <c r="F34" s="67">
        <f>155/3</f>
        <v>51.666666666666664</v>
      </c>
      <c r="G34" s="67">
        <v>53.38</v>
      </c>
      <c r="H34" s="68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4" t="s">
        <v>66</v>
      </c>
      <c r="C35" s="65" t="s">
        <v>32</v>
      </c>
      <c r="D35" s="64" t="s">
        <v>68</v>
      </c>
      <c r="E35" s="66"/>
      <c r="F35" s="67">
        <v>1</v>
      </c>
      <c r="G35" s="67">
        <v>180.15</v>
      </c>
      <c r="H35" s="68">
        <f t="shared" si="1"/>
        <v>0.18015</v>
      </c>
      <c r="I35" s="13">
        <v>0</v>
      </c>
      <c r="J35" s="27"/>
    </row>
    <row r="36" spans="1:14" ht="15.75" hidden="1" customHeight="1">
      <c r="A36" s="33"/>
      <c r="B36" s="64" t="s">
        <v>67</v>
      </c>
      <c r="C36" s="65" t="s">
        <v>31</v>
      </c>
      <c r="D36" s="64" t="s">
        <v>68</v>
      </c>
      <c r="E36" s="66"/>
      <c r="F36" s="67">
        <v>1</v>
      </c>
      <c r="G36" s="67">
        <v>1214.74</v>
      </c>
      <c r="H36" s="68">
        <f t="shared" si="1"/>
        <v>1.2147399999999999</v>
      </c>
      <c r="I36" s="13">
        <v>0</v>
      </c>
      <c r="J36" s="27"/>
    </row>
    <row r="37" spans="1:14" ht="15.75" hidden="1" customHeight="1">
      <c r="A37" s="33"/>
      <c r="B37" s="85" t="s">
        <v>5</v>
      </c>
      <c r="C37" s="65"/>
      <c r="D37" s="64"/>
      <c r="E37" s="66"/>
      <c r="F37" s="67"/>
      <c r="G37" s="67"/>
      <c r="H37" s="68" t="s">
        <v>139</v>
      </c>
      <c r="I37" s="13"/>
      <c r="J37" s="27"/>
    </row>
    <row r="38" spans="1:14" ht="15.75" hidden="1" customHeight="1">
      <c r="A38" s="33">
        <v>8</v>
      </c>
      <c r="B38" s="64" t="s">
        <v>25</v>
      </c>
      <c r="C38" s="65" t="s">
        <v>31</v>
      </c>
      <c r="D38" s="64"/>
      <c r="E38" s="66"/>
      <c r="F38" s="67">
        <v>3</v>
      </c>
      <c r="G38" s="67">
        <v>1632.6</v>
      </c>
      <c r="H38" s="68">
        <f t="shared" ref="H38:H43" si="3">SUM(F38*G38/1000)</f>
        <v>4.8977999999999993</v>
      </c>
      <c r="I38" s="13">
        <f t="shared" ref="I38:I43" si="4">F38/6*G38</f>
        <v>816.3</v>
      </c>
      <c r="J38" s="27"/>
    </row>
    <row r="39" spans="1:14" ht="15.75" hidden="1" customHeight="1">
      <c r="A39" s="33">
        <v>9</v>
      </c>
      <c r="B39" s="64" t="s">
        <v>115</v>
      </c>
      <c r="C39" s="65" t="s">
        <v>28</v>
      </c>
      <c r="D39" s="64" t="s">
        <v>90</v>
      </c>
      <c r="E39" s="66">
        <v>48.03</v>
      </c>
      <c r="F39" s="67">
        <v>1.44</v>
      </c>
      <c r="G39" s="67">
        <v>1979.95</v>
      </c>
      <c r="H39" s="68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hidden="1" customHeight="1">
      <c r="A40" s="33">
        <v>10</v>
      </c>
      <c r="B40" s="64" t="s">
        <v>69</v>
      </c>
      <c r="C40" s="65" t="s">
        <v>28</v>
      </c>
      <c r="D40" s="64" t="s">
        <v>91</v>
      </c>
      <c r="E40" s="67">
        <v>48.03</v>
      </c>
      <c r="F40" s="67">
        <f>SUM(E40*155/1000)</f>
        <v>7.4446500000000002</v>
      </c>
      <c r="G40" s="67">
        <v>330.27</v>
      </c>
      <c r="H40" s="68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hidden="1" customHeight="1">
      <c r="A41" s="33">
        <v>11</v>
      </c>
      <c r="B41" s="64" t="s">
        <v>84</v>
      </c>
      <c r="C41" s="65" t="s">
        <v>92</v>
      </c>
      <c r="D41" s="64" t="s">
        <v>116</v>
      </c>
      <c r="E41" s="67">
        <v>48.03</v>
      </c>
      <c r="F41" s="67">
        <f>SUM(E41*35/1000)</f>
        <v>1.6810499999999999</v>
      </c>
      <c r="G41" s="67">
        <v>5464.48</v>
      </c>
      <c r="H41" s="68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hidden="1" customHeight="1">
      <c r="A42" s="33">
        <v>12</v>
      </c>
      <c r="B42" s="64" t="s">
        <v>93</v>
      </c>
      <c r="C42" s="65" t="s">
        <v>92</v>
      </c>
      <c r="D42" s="64" t="s">
        <v>70</v>
      </c>
      <c r="E42" s="67">
        <v>48.03</v>
      </c>
      <c r="F42" s="67">
        <f>SUM(E42*45/1000)</f>
        <v>2.1613500000000001</v>
      </c>
      <c r="G42" s="67">
        <v>403.67</v>
      </c>
      <c r="H42" s="68">
        <f t="shared" si="3"/>
        <v>0.87247215450000015</v>
      </c>
      <c r="I42" s="13">
        <f t="shared" si="4"/>
        <v>145.41202575000003</v>
      </c>
      <c r="J42" s="27"/>
      <c r="L42" s="20"/>
      <c r="M42" s="21"/>
      <c r="N42" s="22"/>
    </row>
    <row r="43" spans="1:14" ht="15.75" hidden="1" customHeight="1">
      <c r="A43" s="33">
        <v>13</v>
      </c>
      <c r="B43" s="64" t="s">
        <v>71</v>
      </c>
      <c r="C43" s="65" t="s">
        <v>32</v>
      </c>
      <c r="D43" s="64"/>
      <c r="E43" s="66"/>
      <c r="F43" s="67">
        <v>0.53</v>
      </c>
      <c r="G43" s="67">
        <v>750.34</v>
      </c>
      <c r="H43" s="68">
        <f t="shared" si="3"/>
        <v>0.39768020000000004</v>
      </c>
      <c r="I43" s="13">
        <f t="shared" si="4"/>
        <v>66.280033333333336</v>
      </c>
      <c r="J43" s="27"/>
      <c r="L43" s="20"/>
      <c r="M43" s="21"/>
      <c r="N43" s="22"/>
    </row>
    <row r="44" spans="1:14" ht="16.5" customHeight="1">
      <c r="A44" s="123" t="s">
        <v>132</v>
      </c>
      <c r="B44" s="124"/>
      <c r="C44" s="124"/>
      <c r="D44" s="124"/>
      <c r="E44" s="124"/>
      <c r="F44" s="124"/>
      <c r="G44" s="124"/>
      <c r="H44" s="124"/>
      <c r="I44" s="125"/>
      <c r="J44" s="27"/>
      <c r="L44" s="20"/>
      <c r="M44" s="21"/>
      <c r="N44" s="22"/>
    </row>
    <row r="45" spans="1:14" ht="22.5" hidden="1" customHeight="1">
      <c r="A45" s="33"/>
      <c r="B45" s="64" t="s">
        <v>117</v>
      </c>
      <c r="C45" s="65" t="s">
        <v>92</v>
      </c>
      <c r="D45" s="64" t="s">
        <v>42</v>
      </c>
      <c r="E45" s="66">
        <v>636.25</v>
      </c>
      <c r="F45" s="67">
        <f>SUM(E45*2/1000)</f>
        <v>1.2725</v>
      </c>
      <c r="G45" s="13">
        <v>762.53</v>
      </c>
      <c r="H45" s="68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9.5" hidden="1" customHeight="1">
      <c r="A46" s="33"/>
      <c r="B46" s="64" t="s">
        <v>35</v>
      </c>
      <c r="C46" s="65" t="s">
        <v>92</v>
      </c>
      <c r="D46" s="64" t="s">
        <v>42</v>
      </c>
      <c r="E46" s="66">
        <v>26</v>
      </c>
      <c r="F46" s="67">
        <f>SUM(E46*2/1000)</f>
        <v>5.1999999999999998E-2</v>
      </c>
      <c r="G46" s="13">
        <v>545.65</v>
      </c>
      <c r="H46" s="68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24.75" hidden="1" customHeight="1">
      <c r="A47" s="33"/>
      <c r="B47" s="64" t="s">
        <v>36</v>
      </c>
      <c r="C47" s="65" t="s">
        <v>92</v>
      </c>
      <c r="D47" s="64" t="s">
        <v>42</v>
      </c>
      <c r="E47" s="66">
        <v>579</v>
      </c>
      <c r="F47" s="67">
        <f>SUM(E47*2/1000)</f>
        <v>1.1579999999999999</v>
      </c>
      <c r="G47" s="13">
        <v>545.65</v>
      </c>
      <c r="H47" s="68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26.25" hidden="1" customHeight="1">
      <c r="A48" s="33"/>
      <c r="B48" s="64" t="s">
        <v>37</v>
      </c>
      <c r="C48" s="65" t="s">
        <v>92</v>
      </c>
      <c r="D48" s="64" t="s">
        <v>42</v>
      </c>
      <c r="E48" s="66">
        <v>683.33</v>
      </c>
      <c r="F48" s="67">
        <f>SUM(E48*2/1000)</f>
        <v>1.36666</v>
      </c>
      <c r="G48" s="13">
        <v>571.35</v>
      </c>
      <c r="H48" s="68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27" hidden="1" customHeight="1">
      <c r="A49" s="33"/>
      <c r="B49" s="64" t="s">
        <v>33</v>
      </c>
      <c r="C49" s="65" t="s">
        <v>34</v>
      </c>
      <c r="D49" s="64" t="s">
        <v>42</v>
      </c>
      <c r="E49" s="66">
        <v>44.11</v>
      </c>
      <c r="F49" s="67">
        <f>SUM(E49*2/100)</f>
        <v>0.88219999999999998</v>
      </c>
      <c r="G49" s="13">
        <v>68.56</v>
      </c>
      <c r="H49" s="68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25.5" hidden="1" customHeight="1">
      <c r="A50" s="33">
        <v>10</v>
      </c>
      <c r="B50" s="64" t="s">
        <v>57</v>
      </c>
      <c r="C50" s="65" t="s">
        <v>92</v>
      </c>
      <c r="D50" s="64" t="s">
        <v>133</v>
      </c>
      <c r="E50" s="66">
        <v>1140</v>
      </c>
      <c r="F50" s="67">
        <f>SUM(E50*5/1000)</f>
        <v>5.7</v>
      </c>
      <c r="G50" s="13">
        <v>1142.7</v>
      </c>
      <c r="H50" s="68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2.25" customHeight="1">
      <c r="A51" s="33">
        <v>10</v>
      </c>
      <c r="B51" s="64" t="s">
        <v>94</v>
      </c>
      <c r="C51" s="65" t="s">
        <v>92</v>
      </c>
      <c r="D51" s="64" t="s">
        <v>42</v>
      </c>
      <c r="E51" s="66">
        <v>1140</v>
      </c>
      <c r="F51" s="67">
        <f>SUM(E51*2/1000)</f>
        <v>2.2799999999999998</v>
      </c>
      <c r="G51" s="13">
        <v>1142.7</v>
      </c>
      <c r="H51" s="68">
        <f t="shared" si="5"/>
        <v>2.6053559999999996</v>
      </c>
      <c r="I51" s="13">
        <f>G51*F51/2</f>
        <v>1302.6779999999999</v>
      </c>
      <c r="J51" s="27"/>
      <c r="L51" s="20"/>
      <c r="M51" s="21"/>
      <c r="N51" s="22"/>
    </row>
    <row r="52" spans="1:22" ht="30.75" customHeight="1">
      <c r="A52" s="33">
        <v>11</v>
      </c>
      <c r="B52" s="64" t="s">
        <v>95</v>
      </c>
      <c r="C52" s="65" t="s">
        <v>38</v>
      </c>
      <c r="D52" s="64" t="s">
        <v>42</v>
      </c>
      <c r="E52" s="66">
        <v>9</v>
      </c>
      <c r="F52" s="67">
        <f>SUM(E52*2/100)</f>
        <v>0.18</v>
      </c>
      <c r="G52" s="13">
        <v>2571.08</v>
      </c>
      <c r="H52" s="68">
        <f t="shared" si="5"/>
        <v>0.46279439999999999</v>
      </c>
      <c r="I52" s="13">
        <f>G52*F52/2</f>
        <v>231.3972</v>
      </c>
      <c r="J52" s="27"/>
      <c r="L52" s="20"/>
      <c r="M52" s="21"/>
      <c r="N52" s="22"/>
    </row>
    <row r="53" spans="1:22" ht="19.5" customHeight="1">
      <c r="A53" s="33">
        <v>12</v>
      </c>
      <c r="B53" s="64" t="s">
        <v>39</v>
      </c>
      <c r="C53" s="65" t="s">
        <v>40</v>
      </c>
      <c r="D53" s="64" t="s">
        <v>42</v>
      </c>
      <c r="E53" s="66">
        <v>1</v>
      </c>
      <c r="F53" s="67">
        <v>0.02</v>
      </c>
      <c r="G53" s="13">
        <v>5322.15</v>
      </c>
      <c r="H53" s="68">
        <f t="shared" si="5"/>
        <v>0.106443</v>
      </c>
      <c r="I53" s="13">
        <f>G53*F53/2</f>
        <v>53.221499999999999</v>
      </c>
      <c r="J53" s="27"/>
      <c r="L53" s="20"/>
      <c r="M53" s="21"/>
      <c r="N53" s="22"/>
    </row>
    <row r="54" spans="1:22" ht="18.75" hidden="1" customHeight="1">
      <c r="A54" s="33">
        <v>11</v>
      </c>
      <c r="B54" s="64" t="s">
        <v>41</v>
      </c>
      <c r="C54" s="65" t="s">
        <v>118</v>
      </c>
      <c r="D54" s="64" t="s">
        <v>72</v>
      </c>
      <c r="E54" s="66">
        <v>36</v>
      </c>
      <c r="F54" s="67">
        <f>SUM(E54)*3</f>
        <v>108</v>
      </c>
      <c r="G54" s="13">
        <v>61.84</v>
      </c>
      <c r="H54" s="68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hidden="1" customHeight="1">
      <c r="A55" s="123" t="s">
        <v>154</v>
      </c>
      <c r="B55" s="124"/>
      <c r="C55" s="124"/>
      <c r="D55" s="124"/>
      <c r="E55" s="124"/>
      <c r="F55" s="124"/>
      <c r="G55" s="124"/>
      <c r="H55" s="124"/>
      <c r="I55" s="125"/>
      <c r="J55" s="27"/>
      <c r="L55" s="20"/>
      <c r="M55" s="21"/>
      <c r="N55" s="22"/>
    </row>
    <row r="56" spans="1:22" ht="15.75" hidden="1" customHeight="1">
      <c r="A56" s="33"/>
      <c r="B56" s="85" t="s">
        <v>43</v>
      </c>
      <c r="C56" s="65"/>
      <c r="D56" s="64"/>
      <c r="E56" s="66"/>
      <c r="F56" s="67"/>
      <c r="G56" s="67"/>
      <c r="H56" s="68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4" t="s">
        <v>119</v>
      </c>
      <c r="C57" s="65" t="s">
        <v>89</v>
      </c>
      <c r="D57" s="64" t="s">
        <v>120</v>
      </c>
      <c r="E57" s="66">
        <v>72.33</v>
      </c>
      <c r="F57" s="67">
        <f>SUM(E57*6/100)</f>
        <v>4.3398000000000003</v>
      </c>
      <c r="G57" s="13">
        <v>1456.95</v>
      </c>
      <c r="H57" s="68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5" t="s">
        <v>44</v>
      </c>
      <c r="C58" s="65"/>
      <c r="D58" s="64"/>
      <c r="E58" s="66"/>
      <c r="F58" s="67"/>
      <c r="G58" s="60"/>
      <c r="H58" s="68"/>
      <c r="I58" s="13"/>
      <c r="J58" s="27"/>
      <c r="L58" s="20"/>
      <c r="M58" s="21"/>
      <c r="N58" s="22"/>
    </row>
    <row r="59" spans="1:22" ht="15.75" hidden="1" customHeight="1">
      <c r="A59" s="33"/>
      <c r="B59" s="64" t="s">
        <v>121</v>
      </c>
      <c r="C59" s="65"/>
      <c r="D59" s="64" t="s">
        <v>54</v>
      </c>
      <c r="E59" s="66">
        <v>952</v>
      </c>
      <c r="F59" s="68">
        <v>9.52</v>
      </c>
      <c r="G59" s="13">
        <v>848.37</v>
      </c>
      <c r="H59" s="73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6" t="s">
        <v>45</v>
      </c>
      <c r="C60" s="74"/>
      <c r="D60" s="75"/>
      <c r="E60" s="76"/>
      <c r="F60" s="77"/>
      <c r="G60" s="77"/>
      <c r="H60" s="78" t="s">
        <v>139</v>
      </c>
      <c r="I60" s="13"/>
    </row>
    <row r="61" spans="1:22" ht="15.75" hidden="1" customHeight="1">
      <c r="A61" s="33">
        <v>10</v>
      </c>
      <c r="B61" s="14" t="s">
        <v>46</v>
      </c>
      <c r="C61" s="16" t="s">
        <v>118</v>
      </c>
      <c r="D61" s="14" t="s">
        <v>68</v>
      </c>
      <c r="E61" s="18">
        <v>5</v>
      </c>
      <c r="F61" s="67">
        <v>5</v>
      </c>
      <c r="G61" s="13">
        <v>237.74</v>
      </c>
      <c r="H61" s="79">
        <f t="shared" ref="H61:H75" si="6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47</v>
      </c>
      <c r="C62" s="16" t="s">
        <v>118</v>
      </c>
      <c r="D62" s="14" t="s">
        <v>68</v>
      </c>
      <c r="E62" s="18">
        <v>2</v>
      </c>
      <c r="F62" s="67">
        <v>2</v>
      </c>
      <c r="G62" s="13">
        <v>81.510000000000005</v>
      </c>
      <c r="H62" s="79">
        <f t="shared" si="6"/>
        <v>0.16302</v>
      </c>
      <c r="I62" s="13">
        <v>0</v>
      </c>
    </row>
    <row r="63" spans="1:22" ht="15.75" hidden="1" customHeight="1">
      <c r="A63" s="33"/>
      <c r="B63" s="14" t="s">
        <v>48</v>
      </c>
      <c r="C63" s="16" t="s">
        <v>122</v>
      </c>
      <c r="D63" s="14" t="s">
        <v>54</v>
      </c>
      <c r="E63" s="66">
        <v>4292</v>
      </c>
      <c r="F63" s="13">
        <f>SUM(E63/100)</f>
        <v>42.92</v>
      </c>
      <c r="G63" s="13">
        <v>226.79</v>
      </c>
      <c r="H63" s="79">
        <f t="shared" si="6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49</v>
      </c>
      <c r="C64" s="16" t="s">
        <v>123</v>
      </c>
      <c r="D64" s="14"/>
      <c r="E64" s="66">
        <v>4292</v>
      </c>
      <c r="F64" s="13">
        <f>SUM(E64/1000)</f>
        <v>4.2919999999999998</v>
      </c>
      <c r="G64" s="13">
        <v>176.61</v>
      </c>
      <c r="H64" s="79">
        <f t="shared" si="6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50</v>
      </c>
      <c r="C65" s="16" t="s">
        <v>78</v>
      </c>
      <c r="D65" s="14" t="s">
        <v>54</v>
      </c>
      <c r="E65" s="66">
        <v>510</v>
      </c>
      <c r="F65" s="13">
        <f>SUM(E65/100)</f>
        <v>5.0999999999999996</v>
      </c>
      <c r="G65" s="13">
        <v>2217.7800000000002</v>
      </c>
      <c r="H65" s="79">
        <f t="shared" si="6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0" t="s">
        <v>124</v>
      </c>
      <c r="C66" s="16" t="s">
        <v>32</v>
      </c>
      <c r="D66" s="14"/>
      <c r="E66" s="66">
        <v>4.5999999999999996</v>
      </c>
      <c r="F66" s="13">
        <f>SUM(E66)</f>
        <v>4.5999999999999996</v>
      </c>
      <c r="G66" s="13">
        <v>42.67</v>
      </c>
      <c r="H66" s="79">
        <f t="shared" si="6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8"/>
      <c r="S66" s="118"/>
      <c r="T66" s="118"/>
      <c r="U66" s="118"/>
    </row>
    <row r="67" spans="1:21" ht="15.75" hidden="1" customHeight="1">
      <c r="A67" s="33"/>
      <c r="B67" s="80" t="s">
        <v>125</v>
      </c>
      <c r="C67" s="16" t="s">
        <v>32</v>
      </c>
      <c r="D67" s="14"/>
      <c r="E67" s="66">
        <v>4.5999999999999996</v>
      </c>
      <c r="F67" s="13">
        <f>SUM(E67)</f>
        <v>4.5999999999999996</v>
      </c>
      <c r="G67" s="13">
        <v>39.81</v>
      </c>
      <c r="H67" s="79">
        <f t="shared" si="6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58</v>
      </c>
      <c r="C68" s="16" t="s">
        <v>59</v>
      </c>
      <c r="D68" s="14" t="s">
        <v>54</v>
      </c>
      <c r="E68" s="18">
        <v>3</v>
      </c>
      <c r="F68" s="67">
        <v>3</v>
      </c>
      <c r="G68" s="13">
        <v>53.32</v>
      </c>
      <c r="H68" s="79">
        <f t="shared" si="6"/>
        <v>0.15996000000000002</v>
      </c>
      <c r="I68" s="13">
        <v>0</v>
      </c>
    </row>
    <row r="69" spans="1:21" ht="15.75" hidden="1" customHeight="1">
      <c r="A69" s="33"/>
      <c r="B69" s="51" t="s">
        <v>73</v>
      </c>
      <c r="C69" s="16"/>
      <c r="D69" s="14"/>
      <c r="E69" s="18"/>
      <c r="F69" s="13"/>
      <c r="G69" s="13"/>
      <c r="H69" s="79" t="s">
        <v>139</v>
      </c>
      <c r="I69" s="13"/>
    </row>
    <row r="70" spans="1:21" ht="15.75" hidden="1" customHeight="1">
      <c r="A70" s="33"/>
      <c r="B70" s="14" t="s">
        <v>74</v>
      </c>
      <c r="C70" s="16" t="s">
        <v>76</v>
      </c>
      <c r="D70" s="14"/>
      <c r="E70" s="18">
        <v>2</v>
      </c>
      <c r="F70" s="13">
        <v>0.2</v>
      </c>
      <c r="G70" s="13">
        <v>536.23</v>
      </c>
      <c r="H70" s="79">
        <f t="shared" si="6"/>
        <v>0.10724600000000001</v>
      </c>
      <c r="I70" s="13">
        <v>0</v>
      </c>
    </row>
    <row r="71" spans="1:21" ht="15.75" hidden="1" customHeight="1">
      <c r="A71" s="33"/>
      <c r="B71" s="14" t="s">
        <v>75</v>
      </c>
      <c r="C71" s="16" t="s">
        <v>30</v>
      </c>
      <c r="D71" s="14"/>
      <c r="E71" s="18">
        <v>1</v>
      </c>
      <c r="F71" s="60">
        <v>1</v>
      </c>
      <c r="G71" s="13">
        <v>911.85</v>
      </c>
      <c r="H71" s="79">
        <f t="shared" si="6"/>
        <v>0.91185000000000005</v>
      </c>
      <c r="I71" s="13">
        <v>0</v>
      </c>
    </row>
    <row r="72" spans="1:21" ht="15.75" hidden="1" customHeight="1">
      <c r="A72" s="33"/>
      <c r="B72" s="14" t="s">
        <v>140</v>
      </c>
      <c r="C72" s="16" t="s">
        <v>141</v>
      </c>
      <c r="D72" s="14"/>
      <c r="E72" s="18"/>
      <c r="F72" s="13"/>
      <c r="G72" s="13">
        <v>31.54</v>
      </c>
      <c r="H72" s="79">
        <f t="shared" si="6"/>
        <v>0</v>
      </c>
      <c r="I72" s="13"/>
    </row>
    <row r="73" spans="1:21" ht="15.75" hidden="1" customHeight="1">
      <c r="A73" s="33"/>
      <c r="B73" s="14" t="s">
        <v>127</v>
      </c>
      <c r="C73" s="16" t="s">
        <v>30</v>
      </c>
      <c r="D73" s="14"/>
      <c r="E73" s="18">
        <v>1</v>
      </c>
      <c r="F73" s="13">
        <v>1</v>
      </c>
      <c r="G73" s="13">
        <v>383.25</v>
      </c>
      <c r="H73" s="79">
        <f>G73*F73/1000</f>
        <v>0.38324999999999998</v>
      </c>
      <c r="I73" s="13">
        <v>0</v>
      </c>
    </row>
    <row r="74" spans="1:21" ht="15.75" hidden="1" customHeight="1">
      <c r="A74" s="33"/>
      <c r="B74" s="82" t="s">
        <v>77</v>
      </c>
      <c r="C74" s="16"/>
      <c r="D74" s="14"/>
      <c r="E74" s="18"/>
      <c r="F74" s="13"/>
      <c r="G74" s="13" t="s">
        <v>139</v>
      </c>
      <c r="H74" s="79" t="s">
        <v>139</v>
      </c>
      <c r="I74" s="13"/>
    </row>
    <row r="75" spans="1:21" ht="15.75" hidden="1" customHeight="1">
      <c r="A75" s="33"/>
      <c r="B75" s="45" t="s">
        <v>151</v>
      </c>
      <c r="C75" s="16" t="s">
        <v>78</v>
      </c>
      <c r="D75" s="14"/>
      <c r="E75" s="18"/>
      <c r="F75" s="13">
        <v>0.1</v>
      </c>
      <c r="G75" s="13">
        <v>2949.85</v>
      </c>
      <c r="H75" s="79">
        <f t="shared" si="6"/>
        <v>0.294985</v>
      </c>
      <c r="I75" s="13">
        <v>0</v>
      </c>
    </row>
    <row r="76" spans="1:21" ht="15.75" hidden="1" customHeight="1">
      <c r="A76" s="33"/>
      <c r="B76" s="89" t="s">
        <v>96</v>
      </c>
      <c r="C76" s="89"/>
      <c r="D76" s="89"/>
      <c r="E76" s="89"/>
      <c r="F76" s="89"/>
      <c r="G76" s="70"/>
      <c r="H76" s="83">
        <f>SUM(H57:H75)</f>
        <v>39.790287929999998</v>
      </c>
      <c r="I76" s="70"/>
    </row>
    <row r="77" spans="1:21" ht="15.75" hidden="1" customHeight="1">
      <c r="A77" s="33">
        <v>10</v>
      </c>
      <c r="B77" s="87" t="s">
        <v>126</v>
      </c>
      <c r="C77" s="24"/>
      <c r="D77" s="23"/>
      <c r="E77" s="84"/>
      <c r="F77" s="88">
        <v>1</v>
      </c>
      <c r="G77" s="13">
        <v>3395.9</v>
      </c>
      <c r="H77" s="79">
        <f>G77*F77/1000</f>
        <v>3.3959000000000001</v>
      </c>
      <c r="I77" s="13">
        <v>939.9</v>
      </c>
    </row>
    <row r="78" spans="1:21" ht="15.75" customHeight="1">
      <c r="A78" s="123" t="s">
        <v>155</v>
      </c>
      <c r="B78" s="124"/>
      <c r="C78" s="124"/>
      <c r="D78" s="124"/>
      <c r="E78" s="124"/>
      <c r="F78" s="124"/>
      <c r="G78" s="124"/>
      <c r="H78" s="124"/>
      <c r="I78" s="125"/>
    </row>
    <row r="79" spans="1:21" ht="15.75" customHeight="1">
      <c r="A79" s="33">
        <v>13</v>
      </c>
      <c r="B79" s="64" t="s">
        <v>128</v>
      </c>
      <c r="C79" s="16" t="s">
        <v>55</v>
      </c>
      <c r="D79" s="50" t="s">
        <v>56</v>
      </c>
      <c r="E79" s="13">
        <v>1042.5999999999999</v>
      </c>
      <c r="F79" s="13">
        <f>SUM(E79*12)</f>
        <v>12511.199999999999</v>
      </c>
      <c r="G79" s="13">
        <v>2.2400000000000002</v>
      </c>
      <c r="H79" s="79">
        <f>SUM(F79*G79/1000)</f>
        <v>28.025088</v>
      </c>
      <c r="I79" s="13">
        <f>F79/12*G79</f>
        <v>2335.424</v>
      </c>
    </row>
    <row r="80" spans="1:21" ht="31.5" customHeight="1">
      <c r="A80" s="33">
        <v>14</v>
      </c>
      <c r="B80" s="14" t="s">
        <v>79</v>
      </c>
      <c r="C80" s="16"/>
      <c r="D80" s="50" t="s">
        <v>56</v>
      </c>
      <c r="E80" s="66">
        <f>E79</f>
        <v>1042.5999999999999</v>
      </c>
      <c r="F80" s="13">
        <f>E80*12</f>
        <v>12511.199999999999</v>
      </c>
      <c r="G80" s="13">
        <v>1.74</v>
      </c>
      <c r="H80" s="79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82</v>
      </c>
      <c r="C81" s="82"/>
      <c r="D81" s="81"/>
      <c r="E81" s="70"/>
      <c r="F81" s="70"/>
      <c r="G81" s="70"/>
      <c r="H81" s="83">
        <f>H80</f>
        <v>21.769487999999999</v>
      </c>
      <c r="I81" s="70">
        <f>I80+I79+I53+I52+I51+I34+I32+I31+I28+I27+I20+I18+I17+I16</f>
        <v>16893.730793644445</v>
      </c>
    </row>
    <row r="82" spans="1:9" ht="15.75" customHeight="1">
      <c r="A82" s="132" t="s">
        <v>61</v>
      </c>
      <c r="B82" s="133"/>
      <c r="C82" s="133"/>
      <c r="D82" s="133"/>
      <c r="E82" s="133"/>
      <c r="F82" s="133"/>
      <c r="G82" s="133"/>
      <c r="H82" s="133"/>
      <c r="I82" s="134"/>
    </row>
    <row r="83" spans="1:9" ht="15.75" customHeight="1">
      <c r="A83" s="33">
        <v>15</v>
      </c>
      <c r="B83" s="75" t="s">
        <v>179</v>
      </c>
      <c r="C83" s="74" t="s">
        <v>180</v>
      </c>
      <c r="D83" s="75"/>
      <c r="E83" s="76"/>
      <c r="F83" s="77">
        <v>200</v>
      </c>
      <c r="G83" s="60">
        <v>1.2</v>
      </c>
      <c r="H83" s="78">
        <f>F83*G83/1000</f>
        <v>0.24</v>
      </c>
      <c r="I83" s="101">
        <f>G83*100</f>
        <v>120</v>
      </c>
    </row>
    <row r="84" spans="1:9" ht="15.75" customHeight="1">
      <c r="A84" s="33">
        <v>16</v>
      </c>
      <c r="B84" s="105" t="s">
        <v>223</v>
      </c>
      <c r="C84" s="106" t="s">
        <v>224</v>
      </c>
      <c r="D84" s="45"/>
      <c r="E84" s="13"/>
      <c r="F84" s="13">
        <v>2</v>
      </c>
      <c r="G84" s="37">
        <v>134.12</v>
      </c>
      <c r="H84" s="98">
        <f t="shared" ref="H84:H85" si="7">G84*F84/1000</f>
        <v>0.26824000000000003</v>
      </c>
      <c r="I84" s="13">
        <f>G84*26</f>
        <v>3487.12</v>
      </c>
    </row>
    <row r="85" spans="1:9" ht="15.75" customHeight="1">
      <c r="A85" s="33">
        <v>17</v>
      </c>
      <c r="B85" s="105" t="s">
        <v>231</v>
      </c>
      <c r="C85" s="106" t="s">
        <v>118</v>
      </c>
      <c r="D85" s="97"/>
      <c r="E85" s="37"/>
      <c r="F85" s="37">
        <v>1</v>
      </c>
      <c r="G85" s="37">
        <v>55.24</v>
      </c>
      <c r="H85" s="98">
        <f t="shared" si="7"/>
        <v>5.5240000000000004E-2</v>
      </c>
      <c r="I85" s="13">
        <f>G85*1</f>
        <v>55.24</v>
      </c>
    </row>
    <row r="86" spans="1:9" ht="15.75" customHeight="1">
      <c r="A86" s="33">
        <v>18</v>
      </c>
      <c r="B86" s="105" t="s">
        <v>232</v>
      </c>
      <c r="C86" s="106" t="s">
        <v>118</v>
      </c>
      <c r="D86" s="97"/>
      <c r="E86" s="37"/>
      <c r="F86" s="37"/>
      <c r="G86" s="37">
        <v>148.22999999999999</v>
      </c>
      <c r="H86" s="98"/>
      <c r="I86" s="13">
        <f>G86*1</f>
        <v>148.22999999999999</v>
      </c>
    </row>
    <row r="87" spans="1:9" ht="15.75" customHeight="1">
      <c r="A87" s="33">
        <v>19</v>
      </c>
      <c r="B87" s="110" t="s">
        <v>233</v>
      </c>
      <c r="C87" s="109" t="s">
        <v>76</v>
      </c>
      <c r="D87" s="97"/>
      <c r="E87" s="37"/>
      <c r="F87" s="37"/>
      <c r="G87" s="37">
        <v>4165.3999999999996</v>
      </c>
      <c r="H87" s="98"/>
      <c r="I87" s="13">
        <f>G87*0.1</f>
        <v>416.53999999999996</v>
      </c>
    </row>
    <row r="88" spans="1:9" ht="15.75" customHeight="1">
      <c r="A88" s="33">
        <v>20</v>
      </c>
      <c r="B88" s="110" t="s">
        <v>234</v>
      </c>
      <c r="C88" s="109" t="s">
        <v>76</v>
      </c>
      <c r="D88" s="97"/>
      <c r="E88" s="37"/>
      <c r="F88" s="37"/>
      <c r="G88" s="37">
        <v>7332.06</v>
      </c>
      <c r="H88" s="98"/>
      <c r="I88" s="13">
        <f>G88*0.1</f>
        <v>733.20600000000013</v>
      </c>
    </row>
    <row r="89" spans="1:9" ht="30.75" customHeight="1">
      <c r="A89" s="33">
        <v>21</v>
      </c>
      <c r="B89" s="48" t="s">
        <v>83</v>
      </c>
      <c r="C89" s="49" t="s">
        <v>38</v>
      </c>
      <c r="D89" s="97"/>
      <c r="E89" s="37"/>
      <c r="F89" s="37"/>
      <c r="G89" s="37">
        <v>3724.37</v>
      </c>
      <c r="H89" s="98"/>
      <c r="I89" s="13">
        <f>G89*0.01</f>
        <v>37.243699999999997</v>
      </c>
    </row>
    <row r="90" spans="1:9">
      <c r="A90" s="33"/>
      <c r="B90" s="43" t="s">
        <v>51</v>
      </c>
      <c r="C90" s="39"/>
      <c r="D90" s="46"/>
      <c r="E90" s="39">
        <v>1</v>
      </c>
      <c r="F90" s="39"/>
      <c r="G90" s="39"/>
      <c r="H90" s="39"/>
      <c r="I90" s="35">
        <f>SUM(I83:I89)</f>
        <v>4997.5796999999993</v>
      </c>
    </row>
    <row r="91" spans="1:9" ht="16.5" customHeight="1">
      <c r="A91" s="33"/>
      <c r="B91" s="45" t="s">
        <v>80</v>
      </c>
      <c r="C91" s="15"/>
      <c r="D91" s="15"/>
      <c r="E91" s="40"/>
      <c r="F91" s="40"/>
      <c r="G91" s="41"/>
      <c r="H91" s="41"/>
      <c r="I91" s="17">
        <v>0</v>
      </c>
    </row>
    <row r="92" spans="1:9" ht="16.5" customHeight="1">
      <c r="A92" s="47"/>
      <c r="B92" s="44" t="s">
        <v>52</v>
      </c>
      <c r="C92" s="36"/>
      <c r="D92" s="36"/>
      <c r="E92" s="36"/>
      <c r="F92" s="36"/>
      <c r="G92" s="36"/>
      <c r="H92" s="36"/>
      <c r="I92" s="42">
        <f>I81+I90</f>
        <v>21891.310493644443</v>
      </c>
    </row>
    <row r="93" spans="1:9" ht="15.75" customHeight="1">
      <c r="A93" s="119" t="s">
        <v>235</v>
      </c>
      <c r="B93" s="119"/>
      <c r="C93" s="119"/>
      <c r="D93" s="119"/>
      <c r="E93" s="119"/>
      <c r="F93" s="119"/>
      <c r="G93" s="119"/>
      <c r="H93" s="119"/>
      <c r="I93" s="119"/>
    </row>
    <row r="94" spans="1:9" ht="15.75" customHeight="1">
      <c r="A94" s="57"/>
      <c r="B94" s="120" t="s">
        <v>236</v>
      </c>
      <c r="C94" s="120"/>
      <c r="D94" s="120"/>
      <c r="E94" s="120"/>
      <c r="F94" s="120"/>
      <c r="G94" s="120"/>
      <c r="H94" s="63"/>
      <c r="I94" s="3"/>
    </row>
    <row r="95" spans="1:9">
      <c r="A95" s="56"/>
      <c r="B95" s="121" t="s">
        <v>6</v>
      </c>
      <c r="C95" s="121"/>
      <c r="D95" s="121"/>
      <c r="E95" s="121"/>
      <c r="F95" s="121"/>
      <c r="G95" s="121"/>
      <c r="H95" s="28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22" t="s">
        <v>7</v>
      </c>
      <c r="B97" s="122"/>
      <c r="C97" s="122"/>
      <c r="D97" s="122"/>
      <c r="E97" s="122"/>
      <c r="F97" s="122"/>
      <c r="G97" s="122"/>
      <c r="H97" s="122"/>
      <c r="I97" s="122"/>
    </row>
    <row r="98" spans="1:9" ht="15.75">
      <c r="A98" s="122" t="s">
        <v>8</v>
      </c>
      <c r="B98" s="122"/>
      <c r="C98" s="122"/>
      <c r="D98" s="122"/>
      <c r="E98" s="122"/>
      <c r="F98" s="122"/>
      <c r="G98" s="122"/>
      <c r="H98" s="122"/>
      <c r="I98" s="122"/>
    </row>
    <row r="99" spans="1:9" ht="15.75">
      <c r="A99" s="127" t="s">
        <v>62</v>
      </c>
      <c r="B99" s="127"/>
      <c r="C99" s="127"/>
      <c r="D99" s="127"/>
      <c r="E99" s="127"/>
      <c r="F99" s="127"/>
      <c r="G99" s="127"/>
      <c r="H99" s="127"/>
      <c r="I99" s="127"/>
    </row>
    <row r="100" spans="1:9" ht="15.75">
      <c r="A100" s="11"/>
    </row>
    <row r="101" spans="1:9" ht="15.75">
      <c r="A101" s="128" t="s">
        <v>9</v>
      </c>
      <c r="B101" s="128"/>
      <c r="C101" s="128"/>
      <c r="D101" s="128"/>
      <c r="E101" s="128"/>
      <c r="F101" s="128"/>
      <c r="G101" s="128"/>
      <c r="H101" s="128"/>
      <c r="I101" s="128"/>
    </row>
    <row r="102" spans="1:9" ht="15.75">
      <c r="A102" s="4"/>
    </row>
    <row r="103" spans="1:9" ht="15.75">
      <c r="B103" s="53" t="s">
        <v>10</v>
      </c>
      <c r="C103" s="129" t="s">
        <v>131</v>
      </c>
      <c r="D103" s="129"/>
      <c r="E103" s="129"/>
      <c r="F103" s="61"/>
      <c r="I103" s="55"/>
    </row>
    <row r="104" spans="1:9">
      <c r="A104" s="56"/>
      <c r="C104" s="121" t="s">
        <v>11</v>
      </c>
      <c r="D104" s="121"/>
      <c r="E104" s="121"/>
      <c r="F104" s="28"/>
      <c r="I104" s="54" t="s">
        <v>12</v>
      </c>
    </row>
    <row r="105" spans="1:9" ht="15.75">
      <c r="A105" s="29"/>
      <c r="C105" s="12"/>
      <c r="D105" s="12"/>
      <c r="G105" s="12"/>
      <c r="H105" s="12"/>
    </row>
    <row r="106" spans="1:9" ht="15.75">
      <c r="B106" s="53" t="s">
        <v>13</v>
      </c>
      <c r="C106" s="130"/>
      <c r="D106" s="130"/>
      <c r="E106" s="130"/>
      <c r="F106" s="62"/>
      <c r="I106" s="55"/>
    </row>
    <row r="107" spans="1:9">
      <c r="A107" s="56"/>
      <c r="C107" s="118" t="s">
        <v>11</v>
      </c>
      <c r="D107" s="118"/>
      <c r="E107" s="118"/>
      <c r="F107" s="56"/>
      <c r="I107" s="54" t="s">
        <v>12</v>
      </c>
    </row>
    <row r="108" spans="1:9" ht="15.75">
      <c r="A108" s="4" t="s">
        <v>14</v>
      </c>
    </row>
    <row r="109" spans="1:9">
      <c r="A109" s="131" t="s">
        <v>15</v>
      </c>
      <c r="B109" s="131"/>
      <c r="C109" s="131"/>
      <c r="D109" s="131"/>
      <c r="E109" s="131"/>
      <c r="F109" s="131"/>
      <c r="G109" s="131"/>
      <c r="H109" s="131"/>
      <c r="I109" s="131"/>
    </row>
    <row r="110" spans="1:9" ht="45" customHeight="1">
      <c r="A110" s="126" t="s">
        <v>16</v>
      </c>
      <c r="B110" s="126"/>
      <c r="C110" s="126"/>
      <c r="D110" s="126"/>
      <c r="E110" s="126"/>
      <c r="F110" s="126"/>
      <c r="G110" s="126"/>
      <c r="H110" s="126"/>
      <c r="I110" s="126"/>
    </row>
    <row r="111" spans="1:9" ht="30" customHeight="1">
      <c r="A111" s="126" t="s">
        <v>17</v>
      </c>
      <c r="B111" s="126"/>
      <c r="C111" s="126"/>
      <c r="D111" s="126"/>
      <c r="E111" s="126"/>
      <c r="F111" s="126"/>
      <c r="G111" s="126"/>
      <c r="H111" s="126"/>
      <c r="I111" s="126"/>
    </row>
    <row r="112" spans="1:9" ht="30" customHeight="1">
      <c r="A112" s="126" t="s">
        <v>21</v>
      </c>
      <c r="B112" s="126"/>
      <c r="C112" s="126"/>
      <c r="D112" s="126"/>
      <c r="E112" s="126"/>
      <c r="F112" s="126"/>
      <c r="G112" s="126"/>
      <c r="H112" s="126"/>
      <c r="I112" s="126"/>
    </row>
    <row r="113" spans="1:9" ht="14.25" customHeight="1">
      <c r="A113" s="126" t="s">
        <v>20</v>
      </c>
      <c r="B113" s="126"/>
      <c r="C113" s="126"/>
      <c r="D113" s="126"/>
      <c r="E113" s="126"/>
      <c r="F113" s="126"/>
      <c r="G113" s="126"/>
      <c r="H113" s="126"/>
      <c r="I113" s="126"/>
    </row>
  </sheetData>
  <autoFilter ref="I12:I61"/>
  <mergeCells count="29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9:I29"/>
    <mergeCell ref="A44:I44"/>
    <mergeCell ref="A55:I55"/>
    <mergeCell ref="A93:I93"/>
    <mergeCell ref="B94:G94"/>
    <mergeCell ref="B95:G95"/>
    <mergeCell ref="A97:I97"/>
    <mergeCell ref="A98:I98"/>
    <mergeCell ref="A82:I82"/>
    <mergeCell ref="R66:U66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1"/>
  <sheetViews>
    <sheetView topLeftCell="A37" workbookViewId="0">
      <selection activeCell="B85" sqref="B85:I8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206</v>
      </c>
      <c r="I1" s="30"/>
      <c r="J1" s="1"/>
      <c r="K1" s="1"/>
      <c r="L1" s="1"/>
      <c r="M1" s="1"/>
    </row>
    <row r="2" spans="1:13" ht="15.75">
      <c r="A2" s="32" t="s">
        <v>63</v>
      </c>
      <c r="J2" s="2"/>
      <c r="K2" s="2"/>
      <c r="L2" s="2"/>
      <c r="M2" s="2"/>
    </row>
    <row r="3" spans="1:13" ht="15.75" customHeight="1">
      <c r="A3" s="112" t="s">
        <v>175</v>
      </c>
      <c r="B3" s="112"/>
      <c r="C3" s="112"/>
      <c r="D3" s="112"/>
      <c r="E3" s="112"/>
      <c r="F3" s="112"/>
      <c r="G3" s="112"/>
      <c r="H3" s="112"/>
      <c r="I3" s="112"/>
      <c r="J3" s="3"/>
      <c r="K3" s="3"/>
      <c r="L3" s="3"/>
    </row>
    <row r="4" spans="1:13" ht="31.5" customHeight="1">
      <c r="A4" s="113" t="s">
        <v>130</v>
      </c>
      <c r="B4" s="113"/>
      <c r="C4" s="113"/>
      <c r="D4" s="113"/>
      <c r="E4" s="113"/>
      <c r="F4" s="113"/>
      <c r="G4" s="113"/>
      <c r="H4" s="113"/>
      <c r="I4" s="113"/>
    </row>
    <row r="5" spans="1:13" ht="15.75">
      <c r="A5" s="112" t="s">
        <v>237</v>
      </c>
      <c r="B5" s="114"/>
      <c r="C5" s="114"/>
      <c r="D5" s="114"/>
      <c r="E5" s="114"/>
      <c r="F5" s="114"/>
      <c r="G5" s="114"/>
      <c r="H5" s="114"/>
      <c r="I5" s="114"/>
      <c r="J5" s="2"/>
      <c r="K5" s="2"/>
      <c r="L5" s="2"/>
      <c r="M5" s="2"/>
    </row>
    <row r="6" spans="1:13" ht="15.75">
      <c r="A6" s="2"/>
      <c r="B6" s="90"/>
      <c r="C6" s="90"/>
      <c r="D6" s="90"/>
      <c r="E6" s="90"/>
      <c r="F6" s="90"/>
      <c r="G6" s="90"/>
      <c r="H6" s="90"/>
      <c r="I6" s="34">
        <v>43434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5" t="s">
        <v>208</v>
      </c>
      <c r="B8" s="115"/>
      <c r="C8" s="115"/>
      <c r="D8" s="115"/>
      <c r="E8" s="115"/>
      <c r="F8" s="115"/>
      <c r="G8" s="115"/>
      <c r="H8" s="115"/>
      <c r="I8" s="115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16" t="s">
        <v>165</v>
      </c>
      <c r="B10" s="116"/>
      <c r="C10" s="116"/>
      <c r="D10" s="116"/>
      <c r="E10" s="116"/>
      <c r="F10" s="116"/>
      <c r="G10" s="116"/>
      <c r="H10" s="116"/>
      <c r="I10" s="116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7" t="s">
        <v>60</v>
      </c>
      <c r="B14" s="117"/>
      <c r="C14" s="117"/>
      <c r="D14" s="117"/>
      <c r="E14" s="117"/>
      <c r="F14" s="117"/>
      <c r="G14" s="117"/>
      <c r="H14" s="117"/>
      <c r="I14" s="117"/>
      <c r="J14" s="8"/>
      <c r="K14" s="8"/>
      <c r="L14" s="8"/>
      <c r="M14" s="8"/>
    </row>
    <row r="15" spans="1:13">
      <c r="A15" s="111" t="s">
        <v>4</v>
      </c>
      <c r="B15" s="111"/>
      <c r="C15" s="111"/>
      <c r="D15" s="111"/>
      <c r="E15" s="111"/>
      <c r="F15" s="111"/>
      <c r="G15" s="111"/>
      <c r="H15" s="111"/>
      <c r="I15" s="111"/>
      <c r="J15" s="8"/>
      <c r="K15" s="8"/>
      <c r="L15" s="8"/>
      <c r="M15" s="8"/>
    </row>
    <row r="16" spans="1:13" ht="15.75" customHeight="1">
      <c r="A16" s="33">
        <v>1</v>
      </c>
      <c r="B16" s="64" t="s">
        <v>88</v>
      </c>
      <c r="C16" s="65" t="s">
        <v>89</v>
      </c>
      <c r="D16" s="64" t="s">
        <v>166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137</v>
      </c>
      <c r="C17" s="65" t="s">
        <v>89</v>
      </c>
      <c r="D17" s="64" t="s">
        <v>167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138</v>
      </c>
      <c r="C18" s="65" t="s">
        <v>89</v>
      </c>
      <c r="D18" s="64" t="s">
        <v>168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98</v>
      </c>
      <c r="C19" s="65" t="s">
        <v>99</v>
      </c>
      <c r="D19" s="64" t="s">
        <v>100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101</v>
      </c>
      <c r="C20" s="65" t="s">
        <v>89</v>
      </c>
      <c r="D20" s="64" t="s">
        <v>29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5</v>
      </c>
      <c r="B21" s="64" t="s">
        <v>102</v>
      </c>
      <c r="C21" s="65" t="s">
        <v>89</v>
      </c>
      <c r="D21" s="64" t="s">
        <v>176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104</v>
      </c>
      <c r="C22" s="65" t="s">
        <v>53</v>
      </c>
      <c r="D22" s="64" t="s">
        <v>100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105</v>
      </c>
      <c r="C23" s="65" t="s">
        <v>53</v>
      </c>
      <c r="D23" s="64" t="s">
        <v>100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106</v>
      </c>
      <c r="C24" s="65" t="s">
        <v>53</v>
      </c>
      <c r="D24" s="64" t="s">
        <v>107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108</v>
      </c>
      <c r="C25" s="65" t="s">
        <v>53</v>
      </c>
      <c r="D25" s="64" t="s">
        <v>54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109</v>
      </c>
      <c r="C26" s="65" t="s">
        <v>53</v>
      </c>
      <c r="D26" s="64" t="s">
        <v>100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4" t="s">
        <v>65</v>
      </c>
      <c r="C27" s="65" t="s">
        <v>32</v>
      </c>
      <c r="D27" s="64"/>
      <c r="E27" s="66">
        <v>0.1</v>
      </c>
      <c r="F27" s="67">
        <f>SUM(E27*365)</f>
        <v>36.5</v>
      </c>
      <c r="G27" s="67">
        <v>138.44999999999999</v>
      </c>
      <c r="H27" s="68">
        <f>SUM(F27*G27/1000)</f>
        <v>5.0534249999999989</v>
      </c>
      <c r="I27" s="13">
        <f>F27/12*G27</f>
        <v>421.11874999999992</v>
      </c>
      <c r="J27" s="27"/>
    </row>
    <row r="28" spans="1:13" ht="15.75" hidden="1" customHeight="1">
      <c r="A28" s="33">
        <v>7</v>
      </c>
      <c r="B28" s="72" t="s">
        <v>23</v>
      </c>
      <c r="C28" s="65" t="s">
        <v>24</v>
      </c>
      <c r="D28" s="64"/>
      <c r="E28" s="66">
        <v>1042.5999999999999</v>
      </c>
      <c r="F28" s="67">
        <f>SUM(E28*12)</f>
        <v>12511.199999999999</v>
      </c>
      <c r="G28" s="67">
        <v>6.15</v>
      </c>
      <c r="H28" s="68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23" t="s">
        <v>86</v>
      </c>
      <c r="B29" s="124"/>
      <c r="C29" s="124"/>
      <c r="D29" s="124"/>
      <c r="E29" s="124"/>
      <c r="F29" s="124"/>
      <c r="G29" s="124"/>
      <c r="H29" s="124"/>
      <c r="I29" s="125"/>
      <c r="J29" s="26"/>
      <c r="K29" s="8"/>
      <c r="L29" s="8"/>
      <c r="M29" s="8"/>
    </row>
    <row r="30" spans="1:13" ht="15.75" hidden="1" customHeight="1">
      <c r="A30" s="33"/>
      <c r="B30" s="85" t="s">
        <v>27</v>
      </c>
      <c r="C30" s="65"/>
      <c r="D30" s="64"/>
      <c r="E30" s="66"/>
      <c r="F30" s="67"/>
      <c r="G30" s="67"/>
      <c r="H30" s="68"/>
      <c r="I30" s="13"/>
      <c r="J30" s="26"/>
      <c r="K30" s="8"/>
      <c r="L30" s="8"/>
      <c r="M30" s="8"/>
    </row>
    <row r="31" spans="1:13" ht="15.75" hidden="1" customHeight="1">
      <c r="A31" s="33">
        <v>7</v>
      </c>
      <c r="B31" s="64" t="s">
        <v>114</v>
      </c>
      <c r="C31" s="65" t="s">
        <v>92</v>
      </c>
      <c r="D31" s="64" t="s">
        <v>170</v>
      </c>
      <c r="E31" s="67">
        <v>266.57</v>
      </c>
      <c r="F31" s="67">
        <f>SUM(E31*52/1000)</f>
        <v>13.86164</v>
      </c>
      <c r="G31" s="67">
        <v>146.79</v>
      </c>
      <c r="H31" s="68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hidden="1" customHeight="1">
      <c r="A32" s="33">
        <v>8</v>
      </c>
      <c r="B32" s="64" t="s">
        <v>113</v>
      </c>
      <c r="C32" s="65" t="s">
        <v>92</v>
      </c>
      <c r="D32" s="64" t="s">
        <v>171</v>
      </c>
      <c r="E32" s="67">
        <v>48.03</v>
      </c>
      <c r="F32" s="67">
        <f>SUM(E32*78/1000)</f>
        <v>3.74634</v>
      </c>
      <c r="G32" s="67">
        <v>243.54</v>
      </c>
      <c r="H32" s="68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26</v>
      </c>
      <c r="C33" s="65" t="s">
        <v>92</v>
      </c>
      <c r="D33" s="64" t="s">
        <v>54</v>
      </c>
      <c r="E33" s="67">
        <v>266.57</v>
      </c>
      <c r="F33" s="67">
        <f>SUM(E33/1000)</f>
        <v>0.26656999999999997</v>
      </c>
      <c r="G33" s="67">
        <v>2844</v>
      </c>
      <c r="H33" s="68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hidden="1" customHeight="1">
      <c r="A34" s="33">
        <v>9</v>
      </c>
      <c r="B34" s="64" t="s">
        <v>112</v>
      </c>
      <c r="C34" s="65" t="s">
        <v>30</v>
      </c>
      <c r="D34" s="64" t="s">
        <v>64</v>
      </c>
      <c r="E34" s="71">
        <v>0.33333333333333331</v>
      </c>
      <c r="F34" s="67">
        <f>155/3</f>
        <v>51.666666666666664</v>
      </c>
      <c r="G34" s="67">
        <v>53.38</v>
      </c>
      <c r="H34" s="68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4" t="s">
        <v>66</v>
      </c>
      <c r="C35" s="65" t="s">
        <v>32</v>
      </c>
      <c r="D35" s="64" t="s">
        <v>68</v>
      </c>
      <c r="E35" s="66"/>
      <c r="F35" s="67">
        <v>1</v>
      </c>
      <c r="G35" s="67">
        <v>180.15</v>
      </c>
      <c r="H35" s="68">
        <f t="shared" si="1"/>
        <v>0.18015</v>
      </c>
      <c r="I35" s="13">
        <v>0</v>
      </c>
      <c r="J35" s="27"/>
    </row>
    <row r="36" spans="1:14" ht="15.75" hidden="1" customHeight="1">
      <c r="A36" s="33"/>
      <c r="B36" s="64" t="s">
        <v>67</v>
      </c>
      <c r="C36" s="65" t="s">
        <v>31</v>
      </c>
      <c r="D36" s="64" t="s">
        <v>68</v>
      </c>
      <c r="E36" s="66"/>
      <c r="F36" s="67">
        <v>1</v>
      </c>
      <c r="G36" s="67">
        <v>1214.74</v>
      </c>
      <c r="H36" s="68">
        <f t="shared" si="1"/>
        <v>1.2147399999999999</v>
      </c>
      <c r="I36" s="13">
        <v>0</v>
      </c>
      <c r="J36" s="27"/>
    </row>
    <row r="37" spans="1:14" ht="15.75" customHeight="1">
      <c r="A37" s="33"/>
      <c r="B37" s="85" t="s">
        <v>5</v>
      </c>
      <c r="C37" s="65"/>
      <c r="D37" s="64"/>
      <c r="E37" s="66"/>
      <c r="F37" s="67"/>
      <c r="G37" s="67"/>
      <c r="H37" s="68" t="s">
        <v>139</v>
      </c>
      <c r="I37" s="13"/>
      <c r="J37" s="27"/>
    </row>
    <row r="38" spans="1:14" ht="15.75" customHeight="1">
      <c r="A38" s="33">
        <v>7</v>
      </c>
      <c r="B38" s="64" t="s">
        <v>25</v>
      </c>
      <c r="C38" s="65" t="s">
        <v>31</v>
      </c>
      <c r="D38" s="64"/>
      <c r="E38" s="66"/>
      <c r="F38" s="67">
        <v>3</v>
      </c>
      <c r="G38" s="67">
        <v>1632.6</v>
      </c>
      <c r="H38" s="68">
        <f t="shared" ref="H38:H43" si="3">SUM(F38*G38/1000)</f>
        <v>4.8977999999999993</v>
      </c>
      <c r="I38" s="13">
        <f t="shared" ref="I38:I41" si="4">F38/6*G38</f>
        <v>816.3</v>
      </c>
      <c r="J38" s="27"/>
    </row>
    <row r="39" spans="1:14" ht="15.75" customHeight="1">
      <c r="A39" s="33">
        <v>8</v>
      </c>
      <c r="B39" s="64" t="s">
        <v>115</v>
      </c>
      <c r="C39" s="65" t="s">
        <v>28</v>
      </c>
      <c r="D39" s="64" t="s">
        <v>90</v>
      </c>
      <c r="E39" s="66">
        <v>48.03</v>
      </c>
      <c r="F39" s="67">
        <v>1.44</v>
      </c>
      <c r="G39" s="67">
        <v>1979.95</v>
      </c>
      <c r="H39" s="68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customHeight="1">
      <c r="A40" s="33">
        <v>9</v>
      </c>
      <c r="B40" s="64" t="s">
        <v>69</v>
      </c>
      <c r="C40" s="65" t="s">
        <v>28</v>
      </c>
      <c r="D40" s="64" t="s">
        <v>91</v>
      </c>
      <c r="E40" s="67">
        <v>48.03</v>
      </c>
      <c r="F40" s="67">
        <f>SUM(E40*155/1000)</f>
        <v>7.4446500000000002</v>
      </c>
      <c r="G40" s="67">
        <v>330.27</v>
      </c>
      <c r="H40" s="68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customHeight="1">
      <c r="A41" s="33">
        <v>10</v>
      </c>
      <c r="B41" s="64" t="s">
        <v>84</v>
      </c>
      <c r="C41" s="65" t="s">
        <v>92</v>
      </c>
      <c r="D41" s="64" t="s">
        <v>116</v>
      </c>
      <c r="E41" s="67">
        <v>48.03</v>
      </c>
      <c r="F41" s="67">
        <f>SUM(E41*35/1000)</f>
        <v>1.6810499999999999</v>
      </c>
      <c r="G41" s="67">
        <v>5464.48</v>
      </c>
      <c r="H41" s="68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customHeight="1">
      <c r="A42" s="33">
        <v>11</v>
      </c>
      <c r="B42" s="64" t="s">
        <v>93</v>
      </c>
      <c r="C42" s="65" t="s">
        <v>92</v>
      </c>
      <c r="D42" s="64" t="s">
        <v>70</v>
      </c>
      <c r="E42" s="67">
        <v>48.03</v>
      </c>
      <c r="F42" s="67">
        <f>SUM(E42*45/1000)</f>
        <v>2.1613500000000001</v>
      </c>
      <c r="G42" s="67">
        <v>403.67</v>
      </c>
      <c r="H42" s="68">
        <f t="shared" si="3"/>
        <v>0.87247215450000015</v>
      </c>
      <c r="I42" s="13">
        <f>F42/7.5*G42</f>
        <v>116.3296206</v>
      </c>
      <c r="J42" s="27"/>
      <c r="L42" s="20"/>
      <c r="M42" s="21"/>
      <c r="N42" s="22"/>
    </row>
    <row r="43" spans="1:14" ht="15.75" customHeight="1">
      <c r="A43" s="33">
        <v>12</v>
      </c>
      <c r="B43" s="64" t="s">
        <v>71</v>
      </c>
      <c r="C43" s="65" t="s">
        <v>32</v>
      </c>
      <c r="D43" s="64"/>
      <c r="E43" s="66"/>
      <c r="F43" s="67">
        <v>0.53</v>
      </c>
      <c r="G43" s="67">
        <v>750.34</v>
      </c>
      <c r="H43" s="68">
        <f t="shared" si="3"/>
        <v>0.39768020000000004</v>
      </c>
      <c r="I43" s="13">
        <f>F43/7.5*G43</f>
        <v>53.024026666666671</v>
      </c>
      <c r="J43" s="27"/>
      <c r="L43" s="20"/>
      <c r="M43" s="21"/>
      <c r="N43" s="22"/>
    </row>
    <row r="44" spans="1:14" ht="15.75" hidden="1" customHeight="1">
      <c r="A44" s="123" t="s">
        <v>132</v>
      </c>
      <c r="B44" s="124"/>
      <c r="C44" s="124"/>
      <c r="D44" s="124"/>
      <c r="E44" s="124"/>
      <c r="F44" s="124"/>
      <c r="G44" s="124"/>
      <c r="H44" s="124"/>
      <c r="I44" s="125"/>
      <c r="J44" s="27"/>
      <c r="L44" s="20"/>
      <c r="M44" s="21"/>
      <c r="N44" s="22"/>
    </row>
    <row r="45" spans="1:14" ht="15.75" hidden="1" customHeight="1">
      <c r="A45" s="33"/>
      <c r="B45" s="64" t="s">
        <v>117</v>
      </c>
      <c r="C45" s="65" t="s">
        <v>92</v>
      </c>
      <c r="D45" s="64" t="s">
        <v>42</v>
      </c>
      <c r="E45" s="66">
        <v>636.25</v>
      </c>
      <c r="F45" s="67">
        <f>SUM(E45*2/1000)</f>
        <v>1.2725</v>
      </c>
      <c r="G45" s="13">
        <v>762.53</v>
      </c>
      <c r="H45" s="68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4" t="s">
        <v>35</v>
      </c>
      <c r="C46" s="65" t="s">
        <v>92</v>
      </c>
      <c r="D46" s="64" t="s">
        <v>42</v>
      </c>
      <c r="E46" s="66">
        <v>26</v>
      </c>
      <c r="F46" s="67">
        <f>SUM(E46*2/1000)</f>
        <v>5.1999999999999998E-2</v>
      </c>
      <c r="G46" s="13">
        <v>545.65</v>
      </c>
      <c r="H46" s="68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4" t="s">
        <v>36</v>
      </c>
      <c r="C47" s="65" t="s">
        <v>92</v>
      </c>
      <c r="D47" s="64" t="s">
        <v>42</v>
      </c>
      <c r="E47" s="66">
        <v>579</v>
      </c>
      <c r="F47" s="67">
        <f>SUM(E47*2/1000)</f>
        <v>1.1579999999999999</v>
      </c>
      <c r="G47" s="13">
        <v>545.65</v>
      </c>
      <c r="H47" s="68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4" t="s">
        <v>37</v>
      </c>
      <c r="C48" s="65" t="s">
        <v>92</v>
      </c>
      <c r="D48" s="64" t="s">
        <v>42</v>
      </c>
      <c r="E48" s="66">
        <v>683.33</v>
      </c>
      <c r="F48" s="67">
        <f>SUM(E48*2/1000)</f>
        <v>1.36666</v>
      </c>
      <c r="G48" s="13">
        <v>571.35</v>
      </c>
      <c r="H48" s="68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4" t="s">
        <v>33</v>
      </c>
      <c r="C49" s="65" t="s">
        <v>34</v>
      </c>
      <c r="D49" s="64" t="s">
        <v>42</v>
      </c>
      <c r="E49" s="66">
        <v>44.11</v>
      </c>
      <c r="F49" s="67">
        <f>SUM(E49*2/100)</f>
        <v>0.88219999999999998</v>
      </c>
      <c r="G49" s="13">
        <v>68.56</v>
      </c>
      <c r="H49" s="68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10</v>
      </c>
      <c r="B50" s="64" t="s">
        <v>57</v>
      </c>
      <c r="C50" s="65" t="s">
        <v>92</v>
      </c>
      <c r="D50" s="64" t="s">
        <v>133</v>
      </c>
      <c r="E50" s="66">
        <v>1140</v>
      </c>
      <c r="F50" s="67">
        <f>SUM(E50*5/1000)</f>
        <v>5.7</v>
      </c>
      <c r="G50" s="13">
        <v>1142.7</v>
      </c>
      <c r="H50" s="68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>
        <v>14</v>
      </c>
      <c r="B51" s="64" t="s">
        <v>94</v>
      </c>
      <c r="C51" s="65" t="s">
        <v>92</v>
      </c>
      <c r="D51" s="64" t="s">
        <v>42</v>
      </c>
      <c r="E51" s="66">
        <v>1140</v>
      </c>
      <c r="F51" s="67">
        <f>SUM(E51*2/1000)</f>
        <v>2.2799999999999998</v>
      </c>
      <c r="G51" s="13">
        <v>1142.7</v>
      </c>
      <c r="H51" s="68">
        <f t="shared" si="5"/>
        <v>2.6053559999999996</v>
      </c>
      <c r="I51" s="13">
        <f>F51/2*G51</f>
        <v>1302.6779999999999</v>
      </c>
      <c r="J51" s="27"/>
      <c r="L51" s="20"/>
      <c r="M51" s="21"/>
      <c r="N51" s="22"/>
    </row>
    <row r="52" spans="1:22" ht="31.5" hidden="1" customHeight="1">
      <c r="A52" s="33">
        <v>15</v>
      </c>
      <c r="B52" s="64" t="s">
        <v>95</v>
      </c>
      <c r="C52" s="65" t="s">
        <v>38</v>
      </c>
      <c r="D52" s="64" t="s">
        <v>42</v>
      </c>
      <c r="E52" s="66">
        <v>9</v>
      </c>
      <c r="F52" s="67">
        <f>SUM(E52*2/100)</f>
        <v>0.18</v>
      </c>
      <c r="G52" s="13">
        <v>2571.08</v>
      </c>
      <c r="H52" s="68">
        <f t="shared" si="5"/>
        <v>0.46279439999999999</v>
      </c>
      <c r="I52" s="13">
        <f t="shared" ref="I52:I53" si="6">F52/2*G52</f>
        <v>231.3972</v>
      </c>
      <c r="J52" s="27"/>
      <c r="L52" s="20"/>
      <c r="M52" s="21"/>
      <c r="N52" s="22"/>
    </row>
    <row r="53" spans="1:22" ht="15.75" hidden="1" customHeight="1">
      <c r="A53" s="33">
        <v>16</v>
      </c>
      <c r="B53" s="64" t="s">
        <v>39</v>
      </c>
      <c r="C53" s="65" t="s">
        <v>40</v>
      </c>
      <c r="D53" s="64" t="s">
        <v>42</v>
      </c>
      <c r="E53" s="66">
        <v>1</v>
      </c>
      <c r="F53" s="67">
        <v>0.02</v>
      </c>
      <c r="G53" s="13">
        <v>5322.15</v>
      </c>
      <c r="H53" s="68">
        <f t="shared" si="5"/>
        <v>0.106443</v>
      </c>
      <c r="I53" s="13">
        <f t="shared" si="6"/>
        <v>53.221499999999999</v>
      </c>
      <c r="J53" s="27"/>
      <c r="L53" s="20"/>
      <c r="M53" s="21"/>
      <c r="N53" s="22"/>
    </row>
    <row r="54" spans="1:22" ht="15.75" hidden="1" customHeight="1">
      <c r="A54" s="33">
        <v>11</v>
      </c>
      <c r="B54" s="64" t="s">
        <v>41</v>
      </c>
      <c r="C54" s="65" t="s">
        <v>118</v>
      </c>
      <c r="D54" s="64" t="s">
        <v>72</v>
      </c>
      <c r="E54" s="66">
        <v>36</v>
      </c>
      <c r="F54" s="67">
        <f>SUM(E54)*3</f>
        <v>108</v>
      </c>
      <c r="G54" s="13">
        <v>61.84</v>
      </c>
      <c r="H54" s="68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hidden="1" customHeight="1">
      <c r="A55" s="123" t="s">
        <v>134</v>
      </c>
      <c r="B55" s="124"/>
      <c r="C55" s="124"/>
      <c r="D55" s="124"/>
      <c r="E55" s="124"/>
      <c r="F55" s="124"/>
      <c r="G55" s="124"/>
      <c r="H55" s="124"/>
      <c r="I55" s="125"/>
      <c r="J55" s="27"/>
      <c r="L55" s="20"/>
      <c r="M55" s="21"/>
      <c r="N55" s="22"/>
    </row>
    <row r="56" spans="1:22" ht="15.75" hidden="1" customHeight="1">
      <c r="A56" s="33"/>
      <c r="B56" s="85" t="s">
        <v>43</v>
      </c>
      <c r="C56" s="65"/>
      <c r="D56" s="64"/>
      <c r="E56" s="66"/>
      <c r="F56" s="67"/>
      <c r="G56" s="67"/>
      <c r="H56" s="68"/>
      <c r="I56" s="13"/>
      <c r="J56" s="27"/>
      <c r="L56" s="20"/>
      <c r="M56" s="21"/>
      <c r="N56" s="22"/>
    </row>
    <row r="57" spans="1:22" ht="31.5" hidden="1" customHeight="1">
      <c r="A57" s="33">
        <v>17</v>
      </c>
      <c r="B57" s="64" t="s">
        <v>119</v>
      </c>
      <c r="C57" s="65" t="s">
        <v>89</v>
      </c>
      <c r="D57" s="64" t="s">
        <v>120</v>
      </c>
      <c r="E57" s="66">
        <v>72.33</v>
      </c>
      <c r="F57" s="67">
        <f>SUM(E57*6/100)</f>
        <v>4.3398000000000003</v>
      </c>
      <c r="G57" s="13">
        <v>1456.95</v>
      </c>
      <c r="H57" s="68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5" t="s">
        <v>44</v>
      </c>
      <c r="C58" s="65"/>
      <c r="D58" s="64"/>
      <c r="E58" s="66"/>
      <c r="F58" s="67"/>
      <c r="G58" s="60"/>
      <c r="H58" s="68"/>
      <c r="I58" s="13"/>
      <c r="J58" s="27"/>
      <c r="L58" s="20"/>
      <c r="M58" s="21"/>
      <c r="N58" s="22"/>
    </row>
    <row r="59" spans="1:22" ht="15.75" hidden="1" customHeight="1">
      <c r="A59" s="33"/>
      <c r="B59" s="64" t="s">
        <v>121</v>
      </c>
      <c r="C59" s="65"/>
      <c r="D59" s="64" t="s">
        <v>54</v>
      </c>
      <c r="E59" s="66">
        <v>952</v>
      </c>
      <c r="F59" s="68">
        <v>9.52</v>
      </c>
      <c r="G59" s="13">
        <v>848.37</v>
      </c>
      <c r="H59" s="73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6" t="s">
        <v>45</v>
      </c>
      <c r="C60" s="74"/>
      <c r="D60" s="75"/>
      <c r="E60" s="76"/>
      <c r="F60" s="77"/>
      <c r="G60" s="77"/>
      <c r="H60" s="78" t="s">
        <v>139</v>
      </c>
      <c r="I60" s="13"/>
    </row>
    <row r="61" spans="1:22" ht="15.75" hidden="1" customHeight="1">
      <c r="A61" s="33">
        <v>10</v>
      </c>
      <c r="B61" s="14" t="s">
        <v>46</v>
      </c>
      <c r="C61" s="16" t="s">
        <v>118</v>
      </c>
      <c r="D61" s="14" t="s">
        <v>68</v>
      </c>
      <c r="E61" s="18">
        <v>5</v>
      </c>
      <c r="F61" s="67">
        <v>5</v>
      </c>
      <c r="G61" s="13">
        <v>237.74</v>
      </c>
      <c r="H61" s="79">
        <f t="shared" ref="H61:H75" si="7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47</v>
      </c>
      <c r="C62" s="16" t="s">
        <v>118</v>
      </c>
      <c r="D62" s="14" t="s">
        <v>68</v>
      </c>
      <c r="E62" s="18">
        <v>2</v>
      </c>
      <c r="F62" s="67">
        <v>2</v>
      </c>
      <c r="G62" s="13">
        <v>81.510000000000005</v>
      </c>
      <c r="H62" s="79">
        <f t="shared" si="7"/>
        <v>0.16302</v>
      </c>
      <c r="I62" s="13">
        <v>0</v>
      </c>
    </row>
    <row r="63" spans="1:22" ht="15.75" hidden="1" customHeight="1">
      <c r="A63" s="33"/>
      <c r="B63" s="14" t="s">
        <v>48</v>
      </c>
      <c r="C63" s="16" t="s">
        <v>122</v>
      </c>
      <c r="D63" s="14" t="s">
        <v>54</v>
      </c>
      <c r="E63" s="66">
        <v>4292</v>
      </c>
      <c r="F63" s="13">
        <f>SUM(E63/100)</f>
        <v>42.92</v>
      </c>
      <c r="G63" s="13">
        <v>226.79</v>
      </c>
      <c r="H63" s="79">
        <f t="shared" si="7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49</v>
      </c>
      <c r="C64" s="16" t="s">
        <v>123</v>
      </c>
      <c r="D64" s="14"/>
      <c r="E64" s="66">
        <v>4292</v>
      </c>
      <c r="F64" s="13">
        <f>SUM(E64/1000)</f>
        <v>4.2919999999999998</v>
      </c>
      <c r="G64" s="13">
        <v>176.61</v>
      </c>
      <c r="H64" s="79">
        <f t="shared" si="7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50</v>
      </c>
      <c r="C65" s="16" t="s">
        <v>78</v>
      </c>
      <c r="D65" s="14" t="s">
        <v>54</v>
      </c>
      <c r="E65" s="66">
        <v>510</v>
      </c>
      <c r="F65" s="13">
        <f>SUM(E65/100)</f>
        <v>5.0999999999999996</v>
      </c>
      <c r="G65" s="13">
        <v>2217.7800000000002</v>
      </c>
      <c r="H65" s="79">
        <f t="shared" si="7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0" t="s">
        <v>124</v>
      </c>
      <c r="C66" s="16" t="s">
        <v>32</v>
      </c>
      <c r="D66" s="14"/>
      <c r="E66" s="66">
        <v>4.5999999999999996</v>
      </c>
      <c r="F66" s="13">
        <f>SUM(E66)</f>
        <v>4.5999999999999996</v>
      </c>
      <c r="G66" s="13">
        <v>42.67</v>
      </c>
      <c r="H66" s="79">
        <f t="shared" si="7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8"/>
      <c r="S66" s="118"/>
      <c r="T66" s="118"/>
      <c r="U66" s="118"/>
    </row>
    <row r="67" spans="1:21" ht="15.75" hidden="1" customHeight="1">
      <c r="A67" s="33"/>
      <c r="B67" s="80" t="s">
        <v>125</v>
      </c>
      <c r="C67" s="16" t="s">
        <v>32</v>
      </c>
      <c r="D67" s="14"/>
      <c r="E67" s="66">
        <v>4.5999999999999996</v>
      </c>
      <c r="F67" s="13">
        <f>SUM(E67)</f>
        <v>4.5999999999999996</v>
      </c>
      <c r="G67" s="13">
        <v>39.81</v>
      </c>
      <c r="H67" s="79">
        <f t="shared" si="7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58</v>
      </c>
      <c r="C68" s="16" t="s">
        <v>59</v>
      </c>
      <c r="D68" s="14" t="s">
        <v>54</v>
      </c>
      <c r="E68" s="18">
        <v>3</v>
      </c>
      <c r="F68" s="67">
        <v>3</v>
      </c>
      <c r="G68" s="13">
        <v>53.32</v>
      </c>
      <c r="H68" s="79">
        <f t="shared" si="7"/>
        <v>0.15996000000000002</v>
      </c>
      <c r="I68" s="13">
        <v>0</v>
      </c>
    </row>
    <row r="69" spans="1:21" ht="15.75" hidden="1" customHeight="1">
      <c r="A69" s="33"/>
      <c r="B69" s="91" t="s">
        <v>73</v>
      </c>
      <c r="C69" s="16"/>
      <c r="D69" s="14"/>
      <c r="E69" s="18"/>
      <c r="F69" s="13"/>
      <c r="G69" s="13"/>
      <c r="H69" s="79" t="s">
        <v>139</v>
      </c>
      <c r="I69" s="13"/>
    </row>
    <row r="70" spans="1:21" ht="15.75" hidden="1" customHeight="1">
      <c r="A70" s="33"/>
      <c r="B70" s="14" t="s">
        <v>74</v>
      </c>
      <c r="C70" s="16" t="s">
        <v>76</v>
      </c>
      <c r="D70" s="14"/>
      <c r="E70" s="18">
        <v>2</v>
      </c>
      <c r="F70" s="13">
        <v>0.2</v>
      </c>
      <c r="G70" s="13">
        <v>536.23</v>
      </c>
      <c r="H70" s="79">
        <f t="shared" si="7"/>
        <v>0.10724600000000001</v>
      </c>
      <c r="I70" s="13">
        <v>0</v>
      </c>
    </row>
    <row r="71" spans="1:21" ht="15.75" hidden="1" customHeight="1">
      <c r="A71" s="33"/>
      <c r="B71" s="14" t="s">
        <v>75</v>
      </c>
      <c r="C71" s="16" t="s">
        <v>30</v>
      </c>
      <c r="D71" s="14"/>
      <c r="E71" s="18">
        <v>1</v>
      </c>
      <c r="F71" s="60">
        <v>1</v>
      </c>
      <c r="G71" s="13">
        <v>911.85</v>
      </c>
      <c r="H71" s="79">
        <f t="shared" si="7"/>
        <v>0.91185000000000005</v>
      </c>
      <c r="I71" s="13">
        <v>0</v>
      </c>
    </row>
    <row r="72" spans="1:21" ht="15.75" hidden="1" customHeight="1">
      <c r="A72" s="33"/>
      <c r="B72" s="14" t="s">
        <v>140</v>
      </c>
      <c r="C72" s="16" t="s">
        <v>141</v>
      </c>
      <c r="D72" s="14"/>
      <c r="E72" s="18"/>
      <c r="F72" s="13"/>
      <c r="G72" s="13">
        <v>31.54</v>
      </c>
      <c r="H72" s="79">
        <f t="shared" si="7"/>
        <v>0</v>
      </c>
      <c r="I72" s="13"/>
    </row>
    <row r="73" spans="1:21" ht="15.75" hidden="1" customHeight="1">
      <c r="A73" s="33"/>
      <c r="B73" s="14" t="s">
        <v>127</v>
      </c>
      <c r="C73" s="16" t="s">
        <v>30</v>
      </c>
      <c r="D73" s="14"/>
      <c r="E73" s="18">
        <v>1</v>
      </c>
      <c r="F73" s="13">
        <v>1</v>
      </c>
      <c r="G73" s="13">
        <v>383.25</v>
      </c>
      <c r="H73" s="79">
        <f>G73*F73/1000</f>
        <v>0.38324999999999998</v>
      </c>
      <c r="I73" s="13">
        <v>0</v>
      </c>
    </row>
    <row r="74" spans="1:21" ht="15.75" hidden="1" customHeight="1">
      <c r="A74" s="33"/>
      <c r="B74" s="82" t="s">
        <v>77</v>
      </c>
      <c r="C74" s="16"/>
      <c r="D74" s="14"/>
      <c r="E74" s="18"/>
      <c r="F74" s="13"/>
      <c r="G74" s="13" t="s">
        <v>139</v>
      </c>
      <c r="H74" s="79" t="s">
        <v>139</v>
      </c>
      <c r="I74" s="13"/>
    </row>
    <row r="75" spans="1:21" ht="15.75" hidden="1" customHeight="1">
      <c r="A75" s="33"/>
      <c r="B75" s="45" t="s">
        <v>151</v>
      </c>
      <c r="C75" s="16" t="s">
        <v>78</v>
      </c>
      <c r="D75" s="14"/>
      <c r="E75" s="18"/>
      <c r="F75" s="13">
        <v>0.1</v>
      </c>
      <c r="G75" s="13">
        <v>2949.85</v>
      </c>
      <c r="H75" s="79">
        <f t="shared" si="7"/>
        <v>0.294985</v>
      </c>
      <c r="I75" s="13">
        <v>0</v>
      </c>
    </row>
    <row r="76" spans="1:21" ht="15.75" hidden="1" customHeight="1">
      <c r="A76" s="33"/>
      <c r="B76" s="89" t="s">
        <v>96</v>
      </c>
      <c r="C76" s="89"/>
      <c r="D76" s="89"/>
      <c r="E76" s="89"/>
      <c r="F76" s="89"/>
      <c r="G76" s="70"/>
      <c r="H76" s="83">
        <f>SUM(H57:H75)</f>
        <v>39.790287929999998</v>
      </c>
      <c r="I76" s="70"/>
    </row>
    <row r="77" spans="1:21" ht="15.75" hidden="1" customHeight="1">
      <c r="A77" s="33">
        <v>10</v>
      </c>
      <c r="B77" s="87" t="s">
        <v>126</v>
      </c>
      <c r="C77" s="24"/>
      <c r="D77" s="23"/>
      <c r="E77" s="84"/>
      <c r="F77" s="88">
        <v>1</v>
      </c>
      <c r="G77" s="13">
        <v>3395.9</v>
      </c>
      <c r="H77" s="79">
        <f>G77*F77/1000</f>
        <v>3.3959000000000001</v>
      </c>
      <c r="I77" s="13">
        <v>939.9</v>
      </c>
    </row>
    <row r="78" spans="1:21" ht="15.75" customHeight="1">
      <c r="A78" s="123" t="s">
        <v>240</v>
      </c>
      <c r="B78" s="124"/>
      <c r="C78" s="124"/>
      <c r="D78" s="124"/>
      <c r="E78" s="124"/>
      <c r="F78" s="124"/>
      <c r="G78" s="124"/>
      <c r="H78" s="124"/>
      <c r="I78" s="125"/>
    </row>
    <row r="79" spans="1:21" ht="15.75" customHeight="1">
      <c r="A79" s="33">
        <v>13</v>
      </c>
      <c r="B79" s="64" t="s">
        <v>128</v>
      </c>
      <c r="C79" s="16" t="s">
        <v>55</v>
      </c>
      <c r="D79" s="50" t="s">
        <v>56</v>
      </c>
      <c r="E79" s="13">
        <v>1042.5999999999999</v>
      </c>
      <c r="F79" s="13">
        <f>SUM(E79*12)</f>
        <v>12511.199999999999</v>
      </c>
      <c r="G79" s="13">
        <v>2.2400000000000002</v>
      </c>
      <c r="H79" s="79">
        <f>SUM(F79*G79/1000)</f>
        <v>28.025088</v>
      </c>
      <c r="I79" s="13">
        <f>F79/12*G79</f>
        <v>2335.424</v>
      </c>
    </row>
    <row r="80" spans="1:21" ht="31.5" customHeight="1">
      <c r="A80" s="33">
        <v>14</v>
      </c>
      <c r="B80" s="14" t="s">
        <v>79</v>
      </c>
      <c r="C80" s="16"/>
      <c r="D80" s="50" t="s">
        <v>56</v>
      </c>
      <c r="E80" s="66">
        <f>E79</f>
        <v>1042.5999999999999</v>
      </c>
      <c r="F80" s="13">
        <f>E80*12</f>
        <v>12511.199999999999</v>
      </c>
      <c r="G80" s="13">
        <v>1.74</v>
      </c>
      <c r="H80" s="79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82</v>
      </c>
      <c r="C81" s="82"/>
      <c r="D81" s="81"/>
      <c r="E81" s="70"/>
      <c r="F81" s="70"/>
      <c r="G81" s="70"/>
      <c r="H81" s="83">
        <f>H80</f>
        <v>21.769487999999999</v>
      </c>
      <c r="I81" s="70">
        <f>I80+I79+I43+I42+I41+I40+I39+I38+I27+I21+I20+I18+I17+I16</f>
        <v>11347.434909849997</v>
      </c>
    </row>
    <row r="82" spans="1:9" ht="15.75" customHeight="1">
      <c r="A82" s="132" t="s">
        <v>61</v>
      </c>
      <c r="B82" s="133"/>
      <c r="C82" s="133"/>
      <c r="D82" s="133"/>
      <c r="E82" s="133"/>
      <c r="F82" s="133"/>
      <c r="G82" s="133"/>
      <c r="H82" s="133"/>
      <c r="I82" s="134"/>
    </row>
    <row r="83" spans="1:9" ht="15.75" customHeight="1">
      <c r="A83" s="33">
        <v>15</v>
      </c>
      <c r="B83" s="75" t="s">
        <v>179</v>
      </c>
      <c r="C83" s="74" t="s">
        <v>180</v>
      </c>
      <c r="D83" s="75"/>
      <c r="E83" s="76"/>
      <c r="F83" s="77">
        <v>200</v>
      </c>
      <c r="G83" s="60">
        <v>1.2</v>
      </c>
      <c r="H83" s="78">
        <f>F83*G83/1000</f>
        <v>0.24</v>
      </c>
      <c r="I83" s="101">
        <f>G83*100</f>
        <v>120</v>
      </c>
    </row>
    <row r="84" spans="1:9" ht="30.75" customHeight="1">
      <c r="A84" s="33">
        <v>16</v>
      </c>
      <c r="B84" s="105" t="s">
        <v>81</v>
      </c>
      <c r="C84" s="106" t="s">
        <v>118</v>
      </c>
      <c r="D84" s="45"/>
      <c r="E84" s="13"/>
      <c r="F84" s="13"/>
      <c r="G84" s="37">
        <v>86.69</v>
      </c>
      <c r="H84" s="79"/>
      <c r="I84" s="13">
        <f>G84*1</f>
        <v>86.69</v>
      </c>
    </row>
    <row r="85" spans="1:9" ht="30" customHeight="1">
      <c r="A85" s="33">
        <v>17</v>
      </c>
      <c r="B85" s="105" t="s">
        <v>238</v>
      </c>
      <c r="C85" s="106" t="s">
        <v>28</v>
      </c>
      <c r="D85" s="45"/>
      <c r="E85" s="13"/>
      <c r="F85" s="13"/>
      <c r="G85" s="37">
        <v>18798.34</v>
      </c>
      <c r="H85" s="79"/>
      <c r="I85" s="13">
        <f>G85*2*0.599/1000</f>
        <v>22.520411320000001</v>
      </c>
    </row>
    <row r="86" spans="1:9" ht="28.5" customHeight="1">
      <c r="A86" s="33">
        <v>18</v>
      </c>
      <c r="B86" s="105" t="s">
        <v>239</v>
      </c>
      <c r="C86" s="106" t="s">
        <v>118</v>
      </c>
      <c r="D86" s="45"/>
      <c r="E86" s="13"/>
      <c r="F86" s="13"/>
      <c r="G86" s="37">
        <v>2012.33</v>
      </c>
      <c r="H86" s="79"/>
      <c r="I86" s="13">
        <f>G86*1</f>
        <v>2012.33</v>
      </c>
    </row>
    <row r="87" spans="1:9" ht="31.5" customHeight="1">
      <c r="A87" s="33">
        <v>19</v>
      </c>
      <c r="B87" s="48" t="s">
        <v>83</v>
      </c>
      <c r="C87" s="49" t="s">
        <v>38</v>
      </c>
      <c r="D87" s="45"/>
      <c r="E87" s="13"/>
      <c r="F87" s="13"/>
      <c r="G87" s="37">
        <v>3724.37</v>
      </c>
      <c r="H87" s="79"/>
      <c r="I87" s="13">
        <f>G87*0.01</f>
        <v>37.243699999999997</v>
      </c>
    </row>
    <row r="88" spans="1:9">
      <c r="A88" s="33"/>
      <c r="B88" s="43" t="s">
        <v>51</v>
      </c>
      <c r="C88" s="39"/>
      <c r="D88" s="46"/>
      <c r="E88" s="39">
        <v>1</v>
      </c>
      <c r="F88" s="39"/>
      <c r="G88" s="39"/>
      <c r="H88" s="39"/>
      <c r="I88" s="35">
        <f>SUM(I83:I87)</f>
        <v>2278.7841113199997</v>
      </c>
    </row>
    <row r="89" spans="1:9" ht="16.5" customHeight="1">
      <c r="A89" s="33"/>
      <c r="B89" s="45" t="s">
        <v>80</v>
      </c>
      <c r="C89" s="15"/>
      <c r="D89" s="15"/>
      <c r="E89" s="40"/>
      <c r="F89" s="40"/>
      <c r="G89" s="41"/>
      <c r="H89" s="41"/>
      <c r="I89" s="17">
        <v>0</v>
      </c>
    </row>
    <row r="90" spans="1:9" ht="16.5" customHeight="1">
      <c r="A90" s="47"/>
      <c r="B90" s="44" t="s">
        <v>52</v>
      </c>
      <c r="C90" s="36"/>
      <c r="D90" s="36"/>
      <c r="E90" s="36"/>
      <c r="F90" s="36"/>
      <c r="G90" s="36"/>
      <c r="H90" s="36"/>
      <c r="I90" s="42">
        <f>I81+I88</f>
        <v>13626.219021169996</v>
      </c>
    </row>
    <row r="91" spans="1:9" ht="15.75" customHeight="1">
      <c r="A91" s="119" t="s">
        <v>241</v>
      </c>
      <c r="B91" s="119"/>
      <c r="C91" s="119"/>
      <c r="D91" s="119"/>
      <c r="E91" s="119"/>
      <c r="F91" s="119"/>
      <c r="G91" s="119"/>
      <c r="H91" s="119"/>
      <c r="I91" s="119"/>
    </row>
    <row r="92" spans="1:9" ht="15.75" customHeight="1">
      <c r="A92" s="57"/>
      <c r="B92" s="120" t="s">
        <v>242</v>
      </c>
      <c r="C92" s="120"/>
      <c r="D92" s="120"/>
      <c r="E92" s="120"/>
      <c r="F92" s="120"/>
      <c r="G92" s="120"/>
      <c r="H92" s="63"/>
      <c r="I92" s="3"/>
    </row>
    <row r="93" spans="1:9">
      <c r="A93" s="92"/>
      <c r="B93" s="121" t="s">
        <v>6</v>
      </c>
      <c r="C93" s="121"/>
      <c r="D93" s="121"/>
      <c r="E93" s="121"/>
      <c r="F93" s="121"/>
      <c r="G93" s="121"/>
      <c r="H93" s="28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22" t="s">
        <v>7</v>
      </c>
      <c r="B95" s="122"/>
      <c r="C95" s="122"/>
      <c r="D95" s="122"/>
      <c r="E95" s="122"/>
      <c r="F95" s="122"/>
      <c r="G95" s="122"/>
      <c r="H95" s="122"/>
      <c r="I95" s="122"/>
    </row>
    <row r="96" spans="1:9" ht="15.75">
      <c r="A96" s="122" t="s">
        <v>8</v>
      </c>
      <c r="B96" s="122"/>
      <c r="C96" s="122"/>
      <c r="D96" s="122"/>
      <c r="E96" s="122"/>
      <c r="F96" s="122"/>
      <c r="G96" s="122"/>
      <c r="H96" s="122"/>
      <c r="I96" s="122"/>
    </row>
    <row r="97" spans="1:9" ht="15.75">
      <c r="A97" s="127" t="s">
        <v>62</v>
      </c>
      <c r="B97" s="127"/>
      <c r="C97" s="127"/>
      <c r="D97" s="127"/>
      <c r="E97" s="127"/>
      <c r="F97" s="127"/>
      <c r="G97" s="127"/>
      <c r="H97" s="127"/>
      <c r="I97" s="127"/>
    </row>
    <row r="98" spans="1:9" ht="15.75">
      <c r="A98" s="11"/>
    </row>
    <row r="99" spans="1:9" ht="15.75">
      <c r="A99" s="128" t="s">
        <v>9</v>
      </c>
      <c r="B99" s="128"/>
      <c r="C99" s="128"/>
      <c r="D99" s="128"/>
      <c r="E99" s="128"/>
      <c r="F99" s="128"/>
      <c r="G99" s="128"/>
      <c r="H99" s="128"/>
      <c r="I99" s="128"/>
    </row>
    <row r="100" spans="1:9" ht="15.75">
      <c r="A100" s="4"/>
    </row>
    <row r="101" spans="1:9" ht="15.75">
      <c r="B101" s="94" t="s">
        <v>10</v>
      </c>
      <c r="C101" s="129" t="s">
        <v>131</v>
      </c>
      <c r="D101" s="129"/>
      <c r="E101" s="129"/>
      <c r="F101" s="61"/>
      <c r="I101" s="95"/>
    </row>
    <row r="102" spans="1:9">
      <c r="A102" s="92"/>
      <c r="C102" s="121" t="s">
        <v>11</v>
      </c>
      <c r="D102" s="121"/>
      <c r="E102" s="121"/>
      <c r="F102" s="28"/>
      <c r="I102" s="93" t="s">
        <v>12</v>
      </c>
    </row>
    <row r="103" spans="1:9" ht="15.75">
      <c r="A103" s="29"/>
      <c r="C103" s="12"/>
      <c r="D103" s="12"/>
      <c r="G103" s="12"/>
      <c r="H103" s="12"/>
    </row>
    <row r="104" spans="1:9" ht="15.75">
      <c r="B104" s="94" t="s">
        <v>13</v>
      </c>
      <c r="C104" s="130"/>
      <c r="D104" s="130"/>
      <c r="E104" s="130"/>
      <c r="F104" s="62"/>
      <c r="I104" s="95"/>
    </row>
    <row r="105" spans="1:9">
      <c r="A105" s="92"/>
      <c r="C105" s="118" t="s">
        <v>11</v>
      </c>
      <c r="D105" s="118"/>
      <c r="E105" s="118"/>
      <c r="F105" s="92"/>
      <c r="I105" s="93" t="s">
        <v>12</v>
      </c>
    </row>
    <row r="106" spans="1:9" ht="15.75">
      <c r="A106" s="4" t="s">
        <v>14</v>
      </c>
    </row>
    <row r="107" spans="1:9">
      <c r="A107" s="131" t="s">
        <v>15</v>
      </c>
      <c r="B107" s="131"/>
      <c r="C107" s="131"/>
      <c r="D107" s="131"/>
      <c r="E107" s="131"/>
      <c r="F107" s="131"/>
      <c r="G107" s="131"/>
      <c r="H107" s="131"/>
      <c r="I107" s="131"/>
    </row>
    <row r="108" spans="1:9" ht="45" customHeight="1">
      <c r="A108" s="126" t="s">
        <v>16</v>
      </c>
      <c r="B108" s="126"/>
      <c r="C108" s="126"/>
      <c r="D108" s="126"/>
      <c r="E108" s="126"/>
      <c r="F108" s="126"/>
      <c r="G108" s="126"/>
      <c r="H108" s="126"/>
      <c r="I108" s="126"/>
    </row>
    <row r="109" spans="1:9" ht="30" customHeight="1">
      <c r="A109" s="126" t="s">
        <v>17</v>
      </c>
      <c r="B109" s="126"/>
      <c r="C109" s="126"/>
      <c r="D109" s="126"/>
      <c r="E109" s="126"/>
      <c r="F109" s="126"/>
      <c r="G109" s="126"/>
      <c r="H109" s="126"/>
      <c r="I109" s="126"/>
    </row>
    <row r="110" spans="1:9" ht="30" customHeight="1">
      <c r="A110" s="126" t="s">
        <v>21</v>
      </c>
      <c r="B110" s="126"/>
      <c r="C110" s="126"/>
      <c r="D110" s="126"/>
      <c r="E110" s="126"/>
      <c r="F110" s="126"/>
      <c r="G110" s="126"/>
      <c r="H110" s="126"/>
      <c r="I110" s="126"/>
    </row>
    <row r="111" spans="1:9" ht="14.25" customHeight="1">
      <c r="A111" s="126" t="s">
        <v>20</v>
      </c>
      <c r="B111" s="126"/>
      <c r="C111" s="126"/>
      <c r="D111" s="126"/>
      <c r="E111" s="126"/>
      <c r="F111" s="126"/>
      <c r="G111" s="126"/>
      <c r="H111" s="126"/>
      <c r="I111" s="126"/>
    </row>
  </sheetData>
  <autoFilter ref="I12:I61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6:U66"/>
    <mergeCell ref="C105:E105"/>
    <mergeCell ref="A82:I82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78:I78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1"/>
  <sheetViews>
    <sheetView topLeftCell="A13" workbookViewId="0">
      <selection activeCell="L101" sqref="L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206</v>
      </c>
      <c r="I1" s="30"/>
      <c r="J1" s="1"/>
      <c r="K1" s="1"/>
      <c r="L1" s="1"/>
      <c r="M1" s="1"/>
    </row>
    <row r="2" spans="1:13" ht="15.75">
      <c r="A2" s="32" t="s">
        <v>63</v>
      </c>
      <c r="J2" s="2"/>
      <c r="K2" s="2"/>
      <c r="L2" s="2"/>
      <c r="M2" s="2"/>
    </row>
    <row r="3" spans="1:13" ht="15.75" customHeight="1">
      <c r="A3" s="112" t="s">
        <v>177</v>
      </c>
      <c r="B3" s="112"/>
      <c r="C3" s="112"/>
      <c r="D3" s="112"/>
      <c r="E3" s="112"/>
      <c r="F3" s="112"/>
      <c r="G3" s="112"/>
      <c r="H3" s="112"/>
      <c r="I3" s="112"/>
      <c r="J3" s="3"/>
      <c r="K3" s="3"/>
      <c r="L3" s="3"/>
    </row>
    <row r="4" spans="1:13" ht="31.5" customHeight="1">
      <c r="A4" s="113" t="s">
        <v>130</v>
      </c>
      <c r="B4" s="113"/>
      <c r="C4" s="113"/>
      <c r="D4" s="113"/>
      <c r="E4" s="113"/>
      <c r="F4" s="113"/>
      <c r="G4" s="113"/>
      <c r="H4" s="113"/>
      <c r="I4" s="113"/>
    </row>
    <row r="5" spans="1:13" ht="15.75">
      <c r="A5" s="112" t="s">
        <v>243</v>
      </c>
      <c r="B5" s="114"/>
      <c r="C5" s="114"/>
      <c r="D5" s="114"/>
      <c r="E5" s="114"/>
      <c r="F5" s="114"/>
      <c r="G5" s="114"/>
      <c r="H5" s="114"/>
      <c r="I5" s="114"/>
      <c r="J5" s="2"/>
      <c r="K5" s="2"/>
      <c r="L5" s="2"/>
      <c r="M5" s="2"/>
    </row>
    <row r="6" spans="1:13" ht="15.75">
      <c r="A6" s="2"/>
      <c r="B6" s="90"/>
      <c r="C6" s="90"/>
      <c r="D6" s="90"/>
      <c r="E6" s="90"/>
      <c r="F6" s="90"/>
      <c r="G6" s="90"/>
      <c r="H6" s="90"/>
      <c r="I6" s="34">
        <v>43465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5" t="s">
        <v>208</v>
      </c>
      <c r="B8" s="115"/>
      <c r="C8" s="115"/>
      <c r="D8" s="115"/>
      <c r="E8" s="115"/>
      <c r="F8" s="115"/>
      <c r="G8" s="115"/>
      <c r="H8" s="115"/>
      <c r="I8" s="115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16" t="s">
        <v>165</v>
      </c>
      <c r="B10" s="116"/>
      <c r="C10" s="116"/>
      <c r="D10" s="116"/>
      <c r="E10" s="116"/>
      <c r="F10" s="116"/>
      <c r="G10" s="116"/>
      <c r="H10" s="116"/>
      <c r="I10" s="116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7" t="s">
        <v>60</v>
      </c>
      <c r="B14" s="117"/>
      <c r="C14" s="117"/>
      <c r="D14" s="117"/>
      <c r="E14" s="117"/>
      <c r="F14" s="117"/>
      <c r="G14" s="117"/>
      <c r="H14" s="117"/>
      <c r="I14" s="117"/>
      <c r="J14" s="8"/>
      <c r="K14" s="8"/>
      <c r="L14" s="8"/>
      <c r="M14" s="8"/>
    </row>
    <row r="15" spans="1:13">
      <c r="A15" s="111" t="s">
        <v>4</v>
      </c>
      <c r="B15" s="111"/>
      <c r="C15" s="111"/>
      <c r="D15" s="111"/>
      <c r="E15" s="111"/>
      <c r="F15" s="111"/>
      <c r="G15" s="111"/>
      <c r="H15" s="111"/>
      <c r="I15" s="111"/>
      <c r="J15" s="8"/>
      <c r="K15" s="8"/>
      <c r="L15" s="8"/>
      <c r="M15" s="8"/>
    </row>
    <row r="16" spans="1:13" ht="15.75" customHeight="1">
      <c r="A16" s="33">
        <v>1</v>
      </c>
      <c r="B16" s="64" t="s">
        <v>88</v>
      </c>
      <c r="C16" s="65" t="s">
        <v>89</v>
      </c>
      <c r="D16" s="64" t="s">
        <v>166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137</v>
      </c>
      <c r="C17" s="65" t="s">
        <v>89</v>
      </c>
      <c r="D17" s="64" t="s">
        <v>167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138</v>
      </c>
      <c r="C18" s="65" t="s">
        <v>89</v>
      </c>
      <c r="D18" s="64" t="s">
        <v>168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98</v>
      </c>
      <c r="C19" s="65" t="s">
        <v>99</v>
      </c>
      <c r="D19" s="64" t="s">
        <v>100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101</v>
      </c>
      <c r="C20" s="65" t="s">
        <v>89</v>
      </c>
      <c r="D20" s="64" t="s">
        <v>29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4" t="s">
        <v>102</v>
      </c>
      <c r="C21" s="65" t="s">
        <v>89</v>
      </c>
      <c r="D21" s="64" t="s">
        <v>176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104</v>
      </c>
      <c r="C22" s="65" t="s">
        <v>53</v>
      </c>
      <c r="D22" s="64" t="s">
        <v>100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105</v>
      </c>
      <c r="C23" s="65" t="s">
        <v>53</v>
      </c>
      <c r="D23" s="64" t="s">
        <v>100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106</v>
      </c>
      <c r="C24" s="65" t="s">
        <v>53</v>
      </c>
      <c r="D24" s="64" t="s">
        <v>107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108</v>
      </c>
      <c r="C25" s="65" t="s">
        <v>53</v>
      </c>
      <c r="D25" s="64" t="s">
        <v>54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109</v>
      </c>
      <c r="C26" s="65" t="s">
        <v>53</v>
      </c>
      <c r="D26" s="64" t="s">
        <v>100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4" t="s">
        <v>65</v>
      </c>
      <c r="C27" s="65" t="s">
        <v>32</v>
      </c>
      <c r="D27" s="64"/>
      <c r="E27" s="66">
        <v>0.1</v>
      </c>
      <c r="F27" s="67">
        <f>SUM(E27*365)</f>
        <v>36.5</v>
      </c>
      <c r="G27" s="67">
        <v>138.44999999999999</v>
      </c>
      <c r="H27" s="68">
        <f>SUM(F27*G27/1000)</f>
        <v>5.0534249999999989</v>
      </c>
      <c r="I27" s="13">
        <f>F27/12*G27</f>
        <v>421.11874999999992</v>
      </c>
      <c r="J27" s="27"/>
    </row>
    <row r="28" spans="1:13" ht="15.75" hidden="1" customHeight="1">
      <c r="A28" s="33">
        <v>6</v>
      </c>
      <c r="B28" s="72" t="s">
        <v>23</v>
      </c>
      <c r="C28" s="65" t="s">
        <v>24</v>
      </c>
      <c r="D28" s="64"/>
      <c r="E28" s="66">
        <v>1042.5999999999999</v>
      </c>
      <c r="F28" s="67">
        <f>SUM(E28*12)</f>
        <v>12511.199999999999</v>
      </c>
      <c r="G28" s="67">
        <v>6.15</v>
      </c>
      <c r="H28" s="68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23" t="s">
        <v>86</v>
      </c>
      <c r="B29" s="124"/>
      <c r="C29" s="124"/>
      <c r="D29" s="124"/>
      <c r="E29" s="124"/>
      <c r="F29" s="124"/>
      <c r="G29" s="124"/>
      <c r="H29" s="124"/>
      <c r="I29" s="125"/>
      <c r="J29" s="26"/>
      <c r="K29" s="8"/>
      <c r="L29" s="8"/>
      <c r="M29" s="8"/>
    </row>
    <row r="30" spans="1:13" ht="15.75" hidden="1" customHeight="1">
      <c r="A30" s="33"/>
      <c r="B30" s="85" t="s">
        <v>27</v>
      </c>
      <c r="C30" s="65"/>
      <c r="D30" s="64"/>
      <c r="E30" s="66"/>
      <c r="F30" s="67"/>
      <c r="G30" s="67"/>
      <c r="H30" s="68"/>
      <c r="I30" s="13"/>
      <c r="J30" s="26"/>
      <c r="K30" s="8"/>
      <c r="L30" s="8"/>
      <c r="M30" s="8"/>
    </row>
    <row r="31" spans="1:13" ht="15.75" hidden="1" customHeight="1">
      <c r="A31" s="33">
        <v>7</v>
      </c>
      <c r="B31" s="64" t="s">
        <v>114</v>
      </c>
      <c r="C31" s="65" t="s">
        <v>92</v>
      </c>
      <c r="D31" s="64" t="s">
        <v>170</v>
      </c>
      <c r="E31" s="67">
        <v>266.57</v>
      </c>
      <c r="F31" s="67">
        <f>SUM(E31*52/1000)</f>
        <v>13.86164</v>
      </c>
      <c r="G31" s="67">
        <v>146.79</v>
      </c>
      <c r="H31" s="68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hidden="1" customHeight="1">
      <c r="A32" s="33">
        <v>8</v>
      </c>
      <c r="B32" s="64" t="s">
        <v>113</v>
      </c>
      <c r="C32" s="65" t="s">
        <v>92</v>
      </c>
      <c r="D32" s="64" t="s">
        <v>171</v>
      </c>
      <c r="E32" s="67">
        <v>48.03</v>
      </c>
      <c r="F32" s="67">
        <f>SUM(E32*78/1000)</f>
        <v>3.74634</v>
      </c>
      <c r="G32" s="67">
        <v>243.54</v>
      </c>
      <c r="H32" s="68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26</v>
      </c>
      <c r="C33" s="65" t="s">
        <v>92</v>
      </c>
      <c r="D33" s="64" t="s">
        <v>54</v>
      </c>
      <c r="E33" s="67">
        <v>266.57</v>
      </c>
      <c r="F33" s="67">
        <f>SUM(E33/1000)</f>
        <v>0.26656999999999997</v>
      </c>
      <c r="G33" s="67">
        <v>2844</v>
      </c>
      <c r="H33" s="68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hidden="1" customHeight="1">
      <c r="A34" s="33">
        <v>9</v>
      </c>
      <c r="B34" s="64" t="s">
        <v>112</v>
      </c>
      <c r="C34" s="65" t="s">
        <v>30</v>
      </c>
      <c r="D34" s="64" t="s">
        <v>64</v>
      </c>
      <c r="E34" s="71">
        <v>0.33333333333333331</v>
      </c>
      <c r="F34" s="67">
        <f>155/3</f>
        <v>51.666666666666664</v>
      </c>
      <c r="G34" s="67">
        <v>53.38</v>
      </c>
      <c r="H34" s="68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4" t="s">
        <v>66</v>
      </c>
      <c r="C35" s="65" t="s">
        <v>32</v>
      </c>
      <c r="D35" s="64" t="s">
        <v>68</v>
      </c>
      <c r="E35" s="66"/>
      <c r="F35" s="67">
        <v>1</v>
      </c>
      <c r="G35" s="67">
        <v>180.15</v>
      </c>
      <c r="H35" s="68">
        <f t="shared" si="1"/>
        <v>0.18015</v>
      </c>
      <c r="I35" s="13">
        <v>0</v>
      </c>
      <c r="J35" s="27"/>
    </row>
    <row r="36" spans="1:14" ht="15.75" hidden="1" customHeight="1">
      <c r="A36" s="33"/>
      <c r="B36" s="64" t="s">
        <v>67</v>
      </c>
      <c r="C36" s="65" t="s">
        <v>31</v>
      </c>
      <c r="D36" s="64" t="s">
        <v>68</v>
      </c>
      <c r="E36" s="66"/>
      <c r="F36" s="67">
        <v>1</v>
      </c>
      <c r="G36" s="67">
        <v>1214.74</v>
      </c>
      <c r="H36" s="68">
        <f t="shared" si="1"/>
        <v>1.2147399999999999</v>
      </c>
      <c r="I36" s="13">
        <v>0</v>
      </c>
      <c r="J36" s="27"/>
    </row>
    <row r="37" spans="1:14" ht="15.75" customHeight="1">
      <c r="A37" s="33"/>
      <c r="B37" s="85" t="s">
        <v>5</v>
      </c>
      <c r="C37" s="65"/>
      <c r="D37" s="64"/>
      <c r="E37" s="66"/>
      <c r="F37" s="67"/>
      <c r="G37" s="67"/>
      <c r="H37" s="68" t="s">
        <v>139</v>
      </c>
      <c r="I37" s="13"/>
      <c r="J37" s="27"/>
    </row>
    <row r="38" spans="1:14" ht="15.75" customHeight="1">
      <c r="A38" s="33">
        <v>6</v>
      </c>
      <c r="B38" s="64" t="s">
        <v>25</v>
      </c>
      <c r="C38" s="65" t="s">
        <v>31</v>
      </c>
      <c r="D38" s="64"/>
      <c r="E38" s="66"/>
      <c r="F38" s="67">
        <v>3</v>
      </c>
      <c r="G38" s="67">
        <v>1632.6</v>
      </c>
      <c r="H38" s="68">
        <f t="shared" ref="H38:H43" si="3">SUM(F38*G38/1000)</f>
        <v>4.8977999999999993</v>
      </c>
      <c r="I38" s="13">
        <f t="shared" ref="I38:I41" si="4">F38/6*G38</f>
        <v>816.3</v>
      </c>
      <c r="J38" s="27"/>
    </row>
    <row r="39" spans="1:14" ht="15.75" customHeight="1">
      <c r="A39" s="33">
        <v>7</v>
      </c>
      <c r="B39" s="64" t="s">
        <v>115</v>
      </c>
      <c r="C39" s="65" t="s">
        <v>28</v>
      </c>
      <c r="D39" s="64" t="s">
        <v>90</v>
      </c>
      <c r="E39" s="66">
        <v>48.03</v>
      </c>
      <c r="F39" s="67">
        <v>1.44</v>
      </c>
      <c r="G39" s="67">
        <v>1979.95</v>
      </c>
      <c r="H39" s="68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customHeight="1">
      <c r="A40" s="33">
        <v>8</v>
      </c>
      <c r="B40" s="64" t="s">
        <v>69</v>
      </c>
      <c r="C40" s="65" t="s">
        <v>28</v>
      </c>
      <c r="D40" s="64" t="s">
        <v>91</v>
      </c>
      <c r="E40" s="67">
        <v>48.03</v>
      </c>
      <c r="F40" s="67">
        <f>SUM(E40*155/1000)</f>
        <v>7.4446500000000002</v>
      </c>
      <c r="G40" s="67">
        <v>330.27</v>
      </c>
      <c r="H40" s="68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customHeight="1">
      <c r="A41" s="33">
        <v>9</v>
      </c>
      <c r="B41" s="64" t="s">
        <v>84</v>
      </c>
      <c r="C41" s="65" t="s">
        <v>92</v>
      </c>
      <c r="D41" s="64" t="s">
        <v>116</v>
      </c>
      <c r="E41" s="67">
        <v>48.03</v>
      </c>
      <c r="F41" s="67">
        <f>SUM(E41*35/1000)</f>
        <v>1.6810499999999999</v>
      </c>
      <c r="G41" s="67">
        <v>5464.48</v>
      </c>
      <c r="H41" s="68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customHeight="1">
      <c r="A42" s="33">
        <v>10</v>
      </c>
      <c r="B42" s="64" t="s">
        <v>93</v>
      </c>
      <c r="C42" s="65" t="s">
        <v>92</v>
      </c>
      <c r="D42" s="64" t="s">
        <v>70</v>
      </c>
      <c r="E42" s="67">
        <v>48.03</v>
      </c>
      <c r="F42" s="67">
        <f>SUM(E42*45/1000)</f>
        <v>2.1613500000000001</v>
      </c>
      <c r="G42" s="67">
        <v>403.67</v>
      </c>
      <c r="H42" s="68">
        <f t="shared" si="3"/>
        <v>0.87247215450000015</v>
      </c>
      <c r="I42" s="13">
        <f>F42/7.5*1.5*G42</f>
        <v>174.4944309</v>
      </c>
      <c r="J42" s="27"/>
      <c r="L42" s="20"/>
      <c r="M42" s="21"/>
      <c r="N42" s="22"/>
    </row>
    <row r="43" spans="1:14" ht="15.75" customHeight="1">
      <c r="A43" s="33">
        <v>11</v>
      </c>
      <c r="B43" s="64" t="s">
        <v>71</v>
      </c>
      <c r="C43" s="65" t="s">
        <v>32</v>
      </c>
      <c r="D43" s="64"/>
      <c r="E43" s="66"/>
      <c r="F43" s="67">
        <v>0.53</v>
      </c>
      <c r="G43" s="67">
        <v>750.34</v>
      </c>
      <c r="H43" s="68">
        <f t="shared" si="3"/>
        <v>0.39768020000000004</v>
      </c>
      <c r="I43" s="13">
        <f>F43/7.5*1.5*G43</f>
        <v>79.536040000000014</v>
      </c>
      <c r="J43" s="27"/>
      <c r="L43" s="20"/>
      <c r="M43" s="21"/>
      <c r="N43" s="22"/>
    </row>
    <row r="44" spans="1:14" ht="15.75" customHeight="1">
      <c r="A44" s="123" t="s">
        <v>132</v>
      </c>
      <c r="B44" s="124"/>
      <c r="C44" s="124"/>
      <c r="D44" s="124"/>
      <c r="E44" s="124"/>
      <c r="F44" s="124"/>
      <c r="G44" s="124"/>
      <c r="H44" s="124"/>
      <c r="I44" s="125"/>
      <c r="J44" s="27"/>
      <c r="L44" s="20"/>
      <c r="M44" s="21"/>
      <c r="N44" s="22"/>
    </row>
    <row r="45" spans="1:14" ht="15.75" hidden="1" customHeight="1">
      <c r="A45" s="33"/>
      <c r="B45" s="64" t="s">
        <v>117</v>
      </c>
      <c r="C45" s="65" t="s">
        <v>92</v>
      </c>
      <c r="D45" s="64" t="s">
        <v>42</v>
      </c>
      <c r="E45" s="66">
        <v>636.25</v>
      </c>
      <c r="F45" s="67">
        <f>SUM(E45*2/1000)</f>
        <v>1.2725</v>
      </c>
      <c r="G45" s="13">
        <v>762.53</v>
      </c>
      <c r="H45" s="68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4" t="s">
        <v>35</v>
      </c>
      <c r="C46" s="65" t="s">
        <v>92</v>
      </c>
      <c r="D46" s="64" t="s">
        <v>42</v>
      </c>
      <c r="E46" s="66">
        <v>26</v>
      </c>
      <c r="F46" s="67">
        <f>SUM(E46*2/1000)</f>
        <v>5.1999999999999998E-2</v>
      </c>
      <c r="G46" s="13">
        <v>545.65</v>
      </c>
      <c r="H46" s="68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4" t="s">
        <v>36</v>
      </c>
      <c r="C47" s="65" t="s">
        <v>92</v>
      </c>
      <c r="D47" s="64" t="s">
        <v>42</v>
      </c>
      <c r="E47" s="66">
        <v>579</v>
      </c>
      <c r="F47" s="67">
        <f>SUM(E47*2/1000)</f>
        <v>1.1579999999999999</v>
      </c>
      <c r="G47" s="13">
        <v>545.65</v>
      </c>
      <c r="H47" s="68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4" t="s">
        <v>37</v>
      </c>
      <c r="C48" s="65" t="s">
        <v>92</v>
      </c>
      <c r="D48" s="64" t="s">
        <v>42</v>
      </c>
      <c r="E48" s="66">
        <v>683.33</v>
      </c>
      <c r="F48" s="67">
        <f>SUM(E48*2/1000)</f>
        <v>1.36666</v>
      </c>
      <c r="G48" s="13">
        <v>571.35</v>
      </c>
      <c r="H48" s="68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4" t="s">
        <v>33</v>
      </c>
      <c r="C49" s="65" t="s">
        <v>34</v>
      </c>
      <c r="D49" s="64" t="s">
        <v>42</v>
      </c>
      <c r="E49" s="66">
        <v>44.11</v>
      </c>
      <c r="F49" s="67">
        <f>SUM(E49*2/100)</f>
        <v>0.88219999999999998</v>
      </c>
      <c r="G49" s="13">
        <v>68.56</v>
      </c>
      <c r="H49" s="68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customHeight="1">
      <c r="A50" s="33">
        <v>12</v>
      </c>
      <c r="B50" s="64" t="s">
        <v>57</v>
      </c>
      <c r="C50" s="65" t="s">
        <v>92</v>
      </c>
      <c r="D50" s="64" t="s">
        <v>133</v>
      </c>
      <c r="E50" s="66">
        <v>1140</v>
      </c>
      <c r="F50" s="67">
        <f>SUM(E50*5/1000)</f>
        <v>5.7</v>
      </c>
      <c r="G50" s="13">
        <v>1142.7</v>
      </c>
      <c r="H50" s="68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>
        <v>14</v>
      </c>
      <c r="B51" s="64" t="s">
        <v>94</v>
      </c>
      <c r="C51" s="65" t="s">
        <v>92</v>
      </c>
      <c r="D51" s="64" t="s">
        <v>42</v>
      </c>
      <c r="E51" s="66">
        <v>1140</v>
      </c>
      <c r="F51" s="67">
        <f>SUM(E51*2/1000)</f>
        <v>2.2799999999999998</v>
      </c>
      <c r="G51" s="13">
        <v>1142.7</v>
      </c>
      <c r="H51" s="68">
        <f t="shared" si="5"/>
        <v>2.6053559999999996</v>
      </c>
      <c r="I51" s="13">
        <f>F51/2*G51</f>
        <v>1302.6779999999999</v>
      </c>
      <c r="J51" s="27"/>
      <c r="L51" s="20"/>
      <c r="M51" s="21"/>
      <c r="N51" s="22"/>
    </row>
    <row r="52" spans="1:22" ht="31.5" hidden="1" customHeight="1">
      <c r="A52" s="33">
        <v>15</v>
      </c>
      <c r="B52" s="64" t="s">
        <v>95</v>
      </c>
      <c r="C52" s="65" t="s">
        <v>38</v>
      </c>
      <c r="D52" s="64" t="s">
        <v>42</v>
      </c>
      <c r="E52" s="66">
        <v>9</v>
      </c>
      <c r="F52" s="67">
        <f>SUM(E52*2/100)</f>
        <v>0.18</v>
      </c>
      <c r="G52" s="13">
        <v>2571.08</v>
      </c>
      <c r="H52" s="68">
        <f t="shared" si="5"/>
        <v>0.46279439999999999</v>
      </c>
      <c r="I52" s="13">
        <f t="shared" ref="I52:I53" si="6">F52/2*G52</f>
        <v>231.3972</v>
      </c>
      <c r="J52" s="27"/>
      <c r="L52" s="20"/>
      <c r="M52" s="21"/>
      <c r="N52" s="22"/>
    </row>
    <row r="53" spans="1:22" ht="15.75" hidden="1" customHeight="1">
      <c r="A53" s="33">
        <v>16</v>
      </c>
      <c r="B53" s="64" t="s">
        <v>39</v>
      </c>
      <c r="C53" s="65" t="s">
        <v>40</v>
      </c>
      <c r="D53" s="64" t="s">
        <v>42</v>
      </c>
      <c r="E53" s="66">
        <v>1</v>
      </c>
      <c r="F53" s="67">
        <v>0.02</v>
      </c>
      <c r="G53" s="13">
        <v>5322.15</v>
      </c>
      <c r="H53" s="68">
        <f t="shared" si="5"/>
        <v>0.106443</v>
      </c>
      <c r="I53" s="13">
        <f t="shared" si="6"/>
        <v>53.221499999999999</v>
      </c>
      <c r="J53" s="27"/>
      <c r="L53" s="20"/>
      <c r="M53" s="21"/>
      <c r="N53" s="22"/>
    </row>
    <row r="54" spans="1:22" ht="15.75" hidden="1" customHeight="1">
      <c r="A54" s="33">
        <v>11</v>
      </c>
      <c r="B54" s="64" t="s">
        <v>41</v>
      </c>
      <c r="C54" s="65" t="s">
        <v>118</v>
      </c>
      <c r="D54" s="64" t="s">
        <v>72</v>
      </c>
      <c r="E54" s="66">
        <v>36</v>
      </c>
      <c r="F54" s="67">
        <f>SUM(E54)*3</f>
        <v>108</v>
      </c>
      <c r="G54" s="13">
        <v>61.84</v>
      </c>
      <c r="H54" s="68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hidden="1" customHeight="1">
      <c r="A55" s="123" t="s">
        <v>134</v>
      </c>
      <c r="B55" s="124"/>
      <c r="C55" s="124"/>
      <c r="D55" s="124"/>
      <c r="E55" s="124"/>
      <c r="F55" s="124"/>
      <c r="G55" s="124"/>
      <c r="H55" s="124"/>
      <c r="I55" s="125"/>
      <c r="J55" s="27"/>
      <c r="L55" s="20"/>
      <c r="M55" s="21"/>
      <c r="N55" s="22"/>
    </row>
    <row r="56" spans="1:22" ht="15.75" hidden="1" customHeight="1">
      <c r="A56" s="33"/>
      <c r="B56" s="85" t="s">
        <v>43</v>
      </c>
      <c r="C56" s="65"/>
      <c r="D56" s="64"/>
      <c r="E56" s="66"/>
      <c r="F56" s="67"/>
      <c r="G56" s="67"/>
      <c r="H56" s="68"/>
      <c r="I56" s="13"/>
      <c r="J56" s="27"/>
      <c r="L56" s="20"/>
      <c r="M56" s="21"/>
      <c r="N56" s="22"/>
    </row>
    <row r="57" spans="1:22" ht="31.5" hidden="1" customHeight="1">
      <c r="A57" s="33">
        <v>11</v>
      </c>
      <c r="B57" s="64" t="s">
        <v>119</v>
      </c>
      <c r="C57" s="65" t="s">
        <v>89</v>
      </c>
      <c r="D57" s="64" t="s">
        <v>120</v>
      </c>
      <c r="E57" s="66">
        <v>72.33</v>
      </c>
      <c r="F57" s="67">
        <f>SUM(E57*6/100)</f>
        <v>4.3398000000000003</v>
      </c>
      <c r="G57" s="13">
        <v>1456.95</v>
      </c>
      <c r="H57" s="68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5" t="s">
        <v>44</v>
      </c>
      <c r="C58" s="65"/>
      <c r="D58" s="64"/>
      <c r="E58" s="66"/>
      <c r="F58" s="67"/>
      <c r="G58" s="60"/>
      <c r="H58" s="68"/>
      <c r="I58" s="13"/>
      <c r="J58" s="27"/>
      <c r="L58" s="20"/>
      <c r="M58" s="21"/>
      <c r="N58" s="22"/>
    </row>
    <row r="59" spans="1:22" ht="15.75" hidden="1" customHeight="1">
      <c r="A59" s="33"/>
      <c r="B59" s="64" t="s">
        <v>121</v>
      </c>
      <c r="C59" s="65"/>
      <c r="D59" s="64" t="s">
        <v>54</v>
      </c>
      <c r="E59" s="66">
        <v>952</v>
      </c>
      <c r="F59" s="68">
        <v>9.52</v>
      </c>
      <c r="G59" s="13">
        <v>848.37</v>
      </c>
      <c r="H59" s="73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6" t="s">
        <v>45</v>
      </c>
      <c r="C60" s="74"/>
      <c r="D60" s="75"/>
      <c r="E60" s="76"/>
      <c r="F60" s="77"/>
      <c r="G60" s="77"/>
      <c r="H60" s="78" t="s">
        <v>139</v>
      </c>
      <c r="I60" s="13"/>
    </row>
    <row r="61" spans="1:22" ht="15.75" hidden="1" customHeight="1">
      <c r="A61" s="33">
        <v>10</v>
      </c>
      <c r="B61" s="14" t="s">
        <v>46</v>
      </c>
      <c r="C61" s="16" t="s">
        <v>118</v>
      </c>
      <c r="D61" s="14" t="s">
        <v>68</v>
      </c>
      <c r="E61" s="18">
        <v>5</v>
      </c>
      <c r="F61" s="67">
        <v>5</v>
      </c>
      <c r="G61" s="13">
        <v>237.74</v>
      </c>
      <c r="H61" s="79">
        <f t="shared" ref="H61:H75" si="7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47</v>
      </c>
      <c r="C62" s="16" t="s">
        <v>118</v>
      </c>
      <c r="D62" s="14" t="s">
        <v>68</v>
      </c>
      <c r="E62" s="18">
        <v>2</v>
      </c>
      <c r="F62" s="67">
        <v>2</v>
      </c>
      <c r="G62" s="13">
        <v>81.510000000000005</v>
      </c>
      <c r="H62" s="79">
        <f t="shared" si="7"/>
        <v>0.16302</v>
      </c>
      <c r="I62" s="13">
        <v>0</v>
      </c>
    </row>
    <row r="63" spans="1:22" ht="15.75" hidden="1" customHeight="1">
      <c r="A63" s="33"/>
      <c r="B63" s="14" t="s">
        <v>48</v>
      </c>
      <c r="C63" s="16" t="s">
        <v>122</v>
      </c>
      <c r="D63" s="14" t="s">
        <v>54</v>
      </c>
      <c r="E63" s="66">
        <v>4292</v>
      </c>
      <c r="F63" s="13">
        <f>SUM(E63/100)</f>
        <v>42.92</v>
      </c>
      <c r="G63" s="13">
        <v>226.79</v>
      </c>
      <c r="H63" s="79">
        <f t="shared" si="7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49</v>
      </c>
      <c r="C64" s="16" t="s">
        <v>123</v>
      </c>
      <c r="D64" s="14"/>
      <c r="E64" s="66">
        <v>4292</v>
      </c>
      <c r="F64" s="13">
        <f>SUM(E64/1000)</f>
        <v>4.2919999999999998</v>
      </c>
      <c r="G64" s="13">
        <v>176.61</v>
      </c>
      <c r="H64" s="79">
        <f t="shared" si="7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50</v>
      </c>
      <c r="C65" s="16" t="s">
        <v>78</v>
      </c>
      <c r="D65" s="14" t="s">
        <v>54</v>
      </c>
      <c r="E65" s="66">
        <v>510</v>
      </c>
      <c r="F65" s="13">
        <f>SUM(E65/100)</f>
        <v>5.0999999999999996</v>
      </c>
      <c r="G65" s="13">
        <v>2217.7800000000002</v>
      </c>
      <c r="H65" s="79">
        <f t="shared" si="7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0" t="s">
        <v>124</v>
      </c>
      <c r="C66" s="16" t="s">
        <v>32</v>
      </c>
      <c r="D66" s="14"/>
      <c r="E66" s="66">
        <v>4.5999999999999996</v>
      </c>
      <c r="F66" s="13">
        <f>SUM(E66)</f>
        <v>4.5999999999999996</v>
      </c>
      <c r="G66" s="13">
        <v>42.67</v>
      </c>
      <c r="H66" s="79">
        <f t="shared" si="7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8"/>
      <c r="S66" s="118"/>
      <c r="T66" s="118"/>
      <c r="U66" s="118"/>
    </row>
    <row r="67" spans="1:21" ht="15.75" hidden="1" customHeight="1">
      <c r="A67" s="33"/>
      <c r="B67" s="80" t="s">
        <v>125</v>
      </c>
      <c r="C67" s="16" t="s">
        <v>32</v>
      </c>
      <c r="D67" s="14"/>
      <c r="E67" s="66">
        <v>4.5999999999999996</v>
      </c>
      <c r="F67" s="13">
        <f>SUM(E67)</f>
        <v>4.5999999999999996</v>
      </c>
      <c r="G67" s="13">
        <v>39.81</v>
      </c>
      <c r="H67" s="79">
        <f t="shared" si="7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58</v>
      </c>
      <c r="C68" s="16" t="s">
        <v>59</v>
      </c>
      <c r="D68" s="14" t="s">
        <v>54</v>
      </c>
      <c r="E68" s="18">
        <v>3</v>
      </c>
      <c r="F68" s="67">
        <v>3</v>
      </c>
      <c r="G68" s="13">
        <v>53.32</v>
      </c>
      <c r="H68" s="79">
        <f t="shared" si="7"/>
        <v>0.15996000000000002</v>
      </c>
      <c r="I68" s="13">
        <v>0</v>
      </c>
    </row>
    <row r="69" spans="1:21" ht="15.75" hidden="1" customHeight="1">
      <c r="A69" s="33"/>
      <c r="B69" s="91" t="s">
        <v>73</v>
      </c>
      <c r="C69" s="16"/>
      <c r="D69" s="14"/>
      <c r="E69" s="18"/>
      <c r="F69" s="13"/>
      <c r="G69" s="13"/>
      <c r="H69" s="79" t="s">
        <v>139</v>
      </c>
      <c r="I69" s="13"/>
    </row>
    <row r="70" spans="1:21" ht="15.75" hidden="1" customHeight="1">
      <c r="A70" s="33">
        <v>12</v>
      </c>
      <c r="B70" s="14" t="s">
        <v>74</v>
      </c>
      <c r="C70" s="16" t="s">
        <v>76</v>
      </c>
      <c r="D70" s="14"/>
      <c r="E70" s="18">
        <v>2</v>
      </c>
      <c r="F70" s="13">
        <v>0.2</v>
      </c>
      <c r="G70" s="13">
        <v>536.23</v>
      </c>
      <c r="H70" s="79">
        <f t="shared" si="7"/>
        <v>0.10724600000000001</v>
      </c>
      <c r="I70" s="13">
        <f>G70*0.1</f>
        <v>53.623000000000005</v>
      </c>
    </row>
    <row r="71" spans="1:21" ht="15.75" hidden="1" customHeight="1">
      <c r="A71" s="33"/>
      <c r="B71" s="14" t="s">
        <v>75</v>
      </c>
      <c r="C71" s="16" t="s">
        <v>30</v>
      </c>
      <c r="D71" s="14"/>
      <c r="E71" s="18">
        <v>1</v>
      </c>
      <c r="F71" s="60">
        <v>1</v>
      </c>
      <c r="G71" s="13">
        <v>911.85</v>
      </c>
      <c r="H71" s="79">
        <f t="shared" si="7"/>
        <v>0.91185000000000005</v>
      </c>
      <c r="I71" s="13">
        <v>0</v>
      </c>
    </row>
    <row r="72" spans="1:21" ht="15.75" hidden="1" customHeight="1">
      <c r="A72" s="33"/>
      <c r="B72" s="14" t="s">
        <v>140</v>
      </c>
      <c r="C72" s="16" t="s">
        <v>141</v>
      </c>
      <c r="D72" s="14"/>
      <c r="E72" s="18"/>
      <c r="F72" s="13"/>
      <c r="G72" s="13">
        <v>31.54</v>
      </c>
      <c r="H72" s="79">
        <f t="shared" si="7"/>
        <v>0</v>
      </c>
      <c r="I72" s="13"/>
    </row>
    <row r="73" spans="1:21" ht="15.75" hidden="1" customHeight="1">
      <c r="A73" s="33"/>
      <c r="B73" s="14" t="s">
        <v>127</v>
      </c>
      <c r="C73" s="16" t="s">
        <v>30</v>
      </c>
      <c r="D73" s="14"/>
      <c r="E73" s="18">
        <v>1</v>
      </c>
      <c r="F73" s="13">
        <v>1</v>
      </c>
      <c r="G73" s="13">
        <v>383.25</v>
      </c>
      <c r="H73" s="79">
        <f>G73*F73/1000</f>
        <v>0.38324999999999998</v>
      </c>
      <c r="I73" s="13">
        <v>0</v>
      </c>
    </row>
    <row r="74" spans="1:21" ht="15.75" hidden="1" customHeight="1">
      <c r="A74" s="33"/>
      <c r="B74" s="82" t="s">
        <v>77</v>
      </c>
      <c r="C74" s="16"/>
      <c r="D74" s="14"/>
      <c r="E74" s="18"/>
      <c r="F74" s="13"/>
      <c r="G74" s="13" t="s">
        <v>139</v>
      </c>
      <c r="H74" s="79" t="s">
        <v>139</v>
      </c>
      <c r="I74" s="13"/>
    </row>
    <row r="75" spans="1:21" ht="15.75" hidden="1" customHeight="1">
      <c r="A75" s="33"/>
      <c r="B75" s="45" t="s">
        <v>151</v>
      </c>
      <c r="C75" s="16" t="s">
        <v>78</v>
      </c>
      <c r="D75" s="14"/>
      <c r="E75" s="18"/>
      <c r="F75" s="13">
        <v>0.1</v>
      </c>
      <c r="G75" s="13">
        <v>2949.85</v>
      </c>
      <c r="H75" s="79">
        <f t="shared" si="7"/>
        <v>0.294985</v>
      </c>
      <c r="I75" s="13">
        <v>0</v>
      </c>
    </row>
    <row r="76" spans="1:21" ht="15.75" hidden="1" customHeight="1">
      <c r="A76" s="33"/>
      <c r="B76" s="89" t="s">
        <v>96</v>
      </c>
      <c r="C76" s="89"/>
      <c r="D76" s="89"/>
      <c r="E76" s="89"/>
      <c r="F76" s="89"/>
      <c r="G76" s="70"/>
      <c r="H76" s="83">
        <f>SUM(H57:H75)</f>
        <v>39.790287929999998</v>
      </c>
      <c r="I76" s="70"/>
    </row>
    <row r="77" spans="1:21" ht="15.75" hidden="1" customHeight="1">
      <c r="A77" s="33">
        <v>10</v>
      </c>
      <c r="B77" s="87" t="s">
        <v>126</v>
      </c>
      <c r="C77" s="24"/>
      <c r="D77" s="23"/>
      <c r="E77" s="84"/>
      <c r="F77" s="88">
        <v>1</v>
      </c>
      <c r="G77" s="13">
        <v>3395.9</v>
      </c>
      <c r="H77" s="79">
        <f>G77*F77/1000</f>
        <v>3.3959000000000001</v>
      </c>
      <c r="I77" s="13">
        <v>939.9</v>
      </c>
    </row>
    <row r="78" spans="1:21" ht="15.75" customHeight="1">
      <c r="A78" s="123" t="s">
        <v>155</v>
      </c>
      <c r="B78" s="124"/>
      <c r="C78" s="124"/>
      <c r="D78" s="124"/>
      <c r="E78" s="124"/>
      <c r="F78" s="124"/>
      <c r="G78" s="124"/>
      <c r="H78" s="124"/>
      <c r="I78" s="125"/>
    </row>
    <row r="79" spans="1:21" ht="15.75" customHeight="1">
      <c r="A79" s="33">
        <v>13</v>
      </c>
      <c r="B79" s="64" t="s">
        <v>128</v>
      </c>
      <c r="C79" s="16" t="s">
        <v>55</v>
      </c>
      <c r="D79" s="50" t="s">
        <v>56</v>
      </c>
      <c r="E79" s="13">
        <v>1042.5999999999999</v>
      </c>
      <c r="F79" s="13">
        <f>SUM(E79*12)</f>
        <v>12511.199999999999</v>
      </c>
      <c r="G79" s="13">
        <v>2.2400000000000002</v>
      </c>
      <c r="H79" s="79">
        <f>SUM(F79*G79/1000)</f>
        <v>28.025088</v>
      </c>
      <c r="I79" s="13">
        <f>F79/12*G79</f>
        <v>2335.424</v>
      </c>
    </row>
    <row r="80" spans="1:21" ht="31.5" customHeight="1">
      <c r="A80" s="33">
        <v>14</v>
      </c>
      <c r="B80" s="14" t="s">
        <v>79</v>
      </c>
      <c r="C80" s="16"/>
      <c r="D80" s="50" t="s">
        <v>56</v>
      </c>
      <c r="E80" s="66">
        <f>E79</f>
        <v>1042.5999999999999</v>
      </c>
      <c r="F80" s="13">
        <f>E80*12</f>
        <v>12511.199999999999</v>
      </c>
      <c r="G80" s="13">
        <v>1.74</v>
      </c>
      <c r="H80" s="79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82</v>
      </c>
      <c r="C81" s="82"/>
      <c r="D81" s="81"/>
      <c r="E81" s="70"/>
      <c r="F81" s="70"/>
      <c r="G81" s="70"/>
      <c r="H81" s="83">
        <f>H80</f>
        <v>21.769487999999999</v>
      </c>
      <c r="I81" s="70">
        <f>I80+I79+I50+I43+I42+I41+I40+I39+I38+I27+I20+I18+I17+I16</f>
        <v>12732.591933483332</v>
      </c>
    </row>
    <row r="82" spans="1:9" ht="15.75" customHeight="1">
      <c r="A82" s="132" t="s">
        <v>61</v>
      </c>
      <c r="B82" s="133"/>
      <c r="C82" s="133"/>
      <c r="D82" s="133"/>
      <c r="E82" s="133"/>
      <c r="F82" s="133"/>
      <c r="G82" s="133"/>
      <c r="H82" s="133"/>
      <c r="I82" s="134"/>
    </row>
    <row r="83" spans="1:9" ht="18.75" customHeight="1">
      <c r="A83" s="33">
        <v>15</v>
      </c>
      <c r="B83" s="75" t="s">
        <v>179</v>
      </c>
      <c r="C83" s="74" t="s">
        <v>180</v>
      </c>
      <c r="D83" s="75"/>
      <c r="E83" s="76"/>
      <c r="F83" s="77">
        <v>200</v>
      </c>
      <c r="G83" s="60">
        <v>1.2</v>
      </c>
      <c r="H83" s="78">
        <f>F83*G83/1000</f>
        <v>0.24</v>
      </c>
      <c r="I83" s="101">
        <f>G83*100</f>
        <v>120</v>
      </c>
    </row>
    <row r="84" spans="1:9" ht="33" customHeight="1">
      <c r="A84" s="33">
        <v>16</v>
      </c>
      <c r="B84" s="105" t="s">
        <v>238</v>
      </c>
      <c r="C84" s="106" t="s">
        <v>28</v>
      </c>
      <c r="D84" s="45"/>
      <c r="E84" s="13"/>
      <c r="F84" s="13"/>
      <c r="G84" s="37">
        <v>18798.34</v>
      </c>
      <c r="H84" s="79"/>
      <c r="I84" s="13">
        <f>G84*4*0.599/1000</f>
        <v>45.040822640000002</v>
      </c>
    </row>
    <row r="85" spans="1:9" ht="17.25" customHeight="1">
      <c r="A85" s="33">
        <v>17</v>
      </c>
      <c r="B85" s="105" t="s">
        <v>244</v>
      </c>
      <c r="C85" s="106" t="s">
        <v>245</v>
      </c>
      <c r="D85" s="97"/>
      <c r="E85" s="37"/>
      <c r="F85" s="37">
        <v>4</v>
      </c>
      <c r="G85" s="37">
        <v>24829.08</v>
      </c>
      <c r="H85" s="98">
        <f t="shared" ref="H85:H86" si="8">G85*F85/1000</f>
        <v>99.316320000000005</v>
      </c>
      <c r="I85" s="13">
        <f>G85*0.02</f>
        <v>496.58160000000004</v>
      </c>
    </row>
    <row r="86" spans="1:9" ht="15.75" customHeight="1">
      <c r="A86" s="33">
        <v>18</v>
      </c>
      <c r="B86" s="105" t="s">
        <v>246</v>
      </c>
      <c r="C86" s="106" t="s">
        <v>85</v>
      </c>
      <c r="D86" s="97"/>
      <c r="E86" s="37"/>
      <c r="F86" s="37">
        <v>1</v>
      </c>
      <c r="G86" s="37">
        <v>246.93</v>
      </c>
      <c r="H86" s="98">
        <f t="shared" si="8"/>
        <v>0.24693000000000001</v>
      </c>
      <c r="I86" s="13">
        <f>G86*1</f>
        <v>246.93</v>
      </c>
    </row>
    <row r="87" spans="1:9" ht="28.5" customHeight="1">
      <c r="A87" s="33">
        <v>19</v>
      </c>
      <c r="B87" s="48" t="s">
        <v>83</v>
      </c>
      <c r="C87" s="49" t="s">
        <v>38</v>
      </c>
      <c r="D87" s="97"/>
      <c r="E87" s="37"/>
      <c r="F87" s="37"/>
      <c r="G87" s="37">
        <v>3724.37</v>
      </c>
      <c r="H87" s="98"/>
      <c r="I87" s="13">
        <f>G87*0.01</f>
        <v>37.243699999999997</v>
      </c>
    </row>
    <row r="88" spans="1:9">
      <c r="A88" s="33"/>
      <c r="B88" s="43" t="s">
        <v>51</v>
      </c>
      <c r="C88" s="39"/>
      <c r="D88" s="46"/>
      <c r="E88" s="39">
        <v>1</v>
      </c>
      <c r="F88" s="39"/>
      <c r="G88" s="39"/>
      <c r="H88" s="39"/>
      <c r="I88" s="35">
        <f>SUM(I83:I87)</f>
        <v>945.79612264000002</v>
      </c>
    </row>
    <row r="89" spans="1:9" ht="16.5" customHeight="1">
      <c r="A89" s="33"/>
      <c r="B89" s="45" t="s">
        <v>80</v>
      </c>
      <c r="C89" s="15"/>
      <c r="D89" s="15"/>
      <c r="E89" s="40"/>
      <c r="F89" s="40"/>
      <c r="G89" s="41"/>
      <c r="H89" s="41"/>
      <c r="I89" s="17">
        <v>0</v>
      </c>
    </row>
    <row r="90" spans="1:9" ht="16.5" customHeight="1">
      <c r="A90" s="47"/>
      <c r="B90" s="44" t="s">
        <v>52</v>
      </c>
      <c r="C90" s="36"/>
      <c r="D90" s="36"/>
      <c r="E90" s="36"/>
      <c r="F90" s="36"/>
      <c r="G90" s="36"/>
      <c r="H90" s="36"/>
      <c r="I90" s="42">
        <f>I81+I88</f>
        <v>13678.388056123333</v>
      </c>
    </row>
    <row r="91" spans="1:9" ht="15.75" customHeight="1">
      <c r="A91" s="119" t="s">
        <v>247</v>
      </c>
      <c r="B91" s="119"/>
      <c r="C91" s="119"/>
      <c r="D91" s="119"/>
      <c r="E91" s="119"/>
      <c r="F91" s="119"/>
      <c r="G91" s="119"/>
      <c r="H91" s="119"/>
      <c r="I91" s="119"/>
    </row>
    <row r="92" spans="1:9" ht="15.75" customHeight="1">
      <c r="A92" s="57"/>
      <c r="B92" s="120" t="s">
        <v>248</v>
      </c>
      <c r="C92" s="120"/>
      <c r="D92" s="120"/>
      <c r="E92" s="120"/>
      <c r="F92" s="120"/>
      <c r="G92" s="120"/>
      <c r="H92" s="63"/>
      <c r="I92" s="3"/>
    </row>
    <row r="93" spans="1:9">
      <c r="A93" s="92"/>
      <c r="B93" s="121" t="s">
        <v>6</v>
      </c>
      <c r="C93" s="121"/>
      <c r="D93" s="121"/>
      <c r="E93" s="121"/>
      <c r="F93" s="121"/>
      <c r="G93" s="121"/>
      <c r="H93" s="28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22" t="s">
        <v>7</v>
      </c>
      <c r="B95" s="122"/>
      <c r="C95" s="122"/>
      <c r="D95" s="122"/>
      <c r="E95" s="122"/>
      <c r="F95" s="122"/>
      <c r="G95" s="122"/>
      <c r="H95" s="122"/>
      <c r="I95" s="122"/>
    </row>
    <row r="96" spans="1:9" ht="15.75">
      <c r="A96" s="122" t="s">
        <v>8</v>
      </c>
      <c r="B96" s="122"/>
      <c r="C96" s="122"/>
      <c r="D96" s="122"/>
      <c r="E96" s="122"/>
      <c r="F96" s="122"/>
      <c r="G96" s="122"/>
      <c r="H96" s="122"/>
      <c r="I96" s="122"/>
    </row>
    <row r="97" spans="1:9" ht="15.75">
      <c r="A97" s="127" t="s">
        <v>62</v>
      </c>
      <c r="B97" s="127"/>
      <c r="C97" s="127"/>
      <c r="D97" s="127"/>
      <c r="E97" s="127"/>
      <c r="F97" s="127"/>
      <c r="G97" s="127"/>
      <c r="H97" s="127"/>
      <c r="I97" s="127"/>
    </row>
    <row r="98" spans="1:9" ht="15.75">
      <c r="A98" s="11"/>
    </row>
    <row r="99" spans="1:9" ht="15.75">
      <c r="A99" s="128" t="s">
        <v>9</v>
      </c>
      <c r="B99" s="128"/>
      <c r="C99" s="128"/>
      <c r="D99" s="128"/>
      <c r="E99" s="128"/>
      <c r="F99" s="128"/>
      <c r="G99" s="128"/>
      <c r="H99" s="128"/>
      <c r="I99" s="128"/>
    </row>
    <row r="100" spans="1:9" ht="15.75">
      <c r="A100" s="4"/>
    </row>
    <row r="101" spans="1:9" ht="15.75">
      <c r="B101" s="94" t="s">
        <v>10</v>
      </c>
      <c r="C101" s="129" t="s">
        <v>131</v>
      </c>
      <c r="D101" s="129"/>
      <c r="E101" s="129"/>
      <c r="F101" s="61"/>
      <c r="I101" s="95"/>
    </row>
    <row r="102" spans="1:9">
      <c r="A102" s="92"/>
      <c r="C102" s="121" t="s">
        <v>11</v>
      </c>
      <c r="D102" s="121"/>
      <c r="E102" s="121"/>
      <c r="F102" s="28"/>
      <c r="I102" s="93" t="s">
        <v>12</v>
      </c>
    </row>
    <row r="103" spans="1:9" ht="15.75">
      <c r="A103" s="29"/>
      <c r="C103" s="12"/>
      <c r="D103" s="12"/>
      <c r="G103" s="12"/>
      <c r="H103" s="12"/>
    </row>
    <row r="104" spans="1:9" ht="15.75">
      <c r="B104" s="94" t="s">
        <v>13</v>
      </c>
      <c r="C104" s="130"/>
      <c r="D104" s="130"/>
      <c r="E104" s="130"/>
      <c r="F104" s="62"/>
      <c r="I104" s="95"/>
    </row>
    <row r="105" spans="1:9">
      <c r="A105" s="92"/>
      <c r="C105" s="118" t="s">
        <v>11</v>
      </c>
      <c r="D105" s="118"/>
      <c r="E105" s="118"/>
      <c r="F105" s="92"/>
      <c r="I105" s="93" t="s">
        <v>12</v>
      </c>
    </row>
    <row r="106" spans="1:9" ht="15.75">
      <c r="A106" s="4" t="s">
        <v>14</v>
      </c>
    </row>
    <row r="107" spans="1:9">
      <c r="A107" s="131" t="s">
        <v>15</v>
      </c>
      <c r="B107" s="131"/>
      <c r="C107" s="131"/>
      <c r="D107" s="131"/>
      <c r="E107" s="131"/>
      <c r="F107" s="131"/>
      <c r="G107" s="131"/>
      <c r="H107" s="131"/>
      <c r="I107" s="131"/>
    </row>
    <row r="108" spans="1:9" ht="45" customHeight="1">
      <c r="A108" s="126" t="s">
        <v>16</v>
      </c>
      <c r="B108" s="126"/>
      <c r="C108" s="126"/>
      <c r="D108" s="126"/>
      <c r="E108" s="126"/>
      <c r="F108" s="126"/>
      <c r="G108" s="126"/>
      <c r="H108" s="126"/>
      <c r="I108" s="126"/>
    </row>
    <row r="109" spans="1:9" ht="30" customHeight="1">
      <c r="A109" s="126" t="s">
        <v>17</v>
      </c>
      <c r="B109" s="126"/>
      <c r="C109" s="126"/>
      <c r="D109" s="126"/>
      <c r="E109" s="126"/>
      <c r="F109" s="126"/>
      <c r="G109" s="126"/>
      <c r="H109" s="126"/>
      <c r="I109" s="126"/>
    </row>
    <row r="110" spans="1:9" ht="30" customHeight="1">
      <c r="A110" s="126" t="s">
        <v>21</v>
      </c>
      <c r="B110" s="126"/>
      <c r="C110" s="126"/>
      <c r="D110" s="126"/>
      <c r="E110" s="126"/>
      <c r="F110" s="126"/>
      <c r="G110" s="126"/>
      <c r="H110" s="126"/>
      <c r="I110" s="126"/>
    </row>
    <row r="111" spans="1:9" ht="14.25" customHeight="1">
      <c r="A111" s="126" t="s">
        <v>20</v>
      </c>
      <c r="B111" s="126"/>
      <c r="C111" s="126"/>
      <c r="D111" s="126"/>
      <c r="E111" s="126"/>
      <c r="F111" s="126"/>
      <c r="G111" s="126"/>
      <c r="H111" s="126"/>
      <c r="I111" s="126"/>
    </row>
  </sheetData>
  <autoFilter ref="I12:I61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6:U66"/>
    <mergeCell ref="C105:E105"/>
    <mergeCell ref="A82:I82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78:I78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B88" sqref="B88:G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63</v>
      </c>
      <c r="J2" s="2"/>
      <c r="K2" s="2"/>
      <c r="L2" s="2"/>
      <c r="M2" s="2"/>
    </row>
    <row r="3" spans="1:13" ht="15.75" customHeight="1">
      <c r="A3" s="112" t="s">
        <v>152</v>
      </c>
      <c r="B3" s="112"/>
      <c r="C3" s="112"/>
      <c r="D3" s="112"/>
      <c r="E3" s="112"/>
      <c r="F3" s="112"/>
      <c r="G3" s="112"/>
      <c r="H3" s="112"/>
      <c r="I3" s="112"/>
      <c r="J3" s="3"/>
      <c r="K3" s="3"/>
      <c r="L3" s="3"/>
    </row>
    <row r="4" spans="1:13" ht="31.5" customHeight="1">
      <c r="A4" s="113" t="s">
        <v>130</v>
      </c>
      <c r="B4" s="113"/>
      <c r="C4" s="113"/>
      <c r="D4" s="113"/>
      <c r="E4" s="113"/>
      <c r="F4" s="113"/>
      <c r="G4" s="113"/>
      <c r="H4" s="113"/>
      <c r="I4" s="113"/>
    </row>
    <row r="5" spans="1:13" ht="15.75">
      <c r="A5" s="112" t="s">
        <v>181</v>
      </c>
      <c r="B5" s="114"/>
      <c r="C5" s="114"/>
      <c r="D5" s="114"/>
      <c r="E5" s="114"/>
      <c r="F5" s="114"/>
      <c r="G5" s="114"/>
      <c r="H5" s="114"/>
      <c r="I5" s="114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43159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5" t="s">
        <v>164</v>
      </c>
      <c r="B8" s="115"/>
      <c r="C8" s="115"/>
      <c r="D8" s="115"/>
      <c r="E8" s="115"/>
      <c r="F8" s="115"/>
      <c r="G8" s="115"/>
      <c r="H8" s="115"/>
      <c r="I8" s="115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16" t="s">
        <v>165</v>
      </c>
      <c r="B10" s="116"/>
      <c r="C10" s="116"/>
      <c r="D10" s="116"/>
      <c r="E10" s="116"/>
      <c r="F10" s="116"/>
      <c r="G10" s="116"/>
      <c r="H10" s="116"/>
      <c r="I10" s="116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7" t="s">
        <v>60</v>
      </c>
      <c r="B14" s="117"/>
      <c r="C14" s="117"/>
      <c r="D14" s="117"/>
      <c r="E14" s="117"/>
      <c r="F14" s="117"/>
      <c r="G14" s="117"/>
      <c r="H14" s="117"/>
      <c r="I14" s="117"/>
      <c r="J14" s="8"/>
      <c r="K14" s="8"/>
      <c r="L14" s="8"/>
      <c r="M14" s="8"/>
    </row>
    <row r="15" spans="1:13" ht="15.75" customHeight="1">
      <c r="A15" s="111" t="s">
        <v>4</v>
      </c>
      <c r="B15" s="111"/>
      <c r="C15" s="111"/>
      <c r="D15" s="111"/>
      <c r="E15" s="111"/>
      <c r="F15" s="111"/>
      <c r="G15" s="111"/>
      <c r="H15" s="111"/>
      <c r="I15" s="111"/>
      <c r="J15" s="8"/>
      <c r="K15" s="8"/>
      <c r="L15" s="8"/>
      <c r="M15" s="8"/>
    </row>
    <row r="16" spans="1:13" ht="15.75" customHeight="1">
      <c r="A16" s="33">
        <v>1</v>
      </c>
      <c r="B16" s="64" t="s">
        <v>88</v>
      </c>
      <c r="C16" s="65" t="s">
        <v>89</v>
      </c>
      <c r="D16" s="64" t="s">
        <v>166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137</v>
      </c>
      <c r="C17" s="65" t="s">
        <v>89</v>
      </c>
      <c r="D17" s="64" t="s">
        <v>167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138</v>
      </c>
      <c r="C18" s="65" t="s">
        <v>89</v>
      </c>
      <c r="D18" s="64" t="s">
        <v>168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98</v>
      </c>
      <c r="C19" s="65" t="s">
        <v>99</v>
      </c>
      <c r="D19" s="64" t="s">
        <v>100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101</v>
      </c>
      <c r="C20" s="65" t="s">
        <v>89</v>
      </c>
      <c r="D20" s="64" t="s">
        <v>29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4" t="s">
        <v>102</v>
      </c>
      <c r="C21" s="65" t="s">
        <v>89</v>
      </c>
      <c r="D21" s="64" t="s">
        <v>103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104</v>
      </c>
      <c r="C22" s="65" t="s">
        <v>53</v>
      </c>
      <c r="D22" s="64" t="s">
        <v>100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105</v>
      </c>
      <c r="C23" s="65" t="s">
        <v>53</v>
      </c>
      <c r="D23" s="64" t="s">
        <v>100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106</v>
      </c>
      <c r="C24" s="65" t="s">
        <v>53</v>
      </c>
      <c r="D24" s="64" t="s">
        <v>107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108</v>
      </c>
      <c r="C25" s="65" t="s">
        <v>53</v>
      </c>
      <c r="D25" s="64" t="s">
        <v>54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109</v>
      </c>
      <c r="C26" s="65" t="s">
        <v>53</v>
      </c>
      <c r="D26" s="64" t="s">
        <v>100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4" t="s">
        <v>65</v>
      </c>
      <c r="C27" s="65" t="s">
        <v>32</v>
      </c>
      <c r="D27" s="64"/>
      <c r="E27" s="66">
        <v>0.1</v>
      </c>
      <c r="F27" s="67">
        <f>SUM(E27*365)</f>
        <v>36.5</v>
      </c>
      <c r="G27" s="67">
        <v>138.44999999999999</v>
      </c>
      <c r="H27" s="68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6</v>
      </c>
      <c r="B28" s="72" t="s">
        <v>23</v>
      </c>
      <c r="C28" s="65" t="s">
        <v>24</v>
      </c>
      <c r="D28" s="64"/>
      <c r="E28" s="66">
        <v>1042.5999999999999</v>
      </c>
      <c r="F28" s="67">
        <f>SUM(E28*12)</f>
        <v>12511.199999999999</v>
      </c>
      <c r="G28" s="67">
        <v>6.15</v>
      </c>
      <c r="H28" s="68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23" t="s">
        <v>86</v>
      </c>
      <c r="B29" s="124"/>
      <c r="C29" s="124"/>
      <c r="D29" s="124"/>
      <c r="E29" s="124"/>
      <c r="F29" s="124"/>
      <c r="G29" s="124"/>
      <c r="H29" s="124"/>
      <c r="I29" s="125"/>
      <c r="J29" s="26"/>
      <c r="K29" s="8"/>
      <c r="L29" s="8"/>
      <c r="M29" s="8"/>
    </row>
    <row r="30" spans="1:13" ht="15.75" hidden="1" customHeight="1">
      <c r="A30" s="33"/>
      <c r="B30" s="85" t="s">
        <v>27</v>
      </c>
      <c r="C30" s="65"/>
      <c r="D30" s="64"/>
      <c r="E30" s="66"/>
      <c r="F30" s="67"/>
      <c r="G30" s="67"/>
      <c r="H30" s="68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4" t="s">
        <v>114</v>
      </c>
      <c r="C31" s="65" t="s">
        <v>92</v>
      </c>
      <c r="D31" s="64" t="s">
        <v>110</v>
      </c>
      <c r="E31" s="67">
        <v>266.57</v>
      </c>
      <c r="F31" s="67">
        <f>SUM(E31*52/1000)</f>
        <v>13.86164</v>
      </c>
      <c r="G31" s="67">
        <v>146.79</v>
      </c>
      <c r="H31" s="68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hidden="1" customHeight="1">
      <c r="A32" s="33">
        <v>9</v>
      </c>
      <c r="B32" s="64" t="s">
        <v>113</v>
      </c>
      <c r="C32" s="65" t="s">
        <v>92</v>
      </c>
      <c r="D32" s="64" t="s">
        <v>111</v>
      </c>
      <c r="E32" s="67">
        <v>48.03</v>
      </c>
      <c r="F32" s="67">
        <f>SUM(E32*78/1000)</f>
        <v>3.74634</v>
      </c>
      <c r="G32" s="67">
        <v>243.54</v>
      </c>
      <c r="H32" s="68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26</v>
      </c>
      <c r="C33" s="65" t="s">
        <v>92</v>
      </c>
      <c r="D33" s="64" t="s">
        <v>54</v>
      </c>
      <c r="E33" s="67">
        <v>266.57</v>
      </c>
      <c r="F33" s="67">
        <f>SUM(E33/1000)</f>
        <v>0.26656999999999997</v>
      </c>
      <c r="G33" s="67">
        <v>2844</v>
      </c>
      <c r="H33" s="68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hidden="1" customHeight="1">
      <c r="A34" s="33">
        <v>10</v>
      </c>
      <c r="B34" s="64" t="s">
        <v>112</v>
      </c>
      <c r="C34" s="65" t="s">
        <v>30</v>
      </c>
      <c r="D34" s="64" t="s">
        <v>64</v>
      </c>
      <c r="E34" s="71">
        <v>0.33333333333333331</v>
      </c>
      <c r="F34" s="67">
        <f>155/3</f>
        <v>51.666666666666664</v>
      </c>
      <c r="G34" s="67">
        <v>53.38</v>
      </c>
      <c r="H34" s="68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4" t="s">
        <v>66</v>
      </c>
      <c r="C35" s="65" t="s">
        <v>32</v>
      </c>
      <c r="D35" s="64" t="s">
        <v>68</v>
      </c>
      <c r="E35" s="66"/>
      <c r="F35" s="67">
        <v>1</v>
      </c>
      <c r="G35" s="67">
        <v>180.15</v>
      </c>
      <c r="H35" s="68">
        <f t="shared" si="1"/>
        <v>0.18015</v>
      </c>
      <c r="I35" s="13">
        <v>0</v>
      </c>
      <c r="J35" s="27"/>
    </row>
    <row r="36" spans="1:14" ht="15.75" hidden="1" customHeight="1">
      <c r="A36" s="33"/>
      <c r="B36" s="64" t="s">
        <v>67</v>
      </c>
      <c r="C36" s="65" t="s">
        <v>31</v>
      </c>
      <c r="D36" s="64" t="s">
        <v>68</v>
      </c>
      <c r="E36" s="66"/>
      <c r="F36" s="67">
        <v>1</v>
      </c>
      <c r="G36" s="67">
        <v>1214.74</v>
      </c>
      <c r="H36" s="68">
        <f t="shared" si="1"/>
        <v>1.2147399999999999</v>
      </c>
      <c r="I36" s="13">
        <v>0</v>
      </c>
      <c r="J36" s="27"/>
    </row>
    <row r="37" spans="1:14" ht="15.75" customHeight="1">
      <c r="A37" s="33"/>
      <c r="B37" s="85" t="s">
        <v>5</v>
      </c>
      <c r="C37" s="65"/>
      <c r="D37" s="64"/>
      <c r="E37" s="66"/>
      <c r="F37" s="67"/>
      <c r="G37" s="67"/>
      <c r="H37" s="68" t="s">
        <v>139</v>
      </c>
      <c r="I37" s="13"/>
      <c r="J37" s="27"/>
    </row>
    <row r="38" spans="1:14" ht="15.75" customHeight="1">
      <c r="A38" s="33">
        <v>7</v>
      </c>
      <c r="B38" s="64" t="s">
        <v>25</v>
      </c>
      <c r="C38" s="65" t="s">
        <v>31</v>
      </c>
      <c r="D38" s="64"/>
      <c r="E38" s="66"/>
      <c r="F38" s="67">
        <v>3</v>
      </c>
      <c r="G38" s="67">
        <v>1632.6</v>
      </c>
      <c r="H38" s="68">
        <f t="shared" ref="H38:H43" si="3">SUM(F38*G38/1000)</f>
        <v>4.8977999999999993</v>
      </c>
      <c r="I38" s="13">
        <f t="shared" ref="I38:I41" si="4">F38/6*G38</f>
        <v>816.3</v>
      </c>
      <c r="J38" s="27"/>
    </row>
    <row r="39" spans="1:14" ht="15.75" customHeight="1">
      <c r="A39" s="33">
        <v>8</v>
      </c>
      <c r="B39" s="64" t="s">
        <v>115</v>
      </c>
      <c r="C39" s="65" t="s">
        <v>28</v>
      </c>
      <c r="D39" s="64" t="s">
        <v>90</v>
      </c>
      <c r="E39" s="66">
        <v>48.03</v>
      </c>
      <c r="F39" s="67">
        <v>1.44</v>
      </c>
      <c r="G39" s="67">
        <v>1979.95</v>
      </c>
      <c r="H39" s="68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customHeight="1">
      <c r="A40" s="33">
        <v>9</v>
      </c>
      <c r="B40" s="64" t="s">
        <v>69</v>
      </c>
      <c r="C40" s="65" t="s">
        <v>28</v>
      </c>
      <c r="D40" s="64" t="s">
        <v>91</v>
      </c>
      <c r="E40" s="67">
        <v>48.03</v>
      </c>
      <c r="F40" s="67">
        <f>SUM(E40*155/1000)</f>
        <v>7.4446500000000002</v>
      </c>
      <c r="G40" s="67">
        <v>330.27</v>
      </c>
      <c r="H40" s="68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customHeight="1">
      <c r="A41" s="33">
        <v>10</v>
      </c>
      <c r="B41" s="64" t="s">
        <v>84</v>
      </c>
      <c r="C41" s="65" t="s">
        <v>92</v>
      </c>
      <c r="D41" s="64" t="s">
        <v>116</v>
      </c>
      <c r="E41" s="67">
        <v>48.03</v>
      </c>
      <c r="F41" s="67">
        <f>SUM(E41*35/1000)</f>
        <v>1.6810499999999999</v>
      </c>
      <c r="G41" s="67">
        <v>5464.48</v>
      </c>
      <c r="H41" s="68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customHeight="1">
      <c r="A42" s="33">
        <v>11</v>
      </c>
      <c r="B42" s="64" t="s">
        <v>93</v>
      </c>
      <c r="C42" s="65" t="s">
        <v>92</v>
      </c>
      <c r="D42" s="64" t="s">
        <v>70</v>
      </c>
      <c r="E42" s="67">
        <v>48.03</v>
      </c>
      <c r="F42" s="67">
        <f>SUM(E42*45/1000)</f>
        <v>2.1613500000000001</v>
      </c>
      <c r="G42" s="67">
        <v>403.67</v>
      </c>
      <c r="H42" s="68">
        <f t="shared" si="3"/>
        <v>0.87247215450000015</v>
      </c>
      <c r="I42" s="13">
        <f>F42/7.5*G42</f>
        <v>116.3296206</v>
      </c>
      <c r="J42" s="27"/>
      <c r="L42" s="20"/>
      <c r="M42" s="21"/>
      <c r="N42" s="22"/>
    </row>
    <row r="43" spans="1:14" ht="15.75" customHeight="1">
      <c r="A43" s="33">
        <v>12</v>
      </c>
      <c r="B43" s="64" t="s">
        <v>71</v>
      </c>
      <c r="C43" s="65" t="s">
        <v>32</v>
      </c>
      <c r="D43" s="64"/>
      <c r="E43" s="66"/>
      <c r="F43" s="67">
        <v>0.53</v>
      </c>
      <c r="G43" s="67">
        <v>750.34</v>
      </c>
      <c r="H43" s="68">
        <f t="shared" si="3"/>
        <v>0.39768020000000004</v>
      </c>
      <c r="I43" s="13">
        <f>F43/7.5*G43</f>
        <v>53.024026666666671</v>
      </c>
      <c r="J43" s="27"/>
      <c r="L43" s="20"/>
      <c r="M43" s="21"/>
      <c r="N43" s="22"/>
    </row>
    <row r="44" spans="1:14" ht="15.75" customHeight="1">
      <c r="A44" s="123" t="s">
        <v>132</v>
      </c>
      <c r="B44" s="124"/>
      <c r="C44" s="124"/>
      <c r="D44" s="124"/>
      <c r="E44" s="124"/>
      <c r="F44" s="124"/>
      <c r="G44" s="124"/>
      <c r="H44" s="124"/>
      <c r="I44" s="125"/>
      <c r="J44" s="27"/>
      <c r="L44" s="20"/>
      <c r="M44" s="21"/>
      <c r="N44" s="22"/>
    </row>
    <row r="45" spans="1:14" ht="15.75" hidden="1" customHeight="1">
      <c r="A45" s="33"/>
      <c r="B45" s="64" t="s">
        <v>117</v>
      </c>
      <c r="C45" s="65" t="s">
        <v>92</v>
      </c>
      <c r="D45" s="64" t="s">
        <v>42</v>
      </c>
      <c r="E45" s="66">
        <v>636.25</v>
      </c>
      <c r="F45" s="67">
        <f>SUM(E45*2/1000)</f>
        <v>1.2725</v>
      </c>
      <c r="G45" s="13">
        <v>762.53</v>
      </c>
      <c r="H45" s="68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4" t="s">
        <v>35</v>
      </c>
      <c r="C46" s="65" t="s">
        <v>92</v>
      </c>
      <c r="D46" s="64" t="s">
        <v>42</v>
      </c>
      <c r="E46" s="66">
        <v>26</v>
      </c>
      <c r="F46" s="67">
        <f>SUM(E46*2/1000)</f>
        <v>5.1999999999999998E-2</v>
      </c>
      <c r="G46" s="13">
        <v>545.65</v>
      </c>
      <c r="H46" s="68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4" t="s">
        <v>36</v>
      </c>
      <c r="C47" s="65" t="s">
        <v>92</v>
      </c>
      <c r="D47" s="64" t="s">
        <v>42</v>
      </c>
      <c r="E47" s="66">
        <v>579</v>
      </c>
      <c r="F47" s="67">
        <f>SUM(E47*2/1000)</f>
        <v>1.1579999999999999</v>
      </c>
      <c r="G47" s="13">
        <v>545.65</v>
      </c>
      <c r="H47" s="68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4" t="s">
        <v>37</v>
      </c>
      <c r="C48" s="65" t="s">
        <v>92</v>
      </c>
      <c r="D48" s="64" t="s">
        <v>42</v>
      </c>
      <c r="E48" s="66">
        <v>683.33</v>
      </c>
      <c r="F48" s="67">
        <f>SUM(E48*2/1000)</f>
        <v>1.36666</v>
      </c>
      <c r="G48" s="13">
        <v>571.35</v>
      </c>
      <c r="H48" s="68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4" t="s">
        <v>33</v>
      </c>
      <c r="C49" s="65" t="s">
        <v>34</v>
      </c>
      <c r="D49" s="64" t="s">
        <v>42</v>
      </c>
      <c r="E49" s="66">
        <v>44.11</v>
      </c>
      <c r="F49" s="67">
        <f>SUM(E49*2/100)</f>
        <v>0.88219999999999998</v>
      </c>
      <c r="G49" s="13">
        <v>68.56</v>
      </c>
      <c r="H49" s="68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customHeight="1">
      <c r="A50" s="33">
        <v>13</v>
      </c>
      <c r="B50" s="64" t="s">
        <v>57</v>
      </c>
      <c r="C50" s="65" t="s">
        <v>92</v>
      </c>
      <c r="D50" s="64" t="s">
        <v>133</v>
      </c>
      <c r="E50" s="66">
        <v>1140</v>
      </c>
      <c r="F50" s="67">
        <f>SUM(E50*5/1000)</f>
        <v>5.7</v>
      </c>
      <c r="G50" s="13">
        <v>1142.7</v>
      </c>
      <c r="H50" s="68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4" t="s">
        <v>94</v>
      </c>
      <c r="C51" s="65" t="s">
        <v>92</v>
      </c>
      <c r="D51" s="64" t="s">
        <v>42</v>
      </c>
      <c r="E51" s="66">
        <v>1140</v>
      </c>
      <c r="F51" s="67">
        <f>SUM(E51*2/1000)</f>
        <v>2.2799999999999998</v>
      </c>
      <c r="G51" s="13">
        <v>1142.7</v>
      </c>
      <c r="H51" s="68">
        <f t="shared" si="5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4" t="s">
        <v>95</v>
      </c>
      <c r="C52" s="65" t="s">
        <v>38</v>
      </c>
      <c r="D52" s="64" t="s">
        <v>42</v>
      </c>
      <c r="E52" s="66">
        <v>9</v>
      </c>
      <c r="F52" s="67">
        <f>SUM(E52*2/100)</f>
        <v>0.18</v>
      </c>
      <c r="G52" s="13">
        <v>2571.08</v>
      </c>
      <c r="H52" s="68">
        <f t="shared" si="5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4" t="s">
        <v>39</v>
      </c>
      <c r="C53" s="65" t="s">
        <v>40</v>
      </c>
      <c r="D53" s="64" t="s">
        <v>42</v>
      </c>
      <c r="E53" s="66">
        <v>1</v>
      </c>
      <c r="F53" s="67">
        <v>0.02</v>
      </c>
      <c r="G53" s="13">
        <v>5322.15</v>
      </c>
      <c r="H53" s="68">
        <f t="shared" si="5"/>
        <v>0.106443</v>
      </c>
      <c r="I53" s="13">
        <v>0</v>
      </c>
      <c r="J53" s="27"/>
      <c r="L53" s="20"/>
      <c r="M53" s="21"/>
      <c r="N53" s="22"/>
    </row>
    <row r="54" spans="1:22" ht="15.75" hidden="1" customHeight="1">
      <c r="A54" s="33">
        <v>15</v>
      </c>
      <c r="B54" s="64" t="s">
        <v>41</v>
      </c>
      <c r="C54" s="65" t="s">
        <v>118</v>
      </c>
      <c r="D54" s="64" t="s">
        <v>72</v>
      </c>
      <c r="E54" s="66">
        <v>36</v>
      </c>
      <c r="F54" s="67">
        <f>SUM(E54)*3</f>
        <v>108</v>
      </c>
      <c r="G54" s="13">
        <v>61.84</v>
      </c>
      <c r="H54" s="68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customHeight="1">
      <c r="A55" s="123" t="s">
        <v>134</v>
      </c>
      <c r="B55" s="124"/>
      <c r="C55" s="124"/>
      <c r="D55" s="124"/>
      <c r="E55" s="124"/>
      <c r="F55" s="124"/>
      <c r="G55" s="124"/>
      <c r="H55" s="124"/>
      <c r="I55" s="125"/>
      <c r="J55" s="27"/>
      <c r="L55" s="20"/>
      <c r="M55" s="21"/>
      <c r="N55" s="22"/>
    </row>
    <row r="56" spans="1:22" ht="15.75" hidden="1" customHeight="1">
      <c r="A56" s="33"/>
      <c r="B56" s="85" t="s">
        <v>43</v>
      </c>
      <c r="C56" s="65"/>
      <c r="D56" s="64"/>
      <c r="E56" s="66"/>
      <c r="F56" s="67"/>
      <c r="G56" s="67"/>
      <c r="H56" s="68"/>
      <c r="I56" s="13"/>
      <c r="J56" s="27"/>
      <c r="L56" s="20"/>
      <c r="M56" s="21"/>
      <c r="N56" s="22"/>
    </row>
    <row r="57" spans="1:22" ht="31.5" hidden="1" customHeight="1">
      <c r="A57" s="33">
        <v>14</v>
      </c>
      <c r="B57" s="64" t="s">
        <v>119</v>
      </c>
      <c r="C57" s="65" t="s">
        <v>89</v>
      </c>
      <c r="D57" s="64" t="s">
        <v>120</v>
      </c>
      <c r="E57" s="66">
        <v>72.33</v>
      </c>
      <c r="F57" s="67">
        <f>SUM(E57*6/100)</f>
        <v>4.3398000000000003</v>
      </c>
      <c r="G57" s="13">
        <v>1456.95</v>
      </c>
      <c r="H57" s="68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5" t="s">
        <v>44</v>
      </c>
      <c r="C58" s="65"/>
      <c r="D58" s="64"/>
      <c r="E58" s="66"/>
      <c r="F58" s="67"/>
      <c r="G58" s="60"/>
      <c r="H58" s="68"/>
      <c r="I58" s="13"/>
      <c r="J58" s="27"/>
      <c r="L58" s="20"/>
      <c r="M58" s="21"/>
      <c r="N58" s="22"/>
    </row>
    <row r="59" spans="1:22" ht="15.75" hidden="1" customHeight="1">
      <c r="A59" s="33"/>
      <c r="B59" s="64" t="s">
        <v>121</v>
      </c>
      <c r="C59" s="65"/>
      <c r="D59" s="64" t="s">
        <v>54</v>
      </c>
      <c r="E59" s="66">
        <v>952</v>
      </c>
      <c r="F59" s="68">
        <v>9.52</v>
      </c>
      <c r="G59" s="13">
        <v>848.37</v>
      </c>
      <c r="H59" s="73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6" t="s">
        <v>45</v>
      </c>
      <c r="C60" s="74"/>
      <c r="D60" s="75"/>
      <c r="E60" s="76"/>
      <c r="F60" s="77"/>
      <c r="G60" s="77"/>
      <c r="H60" s="78" t="s">
        <v>139</v>
      </c>
      <c r="I60" s="13"/>
    </row>
    <row r="61" spans="1:22" ht="15.75" hidden="1" customHeight="1">
      <c r="A61" s="33">
        <v>17</v>
      </c>
      <c r="B61" s="14" t="s">
        <v>46</v>
      </c>
      <c r="C61" s="16" t="s">
        <v>118</v>
      </c>
      <c r="D61" s="14" t="s">
        <v>68</v>
      </c>
      <c r="E61" s="18">
        <v>5</v>
      </c>
      <c r="F61" s="67">
        <v>5</v>
      </c>
      <c r="G61" s="13">
        <v>237.74</v>
      </c>
      <c r="H61" s="79">
        <f t="shared" ref="H61:H75" si="6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47</v>
      </c>
      <c r="C62" s="16" t="s">
        <v>118</v>
      </c>
      <c r="D62" s="14" t="s">
        <v>68</v>
      </c>
      <c r="E62" s="18">
        <v>2</v>
      </c>
      <c r="F62" s="67">
        <v>2</v>
      </c>
      <c r="G62" s="13">
        <v>81.510000000000005</v>
      </c>
      <c r="H62" s="79">
        <f t="shared" si="6"/>
        <v>0.16302</v>
      </c>
      <c r="I62" s="13">
        <v>0</v>
      </c>
    </row>
    <row r="63" spans="1:22" ht="15.75" hidden="1" customHeight="1">
      <c r="A63" s="33"/>
      <c r="B63" s="14" t="s">
        <v>48</v>
      </c>
      <c r="C63" s="16" t="s">
        <v>122</v>
      </c>
      <c r="D63" s="14" t="s">
        <v>54</v>
      </c>
      <c r="E63" s="66">
        <v>4292</v>
      </c>
      <c r="F63" s="13">
        <f>SUM(E63/100)</f>
        <v>42.92</v>
      </c>
      <c r="G63" s="13">
        <v>226.79</v>
      </c>
      <c r="H63" s="79">
        <f t="shared" si="6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49</v>
      </c>
      <c r="C64" s="16" t="s">
        <v>123</v>
      </c>
      <c r="D64" s="14"/>
      <c r="E64" s="66">
        <v>4292</v>
      </c>
      <c r="F64" s="13">
        <f>SUM(E64/1000)</f>
        <v>4.2919999999999998</v>
      </c>
      <c r="G64" s="13">
        <v>176.61</v>
      </c>
      <c r="H64" s="79">
        <f t="shared" si="6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50</v>
      </c>
      <c r="C65" s="16" t="s">
        <v>78</v>
      </c>
      <c r="D65" s="14" t="s">
        <v>54</v>
      </c>
      <c r="E65" s="66">
        <v>510</v>
      </c>
      <c r="F65" s="13">
        <f>SUM(E65/100)</f>
        <v>5.0999999999999996</v>
      </c>
      <c r="G65" s="13">
        <v>2217.7800000000002</v>
      </c>
      <c r="H65" s="79">
        <f t="shared" si="6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0" t="s">
        <v>124</v>
      </c>
      <c r="C66" s="16" t="s">
        <v>32</v>
      </c>
      <c r="D66" s="14"/>
      <c r="E66" s="66">
        <v>4.5999999999999996</v>
      </c>
      <c r="F66" s="13">
        <f>SUM(E66)</f>
        <v>4.5999999999999996</v>
      </c>
      <c r="G66" s="13">
        <v>42.67</v>
      </c>
      <c r="H66" s="79">
        <f t="shared" si="6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8"/>
      <c r="S66" s="118"/>
      <c r="T66" s="118"/>
      <c r="U66" s="118"/>
    </row>
    <row r="67" spans="1:21" ht="15.75" hidden="1" customHeight="1">
      <c r="A67" s="33"/>
      <c r="B67" s="80" t="s">
        <v>125</v>
      </c>
      <c r="C67" s="16" t="s">
        <v>32</v>
      </c>
      <c r="D67" s="14"/>
      <c r="E67" s="66">
        <v>4.5999999999999996</v>
      </c>
      <c r="F67" s="13">
        <f>SUM(E67)</f>
        <v>4.5999999999999996</v>
      </c>
      <c r="G67" s="13">
        <v>39.81</v>
      </c>
      <c r="H67" s="79">
        <f t="shared" si="6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58</v>
      </c>
      <c r="C68" s="16" t="s">
        <v>59</v>
      </c>
      <c r="D68" s="14" t="s">
        <v>54</v>
      </c>
      <c r="E68" s="18">
        <v>3</v>
      </c>
      <c r="F68" s="67">
        <v>3</v>
      </c>
      <c r="G68" s="13">
        <v>53.32</v>
      </c>
      <c r="H68" s="79">
        <f t="shared" si="6"/>
        <v>0.15996000000000002</v>
      </c>
      <c r="I68" s="13">
        <v>0</v>
      </c>
    </row>
    <row r="69" spans="1:21" ht="15.75" hidden="1" customHeight="1">
      <c r="A69" s="33"/>
      <c r="B69" s="51" t="s">
        <v>73</v>
      </c>
      <c r="C69" s="16"/>
      <c r="D69" s="14"/>
      <c r="E69" s="18"/>
      <c r="F69" s="13"/>
      <c r="G69" s="13"/>
      <c r="H69" s="79" t="s">
        <v>139</v>
      </c>
      <c r="I69" s="13"/>
    </row>
    <row r="70" spans="1:21" ht="15.75" hidden="1" customHeight="1">
      <c r="A70" s="33"/>
      <c r="B70" s="14" t="s">
        <v>74</v>
      </c>
      <c r="C70" s="16" t="s">
        <v>76</v>
      </c>
      <c r="D70" s="14"/>
      <c r="E70" s="18">
        <v>2</v>
      </c>
      <c r="F70" s="13">
        <v>0.2</v>
      </c>
      <c r="G70" s="13">
        <v>536.23</v>
      </c>
      <c r="H70" s="79">
        <f t="shared" si="6"/>
        <v>0.10724600000000001</v>
      </c>
      <c r="I70" s="13">
        <v>0</v>
      </c>
    </row>
    <row r="71" spans="1:21" ht="15.75" hidden="1" customHeight="1">
      <c r="A71" s="33"/>
      <c r="B71" s="14" t="s">
        <v>75</v>
      </c>
      <c r="C71" s="16" t="s">
        <v>30</v>
      </c>
      <c r="D71" s="14"/>
      <c r="E71" s="18">
        <v>1</v>
      </c>
      <c r="F71" s="60">
        <v>1</v>
      </c>
      <c r="G71" s="13">
        <v>911.85</v>
      </c>
      <c r="H71" s="79">
        <f t="shared" si="6"/>
        <v>0.91185000000000005</v>
      </c>
      <c r="I71" s="13">
        <v>0</v>
      </c>
    </row>
    <row r="72" spans="1:21" ht="15.75" hidden="1" customHeight="1">
      <c r="A72" s="33"/>
      <c r="B72" s="14" t="s">
        <v>140</v>
      </c>
      <c r="C72" s="16" t="s">
        <v>141</v>
      </c>
      <c r="D72" s="14"/>
      <c r="E72" s="18"/>
      <c r="F72" s="13"/>
      <c r="G72" s="13">
        <v>31.54</v>
      </c>
      <c r="H72" s="79">
        <f t="shared" si="6"/>
        <v>0</v>
      </c>
      <c r="I72" s="13"/>
    </row>
    <row r="73" spans="1:21" ht="15.75" hidden="1" customHeight="1">
      <c r="A73" s="33"/>
      <c r="B73" s="14" t="s">
        <v>127</v>
      </c>
      <c r="C73" s="16" t="s">
        <v>30</v>
      </c>
      <c r="D73" s="14"/>
      <c r="E73" s="18">
        <v>1</v>
      </c>
      <c r="F73" s="13">
        <v>1</v>
      </c>
      <c r="G73" s="13">
        <v>383.25</v>
      </c>
      <c r="H73" s="79">
        <f>G73*F73/1000</f>
        <v>0.38324999999999998</v>
      </c>
      <c r="I73" s="13">
        <v>0</v>
      </c>
    </row>
    <row r="74" spans="1:21" ht="15.75" hidden="1" customHeight="1">
      <c r="A74" s="33"/>
      <c r="B74" s="82" t="s">
        <v>77</v>
      </c>
      <c r="C74" s="16"/>
      <c r="D74" s="14"/>
      <c r="E74" s="18"/>
      <c r="F74" s="13"/>
      <c r="G74" s="13" t="s">
        <v>139</v>
      </c>
      <c r="H74" s="79" t="s">
        <v>139</v>
      </c>
      <c r="I74" s="13"/>
    </row>
    <row r="75" spans="1:21" ht="15.75" hidden="1" customHeight="1">
      <c r="A75" s="33"/>
      <c r="B75" s="45" t="s">
        <v>151</v>
      </c>
      <c r="C75" s="16" t="s">
        <v>78</v>
      </c>
      <c r="D75" s="14"/>
      <c r="E75" s="18"/>
      <c r="F75" s="13">
        <v>0.1</v>
      </c>
      <c r="G75" s="13">
        <v>2949.85</v>
      </c>
      <c r="H75" s="79">
        <f t="shared" si="6"/>
        <v>0.294985</v>
      </c>
      <c r="I75" s="13">
        <v>0</v>
      </c>
    </row>
    <row r="76" spans="1:21" ht="15.75" hidden="1" customHeight="1">
      <c r="A76" s="33"/>
      <c r="B76" s="89" t="s">
        <v>96</v>
      </c>
      <c r="C76" s="89"/>
      <c r="D76" s="89"/>
      <c r="E76" s="89"/>
      <c r="F76" s="89"/>
      <c r="G76" s="70"/>
      <c r="H76" s="83">
        <f>SUM(H57:H75)</f>
        <v>39.790287929999998</v>
      </c>
      <c r="I76" s="70"/>
    </row>
    <row r="77" spans="1:21" ht="15.75" hidden="1" customHeight="1">
      <c r="A77" s="33"/>
      <c r="B77" s="87" t="s">
        <v>126</v>
      </c>
      <c r="C77" s="24"/>
      <c r="D77" s="23"/>
      <c r="E77" s="84"/>
      <c r="F77" s="88">
        <v>1</v>
      </c>
      <c r="G77" s="13">
        <v>3124.9</v>
      </c>
      <c r="H77" s="79">
        <f>G77*F77/1000</f>
        <v>3.1249000000000002</v>
      </c>
      <c r="I77" s="13">
        <v>0</v>
      </c>
    </row>
    <row r="78" spans="1:21" ht="15.75" customHeight="1">
      <c r="A78" s="123" t="s">
        <v>135</v>
      </c>
      <c r="B78" s="124"/>
      <c r="C78" s="124"/>
      <c r="D78" s="124"/>
      <c r="E78" s="124"/>
      <c r="F78" s="124"/>
      <c r="G78" s="124"/>
      <c r="H78" s="124"/>
      <c r="I78" s="125"/>
    </row>
    <row r="79" spans="1:21" ht="15.75" customHeight="1">
      <c r="A79" s="33">
        <v>14</v>
      </c>
      <c r="B79" s="64" t="s">
        <v>128</v>
      </c>
      <c r="C79" s="16" t="s">
        <v>55</v>
      </c>
      <c r="D79" s="50" t="s">
        <v>56</v>
      </c>
      <c r="E79" s="13">
        <v>1042.5999999999999</v>
      </c>
      <c r="F79" s="13">
        <f>SUM(E79*12)</f>
        <v>12511.199999999999</v>
      </c>
      <c r="G79" s="13">
        <v>2.2400000000000002</v>
      </c>
      <c r="H79" s="79">
        <f>SUM(F79*G79/1000)</f>
        <v>28.025088</v>
      </c>
      <c r="I79" s="13">
        <f>F79/12*G79</f>
        <v>2335.424</v>
      </c>
    </row>
    <row r="80" spans="1:21" ht="31.5" customHeight="1">
      <c r="A80" s="33">
        <v>15</v>
      </c>
      <c r="B80" s="14" t="s">
        <v>79</v>
      </c>
      <c r="C80" s="16"/>
      <c r="D80" s="50" t="s">
        <v>56</v>
      </c>
      <c r="E80" s="66">
        <f>E79</f>
        <v>1042.5999999999999</v>
      </c>
      <c r="F80" s="13">
        <f>E80*12</f>
        <v>12511.199999999999</v>
      </c>
      <c r="G80" s="13">
        <v>1.74</v>
      </c>
      <c r="H80" s="79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82</v>
      </c>
      <c r="C81" s="82"/>
      <c r="D81" s="81"/>
      <c r="E81" s="70"/>
      <c r="F81" s="70"/>
      <c r="G81" s="70"/>
      <c r="H81" s="83">
        <f>H80</f>
        <v>21.769487999999999</v>
      </c>
      <c r="I81" s="70">
        <f>I80+I79+I50+I43+I42+I41+I40+I39+I38+I28+I27+I20+I18+I17+I16</f>
        <v>19059.905109849995</v>
      </c>
    </row>
    <row r="82" spans="1:9" ht="15.75" customHeight="1">
      <c r="A82" s="132" t="s">
        <v>61</v>
      </c>
      <c r="B82" s="133"/>
      <c r="C82" s="133"/>
      <c r="D82" s="133"/>
      <c r="E82" s="133"/>
      <c r="F82" s="133"/>
      <c r="G82" s="133"/>
      <c r="H82" s="133"/>
      <c r="I82" s="134"/>
    </row>
    <row r="83" spans="1:9" ht="15.75" customHeight="1">
      <c r="A83" s="33">
        <v>16</v>
      </c>
      <c r="B83" s="75" t="s">
        <v>179</v>
      </c>
      <c r="C83" s="74" t="s">
        <v>180</v>
      </c>
      <c r="D83" s="75"/>
      <c r="E83" s="76"/>
      <c r="F83" s="77">
        <v>200</v>
      </c>
      <c r="G83" s="60">
        <v>1.2</v>
      </c>
      <c r="H83" s="78">
        <f>F83*G83/1000</f>
        <v>0.24</v>
      </c>
      <c r="I83" s="101">
        <f>G83*100</f>
        <v>120</v>
      </c>
    </row>
    <row r="84" spans="1:9">
      <c r="A84" s="33"/>
      <c r="B84" s="43" t="s">
        <v>51</v>
      </c>
      <c r="C84" s="39"/>
      <c r="D84" s="46"/>
      <c r="E84" s="39">
        <v>1</v>
      </c>
      <c r="F84" s="39"/>
      <c r="G84" s="39"/>
      <c r="H84" s="39"/>
      <c r="I84" s="35">
        <f>SUM(I83)</f>
        <v>120</v>
      </c>
    </row>
    <row r="85" spans="1:9" ht="16.5" customHeight="1">
      <c r="A85" s="33"/>
      <c r="B85" s="45" t="s">
        <v>80</v>
      </c>
      <c r="C85" s="15"/>
      <c r="D85" s="15"/>
      <c r="E85" s="40"/>
      <c r="F85" s="40"/>
      <c r="G85" s="41"/>
      <c r="H85" s="41"/>
      <c r="I85" s="17">
        <v>0</v>
      </c>
    </row>
    <row r="86" spans="1:9" ht="16.5" customHeight="1">
      <c r="A86" s="47"/>
      <c r="B86" s="44" t="s">
        <v>169</v>
      </c>
      <c r="C86" s="36"/>
      <c r="D86" s="36"/>
      <c r="E86" s="36"/>
      <c r="F86" s="36"/>
      <c r="G86" s="36"/>
      <c r="H86" s="36"/>
      <c r="I86" s="42">
        <f>I81+I84</f>
        <v>19179.905109849995</v>
      </c>
    </row>
    <row r="87" spans="1:9" ht="15.75" customHeight="1">
      <c r="A87" s="119" t="s">
        <v>216</v>
      </c>
      <c r="B87" s="119"/>
      <c r="C87" s="119"/>
      <c r="D87" s="119"/>
      <c r="E87" s="119"/>
      <c r="F87" s="119"/>
      <c r="G87" s="119"/>
      <c r="H87" s="119"/>
      <c r="I87" s="119"/>
    </row>
    <row r="88" spans="1:9" ht="15.75" customHeight="1">
      <c r="A88" s="57"/>
      <c r="B88" s="120" t="s">
        <v>217</v>
      </c>
      <c r="C88" s="120"/>
      <c r="D88" s="120"/>
      <c r="E88" s="120"/>
      <c r="F88" s="120"/>
      <c r="G88" s="120"/>
      <c r="H88" s="63"/>
      <c r="I88" s="3"/>
    </row>
    <row r="89" spans="1:9">
      <c r="A89" s="56"/>
      <c r="B89" s="121" t="s">
        <v>6</v>
      </c>
      <c r="C89" s="121"/>
      <c r="D89" s="121"/>
      <c r="E89" s="121"/>
      <c r="F89" s="121"/>
      <c r="G89" s="121"/>
      <c r="H89" s="28"/>
      <c r="I89" s="5"/>
    </row>
    <row r="90" spans="1:9" ht="15.75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75">
      <c r="A91" s="122" t="s">
        <v>7</v>
      </c>
      <c r="B91" s="122"/>
      <c r="C91" s="122"/>
      <c r="D91" s="122"/>
      <c r="E91" s="122"/>
      <c r="F91" s="122"/>
      <c r="G91" s="122"/>
      <c r="H91" s="122"/>
      <c r="I91" s="122"/>
    </row>
    <row r="92" spans="1:9" ht="15.75">
      <c r="A92" s="122" t="s">
        <v>8</v>
      </c>
      <c r="B92" s="122"/>
      <c r="C92" s="122"/>
      <c r="D92" s="122"/>
      <c r="E92" s="122"/>
      <c r="F92" s="122"/>
      <c r="G92" s="122"/>
      <c r="H92" s="122"/>
      <c r="I92" s="122"/>
    </row>
    <row r="93" spans="1:9" ht="15.75">
      <c r="A93" s="127" t="s">
        <v>62</v>
      </c>
      <c r="B93" s="127"/>
      <c r="C93" s="127"/>
      <c r="D93" s="127"/>
      <c r="E93" s="127"/>
      <c r="F93" s="127"/>
      <c r="G93" s="127"/>
      <c r="H93" s="127"/>
      <c r="I93" s="127"/>
    </row>
    <row r="94" spans="1:9" ht="15.75">
      <c r="A94" s="11"/>
    </row>
    <row r="95" spans="1:9" ht="15.75">
      <c r="A95" s="128" t="s">
        <v>9</v>
      </c>
      <c r="B95" s="128"/>
      <c r="C95" s="128"/>
      <c r="D95" s="128"/>
      <c r="E95" s="128"/>
      <c r="F95" s="128"/>
      <c r="G95" s="128"/>
      <c r="H95" s="128"/>
      <c r="I95" s="128"/>
    </row>
    <row r="96" spans="1:9" ht="15.75">
      <c r="A96" s="4"/>
    </row>
    <row r="97" spans="1:9" ht="15.75">
      <c r="B97" s="53" t="s">
        <v>10</v>
      </c>
      <c r="C97" s="129" t="s">
        <v>131</v>
      </c>
      <c r="D97" s="129"/>
      <c r="E97" s="129"/>
      <c r="F97" s="61"/>
      <c r="I97" s="55"/>
    </row>
    <row r="98" spans="1:9">
      <c r="A98" s="56"/>
      <c r="C98" s="121" t="s">
        <v>11</v>
      </c>
      <c r="D98" s="121"/>
      <c r="E98" s="121"/>
      <c r="F98" s="28"/>
      <c r="I98" s="54" t="s">
        <v>12</v>
      </c>
    </row>
    <row r="99" spans="1:9" ht="15.75">
      <c r="A99" s="29"/>
      <c r="C99" s="12"/>
      <c r="D99" s="12"/>
      <c r="G99" s="12"/>
      <c r="H99" s="12"/>
    </row>
    <row r="100" spans="1:9" ht="15.75">
      <c r="B100" s="53" t="s">
        <v>13</v>
      </c>
      <c r="C100" s="130"/>
      <c r="D100" s="130"/>
      <c r="E100" s="130"/>
      <c r="F100" s="62"/>
      <c r="I100" s="55"/>
    </row>
    <row r="101" spans="1:9">
      <c r="A101" s="56"/>
      <c r="C101" s="118" t="s">
        <v>11</v>
      </c>
      <c r="D101" s="118"/>
      <c r="E101" s="118"/>
      <c r="F101" s="56"/>
      <c r="I101" s="54" t="s">
        <v>12</v>
      </c>
    </row>
    <row r="102" spans="1:9" ht="15.75">
      <c r="A102" s="4" t="s">
        <v>14</v>
      </c>
    </row>
    <row r="103" spans="1:9">
      <c r="A103" s="131" t="s">
        <v>15</v>
      </c>
      <c r="B103" s="131"/>
      <c r="C103" s="131"/>
      <c r="D103" s="131"/>
      <c r="E103" s="131"/>
      <c r="F103" s="131"/>
      <c r="G103" s="131"/>
      <c r="H103" s="131"/>
      <c r="I103" s="131"/>
    </row>
    <row r="104" spans="1:9" ht="47.25" customHeight="1">
      <c r="A104" s="126" t="s">
        <v>16</v>
      </c>
      <c r="B104" s="126"/>
      <c r="C104" s="126"/>
      <c r="D104" s="126"/>
      <c r="E104" s="126"/>
      <c r="F104" s="126"/>
      <c r="G104" s="126"/>
      <c r="H104" s="126"/>
      <c r="I104" s="126"/>
    </row>
    <row r="105" spans="1:9" ht="31.5" customHeight="1">
      <c r="A105" s="126" t="s">
        <v>17</v>
      </c>
      <c r="B105" s="126"/>
      <c r="C105" s="126"/>
      <c r="D105" s="126"/>
      <c r="E105" s="126"/>
      <c r="F105" s="126"/>
      <c r="G105" s="126"/>
      <c r="H105" s="126"/>
      <c r="I105" s="126"/>
    </row>
    <row r="106" spans="1:9" ht="31.5" customHeight="1">
      <c r="A106" s="126" t="s">
        <v>21</v>
      </c>
      <c r="B106" s="126"/>
      <c r="C106" s="126"/>
      <c r="D106" s="126"/>
      <c r="E106" s="126"/>
      <c r="F106" s="126"/>
      <c r="G106" s="126"/>
      <c r="H106" s="126"/>
      <c r="I106" s="126"/>
    </row>
    <row r="107" spans="1:9" ht="15.75">
      <c r="A107" s="126" t="s">
        <v>20</v>
      </c>
      <c r="B107" s="126"/>
      <c r="C107" s="126"/>
      <c r="D107" s="126"/>
      <c r="E107" s="126"/>
      <c r="F107" s="126"/>
      <c r="G107" s="126"/>
      <c r="H107" s="126"/>
      <c r="I107" s="126"/>
    </row>
  </sheetData>
  <autoFilter ref="I12:I61"/>
  <mergeCells count="29">
    <mergeCell ref="A104:I104"/>
    <mergeCell ref="A105:I105"/>
    <mergeCell ref="A106:I106"/>
    <mergeCell ref="A107:I107"/>
    <mergeCell ref="A95:I95"/>
    <mergeCell ref="C97:E97"/>
    <mergeCell ref="C98:E98"/>
    <mergeCell ref="C100:E100"/>
    <mergeCell ref="C101:E101"/>
    <mergeCell ref="A103:I103"/>
    <mergeCell ref="A93:I93"/>
    <mergeCell ref="A15:I15"/>
    <mergeCell ref="A29:I29"/>
    <mergeCell ref="A44:I44"/>
    <mergeCell ref="A55:I55"/>
    <mergeCell ref="A87:I87"/>
    <mergeCell ref="B88:G88"/>
    <mergeCell ref="B89:G89"/>
    <mergeCell ref="A91:I91"/>
    <mergeCell ref="A92:I92"/>
    <mergeCell ref="A82:I82"/>
    <mergeCell ref="R66:U66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B89" sqref="B89:G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63</v>
      </c>
      <c r="J2" s="2"/>
      <c r="K2" s="2"/>
      <c r="L2" s="2"/>
      <c r="M2" s="2"/>
    </row>
    <row r="3" spans="1:13" ht="15.75" customHeight="1">
      <c r="A3" s="112" t="s">
        <v>153</v>
      </c>
      <c r="B3" s="112"/>
      <c r="C3" s="112"/>
      <c r="D3" s="112"/>
      <c r="E3" s="112"/>
      <c r="F3" s="112"/>
      <c r="G3" s="112"/>
      <c r="H3" s="112"/>
      <c r="I3" s="112"/>
      <c r="J3" s="3"/>
      <c r="K3" s="3"/>
      <c r="L3" s="3"/>
    </row>
    <row r="4" spans="1:13" ht="31.5" customHeight="1">
      <c r="A4" s="113" t="s">
        <v>130</v>
      </c>
      <c r="B4" s="113"/>
      <c r="C4" s="113"/>
      <c r="D4" s="113"/>
      <c r="E4" s="113"/>
      <c r="F4" s="113"/>
      <c r="G4" s="113"/>
      <c r="H4" s="113"/>
      <c r="I4" s="113"/>
    </row>
    <row r="5" spans="1:13" ht="15.75">
      <c r="A5" s="112" t="s">
        <v>182</v>
      </c>
      <c r="B5" s="114"/>
      <c r="C5" s="114"/>
      <c r="D5" s="114"/>
      <c r="E5" s="114"/>
      <c r="F5" s="114"/>
      <c r="G5" s="114"/>
      <c r="H5" s="114"/>
      <c r="I5" s="114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43190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5" t="s">
        <v>164</v>
      </c>
      <c r="B8" s="115"/>
      <c r="C8" s="115"/>
      <c r="D8" s="115"/>
      <c r="E8" s="115"/>
      <c r="F8" s="115"/>
      <c r="G8" s="115"/>
      <c r="H8" s="115"/>
      <c r="I8" s="115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16" t="s">
        <v>165</v>
      </c>
      <c r="B10" s="116"/>
      <c r="C10" s="116"/>
      <c r="D10" s="116"/>
      <c r="E10" s="116"/>
      <c r="F10" s="116"/>
      <c r="G10" s="116"/>
      <c r="H10" s="116"/>
      <c r="I10" s="116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7" t="s">
        <v>60</v>
      </c>
      <c r="B14" s="117"/>
      <c r="C14" s="117"/>
      <c r="D14" s="117"/>
      <c r="E14" s="117"/>
      <c r="F14" s="117"/>
      <c r="G14" s="117"/>
      <c r="H14" s="117"/>
      <c r="I14" s="117"/>
      <c r="J14" s="8"/>
      <c r="K14" s="8"/>
      <c r="L14" s="8"/>
      <c r="M14" s="8"/>
    </row>
    <row r="15" spans="1:13" ht="15.75" customHeight="1">
      <c r="A15" s="111" t="s">
        <v>4</v>
      </c>
      <c r="B15" s="111"/>
      <c r="C15" s="111"/>
      <c r="D15" s="111"/>
      <c r="E15" s="111"/>
      <c r="F15" s="111"/>
      <c r="G15" s="111"/>
      <c r="H15" s="111"/>
      <c r="I15" s="111"/>
      <c r="J15" s="8"/>
      <c r="K15" s="8"/>
      <c r="L15" s="8"/>
      <c r="M15" s="8"/>
    </row>
    <row r="16" spans="1:13" ht="15.75" customHeight="1">
      <c r="A16" s="33">
        <v>1</v>
      </c>
      <c r="B16" s="64" t="s">
        <v>88</v>
      </c>
      <c r="C16" s="65" t="s">
        <v>89</v>
      </c>
      <c r="D16" s="64" t="s">
        <v>166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137</v>
      </c>
      <c r="C17" s="65" t="s">
        <v>89</v>
      </c>
      <c r="D17" s="64" t="s">
        <v>167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138</v>
      </c>
      <c r="C18" s="65" t="s">
        <v>89</v>
      </c>
      <c r="D18" s="64" t="s">
        <v>168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98</v>
      </c>
      <c r="C19" s="65" t="s">
        <v>99</v>
      </c>
      <c r="D19" s="64" t="s">
        <v>100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101</v>
      </c>
      <c r="C20" s="65" t="s">
        <v>89</v>
      </c>
      <c r="D20" s="64" t="s">
        <v>29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5</v>
      </c>
      <c r="B21" s="64" t="s">
        <v>102</v>
      </c>
      <c r="C21" s="65" t="s">
        <v>89</v>
      </c>
      <c r="D21" s="64" t="s">
        <v>103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104</v>
      </c>
      <c r="C22" s="65" t="s">
        <v>53</v>
      </c>
      <c r="D22" s="64" t="s">
        <v>100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105</v>
      </c>
      <c r="C23" s="65" t="s">
        <v>53</v>
      </c>
      <c r="D23" s="64" t="s">
        <v>100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106</v>
      </c>
      <c r="C24" s="65" t="s">
        <v>53</v>
      </c>
      <c r="D24" s="64" t="s">
        <v>107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108</v>
      </c>
      <c r="C25" s="65" t="s">
        <v>53</v>
      </c>
      <c r="D25" s="64" t="s">
        <v>54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109</v>
      </c>
      <c r="C26" s="65" t="s">
        <v>53</v>
      </c>
      <c r="D26" s="64" t="s">
        <v>100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4" t="s">
        <v>65</v>
      </c>
      <c r="C27" s="65" t="s">
        <v>32</v>
      </c>
      <c r="D27" s="64"/>
      <c r="E27" s="66">
        <v>0.1</v>
      </c>
      <c r="F27" s="67">
        <f>SUM(E27*365)</f>
        <v>36.5</v>
      </c>
      <c r="G27" s="67">
        <v>138.44999999999999</v>
      </c>
      <c r="H27" s="68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7</v>
      </c>
      <c r="B28" s="72" t="s">
        <v>23</v>
      </c>
      <c r="C28" s="65" t="s">
        <v>24</v>
      </c>
      <c r="D28" s="64"/>
      <c r="E28" s="66">
        <v>1042.5999999999999</v>
      </c>
      <c r="F28" s="67">
        <f>SUM(E28*12)</f>
        <v>12511.199999999999</v>
      </c>
      <c r="G28" s="67">
        <v>6.15</v>
      </c>
      <c r="H28" s="68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23" t="s">
        <v>86</v>
      </c>
      <c r="B29" s="124"/>
      <c r="C29" s="124"/>
      <c r="D29" s="124"/>
      <c r="E29" s="124"/>
      <c r="F29" s="124"/>
      <c r="G29" s="124"/>
      <c r="H29" s="124"/>
      <c r="I29" s="125"/>
      <c r="J29" s="26"/>
      <c r="K29" s="8"/>
      <c r="L29" s="8"/>
      <c r="M29" s="8"/>
    </row>
    <row r="30" spans="1:13" ht="15.75" hidden="1" customHeight="1">
      <c r="A30" s="33"/>
      <c r="B30" s="85" t="s">
        <v>27</v>
      </c>
      <c r="C30" s="65"/>
      <c r="D30" s="64"/>
      <c r="E30" s="66"/>
      <c r="F30" s="67"/>
      <c r="G30" s="67"/>
      <c r="H30" s="68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4" t="s">
        <v>114</v>
      </c>
      <c r="C31" s="65" t="s">
        <v>92</v>
      </c>
      <c r="D31" s="64" t="s">
        <v>110</v>
      </c>
      <c r="E31" s="67">
        <v>266.57</v>
      </c>
      <c r="F31" s="67">
        <f>SUM(E31*52/1000)</f>
        <v>13.86164</v>
      </c>
      <c r="G31" s="67">
        <v>146.79</v>
      </c>
      <c r="H31" s="68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hidden="1" customHeight="1">
      <c r="A32" s="33">
        <v>9</v>
      </c>
      <c r="B32" s="64" t="s">
        <v>113</v>
      </c>
      <c r="C32" s="65" t="s">
        <v>92</v>
      </c>
      <c r="D32" s="64" t="s">
        <v>111</v>
      </c>
      <c r="E32" s="67">
        <v>48.03</v>
      </c>
      <c r="F32" s="67">
        <f>SUM(E32*78/1000)</f>
        <v>3.74634</v>
      </c>
      <c r="G32" s="67">
        <v>243.54</v>
      </c>
      <c r="H32" s="68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26</v>
      </c>
      <c r="C33" s="65" t="s">
        <v>92</v>
      </c>
      <c r="D33" s="64" t="s">
        <v>54</v>
      </c>
      <c r="E33" s="67">
        <v>266.57</v>
      </c>
      <c r="F33" s="67">
        <f>SUM(E33/1000)</f>
        <v>0.26656999999999997</v>
      </c>
      <c r="G33" s="67">
        <v>2844</v>
      </c>
      <c r="H33" s="68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hidden="1" customHeight="1">
      <c r="A34" s="33">
        <v>10</v>
      </c>
      <c r="B34" s="64" t="s">
        <v>112</v>
      </c>
      <c r="C34" s="65" t="s">
        <v>30</v>
      </c>
      <c r="D34" s="64" t="s">
        <v>64</v>
      </c>
      <c r="E34" s="71">
        <v>0.33333333333333331</v>
      </c>
      <c r="F34" s="67">
        <f>155/3</f>
        <v>51.666666666666664</v>
      </c>
      <c r="G34" s="67">
        <v>53.38</v>
      </c>
      <c r="H34" s="68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4" t="s">
        <v>66</v>
      </c>
      <c r="C35" s="65" t="s">
        <v>32</v>
      </c>
      <c r="D35" s="64" t="s">
        <v>68</v>
      </c>
      <c r="E35" s="66"/>
      <c r="F35" s="67">
        <v>1</v>
      </c>
      <c r="G35" s="67">
        <v>180.15</v>
      </c>
      <c r="H35" s="68">
        <f t="shared" si="1"/>
        <v>0.18015</v>
      </c>
      <c r="I35" s="13">
        <v>0</v>
      </c>
      <c r="J35" s="27"/>
    </row>
    <row r="36" spans="1:14" ht="15.75" hidden="1" customHeight="1">
      <c r="A36" s="33"/>
      <c r="B36" s="64" t="s">
        <v>67</v>
      </c>
      <c r="C36" s="65" t="s">
        <v>31</v>
      </c>
      <c r="D36" s="64" t="s">
        <v>68</v>
      </c>
      <c r="E36" s="66"/>
      <c r="F36" s="67">
        <v>1</v>
      </c>
      <c r="G36" s="67">
        <v>1214.74</v>
      </c>
      <c r="H36" s="68">
        <f t="shared" si="1"/>
        <v>1.2147399999999999</v>
      </c>
      <c r="I36" s="13">
        <v>0</v>
      </c>
      <c r="J36" s="27"/>
    </row>
    <row r="37" spans="1:14" ht="15.75" customHeight="1">
      <c r="A37" s="33"/>
      <c r="B37" s="85" t="s">
        <v>5</v>
      </c>
      <c r="C37" s="65"/>
      <c r="D37" s="64"/>
      <c r="E37" s="66"/>
      <c r="F37" s="67"/>
      <c r="G37" s="67"/>
      <c r="H37" s="68" t="s">
        <v>139</v>
      </c>
      <c r="I37" s="13"/>
      <c r="J37" s="27"/>
    </row>
    <row r="38" spans="1:14" ht="15.75" customHeight="1">
      <c r="A38" s="33">
        <v>8</v>
      </c>
      <c r="B38" s="64" t="s">
        <v>25</v>
      </c>
      <c r="C38" s="65" t="s">
        <v>31</v>
      </c>
      <c r="D38" s="64"/>
      <c r="E38" s="66"/>
      <c r="F38" s="67">
        <v>3</v>
      </c>
      <c r="G38" s="67">
        <v>1632.6</v>
      </c>
      <c r="H38" s="68">
        <f t="shared" ref="H38:H43" si="3">SUM(F38*G38/1000)</f>
        <v>4.8977999999999993</v>
      </c>
      <c r="I38" s="13">
        <f t="shared" ref="I38:I41" si="4">F38/6*G38</f>
        <v>816.3</v>
      </c>
      <c r="J38" s="27"/>
    </row>
    <row r="39" spans="1:14" ht="15.75" customHeight="1">
      <c r="A39" s="33">
        <v>9</v>
      </c>
      <c r="B39" s="64" t="s">
        <v>115</v>
      </c>
      <c r="C39" s="65" t="s">
        <v>28</v>
      </c>
      <c r="D39" s="64" t="s">
        <v>90</v>
      </c>
      <c r="E39" s="66">
        <v>48.03</v>
      </c>
      <c r="F39" s="67">
        <v>1.44</v>
      </c>
      <c r="G39" s="67">
        <v>1979.95</v>
      </c>
      <c r="H39" s="68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customHeight="1">
      <c r="A40" s="33">
        <v>10</v>
      </c>
      <c r="B40" s="64" t="s">
        <v>69</v>
      </c>
      <c r="C40" s="65" t="s">
        <v>28</v>
      </c>
      <c r="D40" s="64" t="s">
        <v>91</v>
      </c>
      <c r="E40" s="67">
        <v>48.03</v>
      </c>
      <c r="F40" s="67">
        <f>SUM(E40*155/1000)</f>
        <v>7.4446500000000002</v>
      </c>
      <c r="G40" s="67">
        <v>330.27</v>
      </c>
      <c r="H40" s="68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customHeight="1">
      <c r="A41" s="33">
        <v>11</v>
      </c>
      <c r="B41" s="64" t="s">
        <v>84</v>
      </c>
      <c r="C41" s="65" t="s">
        <v>92</v>
      </c>
      <c r="D41" s="64" t="s">
        <v>116</v>
      </c>
      <c r="E41" s="67">
        <v>48.03</v>
      </c>
      <c r="F41" s="67">
        <f>SUM(E41*35/1000)</f>
        <v>1.6810499999999999</v>
      </c>
      <c r="G41" s="67">
        <v>5464.48</v>
      </c>
      <c r="H41" s="68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customHeight="1">
      <c r="A42" s="33">
        <v>12</v>
      </c>
      <c r="B42" s="64" t="s">
        <v>93</v>
      </c>
      <c r="C42" s="65" t="s">
        <v>92</v>
      </c>
      <c r="D42" s="64" t="s">
        <v>70</v>
      </c>
      <c r="E42" s="67">
        <v>48.03</v>
      </c>
      <c r="F42" s="67">
        <f>SUM(E42*45/1000)</f>
        <v>2.1613500000000001</v>
      </c>
      <c r="G42" s="67">
        <v>403.67</v>
      </c>
      <c r="H42" s="68">
        <f t="shared" si="3"/>
        <v>0.87247215450000015</v>
      </c>
      <c r="I42" s="13">
        <f>(F42/7.5*1.5)*G42</f>
        <v>174.4944309</v>
      </c>
      <c r="J42" s="27"/>
      <c r="L42" s="20"/>
      <c r="M42" s="21"/>
      <c r="N42" s="22"/>
    </row>
    <row r="43" spans="1:14" ht="15.75" customHeight="1">
      <c r="A43" s="33">
        <v>13</v>
      </c>
      <c r="B43" s="64" t="s">
        <v>71</v>
      </c>
      <c r="C43" s="65" t="s">
        <v>32</v>
      </c>
      <c r="D43" s="64"/>
      <c r="E43" s="66"/>
      <c r="F43" s="67">
        <v>0.53</v>
      </c>
      <c r="G43" s="67">
        <v>750.34</v>
      </c>
      <c r="H43" s="68">
        <f t="shared" si="3"/>
        <v>0.39768020000000004</v>
      </c>
      <c r="I43" s="13">
        <f>(F43/7.5*1.5)*G43</f>
        <v>79.536040000000014</v>
      </c>
      <c r="J43" s="27"/>
      <c r="L43" s="20"/>
      <c r="M43" s="21"/>
      <c r="N43" s="22"/>
    </row>
    <row r="44" spans="1:14" ht="15.75" hidden="1" customHeight="1">
      <c r="A44" s="123" t="s">
        <v>132</v>
      </c>
      <c r="B44" s="124"/>
      <c r="C44" s="124"/>
      <c r="D44" s="124"/>
      <c r="E44" s="124"/>
      <c r="F44" s="124"/>
      <c r="G44" s="124"/>
      <c r="H44" s="124"/>
      <c r="I44" s="125"/>
      <c r="J44" s="27"/>
      <c r="L44" s="20"/>
      <c r="M44" s="21"/>
      <c r="N44" s="22"/>
    </row>
    <row r="45" spans="1:14" ht="15.75" hidden="1" customHeight="1">
      <c r="A45" s="33"/>
      <c r="B45" s="64" t="s">
        <v>117</v>
      </c>
      <c r="C45" s="65" t="s">
        <v>92</v>
      </c>
      <c r="D45" s="64" t="s">
        <v>42</v>
      </c>
      <c r="E45" s="66">
        <v>636.25</v>
      </c>
      <c r="F45" s="67">
        <f>SUM(E45*2/1000)</f>
        <v>1.2725</v>
      </c>
      <c r="G45" s="13">
        <v>762.53</v>
      </c>
      <c r="H45" s="68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4" t="s">
        <v>35</v>
      </c>
      <c r="C46" s="65" t="s">
        <v>92</v>
      </c>
      <c r="D46" s="64" t="s">
        <v>42</v>
      </c>
      <c r="E46" s="66">
        <v>26</v>
      </c>
      <c r="F46" s="67">
        <f>SUM(E46*2/1000)</f>
        <v>5.1999999999999998E-2</v>
      </c>
      <c r="G46" s="13">
        <v>545.65</v>
      </c>
      <c r="H46" s="68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4" t="s">
        <v>36</v>
      </c>
      <c r="C47" s="65" t="s">
        <v>92</v>
      </c>
      <c r="D47" s="64" t="s">
        <v>42</v>
      </c>
      <c r="E47" s="66">
        <v>579</v>
      </c>
      <c r="F47" s="67">
        <f>SUM(E47*2/1000)</f>
        <v>1.1579999999999999</v>
      </c>
      <c r="G47" s="13">
        <v>545.65</v>
      </c>
      <c r="H47" s="68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4" t="s">
        <v>37</v>
      </c>
      <c r="C48" s="65" t="s">
        <v>92</v>
      </c>
      <c r="D48" s="64" t="s">
        <v>42</v>
      </c>
      <c r="E48" s="66">
        <v>683.33</v>
      </c>
      <c r="F48" s="67">
        <f>SUM(E48*2/1000)</f>
        <v>1.36666</v>
      </c>
      <c r="G48" s="13">
        <v>571.35</v>
      </c>
      <c r="H48" s="68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4" t="s">
        <v>33</v>
      </c>
      <c r="C49" s="65" t="s">
        <v>34</v>
      </c>
      <c r="D49" s="64" t="s">
        <v>42</v>
      </c>
      <c r="E49" s="66">
        <v>44.11</v>
      </c>
      <c r="F49" s="67">
        <f>SUM(E49*2/100)</f>
        <v>0.88219999999999998</v>
      </c>
      <c r="G49" s="13">
        <v>68.56</v>
      </c>
      <c r="H49" s="68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4" t="s">
        <v>57</v>
      </c>
      <c r="C50" s="65" t="s">
        <v>92</v>
      </c>
      <c r="D50" s="64" t="s">
        <v>133</v>
      </c>
      <c r="E50" s="66">
        <v>1140</v>
      </c>
      <c r="F50" s="67">
        <f>SUM(E50*5/1000)</f>
        <v>5.7</v>
      </c>
      <c r="G50" s="13">
        <v>1142.7</v>
      </c>
      <c r="H50" s="68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4" t="s">
        <v>94</v>
      </c>
      <c r="C51" s="65" t="s">
        <v>92</v>
      </c>
      <c r="D51" s="64" t="s">
        <v>42</v>
      </c>
      <c r="E51" s="66">
        <v>1140</v>
      </c>
      <c r="F51" s="67">
        <f>SUM(E51*2/1000)</f>
        <v>2.2799999999999998</v>
      </c>
      <c r="G51" s="13">
        <v>1142.7</v>
      </c>
      <c r="H51" s="68">
        <f t="shared" si="5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4" t="s">
        <v>95</v>
      </c>
      <c r="C52" s="65" t="s">
        <v>38</v>
      </c>
      <c r="D52" s="64" t="s">
        <v>42</v>
      </c>
      <c r="E52" s="66">
        <v>9</v>
      </c>
      <c r="F52" s="67">
        <f>SUM(E52*2/100)</f>
        <v>0.18</v>
      </c>
      <c r="G52" s="13">
        <v>2571.08</v>
      </c>
      <c r="H52" s="68">
        <f t="shared" si="5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4" t="s">
        <v>39</v>
      </c>
      <c r="C53" s="65" t="s">
        <v>40</v>
      </c>
      <c r="D53" s="64" t="s">
        <v>42</v>
      </c>
      <c r="E53" s="66">
        <v>1</v>
      </c>
      <c r="F53" s="67">
        <v>0.02</v>
      </c>
      <c r="G53" s="13">
        <v>5322.15</v>
      </c>
      <c r="H53" s="68">
        <f t="shared" si="5"/>
        <v>0.106443</v>
      </c>
      <c r="I53" s="13">
        <v>0</v>
      </c>
      <c r="J53" s="27"/>
      <c r="L53" s="20"/>
      <c r="M53" s="21"/>
      <c r="N53" s="22"/>
    </row>
    <row r="54" spans="1:22" ht="15.75" hidden="1" customHeight="1">
      <c r="A54" s="33">
        <v>15</v>
      </c>
      <c r="B54" s="64" t="s">
        <v>41</v>
      </c>
      <c r="C54" s="65" t="s">
        <v>118</v>
      </c>
      <c r="D54" s="64" t="s">
        <v>72</v>
      </c>
      <c r="E54" s="66">
        <v>36</v>
      </c>
      <c r="F54" s="67">
        <f>SUM(E54)*3</f>
        <v>108</v>
      </c>
      <c r="G54" s="13">
        <v>61.84</v>
      </c>
      <c r="H54" s="68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customHeight="1">
      <c r="A55" s="123" t="s">
        <v>154</v>
      </c>
      <c r="B55" s="124"/>
      <c r="C55" s="124"/>
      <c r="D55" s="124"/>
      <c r="E55" s="124"/>
      <c r="F55" s="124"/>
      <c r="G55" s="124"/>
      <c r="H55" s="124"/>
      <c r="I55" s="125"/>
      <c r="J55" s="27"/>
      <c r="L55" s="20"/>
      <c r="M55" s="21"/>
      <c r="N55" s="22"/>
    </row>
    <row r="56" spans="1:22" ht="15.75" hidden="1" customHeight="1">
      <c r="A56" s="33"/>
      <c r="B56" s="85" t="s">
        <v>43</v>
      </c>
      <c r="C56" s="65"/>
      <c r="D56" s="64"/>
      <c r="E56" s="66"/>
      <c r="F56" s="67"/>
      <c r="G56" s="67"/>
      <c r="H56" s="68"/>
      <c r="I56" s="13"/>
      <c r="J56" s="27"/>
      <c r="L56" s="20"/>
      <c r="M56" s="21"/>
      <c r="N56" s="22"/>
    </row>
    <row r="57" spans="1:22" ht="31.5" hidden="1" customHeight="1">
      <c r="A57" s="33">
        <v>14</v>
      </c>
      <c r="B57" s="64" t="s">
        <v>119</v>
      </c>
      <c r="C57" s="65" t="s">
        <v>89</v>
      </c>
      <c r="D57" s="64" t="s">
        <v>120</v>
      </c>
      <c r="E57" s="66">
        <v>72.33</v>
      </c>
      <c r="F57" s="67">
        <f>SUM(E57*6/100)</f>
        <v>4.3398000000000003</v>
      </c>
      <c r="G57" s="13">
        <v>1456.95</v>
      </c>
      <c r="H57" s="68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5" t="s">
        <v>44</v>
      </c>
      <c r="C58" s="65"/>
      <c r="D58" s="64"/>
      <c r="E58" s="66"/>
      <c r="F58" s="67"/>
      <c r="G58" s="60"/>
      <c r="H58" s="68"/>
      <c r="I58" s="13"/>
      <c r="J58" s="27"/>
      <c r="L58" s="20"/>
      <c r="M58" s="21"/>
      <c r="N58" s="22"/>
    </row>
    <row r="59" spans="1:22" ht="15.75" hidden="1" customHeight="1">
      <c r="A59" s="33"/>
      <c r="B59" s="64" t="s">
        <v>121</v>
      </c>
      <c r="C59" s="65"/>
      <c r="D59" s="64" t="s">
        <v>54</v>
      </c>
      <c r="E59" s="66">
        <v>952</v>
      </c>
      <c r="F59" s="68">
        <v>9.52</v>
      </c>
      <c r="G59" s="13">
        <v>848.37</v>
      </c>
      <c r="H59" s="73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6" t="s">
        <v>45</v>
      </c>
      <c r="C60" s="74"/>
      <c r="D60" s="75"/>
      <c r="E60" s="76"/>
      <c r="F60" s="77"/>
      <c r="G60" s="77"/>
      <c r="H60" s="78" t="s">
        <v>139</v>
      </c>
      <c r="I60" s="13"/>
    </row>
    <row r="61" spans="1:22" ht="15.75" hidden="1" customHeight="1">
      <c r="A61" s="33">
        <v>17</v>
      </c>
      <c r="B61" s="14" t="s">
        <v>46</v>
      </c>
      <c r="C61" s="16" t="s">
        <v>118</v>
      </c>
      <c r="D61" s="14" t="s">
        <v>68</v>
      </c>
      <c r="E61" s="18">
        <v>5</v>
      </c>
      <c r="F61" s="67">
        <v>5</v>
      </c>
      <c r="G61" s="13">
        <v>237.74</v>
      </c>
      <c r="H61" s="79">
        <f t="shared" ref="H61:H75" si="6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47</v>
      </c>
      <c r="C62" s="16" t="s">
        <v>118</v>
      </c>
      <c r="D62" s="14" t="s">
        <v>68</v>
      </c>
      <c r="E62" s="18">
        <v>2</v>
      </c>
      <c r="F62" s="67">
        <v>2</v>
      </c>
      <c r="G62" s="13">
        <v>81.510000000000005</v>
      </c>
      <c r="H62" s="79">
        <f t="shared" si="6"/>
        <v>0.16302</v>
      </c>
      <c r="I62" s="13">
        <v>0</v>
      </c>
    </row>
    <row r="63" spans="1:22" ht="15.75" hidden="1" customHeight="1">
      <c r="A63" s="33"/>
      <c r="B63" s="14" t="s">
        <v>48</v>
      </c>
      <c r="C63" s="16" t="s">
        <v>122</v>
      </c>
      <c r="D63" s="14" t="s">
        <v>54</v>
      </c>
      <c r="E63" s="66">
        <v>4292</v>
      </c>
      <c r="F63" s="13">
        <f>SUM(E63/100)</f>
        <v>42.92</v>
      </c>
      <c r="G63" s="13">
        <v>226.79</v>
      </c>
      <c r="H63" s="79">
        <f t="shared" si="6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49</v>
      </c>
      <c r="C64" s="16" t="s">
        <v>123</v>
      </c>
      <c r="D64" s="14"/>
      <c r="E64" s="66">
        <v>4292</v>
      </c>
      <c r="F64" s="13">
        <f>SUM(E64/1000)</f>
        <v>4.2919999999999998</v>
      </c>
      <c r="G64" s="13">
        <v>176.61</v>
      </c>
      <c r="H64" s="79">
        <f t="shared" si="6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50</v>
      </c>
      <c r="C65" s="16" t="s">
        <v>78</v>
      </c>
      <c r="D65" s="14" t="s">
        <v>54</v>
      </c>
      <c r="E65" s="66">
        <v>510</v>
      </c>
      <c r="F65" s="13">
        <f>SUM(E65/100)</f>
        <v>5.0999999999999996</v>
      </c>
      <c r="G65" s="13">
        <v>2217.7800000000002</v>
      </c>
      <c r="H65" s="79">
        <f t="shared" si="6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0" t="s">
        <v>124</v>
      </c>
      <c r="C66" s="16" t="s">
        <v>32</v>
      </c>
      <c r="D66" s="14"/>
      <c r="E66" s="66">
        <v>4.5999999999999996</v>
      </c>
      <c r="F66" s="13">
        <f>SUM(E66)</f>
        <v>4.5999999999999996</v>
      </c>
      <c r="G66" s="13">
        <v>42.67</v>
      </c>
      <c r="H66" s="79">
        <f t="shared" si="6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8"/>
      <c r="S66" s="118"/>
      <c r="T66" s="118"/>
      <c r="U66" s="118"/>
    </row>
    <row r="67" spans="1:21" ht="15.75" hidden="1" customHeight="1">
      <c r="A67" s="33"/>
      <c r="B67" s="80" t="s">
        <v>125</v>
      </c>
      <c r="C67" s="16" t="s">
        <v>32</v>
      </c>
      <c r="D67" s="14"/>
      <c r="E67" s="66">
        <v>4.5999999999999996</v>
      </c>
      <c r="F67" s="13">
        <f>SUM(E67)</f>
        <v>4.5999999999999996</v>
      </c>
      <c r="G67" s="13">
        <v>39.81</v>
      </c>
      <c r="H67" s="79">
        <f t="shared" si="6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58</v>
      </c>
      <c r="C68" s="16" t="s">
        <v>59</v>
      </c>
      <c r="D68" s="14" t="s">
        <v>54</v>
      </c>
      <c r="E68" s="18">
        <v>3</v>
      </c>
      <c r="F68" s="67">
        <v>3</v>
      </c>
      <c r="G68" s="13">
        <v>53.32</v>
      </c>
      <c r="H68" s="79">
        <f t="shared" si="6"/>
        <v>0.15996000000000002</v>
      </c>
      <c r="I68" s="13">
        <v>0</v>
      </c>
    </row>
    <row r="69" spans="1:21" ht="15.75" hidden="1" customHeight="1">
      <c r="A69" s="33"/>
      <c r="B69" s="51" t="s">
        <v>73</v>
      </c>
      <c r="C69" s="16"/>
      <c r="D69" s="14"/>
      <c r="E69" s="18"/>
      <c r="F69" s="13"/>
      <c r="G69" s="13"/>
      <c r="H69" s="79" t="s">
        <v>139</v>
      </c>
      <c r="I69" s="13"/>
    </row>
    <row r="70" spans="1:21" ht="15.75" hidden="1" customHeight="1">
      <c r="A70" s="33"/>
      <c r="B70" s="14" t="s">
        <v>74</v>
      </c>
      <c r="C70" s="16" t="s">
        <v>76</v>
      </c>
      <c r="D70" s="14"/>
      <c r="E70" s="18">
        <v>2</v>
      </c>
      <c r="F70" s="13">
        <v>0.2</v>
      </c>
      <c r="G70" s="13">
        <v>536.23</v>
      </c>
      <c r="H70" s="79">
        <f t="shared" si="6"/>
        <v>0.10724600000000001</v>
      </c>
      <c r="I70" s="13">
        <v>0</v>
      </c>
    </row>
    <row r="71" spans="1:21" ht="15.75" hidden="1" customHeight="1">
      <c r="A71" s="33"/>
      <c r="B71" s="14" t="s">
        <v>75</v>
      </c>
      <c r="C71" s="16" t="s">
        <v>30</v>
      </c>
      <c r="D71" s="14"/>
      <c r="E71" s="18">
        <v>1</v>
      </c>
      <c r="F71" s="60">
        <v>1</v>
      </c>
      <c r="G71" s="13">
        <v>911.85</v>
      </c>
      <c r="H71" s="79">
        <f t="shared" si="6"/>
        <v>0.91185000000000005</v>
      </c>
      <c r="I71" s="13">
        <v>0</v>
      </c>
    </row>
    <row r="72" spans="1:21" ht="15.75" hidden="1" customHeight="1">
      <c r="A72" s="33"/>
      <c r="B72" s="14" t="s">
        <v>140</v>
      </c>
      <c r="C72" s="16" t="s">
        <v>141</v>
      </c>
      <c r="D72" s="14"/>
      <c r="E72" s="18"/>
      <c r="F72" s="13"/>
      <c r="G72" s="13">
        <v>31.54</v>
      </c>
      <c r="H72" s="79">
        <f t="shared" si="6"/>
        <v>0</v>
      </c>
      <c r="I72" s="13"/>
    </row>
    <row r="73" spans="1:21" ht="15.75" hidden="1" customHeight="1">
      <c r="A73" s="33"/>
      <c r="B73" s="14" t="s">
        <v>127</v>
      </c>
      <c r="C73" s="16" t="s">
        <v>30</v>
      </c>
      <c r="D73" s="14"/>
      <c r="E73" s="18">
        <v>1</v>
      </c>
      <c r="F73" s="13">
        <v>1</v>
      </c>
      <c r="G73" s="13">
        <v>383.25</v>
      </c>
      <c r="H73" s="79">
        <f>G73*F73/1000</f>
        <v>0.38324999999999998</v>
      </c>
      <c r="I73" s="13">
        <v>0</v>
      </c>
    </row>
    <row r="74" spans="1:21" ht="15.75" hidden="1" customHeight="1">
      <c r="A74" s="33"/>
      <c r="B74" s="82" t="s">
        <v>77</v>
      </c>
      <c r="C74" s="16"/>
      <c r="D74" s="14"/>
      <c r="E74" s="18"/>
      <c r="F74" s="13"/>
      <c r="G74" s="13" t="s">
        <v>139</v>
      </c>
      <c r="H74" s="79" t="s">
        <v>139</v>
      </c>
      <c r="I74" s="13"/>
    </row>
    <row r="75" spans="1:21" ht="15.75" hidden="1" customHeight="1">
      <c r="A75" s="33"/>
      <c r="B75" s="45" t="s">
        <v>151</v>
      </c>
      <c r="C75" s="16" t="s">
        <v>78</v>
      </c>
      <c r="D75" s="14"/>
      <c r="E75" s="18"/>
      <c r="F75" s="13">
        <v>0.1</v>
      </c>
      <c r="G75" s="13">
        <v>2949.85</v>
      </c>
      <c r="H75" s="79">
        <f t="shared" si="6"/>
        <v>0.294985</v>
      </c>
      <c r="I75" s="13">
        <v>0</v>
      </c>
    </row>
    <row r="76" spans="1:21" ht="15.75" hidden="1" customHeight="1">
      <c r="A76" s="33"/>
      <c r="B76" s="89" t="s">
        <v>96</v>
      </c>
      <c r="C76" s="89"/>
      <c r="D76" s="89"/>
      <c r="E76" s="89"/>
      <c r="F76" s="89"/>
      <c r="G76" s="70"/>
      <c r="H76" s="83">
        <f>SUM(H57:H75)</f>
        <v>39.790287929999998</v>
      </c>
      <c r="I76" s="70"/>
    </row>
    <row r="77" spans="1:21" ht="15.75" hidden="1" customHeight="1">
      <c r="A77" s="33"/>
      <c r="B77" s="87" t="s">
        <v>126</v>
      </c>
      <c r="C77" s="24"/>
      <c r="D77" s="23"/>
      <c r="E77" s="84"/>
      <c r="F77" s="88">
        <v>1</v>
      </c>
      <c r="G77" s="13">
        <v>3124.9</v>
      </c>
      <c r="H77" s="79">
        <f>G77*F77/1000</f>
        <v>3.1249000000000002</v>
      </c>
      <c r="I77" s="13">
        <v>0</v>
      </c>
    </row>
    <row r="78" spans="1:21" ht="15.75" customHeight="1">
      <c r="A78" s="123" t="s">
        <v>155</v>
      </c>
      <c r="B78" s="124"/>
      <c r="C78" s="124"/>
      <c r="D78" s="124"/>
      <c r="E78" s="124"/>
      <c r="F78" s="124"/>
      <c r="G78" s="124"/>
      <c r="H78" s="124"/>
      <c r="I78" s="125"/>
    </row>
    <row r="79" spans="1:21" ht="15.75" customHeight="1">
      <c r="A79" s="33">
        <v>14</v>
      </c>
      <c r="B79" s="64" t="s">
        <v>128</v>
      </c>
      <c r="C79" s="16" t="s">
        <v>55</v>
      </c>
      <c r="D79" s="50" t="s">
        <v>56</v>
      </c>
      <c r="E79" s="13">
        <v>1042.5999999999999</v>
      </c>
      <c r="F79" s="13">
        <f>SUM(E79*12)</f>
        <v>12511.199999999999</v>
      </c>
      <c r="G79" s="13">
        <v>2.2400000000000002</v>
      </c>
      <c r="H79" s="79">
        <f>SUM(F79*G79/1000)</f>
        <v>28.025088</v>
      </c>
      <c r="I79" s="13">
        <f>F79/12*G79</f>
        <v>2335.424</v>
      </c>
    </row>
    <row r="80" spans="1:21" ht="31.5" customHeight="1">
      <c r="A80" s="33">
        <v>15</v>
      </c>
      <c r="B80" s="14" t="s">
        <v>79</v>
      </c>
      <c r="C80" s="16"/>
      <c r="D80" s="50" t="s">
        <v>56</v>
      </c>
      <c r="E80" s="66">
        <f>E79</f>
        <v>1042.5999999999999</v>
      </c>
      <c r="F80" s="13">
        <f>E80*12</f>
        <v>12511.199999999999</v>
      </c>
      <c r="G80" s="13">
        <v>1.74</v>
      </c>
      <c r="H80" s="79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82</v>
      </c>
      <c r="C81" s="82"/>
      <c r="D81" s="81"/>
      <c r="E81" s="70"/>
      <c r="F81" s="70"/>
      <c r="G81" s="70"/>
      <c r="H81" s="83">
        <f>H80</f>
        <v>21.769487999999999</v>
      </c>
      <c r="I81" s="70">
        <f>I80+I79+I43+I42+I41+I40+I39+I38+I28+I27+I21+I20+I18+I17+I16</f>
        <v>17844.101733483334</v>
      </c>
    </row>
    <row r="82" spans="1:9" ht="15.75" customHeight="1">
      <c r="A82" s="132" t="s">
        <v>61</v>
      </c>
      <c r="B82" s="133"/>
      <c r="C82" s="133"/>
      <c r="D82" s="133"/>
      <c r="E82" s="133"/>
      <c r="F82" s="133"/>
      <c r="G82" s="133"/>
      <c r="H82" s="133"/>
      <c r="I82" s="134"/>
    </row>
    <row r="83" spans="1:9" ht="15.75" customHeight="1">
      <c r="A83" s="33">
        <v>16</v>
      </c>
      <c r="B83" s="75" t="s">
        <v>179</v>
      </c>
      <c r="C83" s="74" t="s">
        <v>180</v>
      </c>
      <c r="D83" s="75"/>
      <c r="E83" s="76"/>
      <c r="F83" s="77">
        <v>200</v>
      </c>
      <c r="G83" s="60">
        <v>1.2</v>
      </c>
      <c r="H83" s="78">
        <f>F83*G83/1000</f>
        <v>0.24</v>
      </c>
      <c r="I83" s="101">
        <f>G83*100</f>
        <v>120</v>
      </c>
    </row>
    <row r="84" spans="1:9" ht="31.5" customHeight="1">
      <c r="A84" s="33">
        <v>17</v>
      </c>
      <c r="B84" s="48" t="s">
        <v>83</v>
      </c>
      <c r="C84" s="49" t="s">
        <v>38</v>
      </c>
      <c r="D84" s="97"/>
      <c r="E84" s="37"/>
      <c r="F84" s="37">
        <v>0.01</v>
      </c>
      <c r="G84" s="37">
        <v>3724.37</v>
      </c>
      <c r="H84" s="98">
        <f>G84*F84/1000</f>
        <v>3.7243699999999998E-2</v>
      </c>
      <c r="I84" s="13">
        <f>G84*0.01</f>
        <v>37.243699999999997</v>
      </c>
    </row>
    <row r="85" spans="1:9">
      <c r="A85" s="33"/>
      <c r="B85" s="43" t="s">
        <v>51</v>
      </c>
      <c r="C85" s="39"/>
      <c r="D85" s="46"/>
      <c r="E85" s="39">
        <v>1</v>
      </c>
      <c r="F85" s="39"/>
      <c r="G85" s="39"/>
      <c r="H85" s="39"/>
      <c r="I85" s="35">
        <f>SUM(I83:I84)</f>
        <v>157.24369999999999</v>
      </c>
    </row>
    <row r="86" spans="1:9" ht="16.5" customHeight="1">
      <c r="A86" s="33"/>
      <c r="B86" s="45" t="s">
        <v>80</v>
      </c>
      <c r="C86" s="15"/>
      <c r="D86" s="15"/>
      <c r="E86" s="40"/>
      <c r="F86" s="40"/>
      <c r="G86" s="41"/>
      <c r="H86" s="41"/>
      <c r="I86" s="17">
        <v>0</v>
      </c>
    </row>
    <row r="87" spans="1:9" ht="16.5" customHeight="1">
      <c r="A87" s="47"/>
      <c r="B87" s="44" t="s">
        <v>169</v>
      </c>
      <c r="C87" s="36"/>
      <c r="D87" s="36"/>
      <c r="E87" s="36"/>
      <c r="F87" s="36"/>
      <c r="G87" s="36"/>
      <c r="H87" s="36"/>
      <c r="I87" s="42">
        <f>I81+I85</f>
        <v>18001.345433483333</v>
      </c>
    </row>
    <row r="88" spans="1:9" ht="15.75" customHeight="1">
      <c r="A88" s="119" t="s">
        <v>218</v>
      </c>
      <c r="B88" s="119"/>
      <c r="C88" s="119"/>
      <c r="D88" s="119"/>
      <c r="E88" s="119"/>
      <c r="F88" s="119"/>
      <c r="G88" s="119"/>
      <c r="H88" s="119"/>
      <c r="I88" s="119"/>
    </row>
    <row r="89" spans="1:9" ht="15.75" customHeight="1">
      <c r="A89" s="57"/>
      <c r="B89" s="120" t="s">
        <v>219</v>
      </c>
      <c r="C89" s="120"/>
      <c r="D89" s="120"/>
      <c r="E89" s="120"/>
      <c r="F89" s="120"/>
      <c r="G89" s="120"/>
      <c r="H89" s="63"/>
      <c r="I89" s="3"/>
    </row>
    <row r="90" spans="1:9">
      <c r="A90" s="56"/>
      <c r="B90" s="121" t="s">
        <v>6</v>
      </c>
      <c r="C90" s="121"/>
      <c r="D90" s="121"/>
      <c r="E90" s="121"/>
      <c r="F90" s="121"/>
      <c r="G90" s="121"/>
      <c r="H90" s="28"/>
      <c r="I90" s="5"/>
    </row>
    <row r="91" spans="1:9" ht="15.75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22" t="s">
        <v>7</v>
      </c>
      <c r="B92" s="122"/>
      <c r="C92" s="122"/>
      <c r="D92" s="122"/>
      <c r="E92" s="122"/>
      <c r="F92" s="122"/>
      <c r="G92" s="122"/>
      <c r="H92" s="122"/>
      <c r="I92" s="122"/>
    </row>
    <row r="93" spans="1:9" ht="15.75">
      <c r="A93" s="122" t="s">
        <v>8</v>
      </c>
      <c r="B93" s="122"/>
      <c r="C93" s="122"/>
      <c r="D93" s="122"/>
      <c r="E93" s="122"/>
      <c r="F93" s="122"/>
      <c r="G93" s="122"/>
      <c r="H93" s="122"/>
      <c r="I93" s="122"/>
    </row>
    <row r="94" spans="1:9" ht="15.75">
      <c r="A94" s="127" t="s">
        <v>62</v>
      </c>
      <c r="B94" s="127"/>
      <c r="C94" s="127"/>
      <c r="D94" s="127"/>
      <c r="E94" s="127"/>
      <c r="F94" s="127"/>
      <c r="G94" s="127"/>
      <c r="H94" s="127"/>
      <c r="I94" s="127"/>
    </row>
    <row r="95" spans="1:9" ht="15.75">
      <c r="A95" s="11"/>
    </row>
    <row r="96" spans="1:9" ht="15.75">
      <c r="A96" s="128" t="s">
        <v>9</v>
      </c>
      <c r="B96" s="128"/>
      <c r="C96" s="128"/>
      <c r="D96" s="128"/>
      <c r="E96" s="128"/>
      <c r="F96" s="128"/>
      <c r="G96" s="128"/>
      <c r="H96" s="128"/>
      <c r="I96" s="128"/>
    </row>
    <row r="97" spans="1:9" ht="15.75">
      <c r="A97" s="4"/>
    </row>
    <row r="98" spans="1:9" ht="15.75">
      <c r="B98" s="53" t="s">
        <v>10</v>
      </c>
      <c r="C98" s="129" t="s">
        <v>131</v>
      </c>
      <c r="D98" s="129"/>
      <c r="E98" s="129"/>
      <c r="F98" s="61"/>
      <c r="I98" s="55"/>
    </row>
    <row r="99" spans="1:9">
      <c r="A99" s="56"/>
      <c r="C99" s="121" t="s">
        <v>11</v>
      </c>
      <c r="D99" s="121"/>
      <c r="E99" s="121"/>
      <c r="F99" s="28"/>
      <c r="I99" s="54" t="s">
        <v>12</v>
      </c>
    </row>
    <row r="100" spans="1:9" ht="15.75">
      <c r="A100" s="29"/>
      <c r="C100" s="12"/>
      <c r="D100" s="12"/>
      <c r="G100" s="12"/>
      <c r="H100" s="12"/>
    </row>
    <row r="101" spans="1:9" ht="15.75">
      <c r="B101" s="53" t="s">
        <v>13</v>
      </c>
      <c r="C101" s="130"/>
      <c r="D101" s="130"/>
      <c r="E101" s="130"/>
      <c r="F101" s="62"/>
      <c r="I101" s="55"/>
    </row>
    <row r="102" spans="1:9">
      <c r="A102" s="56"/>
      <c r="C102" s="118" t="s">
        <v>11</v>
      </c>
      <c r="D102" s="118"/>
      <c r="E102" s="118"/>
      <c r="F102" s="56"/>
      <c r="I102" s="54" t="s">
        <v>12</v>
      </c>
    </row>
    <row r="103" spans="1:9" ht="15.75">
      <c r="A103" s="4" t="s">
        <v>14</v>
      </c>
    </row>
    <row r="104" spans="1:9">
      <c r="A104" s="131" t="s">
        <v>15</v>
      </c>
      <c r="B104" s="131"/>
      <c r="C104" s="131"/>
      <c r="D104" s="131"/>
      <c r="E104" s="131"/>
      <c r="F104" s="131"/>
      <c r="G104" s="131"/>
      <c r="H104" s="131"/>
      <c r="I104" s="131"/>
    </row>
    <row r="105" spans="1:9" ht="47.25" customHeight="1">
      <c r="A105" s="126" t="s">
        <v>16</v>
      </c>
      <c r="B105" s="126"/>
      <c r="C105" s="126"/>
      <c r="D105" s="126"/>
      <c r="E105" s="126"/>
      <c r="F105" s="126"/>
      <c r="G105" s="126"/>
      <c r="H105" s="126"/>
      <c r="I105" s="126"/>
    </row>
    <row r="106" spans="1:9" ht="31.5" customHeight="1">
      <c r="A106" s="126" t="s">
        <v>17</v>
      </c>
      <c r="B106" s="126"/>
      <c r="C106" s="126"/>
      <c r="D106" s="126"/>
      <c r="E106" s="126"/>
      <c r="F106" s="126"/>
      <c r="G106" s="126"/>
      <c r="H106" s="126"/>
      <c r="I106" s="126"/>
    </row>
    <row r="107" spans="1:9" ht="31.5" customHeight="1">
      <c r="A107" s="126" t="s">
        <v>21</v>
      </c>
      <c r="B107" s="126"/>
      <c r="C107" s="126"/>
      <c r="D107" s="126"/>
      <c r="E107" s="126"/>
      <c r="F107" s="126"/>
      <c r="G107" s="126"/>
      <c r="H107" s="126"/>
      <c r="I107" s="126"/>
    </row>
    <row r="108" spans="1:9" ht="15.75">
      <c r="A108" s="126" t="s">
        <v>20</v>
      </c>
      <c r="B108" s="126"/>
      <c r="C108" s="126"/>
      <c r="D108" s="126"/>
      <c r="E108" s="126"/>
      <c r="F108" s="126"/>
      <c r="G108" s="126"/>
      <c r="H108" s="126"/>
      <c r="I108" s="126"/>
    </row>
  </sheetData>
  <autoFilter ref="I12:I61"/>
  <mergeCells count="29"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  <mergeCell ref="A94:I94"/>
    <mergeCell ref="A15:I15"/>
    <mergeCell ref="A29:I29"/>
    <mergeCell ref="A44:I44"/>
    <mergeCell ref="A55:I55"/>
    <mergeCell ref="A88:I88"/>
    <mergeCell ref="B89:G89"/>
    <mergeCell ref="B90:G90"/>
    <mergeCell ref="A92:I92"/>
    <mergeCell ref="A93:I93"/>
    <mergeCell ref="A82:I82"/>
    <mergeCell ref="R66:U66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I57" sqref="I5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63</v>
      </c>
      <c r="J2" s="2"/>
      <c r="K2" s="2"/>
      <c r="L2" s="2"/>
      <c r="M2" s="2"/>
    </row>
    <row r="3" spans="1:13" ht="15.75" customHeight="1">
      <c r="A3" s="112" t="s">
        <v>156</v>
      </c>
      <c r="B3" s="112"/>
      <c r="C3" s="112"/>
      <c r="D3" s="112"/>
      <c r="E3" s="112"/>
      <c r="F3" s="112"/>
      <c r="G3" s="112"/>
      <c r="H3" s="112"/>
      <c r="I3" s="112"/>
      <c r="J3" s="3"/>
      <c r="K3" s="3"/>
      <c r="L3" s="3"/>
    </row>
    <row r="4" spans="1:13" ht="31.5" customHeight="1">
      <c r="A4" s="113" t="s">
        <v>130</v>
      </c>
      <c r="B4" s="113"/>
      <c r="C4" s="113"/>
      <c r="D4" s="113"/>
      <c r="E4" s="113"/>
      <c r="F4" s="113"/>
      <c r="G4" s="113"/>
      <c r="H4" s="113"/>
      <c r="I4" s="113"/>
    </row>
    <row r="5" spans="1:13" ht="15.75">
      <c r="A5" s="112" t="s">
        <v>183</v>
      </c>
      <c r="B5" s="114"/>
      <c r="C5" s="114"/>
      <c r="D5" s="114"/>
      <c r="E5" s="114"/>
      <c r="F5" s="114"/>
      <c r="G5" s="114"/>
      <c r="H5" s="114"/>
      <c r="I5" s="114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43220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5" t="s">
        <v>164</v>
      </c>
      <c r="B8" s="115"/>
      <c r="C8" s="115"/>
      <c r="D8" s="115"/>
      <c r="E8" s="115"/>
      <c r="F8" s="115"/>
      <c r="G8" s="115"/>
      <c r="H8" s="115"/>
      <c r="I8" s="115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16" t="s">
        <v>165</v>
      </c>
      <c r="B10" s="116"/>
      <c r="C10" s="116"/>
      <c r="D10" s="116"/>
      <c r="E10" s="116"/>
      <c r="F10" s="116"/>
      <c r="G10" s="116"/>
      <c r="H10" s="116"/>
      <c r="I10" s="116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7" t="s">
        <v>60</v>
      </c>
      <c r="B14" s="117"/>
      <c r="C14" s="117"/>
      <c r="D14" s="117"/>
      <c r="E14" s="117"/>
      <c r="F14" s="117"/>
      <c r="G14" s="117"/>
      <c r="H14" s="117"/>
      <c r="I14" s="117"/>
      <c r="J14" s="8"/>
      <c r="K14" s="8"/>
      <c r="L14" s="8"/>
      <c r="M14" s="8"/>
    </row>
    <row r="15" spans="1:13" ht="15.75" customHeight="1">
      <c r="A15" s="111" t="s">
        <v>4</v>
      </c>
      <c r="B15" s="111"/>
      <c r="C15" s="111"/>
      <c r="D15" s="111"/>
      <c r="E15" s="111"/>
      <c r="F15" s="111"/>
      <c r="G15" s="111"/>
      <c r="H15" s="111"/>
      <c r="I15" s="111"/>
      <c r="J15" s="8"/>
      <c r="K15" s="8"/>
      <c r="L15" s="8"/>
      <c r="M15" s="8"/>
    </row>
    <row r="16" spans="1:13" ht="15.75" customHeight="1">
      <c r="A16" s="33">
        <v>1</v>
      </c>
      <c r="B16" s="64" t="s">
        <v>88</v>
      </c>
      <c r="C16" s="65" t="s">
        <v>89</v>
      </c>
      <c r="D16" s="64" t="s">
        <v>166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137</v>
      </c>
      <c r="C17" s="65" t="s">
        <v>89</v>
      </c>
      <c r="D17" s="64" t="s">
        <v>167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138</v>
      </c>
      <c r="C18" s="65" t="s">
        <v>89</v>
      </c>
      <c r="D18" s="64" t="s">
        <v>168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98</v>
      </c>
      <c r="C19" s="65" t="s">
        <v>99</v>
      </c>
      <c r="D19" s="64" t="s">
        <v>100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101</v>
      </c>
      <c r="C20" s="65" t="s">
        <v>89</v>
      </c>
      <c r="D20" s="64" t="s">
        <v>29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4" t="s">
        <v>102</v>
      </c>
      <c r="C21" s="65" t="s">
        <v>89</v>
      </c>
      <c r="D21" s="64" t="s">
        <v>103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104</v>
      </c>
      <c r="C22" s="65" t="s">
        <v>53</v>
      </c>
      <c r="D22" s="64" t="s">
        <v>100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105</v>
      </c>
      <c r="C23" s="65" t="s">
        <v>53</v>
      </c>
      <c r="D23" s="64" t="s">
        <v>100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106</v>
      </c>
      <c r="C24" s="65" t="s">
        <v>53</v>
      </c>
      <c r="D24" s="64" t="s">
        <v>107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108</v>
      </c>
      <c r="C25" s="65" t="s">
        <v>53</v>
      </c>
      <c r="D25" s="64" t="s">
        <v>54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109</v>
      </c>
      <c r="C26" s="65" t="s">
        <v>53</v>
      </c>
      <c r="D26" s="64" t="s">
        <v>100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4" t="s">
        <v>65</v>
      </c>
      <c r="C27" s="65" t="s">
        <v>32</v>
      </c>
      <c r="D27" s="64"/>
      <c r="E27" s="66">
        <v>0.1</v>
      </c>
      <c r="F27" s="67">
        <f>SUM(E27*365)</f>
        <v>36.5</v>
      </c>
      <c r="G27" s="67">
        <v>138.44999999999999</v>
      </c>
      <c r="H27" s="68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6</v>
      </c>
      <c r="B28" s="72" t="s">
        <v>23</v>
      </c>
      <c r="C28" s="65" t="s">
        <v>24</v>
      </c>
      <c r="D28" s="64"/>
      <c r="E28" s="66">
        <v>1042.5999999999999</v>
      </c>
      <c r="F28" s="67">
        <f>SUM(E28*12)</f>
        <v>12511.199999999999</v>
      </c>
      <c r="G28" s="67">
        <v>6.15</v>
      </c>
      <c r="H28" s="68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23" t="s">
        <v>86</v>
      </c>
      <c r="B29" s="124"/>
      <c r="C29" s="124"/>
      <c r="D29" s="124"/>
      <c r="E29" s="124"/>
      <c r="F29" s="124"/>
      <c r="G29" s="124"/>
      <c r="H29" s="124"/>
      <c r="I29" s="125"/>
      <c r="J29" s="26"/>
      <c r="K29" s="8"/>
      <c r="L29" s="8"/>
      <c r="M29" s="8"/>
    </row>
    <row r="30" spans="1:13" ht="15.75" hidden="1" customHeight="1">
      <c r="A30" s="33"/>
      <c r="B30" s="85" t="s">
        <v>27</v>
      </c>
      <c r="C30" s="65"/>
      <c r="D30" s="64"/>
      <c r="E30" s="66"/>
      <c r="F30" s="67"/>
      <c r="G30" s="67"/>
      <c r="H30" s="68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4" t="s">
        <v>114</v>
      </c>
      <c r="C31" s="65" t="s">
        <v>92</v>
      </c>
      <c r="D31" s="64" t="s">
        <v>110</v>
      </c>
      <c r="E31" s="67">
        <v>266.57</v>
      </c>
      <c r="F31" s="67">
        <f>SUM(E31*52/1000)</f>
        <v>13.86164</v>
      </c>
      <c r="G31" s="67">
        <v>146.79</v>
      </c>
      <c r="H31" s="68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hidden="1" customHeight="1">
      <c r="A32" s="33">
        <v>9</v>
      </c>
      <c r="B32" s="64" t="s">
        <v>113</v>
      </c>
      <c r="C32" s="65" t="s">
        <v>92</v>
      </c>
      <c r="D32" s="64" t="s">
        <v>111</v>
      </c>
      <c r="E32" s="67">
        <v>48.03</v>
      </c>
      <c r="F32" s="67">
        <f>SUM(E32*78/1000)</f>
        <v>3.74634</v>
      </c>
      <c r="G32" s="67">
        <v>243.54</v>
      </c>
      <c r="H32" s="68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26</v>
      </c>
      <c r="C33" s="65" t="s">
        <v>92</v>
      </c>
      <c r="D33" s="64" t="s">
        <v>54</v>
      </c>
      <c r="E33" s="67">
        <v>266.57</v>
      </c>
      <c r="F33" s="67">
        <f>SUM(E33/1000)</f>
        <v>0.26656999999999997</v>
      </c>
      <c r="G33" s="67">
        <v>2844</v>
      </c>
      <c r="H33" s="68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hidden="1" customHeight="1">
      <c r="A34" s="33">
        <v>10</v>
      </c>
      <c r="B34" s="64" t="s">
        <v>112</v>
      </c>
      <c r="C34" s="65" t="s">
        <v>30</v>
      </c>
      <c r="D34" s="64" t="s">
        <v>64</v>
      </c>
      <c r="E34" s="71">
        <v>0.33333333333333331</v>
      </c>
      <c r="F34" s="67">
        <f>155/3</f>
        <v>51.666666666666664</v>
      </c>
      <c r="G34" s="67">
        <v>53.38</v>
      </c>
      <c r="H34" s="68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4" t="s">
        <v>66</v>
      </c>
      <c r="C35" s="65" t="s">
        <v>32</v>
      </c>
      <c r="D35" s="64" t="s">
        <v>68</v>
      </c>
      <c r="E35" s="66"/>
      <c r="F35" s="67">
        <v>1</v>
      </c>
      <c r="G35" s="67">
        <v>180.15</v>
      </c>
      <c r="H35" s="68">
        <f t="shared" si="1"/>
        <v>0.18015</v>
      </c>
      <c r="I35" s="13">
        <v>0</v>
      </c>
      <c r="J35" s="27"/>
    </row>
    <row r="36" spans="1:14" ht="15.75" hidden="1" customHeight="1">
      <c r="A36" s="33"/>
      <c r="B36" s="64" t="s">
        <v>67</v>
      </c>
      <c r="C36" s="65" t="s">
        <v>31</v>
      </c>
      <c r="D36" s="64" t="s">
        <v>68</v>
      </c>
      <c r="E36" s="66"/>
      <c r="F36" s="67">
        <v>1</v>
      </c>
      <c r="G36" s="67">
        <v>1214.74</v>
      </c>
      <c r="H36" s="68">
        <f t="shared" si="1"/>
        <v>1.2147399999999999</v>
      </c>
      <c r="I36" s="13">
        <v>0</v>
      </c>
      <c r="J36" s="27"/>
    </row>
    <row r="37" spans="1:14" ht="15.75" customHeight="1">
      <c r="A37" s="33"/>
      <c r="B37" s="85" t="s">
        <v>5</v>
      </c>
      <c r="C37" s="65"/>
      <c r="D37" s="64"/>
      <c r="E37" s="66"/>
      <c r="F37" s="67"/>
      <c r="G37" s="67"/>
      <c r="H37" s="68" t="s">
        <v>139</v>
      </c>
      <c r="I37" s="13"/>
      <c r="J37" s="27"/>
    </row>
    <row r="38" spans="1:14" ht="15.75" customHeight="1">
      <c r="A38" s="33">
        <v>7</v>
      </c>
      <c r="B38" s="64" t="s">
        <v>25</v>
      </c>
      <c r="C38" s="65" t="s">
        <v>31</v>
      </c>
      <c r="D38" s="64"/>
      <c r="E38" s="66"/>
      <c r="F38" s="67">
        <v>3</v>
      </c>
      <c r="G38" s="67">
        <v>1632.6</v>
      </c>
      <c r="H38" s="68">
        <f t="shared" ref="H38:H43" si="3">SUM(F38*G38/1000)</f>
        <v>4.8977999999999993</v>
      </c>
      <c r="I38" s="13">
        <f t="shared" ref="I38:I41" si="4">F38/6*G38</f>
        <v>816.3</v>
      </c>
      <c r="J38" s="27"/>
    </row>
    <row r="39" spans="1:14" ht="15.75" customHeight="1">
      <c r="A39" s="33">
        <v>8</v>
      </c>
      <c r="B39" s="64" t="s">
        <v>115</v>
      </c>
      <c r="C39" s="65" t="s">
        <v>28</v>
      </c>
      <c r="D39" s="64" t="s">
        <v>90</v>
      </c>
      <c r="E39" s="66">
        <v>48.03</v>
      </c>
      <c r="F39" s="67">
        <v>1.44</v>
      </c>
      <c r="G39" s="67">
        <v>1979.95</v>
      </c>
      <c r="H39" s="68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customHeight="1">
      <c r="A40" s="33">
        <v>9</v>
      </c>
      <c r="B40" s="64" t="s">
        <v>69</v>
      </c>
      <c r="C40" s="65" t="s">
        <v>28</v>
      </c>
      <c r="D40" s="64" t="s">
        <v>91</v>
      </c>
      <c r="E40" s="67">
        <v>48.03</v>
      </c>
      <c r="F40" s="67">
        <f>SUM(E40*155/1000)</f>
        <v>7.4446500000000002</v>
      </c>
      <c r="G40" s="67">
        <v>330.27</v>
      </c>
      <c r="H40" s="68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customHeight="1">
      <c r="A41" s="33">
        <v>10</v>
      </c>
      <c r="B41" s="64" t="s">
        <v>84</v>
      </c>
      <c r="C41" s="65" t="s">
        <v>92</v>
      </c>
      <c r="D41" s="64" t="s">
        <v>116</v>
      </c>
      <c r="E41" s="67">
        <v>48.03</v>
      </c>
      <c r="F41" s="67">
        <f>SUM(E41*35/1000)</f>
        <v>1.6810499999999999</v>
      </c>
      <c r="G41" s="67">
        <v>5464.48</v>
      </c>
      <c r="H41" s="68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customHeight="1">
      <c r="A42" s="33">
        <v>11</v>
      </c>
      <c r="B42" s="64" t="s">
        <v>93</v>
      </c>
      <c r="C42" s="65" t="s">
        <v>92</v>
      </c>
      <c r="D42" s="64" t="s">
        <v>70</v>
      </c>
      <c r="E42" s="67">
        <v>48.03</v>
      </c>
      <c r="F42" s="67">
        <f>SUM(E42*45/1000)</f>
        <v>2.1613500000000001</v>
      </c>
      <c r="G42" s="67">
        <v>403.67</v>
      </c>
      <c r="H42" s="68">
        <f t="shared" si="3"/>
        <v>0.87247215450000015</v>
      </c>
      <c r="I42" s="13">
        <f>F42/7.5*1.5*G42</f>
        <v>174.4944309</v>
      </c>
      <c r="J42" s="27"/>
      <c r="L42" s="20"/>
      <c r="M42" s="21"/>
      <c r="N42" s="22"/>
    </row>
    <row r="43" spans="1:14" ht="15.75" customHeight="1">
      <c r="A43" s="33">
        <v>12</v>
      </c>
      <c r="B43" s="64" t="s">
        <v>71</v>
      </c>
      <c r="C43" s="65" t="s">
        <v>32</v>
      </c>
      <c r="D43" s="64"/>
      <c r="E43" s="66"/>
      <c r="F43" s="67">
        <v>0.53</v>
      </c>
      <c r="G43" s="67">
        <v>750.34</v>
      </c>
      <c r="H43" s="68">
        <f t="shared" si="3"/>
        <v>0.39768020000000004</v>
      </c>
      <c r="I43" s="13">
        <f>F43/7.5*1.5*G43</f>
        <v>79.536040000000014</v>
      </c>
      <c r="J43" s="27"/>
      <c r="L43" s="20"/>
      <c r="M43" s="21"/>
      <c r="N43" s="22"/>
    </row>
    <row r="44" spans="1:14" ht="17.25" customHeight="1">
      <c r="A44" s="123" t="s">
        <v>132</v>
      </c>
      <c r="B44" s="124"/>
      <c r="C44" s="124"/>
      <c r="D44" s="124"/>
      <c r="E44" s="124"/>
      <c r="F44" s="124"/>
      <c r="G44" s="124"/>
      <c r="H44" s="124"/>
      <c r="I44" s="125"/>
      <c r="J44" s="27"/>
      <c r="L44" s="20"/>
      <c r="M44" s="21"/>
      <c r="N44" s="22"/>
    </row>
    <row r="45" spans="1:14" ht="30" hidden="1" customHeight="1">
      <c r="A45" s="33"/>
      <c r="B45" s="64" t="s">
        <v>117</v>
      </c>
      <c r="C45" s="65" t="s">
        <v>92</v>
      </c>
      <c r="D45" s="64" t="s">
        <v>42</v>
      </c>
      <c r="E45" s="66">
        <v>636.25</v>
      </c>
      <c r="F45" s="67">
        <f>SUM(E45*2/1000)</f>
        <v>1.2725</v>
      </c>
      <c r="G45" s="13">
        <v>762.53</v>
      </c>
      <c r="H45" s="68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36.75" hidden="1" customHeight="1">
      <c r="A46" s="33"/>
      <c r="B46" s="64" t="s">
        <v>35</v>
      </c>
      <c r="C46" s="65" t="s">
        <v>92</v>
      </c>
      <c r="D46" s="64" t="s">
        <v>42</v>
      </c>
      <c r="E46" s="66">
        <v>26</v>
      </c>
      <c r="F46" s="67">
        <f>SUM(E46*2/1000)</f>
        <v>5.1999999999999998E-2</v>
      </c>
      <c r="G46" s="13">
        <v>545.65</v>
      </c>
      <c r="H46" s="68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33" hidden="1" customHeight="1">
      <c r="A47" s="33"/>
      <c r="B47" s="64" t="s">
        <v>36</v>
      </c>
      <c r="C47" s="65" t="s">
        <v>92</v>
      </c>
      <c r="D47" s="64" t="s">
        <v>42</v>
      </c>
      <c r="E47" s="66">
        <v>579</v>
      </c>
      <c r="F47" s="67">
        <f>SUM(E47*2/1000)</f>
        <v>1.1579999999999999</v>
      </c>
      <c r="G47" s="13">
        <v>545.65</v>
      </c>
      <c r="H47" s="68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32.25" hidden="1" customHeight="1">
      <c r="A48" s="33"/>
      <c r="B48" s="64" t="s">
        <v>37</v>
      </c>
      <c r="C48" s="65" t="s">
        <v>92</v>
      </c>
      <c r="D48" s="64" t="s">
        <v>42</v>
      </c>
      <c r="E48" s="66">
        <v>683.33</v>
      </c>
      <c r="F48" s="67">
        <f>SUM(E48*2/1000)</f>
        <v>1.36666</v>
      </c>
      <c r="G48" s="13">
        <v>571.35</v>
      </c>
      <c r="H48" s="68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28.5" hidden="1" customHeight="1">
      <c r="A49" s="33"/>
      <c r="B49" s="64" t="s">
        <v>33</v>
      </c>
      <c r="C49" s="65" t="s">
        <v>34</v>
      </c>
      <c r="D49" s="64" t="s">
        <v>42</v>
      </c>
      <c r="E49" s="66">
        <v>44.11</v>
      </c>
      <c r="F49" s="67">
        <f>SUM(E49*2/100)</f>
        <v>0.88219999999999998</v>
      </c>
      <c r="G49" s="13">
        <v>68.56</v>
      </c>
      <c r="H49" s="68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31.5" hidden="1" customHeight="1">
      <c r="A50" s="33">
        <v>14</v>
      </c>
      <c r="B50" s="64" t="s">
        <v>57</v>
      </c>
      <c r="C50" s="65" t="s">
        <v>92</v>
      </c>
      <c r="D50" s="64" t="s">
        <v>133</v>
      </c>
      <c r="E50" s="66">
        <v>1140</v>
      </c>
      <c r="F50" s="67">
        <f>SUM(E50*5/1000)</f>
        <v>5.7</v>
      </c>
      <c r="G50" s="13">
        <v>1142.7</v>
      </c>
      <c r="H50" s="68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3" customHeight="1">
      <c r="A51" s="33">
        <v>13</v>
      </c>
      <c r="B51" s="64" t="s">
        <v>94</v>
      </c>
      <c r="C51" s="65" t="s">
        <v>92</v>
      </c>
      <c r="D51" s="64" t="s">
        <v>42</v>
      </c>
      <c r="E51" s="66">
        <v>1140</v>
      </c>
      <c r="F51" s="67">
        <f>SUM(E51*2/1000)</f>
        <v>2.2799999999999998</v>
      </c>
      <c r="G51" s="13">
        <v>1142.7</v>
      </c>
      <c r="H51" s="68">
        <f t="shared" si="5"/>
        <v>2.6053559999999996</v>
      </c>
      <c r="I51" s="13">
        <f>F51/2*G51</f>
        <v>1302.6779999999999</v>
      </c>
      <c r="J51" s="27"/>
      <c r="L51" s="20"/>
      <c r="M51" s="21"/>
      <c r="N51" s="22"/>
    </row>
    <row r="52" spans="1:22" ht="31.5" customHeight="1">
      <c r="A52" s="33">
        <v>14</v>
      </c>
      <c r="B52" s="64" t="s">
        <v>95</v>
      </c>
      <c r="C52" s="65" t="s">
        <v>38</v>
      </c>
      <c r="D52" s="64" t="s">
        <v>42</v>
      </c>
      <c r="E52" s="66">
        <v>9</v>
      </c>
      <c r="F52" s="67">
        <f>SUM(E52*2/100)</f>
        <v>0.18</v>
      </c>
      <c r="G52" s="13">
        <v>2571.08</v>
      </c>
      <c r="H52" s="68">
        <f t="shared" si="5"/>
        <v>0.46279439999999999</v>
      </c>
      <c r="I52" s="13">
        <f t="shared" ref="I52:I53" si="6">F52/2*G52</f>
        <v>231.3972</v>
      </c>
      <c r="J52" s="27"/>
      <c r="L52" s="20"/>
      <c r="M52" s="21"/>
      <c r="N52" s="22"/>
    </row>
    <row r="53" spans="1:22" ht="25.5" customHeight="1">
      <c r="A53" s="33">
        <v>15</v>
      </c>
      <c r="B53" s="64" t="s">
        <v>39</v>
      </c>
      <c r="C53" s="65" t="s">
        <v>40</v>
      </c>
      <c r="D53" s="64" t="s">
        <v>42</v>
      </c>
      <c r="E53" s="66">
        <v>1</v>
      </c>
      <c r="F53" s="67">
        <v>0.02</v>
      </c>
      <c r="G53" s="13">
        <v>5322.15</v>
      </c>
      <c r="H53" s="68">
        <f t="shared" si="5"/>
        <v>0.106443</v>
      </c>
      <c r="I53" s="13">
        <f t="shared" si="6"/>
        <v>53.221499999999999</v>
      </c>
      <c r="J53" s="27"/>
      <c r="L53" s="20"/>
      <c r="M53" s="21"/>
      <c r="N53" s="22"/>
    </row>
    <row r="54" spans="1:22" ht="26.25" hidden="1" customHeight="1">
      <c r="A54" s="33">
        <v>16</v>
      </c>
      <c r="B54" s="64" t="s">
        <v>41</v>
      </c>
      <c r="C54" s="65" t="s">
        <v>118</v>
      </c>
      <c r="D54" s="64" t="s">
        <v>72</v>
      </c>
      <c r="E54" s="66">
        <v>36</v>
      </c>
      <c r="F54" s="67">
        <f>SUM(E54)*3</f>
        <v>108</v>
      </c>
      <c r="G54" s="13">
        <v>61.84</v>
      </c>
      <c r="H54" s="68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customHeight="1">
      <c r="A55" s="123" t="s">
        <v>134</v>
      </c>
      <c r="B55" s="124"/>
      <c r="C55" s="124"/>
      <c r="D55" s="124"/>
      <c r="E55" s="124"/>
      <c r="F55" s="124"/>
      <c r="G55" s="124"/>
      <c r="H55" s="124"/>
      <c r="I55" s="125"/>
      <c r="J55" s="27"/>
      <c r="L55" s="20"/>
      <c r="M55" s="21"/>
      <c r="N55" s="22"/>
    </row>
    <row r="56" spans="1:22" ht="15.75" customHeight="1">
      <c r="A56" s="33"/>
      <c r="B56" s="85" t="s">
        <v>43</v>
      </c>
      <c r="C56" s="65"/>
      <c r="D56" s="64"/>
      <c r="E56" s="66"/>
      <c r="F56" s="67"/>
      <c r="G56" s="67"/>
      <c r="H56" s="68"/>
      <c r="I56" s="13"/>
      <c r="J56" s="27"/>
      <c r="L56" s="20"/>
      <c r="M56" s="21"/>
      <c r="N56" s="22"/>
    </row>
    <row r="57" spans="1:22" ht="31.5" customHeight="1">
      <c r="A57" s="33">
        <v>16</v>
      </c>
      <c r="B57" s="64" t="s">
        <v>119</v>
      </c>
      <c r="C57" s="65" t="s">
        <v>89</v>
      </c>
      <c r="D57" s="104" t="s">
        <v>185</v>
      </c>
      <c r="E57" s="66">
        <v>72.33</v>
      </c>
      <c r="F57" s="67">
        <f>SUM(E57*6/100)</f>
        <v>4.3398000000000003</v>
      </c>
      <c r="G57" s="13">
        <v>1456.95</v>
      </c>
      <c r="H57" s="68">
        <f>SUM(F57*G57/1000)</f>
        <v>6.3228716100000009</v>
      </c>
      <c r="I57" s="13">
        <f>G57*0.36</f>
        <v>524.50199999999995</v>
      </c>
      <c r="J57" s="27"/>
      <c r="L57" s="20"/>
      <c r="M57" s="21"/>
      <c r="N57" s="22"/>
    </row>
    <row r="58" spans="1:22" ht="15.75" hidden="1" customHeight="1">
      <c r="A58" s="33"/>
      <c r="B58" s="85" t="s">
        <v>44</v>
      </c>
      <c r="C58" s="65"/>
      <c r="D58" s="64"/>
      <c r="E58" s="66"/>
      <c r="F58" s="67"/>
      <c r="G58" s="60"/>
      <c r="H58" s="68"/>
      <c r="I58" s="13"/>
      <c r="J58" s="27"/>
      <c r="L58" s="20"/>
      <c r="M58" s="21"/>
      <c r="N58" s="22"/>
    </row>
    <row r="59" spans="1:22" ht="15.75" hidden="1" customHeight="1">
      <c r="A59" s="33"/>
      <c r="B59" s="64" t="s">
        <v>121</v>
      </c>
      <c r="C59" s="65"/>
      <c r="D59" s="64" t="s">
        <v>54</v>
      </c>
      <c r="E59" s="66">
        <v>952</v>
      </c>
      <c r="F59" s="68">
        <v>9.52</v>
      </c>
      <c r="G59" s="13">
        <v>848.37</v>
      </c>
      <c r="H59" s="73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6" t="s">
        <v>45</v>
      </c>
      <c r="C60" s="74"/>
      <c r="D60" s="75"/>
      <c r="E60" s="76"/>
      <c r="F60" s="77"/>
      <c r="G60" s="77"/>
      <c r="H60" s="78" t="s">
        <v>139</v>
      </c>
      <c r="I60" s="13"/>
    </row>
    <row r="61" spans="1:22" ht="15.75" hidden="1" customHeight="1">
      <c r="A61" s="33">
        <v>17</v>
      </c>
      <c r="B61" s="14" t="s">
        <v>46</v>
      </c>
      <c r="C61" s="16" t="s">
        <v>118</v>
      </c>
      <c r="D61" s="14" t="s">
        <v>68</v>
      </c>
      <c r="E61" s="18">
        <v>5</v>
      </c>
      <c r="F61" s="67">
        <v>5</v>
      </c>
      <c r="G61" s="13">
        <v>237.74</v>
      </c>
      <c r="H61" s="79">
        <f t="shared" ref="H61:H75" si="7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47</v>
      </c>
      <c r="C62" s="16" t="s">
        <v>118</v>
      </c>
      <c r="D62" s="14" t="s">
        <v>68</v>
      </c>
      <c r="E62" s="18">
        <v>2</v>
      </c>
      <c r="F62" s="67">
        <v>2</v>
      </c>
      <c r="G62" s="13">
        <v>81.510000000000005</v>
      </c>
      <c r="H62" s="79">
        <f t="shared" si="7"/>
        <v>0.16302</v>
      </c>
      <c r="I62" s="13">
        <v>0</v>
      </c>
    </row>
    <row r="63" spans="1:22" ht="15.75" hidden="1" customHeight="1">
      <c r="A63" s="33"/>
      <c r="B63" s="14" t="s">
        <v>48</v>
      </c>
      <c r="C63" s="16" t="s">
        <v>122</v>
      </c>
      <c r="D63" s="14" t="s">
        <v>54</v>
      </c>
      <c r="E63" s="66">
        <v>4292</v>
      </c>
      <c r="F63" s="13">
        <f>SUM(E63/100)</f>
        <v>42.92</v>
      </c>
      <c r="G63" s="13">
        <v>226.79</v>
      </c>
      <c r="H63" s="79">
        <f t="shared" si="7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49</v>
      </c>
      <c r="C64" s="16" t="s">
        <v>123</v>
      </c>
      <c r="D64" s="14"/>
      <c r="E64" s="66">
        <v>4292</v>
      </c>
      <c r="F64" s="13">
        <f>SUM(E64/1000)</f>
        <v>4.2919999999999998</v>
      </c>
      <c r="G64" s="13">
        <v>176.61</v>
      </c>
      <c r="H64" s="79">
        <f t="shared" si="7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50</v>
      </c>
      <c r="C65" s="16" t="s">
        <v>78</v>
      </c>
      <c r="D65" s="14" t="s">
        <v>54</v>
      </c>
      <c r="E65" s="66">
        <v>510</v>
      </c>
      <c r="F65" s="13">
        <f>SUM(E65/100)</f>
        <v>5.0999999999999996</v>
      </c>
      <c r="G65" s="13">
        <v>2217.7800000000002</v>
      </c>
      <c r="H65" s="79">
        <f t="shared" si="7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0" t="s">
        <v>124</v>
      </c>
      <c r="C66" s="16" t="s">
        <v>32</v>
      </c>
      <c r="D66" s="14"/>
      <c r="E66" s="66">
        <v>4.5999999999999996</v>
      </c>
      <c r="F66" s="13">
        <f>SUM(E66)</f>
        <v>4.5999999999999996</v>
      </c>
      <c r="G66" s="13">
        <v>42.67</v>
      </c>
      <c r="H66" s="79">
        <f t="shared" si="7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8"/>
      <c r="S66" s="118"/>
      <c r="T66" s="118"/>
      <c r="U66" s="118"/>
    </row>
    <row r="67" spans="1:21" ht="15.75" hidden="1" customHeight="1">
      <c r="A67" s="33"/>
      <c r="B67" s="80" t="s">
        <v>125</v>
      </c>
      <c r="C67" s="16" t="s">
        <v>32</v>
      </c>
      <c r="D67" s="14"/>
      <c r="E67" s="66">
        <v>4.5999999999999996</v>
      </c>
      <c r="F67" s="13">
        <f>SUM(E67)</f>
        <v>4.5999999999999996</v>
      </c>
      <c r="G67" s="13">
        <v>39.81</v>
      </c>
      <c r="H67" s="79">
        <f t="shared" si="7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58</v>
      </c>
      <c r="C68" s="16" t="s">
        <v>59</v>
      </c>
      <c r="D68" s="14" t="s">
        <v>54</v>
      </c>
      <c r="E68" s="18">
        <v>3</v>
      </c>
      <c r="F68" s="67">
        <v>3</v>
      </c>
      <c r="G68" s="13">
        <v>53.32</v>
      </c>
      <c r="H68" s="79">
        <f t="shared" si="7"/>
        <v>0.15996000000000002</v>
      </c>
      <c r="I68" s="13">
        <v>0</v>
      </c>
    </row>
    <row r="69" spans="1:21" ht="15.75" hidden="1" customHeight="1">
      <c r="A69" s="33"/>
      <c r="B69" s="51" t="s">
        <v>73</v>
      </c>
      <c r="C69" s="16"/>
      <c r="D69" s="14"/>
      <c r="E69" s="18"/>
      <c r="F69" s="13"/>
      <c r="G69" s="13"/>
      <c r="H69" s="79" t="s">
        <v>139</v>
      </c>
      <c r="I69" s="13"/>
    </row>
    <row r="70" spans="1:21" ht="15.75" hidden="1" customHeight="1">
      <c r="A70" s="33"/>
      <c r="B70" s="14" t="s">
        <v>74</v>
      </c>
      <c r="C70" s="16" t="s">
        <v>76</v>
      </c>
      <c r="D70" s="14"/>
      <c r="E70" s="18">
        <v>2</v>
      </c>
      <c r="F70" s="13">
        <v>0.2</v>
      </c>
      <c r="G70" s="13">
        <v>536.23</v>
      </c>
      <c r="H70" s="79">
        <f t="shared" si="7"/>
        <v>0.10724600000000001</v>
      </c>
      <c r="I70" s="13">
        <v>0</v>
      </c>
    </row>
    <row r="71" spans="1:21" ht="15.75" hidden="1" customHeight="1">
      <c r="A71" s="33"/>
      <c r="B71" s="14" t="s">
        <v>75</v>
      </c>
      <c r="C71" s="16" t="s">
        <v>30</v>
      </c>
      <c r="D71" s="14"/>
      <c r="E71" s="18">
        <v>1</v>
      </c>
      <c r="F71" s="60">
        <v>1</v>
      </c>
      <c r="G71" s="13">
        <v>911.85</v>
      </c>
      <c r="H71" s="79">
        <f t="shared" si="7"/>
        <v>0.91185000000000005</v>
      </c>
      <c r="I71" s="13">
        <v>0</v>
      </c>
    </row>
    <row r="72" spans="1:21" ht="15.75" hidden="1" customHeight="1">
      <c r="A72" s="33"/>
      <c r="B72" s="14" t="s">
        <v>140</v>
      </c>
      <c r="C72" s="16" t="s">
        <v>141</v>
      </c>
      <c r="D72" s="14"/>
      <c r="E72" s="18"/>
      <c r="F72" s="13"/>
      <c r="G72" s="13">
        <v>31.54</v>
      </c>
      <c r="H72" s="79">
        <f t="shared" si="7"/>
        <v>0</v>
      </c>
      <c r="I72" s="13"/>
    </row>
    <row r="73" spans="1:21" ht="15.75" hidden="1" customHeight="1">
      <c r="A73" s="33"/>
      <c r="B73" s="14" t="s">
        <v>127</v>
      </c>
      <c r="C73" s="16" t="s">
        <v>30</v>
      </c>
      <c r="D73" s="14"/>
      <c r="E73" s="18">
        <v>1</v>
      </c>
      <c r="F73" s="13">
        <v>1</v>
      </c>
      <c r="G73" s="13">
        <v>383.25</v>
      </c>
      <c r="H73" s="79">
        <f>G73*F73/1000</f>
        <v>0.38324999999999998</v>
      </c>
      <c r="I73" s="13">
        <v>0</v>
      </c>
    </row>
    <row r="74" spans="1:21" ht="15.75" hidden="1" customHeight="1">
      <c r="A74" s="33"/>
      <c r="B74" s="82" t="s">
        <v>77</v>
      </c>
      <c r="C74" s="16"/>
      <c r="D74" s="14"/>
      <c r="E74" s="18"/>
      <c r="F74" s="13"/>
      <c r="G74" s="13" t="s">
        <v>139</v>
      </c>
      <c r="H74" s="79" t="s">
        <v>139</v>
      </c>
      <c r="I74" s="13"/>
    </row>
    <row r="75" spans="1:21" ht="15.75" hidden="1" customHeight="1">
      <c r="A75" s="33"/>
      <c r="B75" s="45" t="s">
        <v>151</v>
      </c>
      <c r="C75" s="16" t="s">
        <v>78</v>
      </c>
      <c r="D75" s="14"/>
      <c r="E75" s="18"/>
      <c r="F75" s="13">
        <v>0.1</v>
      </c>
      <c r="G75" s="13">
        <v>2949.85</v>
      </c>
      <c r="H75" s="79">
        <f t="shared" si="7"/>
        <v>0.294985</v>
      </c>
      <c r="I75" s="13">
        <v>0</v>
      </c>
    </row>
    <row r="76" spans="1:21" ht="15.75" hidden="1" customHeight="1">
      <c r="A76" s="33"/>
      <c r="B76" s="89" t="s">
        <v>96</v>
      </c>
      <c r="C76" s="89"/>
      <c r="D76" s="89"/>
      <c r="E76" s="89"/>
      <c r="F76" s="89"/>
      <c r="G76" s="70"/>
      <c r="H76" s="83">
        <f>SUM(H57:H75)</f>
        <v>39.790287929999998</v>
      </c>
      <c r="I76" s="70"/>
    </row>
    <row r="77" spans="1:21" ht="15.75" hidden="1" customHeight="1">
      <c r="A77" s="33"/>
      <c r="B77" s="87" t="s">
        <v>126</v>
      </c>
      <c r="C77" s="24"/>
      <c r="D77" s="23"/>
      <c r="E77" s="84"/>
      <c r="F77" s="88">
        <v>1</v>
      </c>
      <c r="G77" s="13">
        <v>3124.9</v>
      </c>
      <c r="H77" s="79">
        <f>G77*F77/1000</f>
        <v>3.1249000000000002</v>
      </c>
      <c r="I77" s="13">
        <v>0</v>
      </c>
    </row>
    <row r="78" spans="1:21" ht="15.75" customHeight="1">
      <c r="A78" s="123" t="s">
        <v>135</v>
      </c>
      <c r="B78" s="124"/>
      <c r="C78" s="124"/>
      <c r="D78" s="124"/>
      <c r="E78" s="124"/>
      <c r="F78" s="124"/>
      <c r="G78" s="124"/>
      <c r="H78" s="124"/>
      <c r="I78" s="125"/>
    </row>
    <row r="79" spans="1:21" ht="15.75" customHeight="1">
      <c r="A79" s="33">
        <v>17</v>
      </c>
      <c r="B79" s="64" t="s">
        <v>128</v>
      </c>
      <c r="C79" s="16" t="s">
        <v>55</v>
      </c>
      <c r="D79" s="50" t="s">
        <v>56</v>
      </c>
      <c r="E79" s="13">
        <v>1042.5999999999999</v>
      </c>
      <c r="F79" s="13">
        <f>SUM(E79*12)</f>
        <v>12511.199999999999</v>
      </c>
      <c r="G79" s="13">
        <v>2.2400000000000002</v>
      </c>
      <c r="H79" s="79">
        <f>SUM(F79*G79/1000)</f>
        <v>28.025088</v>
      </c>
      <c r="I79" s="13">
        <f>F79/12*G79</f>
        <v>2335.424</v>
      </c>
    </row>
    <row r="80" spans="1:21" ht="31.5" customHeight="1">
      <c r="A80" s="33">
        <v>18</v>
      </c>
      <c r="B80" s="14" t="s">
        <v>79</v>
      </c>
      <c r="C80" s="16"/>
      <c r="D80" s="50" t="s">
        <v>56</v>
      </c>
      <c r="E80" s="66">
        <f>E79</f>
        <v>1042.5999999999999</v>
      </c>
      <c r="F80" s="13">
        <f>E80*12</f>
        <v>12511.199999999999</v>
      </c>
      <c r="G80" s="13">
        <v>1.74</v>
      </c>
      <c r="H80" s="79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82</v>
      </c>
      <c r="C81" s="82"/>
      <c r="D81" s="81"/>
      <c r="E81" s="70"/>
      <c r="F81" s="70"/>
      <c r="G81" s="70"/>
      <c r="H81" s="83">
        <f>H80</f>
        <v>21.769487999999999</v>
      </c>
      <c r="I81" s="70">
        <f>I80+I79+I57+I53+I52+I51+I43+I42+I41+I40+I39+I38+I28+I27+I20+I18+I17+I16</f>
        <v>19953.702633483332</v>
      </c>
    </row>
    <row r="82" spans="1:9" ht="15.75" customHeight="1">
      <c r="A82" s="132" t="s">
        <v>61</v>
      </c>
      <c r="B82" s="133"/>
      <c r="C82" s="133"/>
      <c r="D82" s="133"/>
      <c r="E82" s="133"/>
      <c r="F82" s="133"/>
      <c r="G82" s="133"/>
      <c r="H82" s="133"/>
      <c r="I82" s="134"/>
    </row>
    <row r="83" spans="1:9" ht="15.75" customHeight="1">
      <c r="A83" s="33">
        <v>19</v>
      </c>
      <c r="B83" s="75" t="s">
        <v>179</v>
      </c>
      <c r="C83" s="74" t="s">
        <v>180</v>
      </c>
      <c r="D83" s="75"/>
      <c r="E83" s="76"/>
      <c r="F83" s="77">
        <v>200</v>
      </c>
      <c r="G83" s="60">
        <v>1.2</v>
      </c>
      <c r="H83" s="78">
        <f>F83*G83/1000</f>
        <v>0.24</v>
      </c>
      <c r="I83" s="101">
        <f>G83*100</f>
        <v>120</v>
      </c>
    </row>
    <row r="84" spans="1:9" ht="15.75" customHeight="1">
      <c r="A84" s="33">
        <v>20</v>
      </c>
      <c r="B84" s="102" t="s">
        <v>144</v>
      </c>
      <c r="C84" s="103" t="s">
        <v>184</v>
      </c>
      <c r="D84" s="45"/>
      <c r="E84" s="13"/>
      <c r="F84" s="13"/>
      <c r="G84" s="37">
        <v>1501</v>
      </c>
      <c r="H84" s="79"/>
      <c r="I84" s="13">
        <f>G84*1</f>
        <v>1501</v>
      </c>
    </row>
    <row r="85" spans="1:9" ht="35.25" hidden="1" customHeight="1">
      <c r="A85" s="33">
        <v>19</v>
      </c>
      <c r="B85" s="102" t="s">
        <v>119</v>
      </c>
      <c r="C85" s="103" t="s">
        <v>89</v>
      </c>
      <c r="D85" s="45"/>
      <c r="E85" s="13"/>
      <c r="F85" s="13"/>
      <c r="G85" s="37">
        <v>1456.95</v>
      </c>
      <c r="H85" s="79"/>
      <c r="I85" s="13">
        <f>G85*0.36</f>
        <v>524.50199999999995</v>
      </c>
    </row>
    <row r="86" spans="1:9">
      <c r="A86" s="33"/>
      <c r="B86" s="43" t="s">
        <v>51</v>
      </c>
      <c r="C86" s="39"/>
      <c r="D86" s="46"/>
      <c r="E86" s="39">
        <v>1</v>
      </c>
      <c r="F86" s="39"/>
      <c r="G86" s="39"/>
      <c r="H86" s="39"/>
      <c r="I86" s="35">
        <f>I84+I83</f>
        <v>1621</v>
      </c>
    </row>
    <row r="87" spans="1:9" ht="16.5" customHeight="1">
      <c r="A87" s="33"/>
      <c r="B87" s="45" t="s">
        <v>80</v>
      </c>
      <c r="C87" s="15"/>
      <c r="D87" s="15"/>
      <c r="E87" s="40"/>
      <c r="F87" s="40"/>
      <c r="G87" s="41"/>
      <c r="H87" s="41"/>
      <c r="I87" s="17">
        <v>0</v>
      </c>
    </row>
    <row r="88" spans="1:9" ht="16.5" customHeight="1">
      <c r="A88" s="47"/>
      <c r="B88" s="44" t="s">
        <v>169</v>
      </c>
      <c r="C88" s="36"/>
      <c r="D88" s="36"/>
      <c r="E88" s="36"/>
      <c r="F88" s="36"/>
      <c r="G88" s="36"/>
      <c r="H88" s="36"/>
      <c r="I88" s="42">
        <f>I81+I86</f>
        <v>21574.702633483332</v>
      </c>
    </row>
    <row r="89" spans="1:9" ht="15.75" customHeight="1">
      <c r="A89" s="119" t="s">
        <v>186</v>
      </c>
      <c r="B89" s="119"/>
      <c r="C89" s="119"/>
      <c r="D89" s="119"/>
      <c r="E89" s="119"/>
      <c r="F89" s="119"/>
      <c r="G89" s="119"/>
      <c r="H89" s="119"/>
      <c r="I89" s="119"/>
    </row>
    <row r="90" spans="1:9" ht="15.75" customHeight="1">
      <c r="A90" s="57"/>
      <c r="B90" s="120" t="s">
        <v>187</v>
      </c>
      <c r="C90" s="120"/>
      <c r="D90" s="120"/>
      <c r="E90" s="120"/>
      <c r="F90" s="120"/>
      <c r="G90" s="120"/>
      <c r="H90" s="63"/>
      <c r="I90" s="3"/>
    </row>
    <row r="91" spans="1:9">
      <c r="A91" s="56"/>
      <c r="B91" s="121" t="s">
        <v>6</v>
      </c>
      <c r="C91" s="121"/>
      <c r="D91" s="121"/>
      <c r="E91" s="121"/>
      <c r="F91" s="121"/>
      <c r="G91" s="121"/>
      <c r="H91" s="28"/>
      <c r="I91" s="5"/>
    </row>
    <row r="92" spans="1:9" ht="15.75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>
      <c r="A93" s="122" t="s">
        <v>7</v>
      </c>
      <c r="B93" s="122"/>
      <c r="C93" s="122"/>
      <c r="D93" s="122"/>
      <c r="E93" s="122"/>
      <c r="F93" s="122"/>
      <c r="G93" s="122"/>
      <c r="H93" s="122"/>
      <c r="I93" s="122"/>
    </row>
    <row r="94" spans="1:9" ht="15.75">
      <c r="A94" s="122" t="s">
        <v>8</v>
      </c>
      <c r="B94" s="122"/>
      <c r="C94" s="122"/>
      <c r="D94" s="122"/>
      <c r="E94" s="122"/>
      <c r="F94" s="122"/>
      <c r="G94" s="122"/>
      <c r="H94" s="122"/>
      <c r="I94" s="122"/>
    </row>
    <row r="95" spans="1:9" ht="15.75">
      <c r="A95" s="127" t="s">
        <v>62</v>
      </c>
      <c r="B95" s="127"/>
      <c r="C95" s="127"/>
      <c r="D95" s="127"/>
      <c r="E95" s="127"/>
      <c r="F95" s="127"/>
      <c r="G95" s="127"/>
      <c r="H95" s="127"/>
      <c r="I95" s="127"/>
    </row>
    <row r="96" spans="1:9" ht="7.5" customHeight="1">
      <c r="A96" s="11"/>
    </row>
    <row r="97" spans="1:9" ht="15.75">
      <c r="A97" s="128" t="s">
        <v>9</v>
      </c>
      <c r="B97" s="128"/>
      <c r="C97" s="128"/>
      <c r="D97" s="128"/>
      <c r="E97" s="128"/>
      <c r="F97" s="128"/>
      <c r="G97" s="128"/>
      <c r="H97" s="128"/>
      <c r="I97" s="128"/>
    </row>
    <row r="98" spans="1:9" ht="15.75">
      <c r="A98" s="4"/>
    </row>
    <row r="99" spans="1:9" ht="15.75">
      <c r="B99" s="53" t="s">
        <v>10</v>
      </c>
      <c r="C99" s="129" t="s">
        <v>131</v>
      </c>
      <c r="D99" s="129"/>
      <c r="E99" s="129"/>
      <c r="F99" s="61"/>
      <c r="I99" s="55"/>
    </row>
    <row r="100" spans="1:9">
      <c r="A100" s="56"/>
      <c r="C100" s="121" t="s">
        <v>11</v>
      </c>
      <c r="D100" s="121"/>
      <c r="E100" s="121"/>
      <c r="F100" s="28"/>
      <c r="I100" s="54" t="s">
        <v>12</v>
      </c>
    </row>
    <row r="101" spans="1:9" ht="15.75">
      <c r="A101" s="29"/>
      <c r="C101" s="12"/>
      <c r="D101" s="12"/>
      <c r="G101" s="12"/>
      <c r="H101" s="12"/>
    </row>
    <row r="102" spans="1:9" ht="15.75">
      <c r="B102" s="53" t="s">
        <v>13</v>
      </c>
      <c r="C102" s="130"/>
      <c r="D102" s="130"/>
      <c r="E102" s="130"/>
      <c r="F102" s="62"/>
      <c r="I102" s="55"/>
    </row>
    <row r="103" spans="1:9">
      <c r="A103" s="56"/>
      <c r="C103" s="118" t="s">
        <v>11</v>
      </c>
      <c r="D103" s="118"/>
      <c r="E103" s="118"/>
      <c r="F103" s="56"/>
      <c r="I103" s="54" t="s">
        <v>12</v>
      </c>
    </row>
    <row r="104" spans="1:9" ht="15.75">
      <c r="A104" s="4" t="s">
        <v>14</v>
      </c>
    </row>
    <row r="105" spans="1:9">
      <c r="A105" s="131" t="s">
        <v>15</v>
      </c>
      <c r="B105" s="131"/>
      <c r="C105" s="131"/>
      <c r="D105" s="131"/>
      <c r="E105" s="131"/>
      <c r="F105" s="131"/>
      <c r="G105" s="131"/>
      <c r="H105" s="131"/>
      <c r="I105" s="131"/>
    </row>
    <row r="106" spans="1:9" ht="45" customHeight="1">
      <c r="A106" s="126" t="s">
        <v>16</v>
      </c>
      <c r="B106" s="126"/>
      <c r="C106" s="126"/>
      <c r="D106" s="126"/>
      <c r="E106" s="126"/>
      <c r="F106" s="126"/>
      <c r="G106" s="126"/>
      <c r="H106" s="126"/>
      <c r="I106" s="126"/>
    </row>
    <row r="107" spans="1:9" ht="30" customHeight="1">
      <c r="A107" s="126" t="s">
        <v>17</v>
      </c>
      <c r="B107" s="126"/>
      <c r="C107" s="126"/>
      <c r="D107" s="126"/>
      <c r="E107" s="126"/>
      <c r="F107" s="126"/>
      <c r="G107" s="126"/>
      <c r="H107" s="126"/>
      <c r="I107" s="126"/>
    </row>
    <row r="108" spans="1:9" ht="30" customHeight="1">
      <c r="A108" s="126" t="s">
        <v>21</v>
      </c>
      <c r="B108" s="126"/>
      <c r="C108" s="126"/>
      <c r="D108" s="126"/>
      <c r="E108" s="126"/>
      <c r="F108" s="126"/>
      <c r="G108" s="126"/>
      <c r="H108" s="126"/>
      <c r="I108" s="126"/>
    </row>
    <row r="109" spans="1:9" ht="15" customHeight="1">
      <c r="A109" s="126" t="s">
        <v>20</v>
      </c>
      <c r="B109" s="126"/>
      <c r="C109" s="126"/>
      <c r="D109" s="126"/>
      <c r="E109" s="126"/>
      <c r="F109" s="126"/>
      <c r="G109" s="126"/>
      <c r="H109" s="126"/>
      <c r="I109" s="126"/>
    </row>
  </sheetData>
  <autoFilter ref="I12:I61"/>
  <mergeCells count="29">
    <mergeCell ref="A106:I106"/>
    <mergeCell ref="A107:I107"/>
    <mergeCell ref="A108:I108"/>
    <mergeCell ref="A109:I109"/>
    <mergeCell ref="A97:I97"/>
    <mergeCell ref="C99:E99"/>
    <mergeCell ref="C100:E100"/>
    <mergeCell ref="C102:E102"/>
    <mergeCell ref="C103:E103"/>
    <mergeCell ref="A105:I105"/>
    <mergeCell ref="A95:I95"/>
    <mergeCell ref="A15:I15"/>
    <mergeCell ref="A29:I29"/>
    <mergeCell ref="A44:I44"/>
    <mergeCell ref="A55:I55"/>
    <mergeCell ref="A89:I89"/>
    <mergeCell ref="B90:G90"/>
    <mergeCell ref="B91:G91"/>
    <mergeCell ref="A93:I93"/>
    <mergeCell ref="A94:I94"/>
    <mergeCell ref="A82:I82"/>
    <mergeCell ref="R66:U66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K85" sqref="K8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63</v>
      </c>
      <c r="J2" s="2"/>
      <c r="K2" s="2"/>
      <c r="L2" s="2"/>
      <c r="M2" s="2"/>
    </row>
    <row r="3" spans="1:13" ht="15.75" customHeight="1">
      <c r="A3" s="112" t="s">
        <v>157</v>
      </c>
      <c r="B3" s="112"/>
      <c r="C3" s="112"/>
      <c r="D3" s="112"/>
      <c r="E3" s="112"/>
      <c r="F3" s="112"/>
      <c r="G3" s="112"/>
      <c r="H3" s="112"/>
      <c r="I3" s="112"/>
      <c r="J3" s="3"/>
      <c r="K3" s="3"/>
      <c r="L3" s="3"/>
    </row>
    <row r="4" spans="1:13" ht="31.5" customHeight="1">
      <c r="A4" s="113" t="s">
        <v>130</v>
      </c>
      <c r="B4" s="113"/>
      <c r="C4" s="113"/>
      <c r="D4" s="113"/>
      <c r="E4" s="113"/>
      <c r="F4" s="113"/>
      <c r="G4" s="113"/>
      <c r="H4" s="113"/>
      <c r="I4" s="113"/>
    </row>
    <row r="5" spans="1:13" ht="15.75">
      <c r="A5" s="112" t="s">
        <v>188</v>
      </c>
      <c r="B5" s="114"/>
      <c r="C5" s="114"/>
      <c r="D5" s="114"/>
      <c r="E5" s="114"/>
      <c r="F5" s="114"/>
      <c r="G5" s="114"/>
      <c r="H5" s="114"/>
      <c r="I5" s="114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43251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5" t="s">
        <v>164</v>
      </c>
      <c r="B8" s="115"/>
      <c r="C8" s="115"/>
      <c r="D8" s="115"/>
      <c r="E8" s="115"/>
      <c r="F8" s="115"/>
      <c r="G8" s="115"/>
      <c r="H8" s="115"/>
      <c r="I8" s="115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16" t="s">
        <v>165</v>
      </c>
      <c r="B10" s="116"/>
      <c r="C10" s="116"/>
      <c r="D10" s="116"/>
      <c r="E10" s="116"/>
      <c r="F10" s="116"/>
      <c r="G10" s="116"/>
      <c r="H10" s="116"/>
      <c r="I10" s="116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7" t="s">
        <v>60</v>
      </c>
      <c r="B14" s="117"/>
      <c r="C14" s="117"/>
      <c r="D14" s="117"/>
      <c r="E14" s="117"/>
      <c r="F14" s="117"/>
      <c r="G14" s="117"/>
      <c r="H14" s="117"/>
      <c r="I14" s="117"/>
      <c r="J14" s="8"/>
      <c r="K14" s="8"/>
      <c r="L14" s="8"/>
      <c r="M14" s="8"/>
    </row>
    <row r="15" spans="1:13" ht="15.75" customHeight="1">
      <c r="A15" s="111" t="s">
        <v>4</v>
      </c>
      <c r="B15" s="111"/>
      <c r="C15" s="111"/>
      <c r="D15" s="111"/>
      <c r="E15" s="111"/>
      <c r="F15" s="111"/>
      <c r="G15" s="111"/>
      <c r="H15" s="111"/>
      <c r="I15" s="111"/>
      <c r="J15" s="8"/>
      <c r="K15" s="8"/>
      <c r="L15" s="8"/>
      <c r="M15" s="8"/>
    </row>
    <row r="16" spans="1:13" ht="15.75" customHeight="1">
      <c r="A16" s="33">
        <v>1</v>
      </c>
      <c r="B16" s="64" t="s">
        <v>88</v>
      </c>
      <c r="C16" s="65" t="s">
        <v>89</v>
      </c>
      <c r="D16" s="64" t="s">
        <v>166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137</v>
      </c>
      <c r="C17" s="65" t="s">
        <v>89</v>
      </c>
      <c r="D17" s="64" t="s">
        <v>167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138</v>
      </c>
      <c r="C18" s="65" t="s">
        <v>89</v>
      </c>
      <c r="D18" s="64" t="s">
        <v>168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customHeight="1">
      <c r="A19" s="33">
        <v>4</v>
      </c>
      <c r="B19" s="64" t="s">
        <v>98</v>
      </c>
      <c r="C19" s="65" t="s">
        <v>99</v>
      </c>
      <c r="D19" s="64" t="s">
        <v>100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f>F19*G19</f>
        <v>240.34499999999997</v>
      </c>
      <c r="J19" s="26"/>
      <c r="K19" s="8"/>
      <c r="L19" s="8"/>
      <c r="M19" s="8"/>
    </row>
    <row r="20" spans="1:13" ht="15.75" customHeight="1">
      <c r="A20" s="33">
        <v>5</v>
      </c>
      <c r="B20" s="64" t="s">
        <v>101</v>
      </c>
      <c r="C20" s="65" t="s">
        <v>89</v>
      </c>
      <c r="D20" s="64" t="s">
        <v>29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6</v>
      </c>
      <c r="B21" s="64" t="s">
        <v>102</v>
      </c>
      <c r="C21" s="65" t="s">
        <v>89</v>
      </c>
      <c r="D21" s="64" t="s">
        <v>103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customHeight="1">
      <c r="A22" s="33">
        <v>7</v>
      </c>
      <c r="B22" s="64" t="s">
        <v>104</v>
      </c>
      <c r="C22" s="65" t="s">
        <v>53</v>
      </c>
      <c r="D22" s="64" t="s">
        <v>100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f>F22*G22</f>
        <v>271.54133999999999</v>
      </c>
      <c r="J22" s="26"/>
      <c r="K22" s="8"/>
      <c r="L22" s="8"/>
      <c r="M22" s="8"/>
    </row>
    <row r="23" spans="1:13" ht="15.75" customHeight="1">
      <c r="A23" s="33">
        <v>8</v>
      </c>
      <c r="B23" s="64" t="s">
        <v>105</v>
      </c>
      <c r="C23" s="65" t="s">
        <v>53</v>
      </c>
      <c r="D23" s="64" t="s">
        <v>100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f t="shared" ref="I23:I26" si="1">F23*G23</f>
        <v>6.0465</v>
      </c>
      <c r="J23" s="26"/>
      <c r="K23" s="8"/>
      <c r="L23" s="8"/>
      <c r="M23" s="8"/>
    </row>
    <row r="24" spans="1:13" ht="15.75" customHeight="1">
      <c r="A24" s="33">
        <v>9</v>
      </c>
      <c r="B24" s="64" t="s">
        <v>106</v>
      </c>
      <c r="C24" s="65" t="s">
        <v>53</v>
      </c>
      <c r="D24" s="64" t="s">
        <v>107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f t="shared" si="1"/>
        <v>22.0182</v>
      </c>
      <c r="J24" s="26"/>
      <c r="K24" s="8"/>
      <c r="L24" s="8"/>
      <c r="M24" s="8"/>
    </row>
    <row r="25" spans="1:13" ht="31.5" customHeight="1">
      <c r="A25" s="33">
        <v>10</v>
      </c>
      <c r="B25" s="64" t="s">
        <v>108</v>
      </c>
      <c r="C25" s="65" t="s">
        <v>53</v>
      </c>
      <c r="D25" s="64" t="s">
        <v>54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f t="shared" si="1"/>
        <v>11.599500000000001</v>
      </c>
      <c r="J25" s="26"/>
      <c r="K25" s="8"/>
      <c r="L25" s="8"/>
      <c r="M25" s="8"/>
    </row>
    <row r="26" spans="1:13" ht="15.75" customHeight="1">
      <c r="A26" s="33">
        <v>11</v>
      </c>
      <c r="B26" s="64" t="s">
        <v>109</v>
      </c>
      <c r="C26" s="65" t="s">
        <v>53</v>
      </c>
      <c r="D26" s="64" t="s">
        <v>100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f t="shared" si="1"/>
        <v>10.414199999999999</v>
      </c>
      <c r="J26" s="26"/>
      <c r="K26" s="8"/>
      <c r="L26" s="8"/>
      <c r="M26" s="8"/>
    </row>
    <row r="27" spans="1:13" ht="15.75" customHeight="1">
      <c r="A27" s="33">
        <v>12</v>
      </c>
      <c r="B27" s="64" t="s">
        <v>65</v>
      </c>
      <c r="C27" s="65" t="s">
        <v>32</v>
      </c>
      <c r="D27" s="64"/>
      <c r="E27" s="66">
        <v>0.1</v>
      </c>
      <c r="F27" s="67">
        <f>SUM(E27*365)</f>
        <v>36.5</v>
      </c>
      <c r="G27" s="67">
        <v>138.44999999999999</v>
      </c>
      <c r="H27" s="68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13</v>
      </c>
      <c r="B28" s="72" t="s">
        <v>23</v>
      </c>
      <c r="C28" s="65" t="s">
        <v>24</v>
      </c>
      <c r="D28" s="64"/>
      <c r="E28" s="66">
        <v>1042.5999999999999</v>
      </c>
      <c r="F28" s="67">
        <f>SUM(E28*12)</f>
        <v>12511.199999999999</v>
      </c>
      <c r="G28" s="67">
        <v>6.15</v>
      </c>
      <c r="H28" s="68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23" t="s">
        <v>86</v>
      </c>
      <c r="B29" s="124"/>
      <c r="C29" s="124"/>
      <c r="D29" s="124"/>
      <c r="E29" s="124"/>
      <c r="F29" s="124"/>
      <c r="G29" s="124"/>
      <c r="H29" s="124"/>
      <c r="I29" s="125"/>
      <c r="J29" s="26"/>
      <c r="K29" s="8"/>
      <c r="L29" s="8"/>
      <c r="M29" s="8"/>
    </row>
    <row r="30" spans="1:13" ht="15.75" customHeight="1">
      <c r="A30" s="33"/>
      <c r="B30" s="85" t="s">
        <v>27</v>
      </c>
      <c r="C30" s="65"/>
      <c r="D30" s="64"/>
      <c r="E30" s="66"/>
      <c r="F30" s="67"/>
      <c r="G30" s="67"/>
      <c r="H30" s="68"/>
      <c r="I30" s="13"/>
      <c r="J30" s="26"/>
      <c r="K30" s="8"/>
      <c r="L30" s="8"/>
      <c r="M30" s="8"/>
    </row>
    <row r="31" spans="1:13" ht="15.75" customHeight="1">
      <c r="A31" s="33">
        <v>14</v>
      </c>
      <c r="B31" s="64" t="s">
        <v>114</v>
      </c>
      <c r="C31" s="65" t="s">
        <v>92</v>
      </c>
      <c r="D31" s="64" t="s">
        <v>170</v>
      </c>
      <c r="E31" s="67">
        <v>266.57</v>
      </c>
      <c r="F31" s="67">
        <f>SUM(E31*52/1000)</f>
        <v>13.86164</v>
      </c>
      <c r="G31" s="67">
        <v>146.79</v>
      </c>
      <c r="H31" s="68">
        <f t="shared" ref="H31:H36" si="2">SUM(F31*G31/1000)</f>
        <v>2.0347501356</v>
      </c>
      <c r="I31" s="13">
        <f t="shared" ref="I31:I34" si="3">F31/6*G31</f>
        <v>339.12502259999997</v>
      </c>
      <c r="J31" s="26"/>
      <c r="K31" s="8"/>
      <c r="L31" s="8"/>
      <c r="M31" s="8"/>
    </row>
    <row r="32" spans="1:13" ht="31.5" customHeight="1">
      <c r="A32" s="33">
        <v>15</v>
      </c>
      <c r="B32" s="64" t="s">
        <v>113</v>
      </c>
      <c r="C32" s="65" t="s">
        <v>92</v>
      </c>
      <c r="D32" s="64" t="s">
        <v>171</v>
      </c>
      <c r="E32" s="67">
        <v>48.03</v>
      </c>
      <c r="F32" s="67">
        <f>SUM(E32*78/1000)</f>
        <v>3.74634</v>
      </c>
      <c r="G32" s="67">
        <v>243.54</v>
      </c>
      <c r="H32" s="68">
        <f t="shared" si="2"/>
        <v>0.91238364360000002</v>
      </c>
      <c r="I32" s="13">
        <f t="shared" si="3"/>
        <v>152.0639406</v>
      </c>
      <c r="J32" s="26"/>
      <c r="K32" s="8"/>
      <c r="L32" s="8"/>
      <c r="M32" s="8"/>
    </row>
    <row r="33" spans="1:14" ht="15.75" customHeight="1">
      <c r="A33" s="33">
        <v>16</v>
      </c>
      <c r="B33" s="64" t="s">
        <v>26</v>
      </c>
      <c r="C33" s="65" t="s">
        <v>92</v>
      </c>
      <c r="D33" s="64" t="s">
        <v>54</v>
      </c>
      <c r="E33" s="67">
        <v>266.57</v>
      </c>
      <c r="F33" s="67">
        <f>SUM(E33/1000)</f>
        <v>0.26656999999999997</v>
      </c>
      <c r="G33" s="67">
        <v>2844</v>
      </c>
      <c r="H33" s="68">
        <f t="shared" si="2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customHeight="1">
      <c r="A34" s="33">
        <v>17</v>
      </c>
      <c r="B34" s="64" t="s">
        <v>112</v>
      </c>
      <c r="C34" s="65" t="s">
        <v>30</v>
      </c>
      <c r="D34" s="64" t="s">
        <v>64</v>
      </c>
      <c r="E34" s="71">
        <v>0.33333333333333331</v>
      </c>
      <c r="F34" s="67">
        <f>155/3</f>
        <v>51.666666666666664</v>
      </c>
      <c r="G34" s="67">
        <v>53.38</v>
      </c>
      <c r="H34" s="68">
        <f>SUM(G34*155/3/1000)</f>
        <v>2.7579666666666669</v>
      </c>
      <c r="I34" s="13">
        <f t="shared" si="3"/>
        <v>459.6611111111111</v>
      </c>
      <c r="J34" s="26"/>
      <c r="K34" s="8"/>
    </row>
    <row r="35" spans="1:14" ht="15.75" hidden="1" customHeight="1">
      <c r="A35" s="33"/>
      <c r="B35" s="64" t="s">
        <v>66</v>
      </c>
      <c r="C35" s="65" t="s">
        <v>32</v>
      </c>
      <c r="D35" s="64" t="s">
        <v>68</v>
      </c>
      <c r="E35" s="66"/>
      <c r="F35" s="67">
        <v>1</v>
      </c>
      <c r="G35" s="67">
        <v>180.15</v>
      </c>
      <c r="H35" s="68">
        <f t="shared" si="2"/>
        <v>0.18015</v>
      </c>
      <c r="I35" s="13">
        <v>0</v>
      </c>
      <c r="J35" s="27"/>
    </row>
    <row r="36" spans="1:14" ht="15.75" hidden="1" customHeight="1">
      <c r="A36" s="33"/>
      <c r="B36" s="64" t="s">
        <v>67</v>
      </c>
      <c r="C36" s="65" t="s">
        <v>31</v>
      </c>
      <c r="D36" s="64" t="s">
        <v>68</v>
      </c>
      <c r="E36" s="66"/>
      <c r="F36" s="67">
        <v>1</v>
      </c>
      <c r="G36" s="67">
        <v>1214.74</v>
      </c>
      <c r="H36" s="68">
        <f t="shared" si="2"/>
        <v>1.2147399999999999</v>
      </c>
      <c r="I36" s="13">
        <v>0</v>
      </c>
      <c r="J36" s="27"/>
    </row>
    <row r="37" spans="1:14" ht="15.75" hidden="1" customHeight="1">
      <c r="A37" s="33"/>
      <c r="B37" s="85" t="s">
        <v>5</v>
      </c>
      <c r="C37" s="65"/>
      <c r="D37" s="64"/>
      <c r="E37" s="66"/>
      <c r="F37" s="67"/>
      <c r="G37" s="67"/>
      <c r="H37" s="68" t="s">
        <v>139</v>
      </c>
      <c r="I37" s="13"/>
      <c r="J37" s="27"/>
    </row>
    <row r="38" spans="1:14" ht="15.75" hidden="1" customHeight="1">
      <c r="A38" s="33">
        <v>8</v>
      </c>
      <c r="B38" s="64" t="s">
        <v>25</v>
      </c>
      <c r="C38" s="65" t="s">
        <v>31</v>
      </c>
      <c r="D38" s="64"/>
      <c r="E38" s="66"/>
      <c r="F38" s="67">
        <v>3</v>
      </c>
      <c r="G38" s="67">
        <v>1632.6</v>
      </c>
      <c r="H38" s="68">
        <f t="shared" ref="H38:H43" si="4">SUM(F38*G38/1000)</f>
        <v>4.8977999999999993</v>
      </c>
      <c r="I38" s="13">
        <f t="shared" ref="I38:I43" si="5">F38/6*G38</f>
        <v>816.3</v>
      </c>
      <c r="J38" s="27"/>
    </row>
    <row r="39" spans="1:14" ht="15.75" hidden="1" customHeight="1">
      <c r="A39" s="33">
        <v>9</v>
      </c>
      <c r="B39" s="64" t="s">
        <v>115</v>
      </c>
      <c r="C39" s="65" t="s">
        <v>28</v>
      </c>
      <c r="D39" s="64" t="s">
        <v>90</v>
      </c>
      <c r="E39" s="66">
        <v>48.03</v>
      </c>
      <c r="F39" s="67">
        <v>1.44</v>
      </c>
      <c r="G39" s="67">
        <v>1979.95</v>
      </c>
      <c r="H39" s="68">
        <f>G39*F39/1000</f>
        <v>2.8511280000000001</v>
      </c>
      <c r="I39" s="13">
        <f t="shared" si="5"/>
        <v>475.18799999999999</v>
      </c>
      <c r="J39" s="27"/>
      <c r="L39" s="20"/>
      <c r="M39" s="21"/>
      <c r="N39" s="22"/>
    </row>
    <row r="40" spans="1:14" ht="15.75" hidden="1" customHeight="1">
      <c r="A40" s="33">
        <v>10</v>
      </c>
      <c r="B40" s="64" t="s">
        <v>69</v>
      </c>
      <c r="C40" s="65" t="s">
        <v>28</v>
      </c>
      <c r="D40" s="64" t="s">
        <v>91</v>
      </c>
      <c r="E40" s="67">
        <v>48.03</v>
      </c>
      <c r="F40" s="67">
        <f>SUM(E40*155/1000)</f>
        <v>7.4446500000000002</v>
      </c>
      <c r="G40" s="67">
        <v>330.27</v>
      </c>
      <c r="H40" s="68">
        <f t="shared" si="4"/>
        <v>2.4587445555</v>
      </c>
      <c r="I40" s="13">
        <f t="shared" si="5"/>
        <v>409.79075924999995</v>
      </c>
      <c r="J40" s="27"/>
      <c r="L40" s="20"/>
      <c r="M40" s="21"/>
      <c r="N40" s="22"/>
    </row>
    <row r="41" spans="1:14" ht="47.25" hidden="1" customHeight="1">
      <c r="A41" s="33">
        <v>11</v>
      </c>
      <c r="B41" s="64" t="s">
        <v>84</v>
      </c>
      <c r="C41" s="65" t="s">
        <v>92</v>
      </c>
      <c r="D41" s="64" t="s">
        <v>116</v>
      </c>
      <c r="E41" s="67">
        <v>48.03</v>
      </c>
      <c r="F41" s="67">
        <f>SUM(E41*35/1000)</f>
        <v>1.6810499999999999</v>
      </c>
      <c r="G41" s="67">
        <v>5464.48</v>
      </c>
      <c r="H41" s="68">
        <f t="shared" si="4"/>
        <v>9.1860641039999997</v>
      </c>
      <c r="I41" s="13">
        <f t="shared" si="5"/>
        <v>1531.0106839999999</v>
      </c>
      <c r="J41" s="27"/>
      <c r="L41" s="20"/>
      <c r="M41" s="21"/>
      <c r="N41" s="22"/>
    </row>
    <row r="42" spans="1:14" ht="15.75" hidden="1" customHeight="1">
      <c r="A42" s="33">
        <v>12</v>
      </c>
      <c r="B42" s="64" t="s">
        <v>93</v>
      </c>
      <c r="C42" s="65" t="s">
        <v>92</v>
      </c>
      <c r="D42" s="64" t="s">
        <v>70</v>
      </c>
      <c r="E42" s="67">
        <v>48.03</v>
      </c>
      <c r="F42" s="67">
        <f>SUM(E42*45/1000)</f>
        <v>2.1613500000000001</v>
      </c>
      <c r="G42" s="67">
        <v>403.67</v>
      </c>
      <c r="H42" s="68">
        <f t="shared" si="4"/>
        <v>0.87247215450000015</v>
      </c>
      <c r="I42" s="13">
        <f t="shared" si="5"/>
        <v>145.41202575000003</v>
      </c>
      <c r="J42" s="27"/>
      <c r="L42" s="20"/>
      <c r="M42" s="21"/>
      <c r="N42" s="22"/>
    </row>
    <row r="43" spans="1:14" ht="15.75" hidden="1" customHeight="1">
      <c r="A43" s="33">
        <v>13</v>
      </c>
      <c r="B43" s="64" t="s">
        <v>71</v>
      </c>
      <c r="C43" s="65" t="s">
        <v>32</v>
      </c>
      <c r="D43" s="64"/>
      <c r="E43" s="66"/>
      <c r="F43" s="67">
        <v>0.53</v>
      </c>
      <c r="G43" s="67">
        <v>750.34</v>
      </c>
      <c r="H43" s="68">
        <f t="shared" si="4"/>
        <v>0.39768020000000004</v>
      </c>
      <c r="I43" s="13">
        <f t="shared" si="5"/>
        <v>66.280033333333336</v>
      </c>
      <c r="J43" s="27"/>
      <c r="L43" s="20"/>
      <c r="M43" s="21"/>
      <c r="N43" s="22"/>
    </row>
    <row r="44" spans="1:14" ht="15.75" customHeight="1">
      <c r="A44" s="123" t="s">
        <v>132</v>
      </c>
      <c r="B44" s="124"/>
      <c r="C44" s="124"/>
      <c r="D44" s="124"/>
      <c r="E44" s="124"/>
      <c r="F44" s="124"/>
      <c r="G44" s="124"/>
      <c r="H44" s="124"/>
      <c r="I44" s="125"/>
      <c r="J44" s="27"/>
      <c r="L44" s="20"/>
      <c r="M44" s="21"/>
      <c r="N44" s="22"/>
    </row>
    <row r="45" spans="1:14" ht="15.75" customHeight="1">
      <c r="A45" s="33">
        <v>18</v>
      </c>
      <c r="B45" s="64" t="s">
        <v>117</v>
      </c>
      <c r="C45" s="65" t="s">
        <v>92</v>
      </c>
      <c r="D45" s="64" t="s">
        <v>42</v>
      </c>
      <c r="E45" s="66">
        <v>636.25</v>
      </c>
      <c r="F45" s="67">
        <f>SUM(E45*2/1000)</f>
        <v>1.2725</v>
      </c>
      <c r="G45" s="13">
        <v>762.53</v>
      </c>
      <c r="H45" s="68">
        <f t="shared" ref="H45:H54" si="6">SUM(F45*G45/1000)</f>
        <v>0.9703194249999999</v>
      </c>
      <c r="I45" s="13">
        <f t="shared" ref="I45:I48" si="7">F45/2*G45</f>
        <v>485.15971249999996</v>
      </c>
      <c r="J45" s="27"/>
      <c r="L45" s="20"/>
      <c r="M45" s="21"/>
      <c r="N45" s="22"/>
    </row>
    <row r="46" spans="1:14" ht="15.75" customHeight="1">
      <c r="A46" s="33">
        <v>19</v>
      </c>
      <c r="B46" s="64" t="s">
        <v>35</v>
      </c>
      <c r="C46" s="65" t="s">
        <v>92</v>
      </c>
      <c r="D46" s="64" t="s">
        <v>42</v>
      </c>
      <c r="E46" s="66">
        <v>26</v>
      </c>
      <c r="F46" s="67">
        <f>SUM(E46*2/1000)</f>
        <v>5.1999999999999998E-2</v>
      </c>
      <c r="G46" s="13">
        <v>545.65</v>
      </c>
      <c r="H46" s="68">
        <f t="shared" si="6"/>
        <v>2.8373799999999998E-2</v>
      </c>
      <c r="I46" s="13">
        <f t="shared" si="7"/>
        <v>14.1869</v>
      </c>
      <c r="J46" s="27"/>
      <c r="L46" s="20"/>
      <c r="M46" s="21"/>
      <c r="N46" s="22"/>
    </row>
    <row r="47" spans="1:14" ht="15.75" customHeight="1">
      <c r="A47" s="33">
        <v>20</v>
      </c>
      <c r="B47" s="64" t="s">
        <v>36</v>
      </c>
      <c r="C47" s="65" t="s">
        <v>92</v>
      </c>
      <c r="D47" s="64" t="s">
        <v>42</v>
      </c>
      <c r="E47" s="66">
        <v>579</v>
      </c>
      <c r="F47" s="67">
        <f>SUM(E47*2/1000)</f>
        <v>1.1579999999999999</v>
      </c>
      <c r="G47" s="13">
        <v>545.65</v>
      </c>
      <c r="H47" s="68">
        <f t="shared" si="6"/>
        <v>0.63186269999999989</v>
      </c>
      <c r="I47" s="13">
        <f t="shared" si="7"/>
        <v>315.93134999999995</v>
      </c>
      <c r="J47" s="27"/>
      <c r="L47" s="20"/>
      <c r="M47" s="21"/>
      <c r="N47" s="22"/>
    </row>
    <row r="48" spans="1:14" ht="15.75" customHeight="1">
      <c r="A48" s="33">
        <v>21</v>
      </c>
      <c r="B48" s="64" t="s">
        <v>37</v>
      </c>
      <c r="C48" s="65" t="s">
        <v>92</v>
      </c>
      <c r="D48" s="64" t="s">
        <v>42</v>
      </c>
      <c r="E48" s="66">
        <v>683.33</v>
      </c>
      <c r="F48" s="67">
        <f>SUM(E48*2/1000)</f>
        <v>1.36666</v>
      </c>
      <c r="G48" s="13">
        <v>571.35</v>
      </c>
      <c r="H48" s="68">
        <f t="shared" si="6"/>
        <v>0.78084119099999993</v>
      </c>
      <c r="I48" s="13">
        <f t="shared" si="7"/>
        <v>390.42059549999999</v>
      </c>
      <c r="J48" s="27"/>
      <c r="L48" s="20"/>
      <c r="M48" s="21"/>
      <c r="N48" s="22"/>
    </row>
    <row r="49" spans="1:22" ht="15.75" customHeight="1">
      <c r="A49" s="33">
        <v>22</v>
      </c>
      <c r="B49" s="64" t="s">
        <v>33</v>
      </c>
      <c r="C49" s="65" t="s">
        <v>34</v>
      </c>
      <c r="D49" s="64" t="s">
        <v>42</v>
      </c>
      <c r="E49" s="66">
        <v>44.11</v>
      </c>
      <c r="F49" s="67">
        <f>SUM(E49*2/100)</f>
        <v>0.88219999999999998</v>
      </c>
      <c r="G49" s="13">
        <v>68.56</v>
      </c>
      <c r="H49" s="68">
        <f t="shared" si="6"/>
        <v>6.0483632000000002E-2</v>
      </c>
      <c r="I49" s="13">
        <f>F49/2*G49</f>
        <v>30.241816</v>
      </c>
      <c r="J49" s="27"/>
      <c r="L49" s="20"/>
      <c r="M49" s="21"/>
      <c r="N49" s="22"/>
    </row>
    <row r="50" spans="1:22" ht="15.75" customHeight="1">
      <c r="A50" s="33">
        <v>23</v>
      </c>
      <c r="B50" s="64" t="s">
        <v>57</v>
      </c>
      <c r="C50" s="65" t="s">
        <v>92</v>
      </c>
      <c r="D50" s="64" t="s">
        <v>133</v>
      </c>
      <c r="E50" s="66">
        <v>1140</v>
      </c>
      <c r="F50" s="67">
        <f>SUM(E50*5/1000)</f>
        <v>5.7</v>
      </c>
      <c r="G50" s="13">
        <v>1142.7</v>
      </c>
      <c r="H50" s="68">
        <f t="shared" si="6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4" t="s">
        <v>94</v>
      </c>
      <c r="C51" s="65" t="s">
        <v>92</v>
      </c>
      <c r="D51" s="64" t="s">
        <v>42</v>
      </c>
      <c r="E51" s="66">
        <v>1140</v>
      </c>
      <c r="F51" s="67">
        <f>SUM(E51*2/1000)</f>
        <v>2.2799999999999998</v>
      </c>
      <c r="G51" s="13">
        <v>1142.7</v>
      </c>
      <c r="H51" s="68">
        <f t="shared" si="6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4" t="s">
        <v>95</v>
      </c>
      <c r="C52" s="65" t="s">
        <v>38</v>
      </c>
      <c r="D52" s="64" t="s">
        <v>42</v>
      </c>
      <c r="E52" s="66">
        <v>9</v>
      </c>
      <c r="F52" s="67">
        <f>SUM(E52*2/100)</f>
        <v>0.18</v>
      </c>
      <c r="G52" s="13">
        <v>2571.08</v>
      </c>
      <c r="H52" s="68">
        <f t="shared" si="6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4" t="s">
        <v>39</v>
      </c>
      <c r="C53" s="65" t="s">
        <v>40</v>
      </c>
      <c r="D53" s="64" t="s">
        <v>42</v>
      </c>
      <c r="E53" s="66">
        <v>1</v>
      </c>
      <c r="F53" s="67">
        <v>0.02</v>
      </c>
      <c r="G53" s="13">
        <v>5322.15</v>
      </c>
      <c r="H53" s="68">
        <f t="shared" si="6"/>
        <v>0.106443</v>
      </c>
      <c r="I53" s="13">
        <v>0</v>
      </c>
      <c r="J53" s="27"/>
      <c r="L53" s="20"/>
      <c r="M53" s="21"/>
      <c r="N53" s="22"/>
    </row>
    <row r="54" spans="1:22" ht="15.75" customHeight="1">
      <c r="A54" s="33">
        <v>24</v>
      </c>
      <c r="B54" s="64" t="s">
        <v>41</v>
      </c>
      <c r="C54" s="65" t="s">
        <v>118</v>
      </c>
      <c r="D54" s="64" t="s">
        <v>72</v>
      </c>
      <c r="E54" s="66">
        <v>36</v>
      </c>
      <c r="F54" s="67">
        <f>SUM(E54)*3</f>
        <v>108</v>
      </c>
      <c r="G54" s="13">
        <v>61.84</v>
      </c>
      <c r="H54" s="68">
        <f t="shared" si="6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customHeight="1">
      <c r="A55" s="123" t="s">
        <v>134</v>
      </c>
      <c r="B55" s="124"/>
      <c r="C55" s="124"/>
      <c r="D55" s="124"/>
      <c r="E55" s="124"/>
      <c r="F55" s="124"/>
      <c r="G55" s="124"/>
      <c r="H55" s="124"/>
      <c r="I55" s="125"/>
      <c r="J55" s="27"/>
      <c r="L55" s="20"/>
      <c r="M55" s="21"/>
      <c r="N55" s="22"/>
    </row>
    <row r="56" spans="1:22" ht="15.75" hidden="1" customHeight="1">
      <c r="A56" s="33"/>
      <c r="B56" s="85" t="s">
        <v>43</v>
      </c>
      <c r="C56" s="65"/>
      <c r="D56" s="64"/>
      <c r="E56" s="66"/>
      <c r="F56" s="67"/>
      <c r="G56" s="67"/>
      <c r="H56" s="68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4" t="s">
        <v>119</v>
      </c>
      <c r="C57" s="65" t="s">
        <v>89</v>
      </c>
      <c r="D57" s="64" t="s">
        <v>120</v>
      </c>
      <c r="E57" s="66">
        <v>72.33</v>
      </c>
      <c r="F57" s="67">
        <f>SUM(E57*6/100)</f>
        <v>4.3398000000000003</v>
      </c>
      <c r="G57" s="13">
        <v>1456.95</v>
      </c>
      <c r="H57" s="68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5" t="s">
        <v>44</v>
      </c>
      <c r="C58" s="65"/>
      <c r="D58" s="64"/>
      <c r="E58" s="66"/>
      <c r="F58" s="67"/>
      <c r="G58" s="60"/>
      <c r="H58" s="68"/>
      <c r="I58" s="13"/>
      <c r="J58" s="27"/>
      <c r="L58" s="20"/>
      <c r="M58" s="21"/>
      <c r="N58" s="22"/>
    </row>
    <row r="59" spans="1:22" ht="15.75" hidden="1" customHeight="1">
      <c r="A59" s="33"/>
      <c r="B59" s="64" t="s">
        <v>121</v>
      </c>
      <c r="C59" s="65"/>
      <c r="D59" s="64" t="s">
        <v>54</v>
      </c>
      <c r="E59" s="66">
        <v>952</v>
      </c>
      <c r="F59" s="68">
        <v>9.52</v>
      </c>
      <c r="G59" s="13">
        <v>848.37</v>
      </c>
      <c r="H59" s="73">
        <f>F59*G59/1000</f>
        <v>8.0764823999999997</v>
      </c>
      <c r="I59" s="13">
        <v>0</v>
      </c>
      <c r="J59" s="27"/>
      <c r="L59" s="20"/>
    </row>
    <row r="60" spans="1:22" ht="15.75" customHeight="1">
      <c r="A60" s="33"/>
      <c r="B60" s="86" t="s">
        <v>45</v>
      </c>
      <c r="C60" s="74"/>
      <c r="D60" s="75"/>
      <c r="E60" s="76"/>
      <c r="F60" s="77"/>
      <c r="G60" s="77"/>
      <c r="H60" s="78" t="s">
        <v>139</v>
      </c>
      <c r="I60" s="13"/>
    </row>
    <row r="61" spans="1:22" ht="15.75" hidden="1" customHeight="1">
      <c r="A61" s="33">
        <v>17</v>
      </c>
      <c r="B61" s="14" t="s">
        <v>46</v>
      </c>
      <c r="C61" s="16" t="s">
        <v>118</v>
      </c>
      <c r="D61" s="14" t="s">
        <v>68</v>
      </c>
      <c r="E61" s="18">
        <v>5</v>
      </c>
      <c r="F61" s="67">
        <v>5</v>
      </c>
      <c r="G61" s="13">
        <v>237.74</v>
      </c>
      <c r="H61" s="79">
        <f t="shared" ref="H61:H75" si="8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47</v>
      </c>
      <c r="C62" s="16" t="s">
        <v>118</v>
      </c>
      <c r="D62" s="14" t="s">
        <v>68</v>
      </c>
      <c r="E62" s="18">
        <v>2</v>
      </c>
      <c r="F62" s="67">
        <v>2</v>
      </c>
      <c r="G62" s="13">
        <v>81.510000000000005</v>
      </c>
      <c r="H62" s="79">
        <f t="shared" si="8"/>
        <v>0.16302</v>
      </c>
      <c r="I62" s="13">
        <v>0</v>
      </c>
    </row>
    <row r="63" spans="1:22" ht="15.75" customHeight="1">
      <c r="A63" s="33">
        <v>25</v>
      </c>
      <c r="B63" s="14" t="s">
        <v>48</v>
      </c>
      <c r="C63" s="16" t="s">
        <v>122</v>
      </c>
      <c r="D63" s="14" t="s">
        <v>54</v>
      </c>
      <c r="E63" s="66">
        <v>4292</v>
      </c>
      <c r="F63" s="13">
        <f>SUM(E63/100)</f>
        <v>42.92</v>
      </c>
      <c r="G63" s="13">
        <v>226.79</v>
      </c>
      <c r="H63" s="79">
        <f t="shared" si="8"/>
        <v>9.733826800000001</v>
      </c>
      <c r="I63" s="13">
        <f>F63*G63</f>
        <v>9733.8268000000007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3">
        <v>26</v>
      </c>
      <c r="B64" s="14" t="s">
        <v>49</v>
      </c>
      <c r="C64" s="16" t="s">
        <v>123</v>
      </c>
      <c r="D64" s="14"/>
      <c r="E64" s="66">
        <v>4292</v>
      </c>
      <c r="F64" s="13">
        <f>SUM(E64/1000)</f>
        <v>4.2919999999999998</v>
      </c>
      <c r="G64" s="13">
        <v>176.61</v>
      </c>
      <c r="H64" s="79">
        <f t="shared" si="8"/>
        <v>0.75801012000000001</v>
      </c>
      <c r="I64" s="13">
        <f t="shared" ref="I64:I77" si="9">F64*G64</f>
        <v>758.01012000000003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3">
        <v>27</v>
      </c>
      <c r="B65" s="14" t="s">
        <v>50</v>
      </c>
      <c r="C65" s="16" t="s">
        <v>78</v>
      </c>
      <c r="D65" s="14" t="s">
        <v>54</v>
      </c>
      <c r="E65" s="66">
        <v>510</v>
      </c>
      <c r="F65" s="13">
        <f>SUM(E65/100)</f>
        <v>5.0999999999999996</v>
      </c>
      <c r="G65" s="13">
        <v>2217.7800000000002</v>
      </c>
      <c r="H65" s="79">
        <f t="shared" si="8"/>
        <v>11.310677999999999</v>
      </c>
      <c r="I65" s="13">
        <f t="shared" si="9"/>
        <v>11310.678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3">
        <v>28</v>
      </c>
      <c r="B66" s="80" t="s">
        <v>124</v>
      </c>
      <c r="C66" s="16" t="s">
        <v>32</v>
      </c>
      <c r="D66" s="14"/>
      <c r="E66" s="66">
        <v>4.5999999999999996</v>
      </c>
      <c r="F66" s="13">
        <f>SUM(E66)</f>
        <v>4.5999999999999996</v>
      </c>
      <c r="G66" s="13">
        <v>42.67</v>
      </c>
      <c r="H66" s="79">
        <f t="shared" si="8"/>
        <v>0.19628199999999998</v>
      </c>
      <c r="I66" s="13">
        <f t="shared" si="9"/>
        <v>196.28199999999998</v>
      </c>
      <c r="J66" s="5"/>
      <c r="K66" s="5"/>
      <c r="L66" s="5"/>
      <c r="M66" s="5"/>
      <c r="N66" s="5"/>
      <c r="O66" s="5"/>
      <c r="P66" s="5"/>
      <c r="Q66" s="5"/>
      <c r="R66" s="118"/>
      <c r="S66" s="118"/>
      <c r="T66" s="118"/>
      <c r="U66" s="118"/>
    </row>
    <row r="67" spans="1:21" ht="15.75" customHeight="1">
      <c r="A67" s="33">
        <v>29</v>
      </c>
      <c r="B67" s="80" t="s">
        <v>125</v>
      </c>
      <c r="C67" s="16" t="s">
        <v>32</v>
      </c>
      <c r="D67" s="14"/>
      <c r="E67" s="66">
        <v>4.5999999999999996</v>
      </c>
      <c r="F67" s="13">
        <f>SUM(E67)</f>
        <v>4.5999999999999996</v>
      </c>
      <c r="G67" s="13">
        <v>39.81</v>
      </c>
      <c r="H67" s="79">
        <f t="shared" si="8"/>
        <v>0.18312600000000001</v>
      </c>
      <c r="I67" s="13">
        <f t="shared" si="9"/>
        <v>183.126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58</v>
      </c>
      <c r="C68" s="16" t="s">
        <v>59</v>
      </c>
      <c r="D68" s="14" t="s">
        <v>54</v>
      </c>
      <c r="E68" s="18">
        <v>3</v>
      </c>
      <c r="F68" s="67">
        <v>3</v>
      </c>
      <c r="G68" s="13">
        <v>53.32</v>
      </c>
      <c r="H68" s="79">
        <f t="shared" si="8"/>
        <v>0.15996000000000002</v>
      </c>
      <c r="I68" s="13">
        <f t="shared" si="9"/>
        <v>159.96</v>
      </c>
    </row>
    <row r="69" spans="1:21" ht="15.75" hidden="1" customHeight="1">
      <c r="A69" s="33"/>
      <c r="B69" s="51" t="s">
        <v>73</v>
      </c>
      <c r="C69" s="16"/>
      <c r="D69" s="14"/>
      <c r="E69" s="18"/>
      <c r="F69" s="13"/>
      <c r="G69" s="13"/>
      <c r="H69" s="79" t="s">
        <v>139</v>
      </c>
      <c r="I69" s="13">
        <f t="shared" si="9"/>
        <v>0</v>
      </c>
    </row>
    <row r="70" spans="1:21" ht="15.75" hidden="1" customHeight="1">
      <c r="A70" s="33"/>
      <c r="B70" s="14" t="s">
        <v>74</v>
      </c>
      <c r="C70" s="16" t="s">
        <v>76</v>
      </c>
      <c r="D70" s="14"/>
      <c r="E70" s="18">
        <v>2</v>
      </c>
      <c r="F70" s="13">
        <v>0.2</v>
      </c>
      <c r="G70" s="13">
        <v>536.23</v>
      </c>
      <c r="H70" s="79">
        <f t="shared" si="8"/>
        <v>0.10724600000000001</v>
      </c>
      <c r="I70" s="13">
        <f t="shared" si="9"/>
        <v>107.24600000000001</v>
      </c>
    </row>
    <row r="71" spans="1:21" ht="15.75" hidden="1" customHeight="1">
      <c r="A71" s="33"/>
      <c r="B71" s="14" t="s">
        <v>75</v>
      </c>
      <c r="C71" s="16" t="s">
        <v>30</v>
      </c>
      <c r="D71" s="14"/>
      <c r="E71" s="18">
        <v>1</v>
      </c>
      <c r="F71" s="60">
        <v>1</v>
      </c>
      <c r="G71" s="13">
        <v>911.85</v>
      </c>
      <c r="H71" s="79">
        <f t="shared" si="8"/>
        <v>0.91185000000000005</v>
      </c>
      <c r="I71" s="13">
        <f t="shared" si="9"/>
        <v>911.85</v>
      </c>
    </row>
    <row r="72" spans="1:21" ht="15.75" hidden="1" customHeight="1">
      <c r="A72" s="33"/>
      <c r="B72" s="14" t="s">
        <v>140</v>
      </c>
      <c r="C72" s="16" t="s">
        <v>141</v>
      </c>
      <c r="D72" s="14"/>
      <c r="E72" s="18"/>
      <c r="F72" s="13"/>
      <c r="G72" s="13">
        <v>31.54</v>
      </c>
      <c r="H72" s="79">
        <f t="shared" si="8"/>
        <v>0</v>
      </c>
      <c r="I72" s="13">
        <f t="shared" si="9"/>
        <v>0</v>
      </c>
    </row>
    <row r="73" spans="1:21" ht="15.75" hidden="1" customHeight="1">
      <c r="A73" s="33"/>
      <c r="B73" s="14" t="s">
        <v>127</v>
      </c>
      <c r="C73" s="16" t="s">
        <v>30</v>
      </c>
      <c r="D73" s="14"/>
      <c r="E73" s="18">
        <v>1</v>
      </c>
      <c r="F73" s="13">
        <v>1</v>
      </c>
      <c r="G73" s="13">
        <v>383.25</v>
      </c>
      <c r="H73" s="79">
        <f>G73*F73/1000</f>
        <v>0.38324999999999998</v>
      </c>
      <c r="I73" s="13">
        <f t="shared" si="9"/>
        <v>383.25</v>
      </c>
    </row>
    <row r="74" spans="1:21" ht="15" customHeight="1">
      <c r="A74" s="33"/>
      <c r="B74" s="82" t="s">
        <v>77</v>
      </c>
      <c r="C74" s="16"/>
      <c r="D74" s="14"/>
      <c r="E74" s="18"/>
      <c r="F74" s="13"/>
      <c r="G74" s="13" t="s">
        <v>139</v>
      </c>
      <c r="H74" s="79" t="s">
        <v>139</v>
      </c>
      <c r="I74" s="13"/>
    </row>
    <row r="75" spans="1:21" ht="15.75" customHeight="1">
      <c r="A75" s="33">
        <v>30</v>
      </c>
      <c r="B75" s="45" t="s">
        <v>151</v>
      </c>
      <c r="C75" s="16" t="s">
        <v>78</v>
      </c>
      <c r="D75" s="14"/>
      <c r="E75" s="18"/>
      <c r="F75" s="13">
        <v>0.1</v>
      </c>
      <c r="G75" s="13">
        <v>2949.85</v>
      </c>
      <c r="H75" s="79">
        <f t="shared" si="8"/>
        <v>0.294985</v>
      </c>
      <c r="I75" s="13">
        <f>G75*0.03</f>
        <v>88.495499999999993</v>
      </c>
    </row>
    <row r="76" spans="1:21" ht="14.25" hidden="1" customHeight="1">
      <c r="A76" s="33"/>
      <c r="B76" s="89" t="s">
        <v>96</v>
      </c>
      <c r="C76" s="89"/>
      <c r="D76" s="89"/>
      <c r="E76" s="89"/>
      <c r="F76" s="89"/>
      <c r="G76" s="70"/>
      <c r="H76" s="83">
        <f>SUM(H57:H75)</f>
        <v>39.790287929999998</v>
      </c>
      <c r="I76" s="13"/>
    </row>
    <row r="77" spans="1:21" ht="15" hidden="1" customHeight="1">
      <c r="A77" s="33">
        <v>31</v>
      </c>
      <c r="B77" s="87" t="s">
        <v>126</v>
      </c>
      <c r="C77" s="24"/>
      <c r="D77" s="23"/>
      <c r="E77" s="84"/>
      <c r="F77" s="88">
        <v>1</v>
      </c>
      <c r="G77" s="13">
        <v>3592.8</v>
      </c>
      <c r="H77" s="79">
        <f>G77*F77/1000</f>
        <v>3.5928</v>
      </c>
      <c r="I77" s="13">
        <f t="shared" si="9"/>
        <v>3592.8</v>
      </c>
    </row>
    <row r="78" spans="1:21" ht="15.75" customHeight="1">
      <c r="A78" s="123" t="s">
        <v>135</v>
      </c>
      <c r="B78" s="124"/>
      <c r="C78" s="124"/>
      <c r="D78" s="124"/>
      <c r="E78" s="124"/>
      <c r="F78" s="124"/>
      <c r="G78" s="124"/>
      <c r="H78" s="124"/>
      <c r="I78" s="125"/>
    </row>
    <row r="79" spans="1:21" ht="15.75" customHeight="1">
      <c r="A79" s="33">
        <v>31</v>
      </c>
      <c r="B79" s="64" t="s">
        <v>128</v>
      </c>
      <c r="C79" s="16" t="s">
        <v>55</v>
      </c>
      <c r="D79" s="50" t="s">
        <v>56</v>
      </c>
      <c r="E79" s="13">
        <v>1042.5999999999999</v>
      </c>
      <c r="F79" s="13">
        <f>SUM(E79*12)</f>
        <v>12511.199999999999</v>
      </c>
      <c r="G79" s="13">
        <v>2.2400000000000002</v>
      </c>
      <c r="H79" s="79">
        <f>SUM(F79*G79/1000)</f>
        <v>28.025088</v>
      </c>
      <c r="I79" s="13">
        <f>F79/12*G79</f>
        <v>2335.424</v>
      </c>
    </row>
    <row r="80" spans="1:21" ht="31.5" customHeight="1">
      <c r="A80" s="33">
        <v>32</v>
      </c>
      <c r="B80" s="14" t="s">
        <v>79</v>
      </c>
      <c r="C80" s="16"/>
      <c r="D80" s="50" t="s">
        <v>56</v>
      </c>
      <c r="E80" s="66">
        <f>E79</f>
        <v>1042.5999999999999</v>
      </c>
      <c r="F80" s="13">
        <f>E80*12</f>
        <v>12511.199999999999</v>
      </c>
      <c r="G80" s="13">
        <v>1.74</v>
      </c>
      <c r="H80" s="79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82</v>
      </c>
      <c r="C81" s="82"/>
      <c r="D81" s="81"/>
      <c r="E81" s="70"/>
      <c r="F81" s="70"/>
      <c r="G81" s="70"/>
      <c r="H81" s="83">
        <f>H80</f>
        <v>21.769487999999999</v>
      </c>
      <c r="I81" s="70">
        <f>I80+I79+I75+I67+I66+I65+I64+I63+I54+I50+I49+I48+I47+I46+I45+I34+I33+I32+I31+I28+I27+I26+I25+I24+I23+I22+I21+I20+I19+I18+I17+I16</f>
        <v>43663.99850764445</v>
      </c>
    </row>
    <row r="82" spans="1:9" ht="15.75" customHeight="1">
      <c r="A82" s="132" t="s">
        <v>61</v>
      </c>
      <c r="B82" s="133"/>
      <c r="C82" s="133"/>
      <c r="D82" s="133"/>
      <c r="E82" s="133"/>
      <c r="F82" s="133"/>
      <c r="G82" s="133"/>
      <c r="H82" s="133"/>
      <c r="I82" s="134"/>
    </row>
    <row r="83" spans="1:9" ht="15.75" customHeight="1">
      <c r="A83" s="33">
        <v>33</v>
      </c>
      <c r="B83" s="75" t="s">
        <v>179</v>
      </c>
      <c r="C83" s="74" t="s">
        <v>180</v>
      </c>
      <c r="D83" s="75"/>
      <c r="E83" s="76"/>
      <c r="F83" s="77">
        <v>200</v>
      </c>
      <c r="G83" s="60">
        <v>1.2</v>
      </c>
      <c r="H83" s="78">
        <f>F83*G83/1000</f>
        <v>0.24</v>
      </c>
      <c r="I83" s="101">
        <f>G83*100</f>
        <v>120</v>
      </c>
    </row>
    <row r="84" spans="1:9" ht="15.75" customHeight="1">
      <c r="A84" s="33">
        <v>34</v>
      </c>
      <c r="B84" s="102" t="s">
        <v>144</v>
      </c>
      <c r="C84" s="103" t="s">
        <v>184</v>
      </c>
      <c r="D84" s="45"/>
      <c r="E84" s="13"/>
      <c r="F84" s="13"/>
      <c r="G84" s="37">
        <v>1501</v>
      </c>
      <c r="H84" s="79"/>
      <c r="I84" s="13">
        <f>G84*1</f>
        <v>1501</v>
      </c>
    </row>
    <row r="85" spans="1:9" ht="30.75" customHeight="1">
      <c r="A85" s="33">
        <v>35</v>
      </c>
      <c r="B85" s="105" t="s">
        <v>189</v>
      </c>
      <c r="C85" s="106" t="s">
        <v>174</v>
      </c>
      <c r="D85" s="16" t="s">
        <v>190</v>
      </c>
      <c r="E85" s="13"/>
      <c r="F85" s="13"/>
      <c r="G85" s="107">
        <v>6183.75</v>
      </c>
      <c r="H85" s="79"/>
      <c r="I85" s="13">
        <f>G85*0.3</f>
        <v>1855.125</v>
      </c>
    </row>
    <row r="86" spans="1:9">
      <c r="A86" s="33"/>
      <c r="B86" s="43" t="s">
        <v>51</v>
      </c>
      <c r="C86" s="39"/>
      <c r="D86" s="46"/>
      <c r="E86" s="39">
        <v>1</v>
      </c>
      <c r="F86" s="39"/>
      <c r="G86" s="39"/>
      <c r="H86" s="39"/>
      <c r="I86" s="35">
        <f>SUM(I83:I85)</f>
        <v>3476.125</v>
      </c>
    </row>
    <row r="87" spans="1:9" ht="16.5" customHeight="1">
      <c r="A87" s="33"/>
      <c r="B87" s="45" t="s">
        <v>80</v>
      </c>
      <c r="C87" s="15"/>
      <c r="D87" s="15"/>
      <c r="E87" s="40"/>
      <c r="F87" s="40"/>
      <c r="G87" s="41"/>
      <c r="H87" s="41"/>
      <c r="I87" s="17">
        <v>0</v>
      </c>
    </row>
    <row r="88" spans="1:9" ht="16.5" customHeight="1">
      <c r="A88" s="47"/>
      <c r="B88" s="44" t="s">
        <v>169</v>
      </c>
      <c r="C88" s="36"/>
      <c r="D88" s="36"/>
      <c r="E88" s="36"/>
      <c r="F88" s="36"/>
      <c r="G88" s="36"/>
      <c r="H88" s="36"/>
      <c r="I88" s="42">
        <f>I81+I86</f>
        <v>47140.12350764445</v>
      </c>
    </row>
    <row r="89" spans="1:9" ht="15.75" customHeight="1">
      <c r="A89" s="119" t="s">
        <v>204</v>
      </c>
      <c r="B89" s="119"/>
      <c r="C89" s="119"/>
      <c r="D89" s="119"/>
      <c r="E89" s="119"/>
      <c r="F89" s="119"/>
      <c r="G89" s="119"/>
      <c r="H89" s="119"/>
      <c r="I89" s="119"/>
    </row>
    <row r="90" spans="1:9" ht="15.75" customHeight="1">
      <c r="A90" s="57"/>
      <c r="B90" s="120" t="s">
        <v>205</v>
      </c>
      <c r="C90" s="120"/>
      <c r="D90" s="120"/>
      <c r="E90" s="120"/>
      <c r="F90" s="120"/>
      <c r="G90" s="120"/>
      <c r="H90" s="63"/>
      <c r="I90" s="3"/>
    </row>
    <row r="91" spans="1:9">
      <c r="A91" s="56"/>
      <c r="B91" s="121" t="s">
        <v>6</v>
      </c>
      <c r="C91" s="121"/>
      <c r="D91" s="121"/>
      <c r="E91" s="121"/>
      <c r="F91" s="121"/>
      <c r="G91" s="121"/>
      <c r="H91" s="28"/>
      <c r="I91" s="5"/>
    </row>
    <row r="92" spans="1:9" ht="15.75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>
      <c r="A93" s="122" t="s">
        <v>7</v>
      </c>
      <c r="B93" s="122"/>
      <c r="C93" s="122"/>
      <c r="D93" s="122"/>
      <c r="E93" s="122"/>
      <c r="F93" s="122"/>
      <c r="G93" s="122"/>
      <c r="H93" s="122"/>
      <c r="I93" s="122"/>
    </row>
    <row r="94" spans="1:9" ht="15.75">
      <c r="A94" s="122" t="s">
        <v>8</v>
      </c>
      <c r="B94" s="122"/>
      <c r="C94" s="122"/>
      <c r="D94" s="122"/>
      <c r="E94" s="122"/>
      <c r="F94" s="122"/>
      <c r="G94" s="122"/>
      <c r="H94" s="122"/>
      <c r="I94" s="122"/>
    </row>
    <row r="95" spans="1:9" ht="15.75">
      <c r="A95" s="127" t="s">
        <v>62</v>
      </c>
      <c r="B95" s="127"/>
      <c r="C95" s="127"/>
      <c r="D95" s="127"/>
      <c r="E95" s="127"/>
      <c r="F95" s="127"/>
      <c r="G95" s="127"/>
      <c r="H95" s="127"/>
      <c r="I95" s="127"/>
    </row>
    <row r="96" spans="1:9" ht="15.75">
      <c r="A96" s="11"/>
    </row>
    <row r="97" spans="1:9" ht="15.75">
      <c r="A97" s="128" t="s">
        <v>9</v>
      </c>
      <c r="B97" s="128"/>
      <c r="C97" s="128"/>
      <c r="D97" s="128"/>
      <c r="E97" s="128"/>
      <c r="F97" s="128"/>
      <c r="G97" s="128"/>
      <c r="H97" s="128"/>
      <c r="I97" s="128"/>
    </row>
    <row r="98" spans="1:9" ht="15.75">
      <c r="A98" s="4"/>
    </row>
    <row r="99" spans="1:9" ht="15.75">
      <c r="B99" s="53" t="s">
        <v>10</v>
      </c>
      <c r="C99" s="129" t="s">
        <v>131</v>
      </c>
      <c r="D99" s="129"/>
      <c r="E99" s="129"/>
      <c r="F99" s="61"/>
      <c r="I99" s="55"/>
    </row>
    <row r="100" spans="1:9">
      <c r="A100" s="56"/>
      <c r="C100" s="121" t="s">
        <v>11</v>
      </c>
      <c r="D100" s="121"/>
      <c r="E100" s="121"/>
      <c r="F100" s="28"/>
      <c r="I100" s="54" t="s">
        <v>12</v>
      </c>
    </row>
    <row r="101" spans="1:9" ht="15.75">
      <c r="A101" s="29"/>
      <c r="C101" s="12"/>
      <c r="D101" s="12"/>
      <c r="G101" s="12"/>
      <c r="H101" s="12"/>
    </row>
    <row r="102" spans="1:9" ht="15.75">
      <c r="B102" s="53" t="s">
        <v>13</v>
      </c>
      <c r="C102" s="130"/>
      <c r="D102" s="130"/>
      <c r="E102" s="130"/>
      <c r="F102" s="62"/>
      <c r="I102" s="55"/>
    </row>
    <row r="103" spans="1:9">
      <c r="A103" s="56"/>
      <c r="C103" s="118" t="s">
        <v>11</v>
      </c>
      <c r="D103" s="118"/>
      <c r="E103" s="118"/>
      <c r="F103" s="56"/>
      <c r="I103" s="54" t="s">
        <v>12</v>
      </c>
    </row>
    <row r="104" spans="1:9" ht="15.75">
      <c r="A104" s="4" t="s">
        <v>14</v>
      </c>
    </row>
    <row r="105" spans="1:9">
      <c r="A105" s="131" t="s">
        <v>15</v>
      </c>
      <c r="B105" s="131"/>
      <c r="C105" s="131"/>
      <c r="D105" s="131"/>
      <c r="E105" s="131"/>
      <c r="F105" s="131"/>
      <c r="G105" s="131"/>
      <c r="H105" s="131"/>
      <c r="I105" s="131"/>
    </row>
    <row r="106" spans="1:9" ht="45" customHeight="1">
      <c r="A106" s="126" t="s">
        <v>16</v>
      </c>
      <c r="B106" s="126"/>
      <c r="C106" s="126"/>
      <c r="D106" s="126"/>
      <c r="E106" s="126"/>
      <c r="F106" s="126"/>
      <c r="G106" s="126"/>
      <c r="H106" s="126"/>
      <c r="I106" s="126"/>
    </row>
    <row r="107" spans="1:9" ht="30" customHeight="1">
      <c r="A107" s="126" t="s">
        <v>17</v>
      </c>
      <c r="B107" s="126"/>
      <c r="C107" s="126"/>
      <c r="D107" s="126"/>
      <c r="E107" s="126"/>
      <c r="F107" s="126"/>
      <c r="G107" s="126"/>
      <c r="H107" s="126"/>
      <c r="I107" s="126"/>
    </row>
    <row r="108" spans="1:9" ht="30" customHeight="1">
      <c r="A108" s="126" t="s">
        <v>21</v>
      </c>
      <c r="B108" s="126"/>
      <c r="C108" s="126"/>
      <c r="D108" s="126"/>
      <c r="E108" s="126"/>
      <c r="F108" s="126"/>
      <c r="G108" s="126"/>
      <c r="H108" s="126"/>
      <c r="I108" s="126"/>
    </row>
    <row r="109" spans="1:9" ht="14.25" customHeight="1">
      <c r="A109" s="126" t="s">
        <v>20</v>
      </c>
      <c r="B109" s="126"/>
      <c r="C109" s="126"/>
      <c r="D109" s="126"/>
      <c r="E109" s="126"/>
      <c r="F109" s="126"/>
      <c r="G109" s="126"/>
      <c r="H109" s="126"/>
      <c r="I109" s="126"/>
    </row>
  </sheetData>
  <autoFilter ref="I12:I61"/>
  <mergeCells count="29">
    <mergeCell ref="A106:I106"/>
    <mergeCell ref="A107:I107"/>
    <mergeCell ref="A108:I108"/>
    <mergeCell ref="A109:I109"/>
    <mergeCell ref="A97:I97"/>
    <mergeCell ref="C99:E99"/>
    <mergeCell ref="C100:E100"/>
    <mergeCell ref="C102:E102"/>
    <mergeCell ref="C103:E103"/>
    <mergeCell ref="A105:I105"/>
    <mergeCell ref="A95:I95"/>
    <mergeCell ref="A15:I15"/>
    <mergeCell ref="A29:I29"/>
    <mergeCell ref="A44:I44"/>
    <mergeCell ref="A55:I55"/>
    <mergeCell ref="A89:I89"/>
    <mergeCell ref="B90:G90"/>
    <mergeCell ref="B91:G91"/>
    <mergeCell ref="A93:I93"/>
    <mergeCell ref="A94:I94"/>
    <mergeCell ref="A82:I82"/>
    <mergeCell ref="R66:U66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B83" sqref="B83:I8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5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87</v>
      </c>
      <c r="I1" s="30"/>
      <c r="J1" s="1"/>
      <c r="K1" s="1"/>
      <c r="L1" s="1"/>
      <c r="M1" s="1"/>
    </row>
    <row r="2" spans="1:13" ht="15.75">
      <c r="A2" s="32" t="s">
        <v>63</v>
      </c>
      <c r="J2" s="2"/>
      <c r="K2" s="2"/>
      <c r="L2" s="2"/>
      <c r="M2" s="2"/>
    </row>
    <row r="3" spans="1:13" ht="15.75" customHeight="1">
      <c r="A3" s="112" t="s">
        <v>158</v>
      </c>
      <c r="B3" s="112"/>
      <c r="C3" s="112"/>
      <c r="D3" s="112"/>
      <c r="E3" s="112"/>
      <c r="F3" s="112"/>
      <c r="G3" s="112"/>
      <c r="H3" s="112"/>
      <c r="I3" s="112"/>
      <c r="J3" s="3"/>
      <c r="K3" s="3"/>
      <c r="L3" s="3"/>
    </row>
    <row r="4" spans="1:13" ht="31.5" customHeight="1">
      <c r="A4" s="113" t="s">
        <v>130</v>
      </c>
      <c r="B4" s="113"/>
      <c r="C4" s="113"/>
      <c r="D4" s="113"/>
      <c r="E4" s="113"/>
      <c r="F4" s="113"/>
      <c r="G4" s="113"/>
      <c r="H4" s="113"/>
      <c r="I4" s="113"/>
    </row>
    <row r="5" spans="1:13" ht="15.75">
      <c r="A5" s="112" t="s">
        <v>191</v>
      </c>
      <c r="B5" s="114"/>
      <c r="C5" s="114"/>
      <c r="D5" s="114"/>
      <c r="E5" s="114"/>
      <c r="F5" s="114"/>
      <c r="G5" s="114"/>
      <c r="H5" s="114"/>
      <c r="I5" s="114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43281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5" t="s">
        <v>164</v>
      </c>
      <c r="B8" s="115"/>
      <c r="C8" s="115"/>
      <c r="D8" s="115"/>
      <c r="E8" s="115"/>
      <c r="F8" s="115"/>
      <c r="G8" s="115"/>
      <c r="H8" s="115"/>
      <c r="I8" s="115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16" t="s">
        <v>165</v>
      </c>
      <c r="B10" s="116"/>
      <c r="C10" s="116"/>
      <c r="D10" s="116"/>
      <c r="E10" s="116"/>
      <c r="F10" s="116"/>
      <c r="G10" s="116"/>
      <c r="H10" s="116"/>
      <c r="I10" s="116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7" t="s">
        <v>60</v>
      </c>
      <c r="B14" s="117"/>
      <c r="C14" s="117"/>
      <c r="D14" s="117"/>
      <c r="E14" s="117"/>
      <c r="F14" s="117"/>
      <c r="G14" s="117"/>
      <c r="H14" s="117"/>
      <c r="I14" s="117"/>
      <c r="J14" s="8"/>
      <c r="K14" s="8"/>
      <c r="L14" s="8"/>
      <c r="M14" s="8"/>
    </row>
    <row r="15" spans="1:13" ht="15.75" customHeight="1">
      <c r="A15" s="111" t="s">
        <v>4</v>
      </c>
      <c r="B15" s="111"/>
      <c r="C15" s="111"/>
      <c r="D15" s="111"/>
      <c r="E15" s="111"/>
      <c r="F15" s="111"/>
      <c r="G15" s="111"/>
      <c r="H15" s="111"/>
      <c r="I15" s="111"/>
      <c r="J15" s="8"/>
      <c r="K15" s="8"/>
      <c r="L15" s="8"/>
      <c r="M15" s="8"/>
    </row>
    <row r="16" spans="1:13" ht="15.75" customHeight="1">
      <c r="A16" s="33">
        <v>1</v>
      </c>
      <c r="B16" s="64" t="s">
        <v>88</v>
      </c>
      <c r="C16" s="65" t="s">
        <v>89</v>
      </c>
      <c r="D16" s="64" t="s">
        <v>166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137</v>
      </c>
      <c r="C17" s="65" t="s">
        <v>89</v>
      </c>
      <c r="D17" s="64" t="s">
        <v>167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138</v>
      </c>
      <c r="C18" s="65" t="s">
        <v>89</v>
      </c>
      <c r="D18" s="64" t="s">
        <v>168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98</v>
      </c>
      <c r="C19" s="65" t="s">
        <v>99</v>
      </c>
      <c r="D19" s="64" t="s">
        <v>100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101</v>
      </c>
      <c r="C20" s="65" t="s">
        <v>89</v>
      </c>
      <c r="D20" s="64" t="s">
        <v>29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4" t="s">
        <v>102</v>
      </c>
      <c r="C21" s="65" t="s">
        <v>89</v>
      </c>
      <c r="D21" s="64" t="s">
        <v>103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104</v>
      </c>
      <c r="C22" s="65" t="s">
        <v>53</v>
      </c>
      <c r="D22" s="64" t="s">
        <v>100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105</v>
      </c>
      <c r="C23" s="65" t="s">
        <v>53</v>
      </c>
      <c r="D23" s="64" t="s">
        <v>100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106</v>
      </c>
      <c r="C24" s="65" t="s">
        <v>53</v>
      </c>
      <c r="D24" s="64" t="s">
        <v>107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108</v>
      </c>
      <c r="C25" s="65" t="s">
        <v>53</v>
      </c>
      <c r="D25" s="64" t="s">
        <v>54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109</v>
      </c>
      <c r="C26" s="65" t="s">
        <v>53</v>
      </c>
      <c r="D26" s="64" t="s">
        <v>100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4" t="s">
        <v>65</v>
      </c>
      <c r="C27" s="65" t="s">
        <v>32</v>
      </c>
      <c r="D27" s="64"/>
      <c r="E27" s="66">
        <v>0.1</v>
      </c>
      <c r="F27" s="67">
        <f>SUM(E27*365)</f>
        <v>36.5</v>
      </c>
      <c r="G27" s="67">
        <v>138.44999999999999</v>
      </c>
      <c r="H27" s="68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6</v>
      </c>
      <c r="B28" s="72" t="s">
        <v>23</v>
      </c>
      <c r="C28" s="65" t="s">
        <v>24</v>
      </c>
      <c r="D28" s="64"/>
      <c r="E28" s="66">
        <v>1042.5999999999999</v>
      </c>
      <c r="F28" s="67">
        <f>SUM(E28*12)</f>
        <v>12511.199999999999</v>
      </c>
      <c r="G28" s="67">
        <v>6.15</v>
      </c>
      <c r="H28" s="68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23" t="s">
        <v>86</v>
      </c>
      <c r="B29" s="124"/>
      <c r="C29" s="124"/>
      <c r="D29" s="124"/>
      <c r="E29" s="124"/>
      <c r="F29" s="124"/>
      <c r="G29" s="124"/>
      <c r="H29" s="124"/>
      <c r="I29" s="125"/>
      <c r="J29" s="26"/>
      <c r="K29" s="8"/>
      <c r="L29" s="8"/>
      <c r="M29" s="8"/>
    </row>
    <row r="30" spans="1:13" ht="15.75" customHeight="1">
      <c r="A30" s="33"/>
      <c r="B30" s="85" t="s">
        <v>27</v>
      </c>
      <c r="C30" s="65"/>
      <c r="D30" s="64"/>
      <c r="E30" s="66"/>
      <c r="F30" s="67"/>
      <c r="G30" s="67"/>
      <c r="H30" s="68"/>
      <c r="I30" s="13"/>
      <c r="J30" s="26"/>
      <c r="K30" s="8"/>
      <c r="L30" s="8"/>
      <c r="M30" s="8"/>
    </row>
    <row r="31" spans="1:13" ht="15.75" customHeight="1">
      <c r="A31" s="33">
        <v>7</v>
      </c>
      <c r="B31" s="64" t="s">
        <v>114</v>
      </c>
      <c r="C31" s="65" t="s">
        <v>92</v>
      </c>
      <c r="D31" s="64" t="s">
        <v>170</v>
      </c>
      <c r="E31" s="67">
        <v>266.57</v>
      </c>
      <c r="F31" s="67">
        <f>SUM(E31*52/1000)</f>
        <v>13.86164</v>
      </c>
      <c r="G31" s="67">
        <v>146.79</v>
      </c>
      <c r="H31" s="68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customHeight="1">
      <c r="A32" s="33">
        <v>8</v>
      </c>
      <c r="B32" s="64" t="s">
        <v>113</v>
      </c>
      <c r="C32" s="65" t="s">
        <v>92</v>
      </c>
      <c r="D32" s="64" t="s">
        <v>171</v>
      </c>
      <c r="E32" s="67">
        <v>48.03</v>
      </c>
      <c r="F32" s="67">
        <f>SUM(E32*78/1000)</f>
        <v>3.74634</v>
      </c>
      <c r="G32" s="67">
        <v>243.54</v>
      </c>
      <c r="H32" s="68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26</v>
      </c>
      <c r="C33" s="65" t="s">
        <v>92</v>
      </c>
      <c r="D33" s="64" t="s">
        <v>54</v>
      </c>
      <c r="E33" s="67">
        <v>266.57</v>
      </c>
      <c r="F33" s="67">
        <f>SUM(E33/1000)</f>
        <v>0.26656999999999997</v>
      </c>
      <c r="G33" s="67">
        <v>2844</v>
      </c>
      <c r="H33" s="68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customHeight="1">
      <c r="A34" s="33">
        <v>9</v>
      </c>
      <c r="B34" s="64" t="s">
        <v>112</v>
      </c>
      <c r="C34" s="65" t="s">
        <v>30</v>
      </c>
      <c r="D34" s="64" t="s">
        <v>64</v>
      </c>
      <c r="E34" s="71">
        <v>0.33333333333333331</v>
      </c>
      <c r="F34" s="67">
        <f>155/3</f>
        <v>51.666666666666664</v>
      </c>
      <c r="G34" s="67">
        <v>53.38</v>
      </c>
      <c r="H34" s="68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4" t="s">
        <v>66</v>
      </c>
      <c r="C35" s="65" t="s">
        <v>32</v>
      </c>
      <c r="D35" s="64" t="s">
        <v>68</v>
      </c>
      <c r="E35" s="66"/>
      <c r="F35" s="67">
        <v>1</v>
      </c>
      <c r="G35" s="67">
        <v>180.15</v>
      </c>
      <c r="H35" s="68">
        <f t="shared" si="1"/>
        <v>0.18015</v>
      </c>
      <c r="I35" s="13">
        <v>0</v>
      </c>
      <c r="J35" s="27"/>
    </row>
    <row r="36" spans="1:14" ht="15.75" hidden="1" customHeight="1">
      <c r="A36" s="33"/>
      <c r="B36" s="64" t="s">
        <v>67</v>
      </c>
      <c r="C36" s="65" t="s">
        <v>31</v>
      </c>
      <c r="D36" s="64" t="s">
        <v>68</v>
      </c>
      <c r="E36" s="66"/>
      <c r="F36" s="67">
        <v>1</v>
      </c>
      <c r="G36" s="67">
        <v>1214.74</v>
      </c>
      <c r="H36" s="68">
        <f t="shared" si="1"/>
        <v>1.2147399999999999</v>
      </c>
      <c r="I36" s="13">
        <v>0</v>
      </c>
      <c r="J36" s="27"/>
    </row>
    <row r="37" spans="1:14" ht="15.75" hidden="1" customHeight="1">
      <c r="A37" s="33"/>
      <c r="B37" s="85" t="s">
        <v>5</v>
      </c>
      <c r="C37" s="65"/>
      <c r="D37" s="64"/>
      <c r="E37" s="66"/>
      <c r="F37" s="67"/>
      <c r="G37" s="67"/>
      <c r="H37" s="68" t="s">
        <v>139</v>
      </c>
      <c r="I37" s="13"/>
      <c r="J37" s="27"/>
    </row>
    <row r="38" spans="1:14" ht="15.75" hidden="1" customHeight="1">
      <c r="A38" s="33">
        <v>8</v>
      </c>
      <c r="B38" s="64" t="s">
        <v>25</v>
      </c>
      <c r="C38" s="65" t="s">
        <v>31</v>
      </c>
      <c r="D38" s="64"/>
      <c r="E38" s="66"/>
      <c r="F38" s="67">
        <v>3</v>
      </c>
      <c r="G38" s="67">
        <v>1632.6</v>
      </c>
      <c r="H38" s="68">
        <f t="shared" ref="H38:H43" si="3">SUM(F38*G38/1000)</f>
        <v>4.8977999999999993</v>
      </c>
      <c r="I38" s="13">
        <f t="shared" ref="I38:I43" si="4">F38/6*G38</f>
        <v>816.3</v>
      </c>
      <c r="J38" s="27"/>
    </row>
    <row r="39" spans="1:14" ht="15.75" hidden="1" customHeight="1">
      <c r="A39" s="33">
        <v>9</v>
      </c>
      <c r="B39" s="64" t="s">
        <v>115</v>
      </c>
      <c r="C39" s="65" t="s">
        <v>28</v>
      </c>
      <c r="D39" s="64" t="s">
        <v>90</v>
      </c>
      <c r="E39" s="66">
        <v>48.03</v>
      </c>
      <c r="F39" s="67">
        <v>1.44</v>
      </c>
      <c r="G39" s="67">
        <v>1979.95</v>
      </c>
      <c r="H39" s="68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hidden="1" customHeight="1">
      <c r="A40" s="33">
        <v>10</v>
      </c>
      <c r="B40" s="64" t="s">
        <v>69</v>
      </c>
      <c r="C40" s="65" t="s">
        <v>28</v>
      </c>
      <c r="D40" s="64" t="s">
        <v>91</v>
      </c>
      <c r="E40" s="67">
        <v>48.03</v>
      </c>
      <c r="F40" s="67">
        <f>SUM(E40*155/1000)</f>
        <v>7.4446500000000002</v>
      </c>
      <c r="G40" s="67">
        <v>330.27</v>
      </c>
      <c r="H40" s="68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hidden="1" customHeight="1">
      <c r="A41" s="33">
        <v>11</v>
      </c>
      <c r="B41" s="64" t="s">
        <v>84</v>
      </c>
      <c r="C41" s="65" t="s">
        <v>92</v>
      </c>
      <c r="D41" s="64" t="s">
        <v>116</v>
      </c>
      <c r="E41" s="67">
        <v>48.03</v>
      </c>
      <c r="F41" s="67">
        <f>SUM(E41*35/1000)</f>
        <v>1.6810499999999999</v>
      </c>
      <c r="G41" s="67">
        <v>5464.48</v>
      </c>
      <c r="H41" s="68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hidden="1" customHeight="1">
      <c r="A42" s="33">
        <v>12</v>
      </c>
      <c r="B42" s="64" t="s">
        <v>93</v>
      </c>
      <c r="C42" s="65" t="s">
        <v>92</v>
      </c>
      <c r="D42" s="64" t="s">
        <v>70</v>
      </c>
      <c r="E42" s="67">
        <v>48.03</v>
      </c>
      <c r="F42" s="67">
        <f>SUM(E42*45/1000)</f>
        <v>2.1613500000000001</v>
      </c>
      <c r="G42" s="67">
        <v>403.67</v>
      </c>
      <c r="H42" s="68">
        <f t="shared" si="3"/>
        <v>0.87247215450000015</v>
      </c>
      <c r="I42" s="13">
        <f t="shared" si="4"/>
        <v>145.41202575000003</v>
      </c>
      <c r="J42" s="27"/>
      <c r="L42" s="20"/>
      <c r="M42" s="21"/>
      <c r="N42" s="22"/>
    </row>
    <row r="43" spans="1:14" ht="15.75" hidden="1" customHeight="1">
      <c r="A43" s="33">
        <v>13</v>
      </c>
      <c r="B43" s="64" t="s">
        <v>71</v>
      </c>
      <c r="C43" s="65" t="s">
        <v>32</v>
      </c>
      <c r="D43" s="64"/>
      <c r="E43" s="66"/>
      <c r="F43" s="67">
        <v>0.53</v>
      </c>
      <c r="G43" s="67">
        <v>750.34</v>
      </c>
      <c r="H43" s="68">
        <f t="shared" si="3"/>
        <v>0.39768020000000004</v>
      </c>
      <c r="I43" s="13">
        <f t="shared" si="4"/>
        <v>66.280033333333336</v>
      </c>
      <c r="J43" s="27"/>
      <c r="L43" s="20"/>
      <c r="M43" s="21"/>
      <c r="N43" s="22"/>
    </row>
    <row r="44" spans="1:14" ht="15.75" hidden="1" customHeight="1">
      <c r="A44" s="123" t="s">
        <v>132</v>
      </c>
      <c r="B44" s="124"/>
      <c r="C44" s="124"/>
      <c r="D44" s="124"/>
      <c r="E44" s="124"/>
      <c r="F44" s="124"/>
      <c r="G44" s="124"/>
      <c r="H44" s="124"/>
      <c r="I44" s="125"/>
      <c r="J44" s="27"/>
      <c r="L44" s="20"/>
      <c r="M44" s="21"/>
      <c r="N44" s="22"/>
    </row>
    <row r="45" spans="1:14" ht="15.75" hidden="1" customHeight="1">
      <c r="A45" s="33"/>
      <c r="B45" s="64" t="s">
        <v>117</v>
      </c>
      <c r="C45" s="65" t="s">
        <v>92</v>
      </c>
      <c r="D45" s="64" t="s">
        <v>42</v>
      </c>
      <c r="E45" s="66">
        <v>636.25</v>
      </c>
      <c r="F45" s="67">
        <f>SUM(E45*2/1000)</f>
        <v>1.2725</v>
      </c>
      <c r="G45" s="13">
        <v>762.53</v>
      </c>
      <c r="H45" s="68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4" t="s">
        <v>35</v>
      </c>
      <c r="C46" s="65" t="s">
        <v>92</v>
      </c>
      <c r="D46" s="64" t="s">
        <v>42</v>
      </c>
      <c r="E46" s="66">
        <v>26</v>
      </c>
      <c r="F46" s="67">
        <f>SUM(E46*2/1000)</f>
        <v>5.1999999999999998E-2</v>
      </c>
      <c r="G46" s="13">
        <v>545.65</v>
      </c>
      <c r="H46" s="68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4" t="s">
        <v>36</v>
      </c>
      <c r="C47" s="65" t="s">
        <v>92</v>
      </c>
      <c r="D47" s="64" t="s">
        <v>42</v>
      </c>
      <c r="E47" s="66">
        <v>579</v>
      </c>
      <c r="F47" s="67">
        <f>SUM(E47*2/1000)</f>
        <v>1.1579999999999999</v>
      </c>
      <c r="G47" s="13">
        <v>545.65</v>
      </c>
      <c r="H47" s="68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4" t="s">
        <v>37</v>
      </c>
      <c r="C48" s="65" t="s">
        <v>92</v>
      </c>
      <c r="D48" s="64" t="s">
        <v>42</v>
      </c>
      <c r="E48" s="66">
        <v>683.33</v>
      </c>
      <c r="F48" s="67">
        <f>SUM(E48*2/1000)</f>
        <v>1.36666</v>
      </c>
      <c r="G48" s="13">
        <v>571.35</v>
      </c>
      <c r="H48" s="68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4" t="s">
        <v>33</v>
      </c>
      <c r="C49" s="65" t="s">
        <v>34</v>
      </c>
      <c r="D49" s="64" t="s">
        <v>42</v>
      </c>
      <c r="E49" s="66">
        <v>44.11</v>
      </c>
      <c r="F49" s="67">
        <f>SUM(E49*2/100)</f>
        <v>0.88219999999999998</v>
      </c>
      <c r="G49" s="13">
        <v>68.56</v>
      </c>
      <c r="H49" s="68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4" t="s">
        <v>57</v>
      </c>
      <c r="C50" s="65" t="s">
        <v>92</v>
      </c>
      <c r="D50" s="64" t="s">
        <v>133</v>
      </c>
      <c r="E50" s="66">
        <v>1140</v>
      </c>
      <c r="F50" s="67">
        <f>SUM(E50*5/1000)</f>
        <v>5.7</v>
      </c>
      <c r="G50" s="13">
        <v>1142.7</v>
      </c>
      <c r="H50" s="68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4" t="s">
        <v>94</v>
      </c>
      <c r="C51" s="65" t="s">
        <v>92</v>
      </c>
      <c r="D51" s="64" t="s">
        <v>42</v>
      </c>
      <c r="E51" s="66">
        <v>1140</v>
      </c>
      <c r="F51" s="67">
        <f>SUM(E51*2/1000)</f>
        <v>2.2799999999999998</v>
      </c>
      <c r="G51" s="13">
        <v>1142.7</v>
      </c>
      <c r="H51" s="68">
        <f t="shared" si="5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4" t="s">
        <v>95</v>
      </c>
      <c r="C52" s="65" t="s">
        <v>38</v>
      </c>
      <c r="D52" s="64" t="s">
        <v>42</v>
      </c>
      <c r="E52" s="66">
        <v>9</v>
      </c>
      <c r="F52" s="67">
        <f>SUM(E52*2/100)</f>
        <v>0.18</v>
      </c>
      <c r="G52" s="13">
        <v>2571.08</v>
      </c>
      <c r="H52" s="68">
        <f t="shared" si="5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4" t="s">
        <v>39</v>
      </c>
      <c r="C53" s="65" t="s">
        <v>40</v>
      </c>
      <c r="D53" s="64" t="s">
        <v>42</v>
      </c>
      <c r="E53" s="66">
        <v>1</v>
      </c>
      <c r="F53" s="67">
        <v>0.02</v>
      </c>
      <c r="G53" s="13">
        <v>5322.15</v>
      </c>
      <c r="H53" s="68">
        <f t="shared" si="5"/>
        <v>0.106443</v>
      </c>
      <c r="I53" s="13">
        <v>0</v>
      </c>
      <c r="J53" s="27"/>
      <c r="L53" s="20"/>
      <c r="M53" s="21"/>
      <c r="N53" s="22"/>
    </row>
    <row r="54" spans="1:22" ht="15.75" hidden="1" customHeight="1">
      <c r="A54" s="33">
        <v>15</v>
      </c>
      <c r="B54" s="64" t="s">
        <v>41</v>
      </c>
      <c r="C54" s="65" t="s">
        <v>118</v>
      </c>
      <c r="D54" s="64" t="s">
        <v>72</v>
      </c>
      <c r="E54" s="66">
        <v>36</v>
      </c>
      <c r="F54" s="67">
        <f>SUM(E54)*3</f>
        <v>108</v>
      </c>
      <c r="G54" s="13">
        <v>61.84</v>
      </c>
      <c r="H54" s="68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hidden="1" customHeight="1">
      <c r="A55" s="123" t="s">
        <v>134</v>
      </c>
      <c r="B55" s="124"/>
      <c r="C55" s="124"/>
      <c r="D55" s="124"/>
      <c r="E55" s="124"/>
      <c r="F55" s="124"/>
      <c r="G55" s="124"/>
      <c r="H55" s="124"/>
      <c r="I55" s="125"/>
      <c r="J55" s="27"/>
      <c r="L55" s="20"/>
      <c r="M55" s="21"/>
      <c r="N55" s="22"/>
    </row>
    <row r="56" spans="1:22" ht="15.75" hidden="1" customHeight="1">
      <c r="A56" s="33"/>
      <c r="B56" s="85" t="s">
        <v>43</v>
      </c>
      <c r="C56" s="65"/>
      <c r="D56" s="64"/>
      <c r="E56" s="66"/>
      <c r="F56" s="67"/>
      <c r="G56" s="67"/>
      <c r="H56" s="68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4" t="s">
        <v>119</v>
      </c>
      <c r="C57" s="65" t="s">
        <v>89</v>
      </c>
      <c r="D57" s="64" t="s">
        <v>120</v>
      </c>
      <c r="E57" s="66">
        <v>72.33</v>
      </c>
      <c r="F57" s="67">
        <f>SUM(E57*6/100)</f>
        <v>4.3398000000000003</v>
      </c>
      <c r="G57" s="13">
        <v>1456.95</v>
      </c>
      <c r="H57" s="68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5" t="s">
        <v>44</v>
      </c>
      <c r="C58" s="65"/>
      <c r="D58" s="64"/>
      <c r="E58" s="66"/>
      <c r="F58" s="67"/>
      <c r="G58" s="60"/>
      <c r="H58" s="68"/>
      <c r="I58" s="13"/>
      <c r="J58" s="27"/>
      <c r="L58" s="20"/>
      <c r="M58" s="21"/>
      <c r="N58" s="22"/>
    </row>
    <row r="59" spans="1:22" ht="15.75" hidden="1" customHeight="1">
      <c r="A59" s="33"/>
      <c r="B59" s="64" t="s">
        <v>121</v>
      </c>
      <c r="C59" s="65"/>
      <c r="D59" s="64" t="s">
        <v>54</v>
      </c>
      <c r="E59" s="66">
        <v>952</v>
      </c>
      <c r="F59" s="68">
        <v>9.52</v>
      </c>
      <c r="G59" s="13">
        <v>848.37</v>
      </c>
      <c r="H59" s="73">
        <f>F59*G59/1000</f>
        <v>8.0764823999999997</v>
      </c>
      <c r="I59" s="13">
        <v>0</v>
      </c>
      <c r="J59" s="27"/>
      <c r="L59" s="20"/>
    </row>
    <row r="60" spans="1:22" ht="18.75" customHeight="1">
      <c r="A60" s="33"/>
      <c r="B60" s="86" t="s">
        <v>45</v>
      </c>
      <c r="C60" s="74"/>
      <c r="D60" s="75"/>
      <c r="E60" s="76"/>
      <c r="F60" s="77"/>
      <c r="G60" s="77"/>
      <c r="H60" s="78" t="s">
        <v>139</v>
      </c>
      <c r="I60" s="13"/>
    </row>
    <row r="61" spans="1:22" ht="21" customHeight="1">
      <c r="A61" s="33">
        <v>10</v>
      </c>
      <c r="B61" s="14" t="s">
        <v>46</v>
      </c>
      <c r="C61" s="16" t="s">
        <v>118</v>
      </c>
      <c r="D61" s="14" t="s">
        <v>68</v>
      </c>
      <c r="E61" s="18">
        <v>5</v>
      </c>
      <c r="F61" s="67">
        <v>5</v>
      </c>
      <c r="G61" s="13">
        <v>237.74</v>
      </c>
      <c r="H61" s="79">
        <f t="shared" ref="H61:H75" si="6">SUM(F61*G61/1000)</f>
        <v>1.1887000000000001</v>
      </c>
      <c r="I61" s="13">
        <f>G61*2</f>
        <v>475.48</v>
      </c>
    </row>
    <row r="62" spans="1:22" ht="21.75" hidden="1" customHeight="1">
      <c r="A62" s="33"/>
      <c r="B62" s="14" t="s">
        <v>47</v>
      </c>
      <c r="C62" s="16" t="s">
        <v>118</v>
      </c>
      <c r="D62" s="14" t="s">
        <v>68</v>
      </c>
      <c r="E62" s="18">
        <v>2</v>
      </c>
      <c r="F62" s="67">
        <v>2</v>
      </c>
      <c r="G62" s="13">
        <v>81.510000000000005</v>
      </c>
      <c r="H62" s="79">
        <f t="shared" si="6"/>
        <v>0.16302</v>
      </c>
      <c r="I62" s="13">
        <v>0</v>
      </c>
    </row>
    <row r="63" spans="1:22" ht="21" hidden="1" customHeight="1">
      <c r="A63" s="33"/>
      <c r="B63" s="14" t="s">
        <v>48</v>
      </c>
      <c r="C63" s="16" t="s">
        <v>122</v>
      </c>
      <c r="D63" s="14" t="s">
        <v>54</v>
      </c>
      <c r="E63" s="66">
        <v>4292</v>
      </c>
      <c r="F63" s="13">
        <f>SUM(E63/100)</f>
        <v>42.92</v>
      </c>
      <c r="G63" s="13">
        <v>226.79</v>
      </c>
      <c r="H63" s="79">
        <f t="shared" si="6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22.5" hidden="1" customHeight="1">
      <c r="A64" s="33"/>
      <c r="B64" s="14" t="s">
        <v>49</v>
      </c>
      <c r="C64" s="16" t="s">
        <v>123</v>
      </c>
      <c r="D64" s="14"/>
      <c r="E64" s="66">
        <v>4292</v>
      </c>
      <c r="F64" s="13">
        <f>SUM(E64/1000)</f>
        <v>4.2919999999999998</v>
      </c>
      <c r="G64" s="13">
        <v>176.61</v>
      </c>
      <c r="H64" s="79">
        <f t="shared" si="6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24" hidden="1" customHeight="1">
      <c r="A65" s="33"/>
      <c r="B65" s="14" t="s">
        <v>50</v>
      </c>
      <c r="C65" s="16" t="s">
        <v>78</v>
      </c>
      <c r="D65" s="14" t="s">
        <v>54</v>
      </c>
      <c r="E65" s="66">
        <v>510</v>
      </c>
      <c r="F65" s="13">
        <f>SUM(E65/100)</f>
        <v>5.0999999999999996</v>
      </c>
      <c r="G65" s="13">
        <v>2217.7800000000002</v>
      </c>
      <c r="H65" s="79">
        <f t="shared" si="6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27" hidden="1" customHeight="1">
      <c r="A66" s="33"/>
      <c r="B66" s="80" t="s">
        <v>124</v>
      </c>
      <c r="C66" s="16" t="s">
        <v>32</v>
      </c>
      <c r="D66" s="14"/>
      <c r="E66" s="66">
        <v>4.5999999999999996</v>
      </c>
      <c r="F66" s="13">
        <f>SUM(E66)</f>
        <v>4.5999999999999996</v>
      </c>
      <c r="G66" s="13">
        <v>42.67</v>
      </c>
      <c r="H66" s="79">
        <f t="shared" si="6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8"/>
      <c r="S66" s="118"/>
      <c r="T66" s="118"/>
      <c r="U66" s="118"/>
    </row>
    <row r="67" spans="1:21" ht="21.75" hidden="1" customHeight="1">
      <c r="A67" s="33"/>
      <c r="B67" s="80" t="s">
        <v>125</v>
      </c>
      <c r="C67" s="16" t="s">
        <v>32</v>
      </c>
      <c r="D67" s="14"/>
      <c r="E67" s="66">
        <v>4.5999999999999996</v>
      </c>
      <c r="F67" s="13">
        <f>SUM(E67)</f>
        <v>4.5999999999999996</v>
      </c>
      <c r="G67" s="13">
        <v>39.81</v>
      </c>
      <c r="H67" s="79">
        <f t="shared" si="6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21.75" hidden="1" customHeight="1">
      <c r="A68" s="33">
        <v>10</v>
      </c>
      <c r="B68" s="14" t="s">
        <v>58</v>
      </c>
      <c r="C68" s="16" t="s">
        <v>59</v>
      </c>
      <c r="D68" s="14" t="s">
        <v>54</v>
      </c>
      <c r="E68" s="18">
        <v>3</v>
      </c>
      <c r="F68" s="67">
        <v>3</v>
      </c>
      <c r="G68" s="13">
        <v>53.32</v>
      </c>
      <c r="H68" s="79">
        <f t="shared" si="6"/>
        <v>0.15996000000000002</v>
      </c>
      <c r="I68" s="13">
        <f>F68*G68</f>
        <v>159.96</v>
      </c>
    </row>
    <row r="69" spans="1:21" ht="19.5" hidden="1" customHeight="1">
      <c r="A69" s="33"/>
      <c r="B69" s="51" t="s">
        <v>73</v>
      </c>
      <c r="C69" s="16"/>
      <c r="D69" s="14"/>
      <c r="E69" s="18"/>
      <c r="F69" s="13"/>
      <c r="G69" s="13"/>
      <c r="H69" s="79" t="s">
        <v>139</v>
      </c>
      <c r="I69" s="13"/>
    </row>
    <row r="70" spans="1:21" ht="27.75" hidden="1" customHeight="1">
      <c r="A70" s="33"/>
      <c r="B70" s="14" t="s">
        <v>74</v>
      </c>
      <c r="C70" s="16" t="s">
        <v>76</v>
      </c>
      <c r="D70" s="14"/>
      <c r="E70" s="18">
        <v>2</v>
      </c>
      <c r="F70" s="13">
        <v>0.2</v>
      </c>
      <c r="G70" s="13">
        <v>536.23</v>
      </c>
      <c r="H70" s="79">
        <f t="shared" si="6"/>
        <v>0.10724600000000001</v>
      </c>
      <c r="I70" s="13">
        <v>0</v>
      </c>
    </row>
    <row r="71" spans="1:21" ht="33" hidden="1" customHeight="1">
      <c r="A71" s="33"/>
      <c r="B71" s="14" t="s">
        <v>75</v>
      </c>
      <c r="C71" s="16" t="s">
        <v>30</v>
      </c>
      <c r="D71" s="14"/>
      <c r="E71" s="18">
        <v>1</v>
      </c>
      <c r="F71" s="60">
        <v>1</v>
      </c>
      <c r="G71" s="13">
        <v>911.85</v>
      </c>
      <c r="H71" s="79">
        <f t="shared" si="6"/>
        <v>0.91185000000000005</v>
      </c>
      <c r="I71" s="13">
        <v>0</v>
      </c>
    </row>
    <row r="72" spans="1:21" ht="22.5" hidden="1" customHeight="1">
      <c r="A72" s="33"/>
      <c r="B72" s="14" t="s">
        <v>140</v>
      </c>
      <c r="C72" s="16" t="s">
        <v>141</v>
      </c>
      <c r="D72" s="14"/>
      <c r="E72" s="18"/>
      <c r="F72" s="13"/>
      <c r="G72" s="13">
        <v>31.54</v>
      </c>
      <c r="H72" s="79">
        <f t="shared" si="6"/>
        <v>0</v>
      </c>
      <c r="I72" s="13"/>
    </row>
    <row r="73" spans="1:21" ht="21.75" hidden="1" customHeight="1">
      <c r="A73" s="33"/>
      <c r="B73" s="14" t="s">
        <v>127</v>
      </c>
      <c r="C73" s="16" t="s">
        <v>30</v>
      </c>
      <c r="D73" s="14"/>
      <c r="E73" s="18">
        <v>1</v>
      </c>
      <c r="F73" s="13">
        <v>1</v>
      </c>
      <c r="G73" s="13">
        <v>383.25</v>
      </c>
      <c r="H73" s="79">
        <f>G73*F73/1000</f>
        <v>0.38324999999999998</v>
      </c>
      <c r="I73" s="13">
        <v>0</v>
      </c>
    </row>
    <row r="74" spans="1:21" ht="26.25" hidden="1" customHeight="1">
      <c r="A74" s="33"/>
      <c r="B74" s="82" t="s">
        <v>77</v>
      </c>
      <c r="C74" s="16"/>
      <c r="D74" s="14"/>
      <c r="E74" s="18"/>
      <c r="F74" s="13"/>
      <c r="G74" s="13" t="s">
        <v>139</v>
      </c>
      <c r="H74" s="79" t="s">
        <v>139</v>
      </c>
      <c r="I74" s="13"/>
    </row>
    <row r="75" spans="1:21" ht="24.75" hidden="1" customHeight="1">
      <c r="A75" s="33"/>
      <c r="B75" s="45" t="s">
        <v>151</v>
      </c>
      <c r="C75" s="16" t="s">
        <v>78</v>
      </c>
      <c r="D75" s="14"/>
      <c r="E75" s="18"/>
      <c r="F75" s="13">
        <v>0.1</v>
      </c>
      <c r="G75" s="13">
        <v>2949.85</v>
      </c>
      <c r="H75" s="79">
        <f t="shared" si="6"/>
        <v>0.294985</v>
      </c>
      <c r="I75" s="13">
        <v>0</v>
      </c>
    </row>
    <row r="76" spans="1:21" ht="21.75" hidden="1" customHeight="1">
      <c r="A76" s="33"/>
      <c r="B76" s="89" t="s">
        <v>96</v>
      </c>
      <c r="C76" s="89"/>
      <c r="D76" s="89"/>
      <c r="E76" s="89"/>
      <c r="F76" s="89"/>
      <c r="G76" s="70"/>
      <c r="H76" s="83">
        <f>SUM(H57:H75)</f>
        <v>39.790287929999998</v>
      </c>
      <c r="I76" s="70"/>
    </row>
    <row r="77" spans="1:21" ht="23.25" hidden="1" customHeight="1">
      <c r="A77" s="33"/>
      <c r="B77" s="87" t="s">
        <v>126</v>
      </c>
      <c r="C77" s="24"/>
      <c r="D77" s="23"/>
      <c r="E77" s="84"/>
      <c r="F77" s="88">
        <v>1</v>
      </c>
      <c r="G77" s="13">
        <v>3124.9</v>
      </c>
      <c r="H77" s="79">
        <f>G77*F77/1000</f>
        <v>3.1249000000000002</v>
      </c>
      <c r="I77" s="13">
        <v>0</v>
      </c>
    </row>
    <row r="78" spans="1:21" ht="15.75" customHeight="1">
      <c r="A78" s="123" t="s">
        <v>159</v>
      </c>
      <c r="B78" s="124"/>
      <c r="C78" s="124"/>
      <c r="D78" s="124"/>
      <c r="E78" s="124"/>
      <c r="F78" s="124"/>
      <c r="G78" s="124"/>
      <c r="H78" s="124"/>
      <c r="I78" s="125"/>
    </row>
    <row r="79" spans="1:21" ht="15.75" customHeight="1">
      <c r="A79" s="33">
        <v>11</v>
      </c>
      <c r="B79" s="64" t="s">
        <v>128</v>
      </c>
      <c r="C79" s="16" t="s">
        <v>55</v>
      </c>
      <c r="D79" s="50" t="s">
        <v>56</v>
      </c>
      <c r="E79" s="13">
        <v>1042.5999999999999</v>
      </c>
      <c r="F79" s="13">
        <f>SUM(E79*12)</f>
        <v>12511.199999999999</v>
      </c>
      <c r="G79" s="13">
        <v>2.2400000000000002</v>
      </c>
      <c r="H79" s="79">
        <f>SUM(F79*G79/1000)</f>
        <v>28.025088</v>
      </c>
      <c r="I79" s="13">
        <f>F79/12*G79</f>
        <v>2335.424</v>
      </c>
    </row>
    <row r="80" spans="1:21" ht="31.5" customHeight="1">
      <c r="A80" s="33">
        <v>12</v>
      </c>
      <c r="B80" s="14" t="s">
        <v>79</v>
      </c>
      <c r="C80" s="16"/>
      <c r="D80" s="50" t="s">
        <v>56</v>
      </c>
      <c r="E80" s="66">
        <f>E79</f>
        <v>1042.5999999999999</v>
      </c>
      <c r="F80" s="13">
        <f>E80*12</f>
        <v>12511.199999999999</v>
      </c>
      <c r="G80" s="13">
        <v>1.74</v>
      </c>
      <c r="H80" s="79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82</v>
      </c>
      <c r="C81" s="82"/>
      <c r="D81" s="81"/>
      <c r="E81" s="70"/>
      <c r="F81" s="70"/>
      <c r="G81" s="70"/>
      <c r="H81" s="83">
        <f>H80</f>
        <v>21.769487999999999</v>
      </c>
      <c r="I81" s="70">
        <f>I80+I79+I61+I34+I32+I31+I28+I27+I20+I18+I17+I16</f>
        <v>15781.914093644444</v>
      </c>
    </row>
    <row r="82" spans="1:9" ht="15.75" customHeight="1">
      <c r="A82" s="132" t="s">
        <v>61</v>
      </c>
      <c r="B82" s="133"/>
      <c r="C82" s="133"/>
      <c r="D82" s="133"/>
      <c r="E82" s="133"/>
      <c r="F82" s="133"/>
      <c r="G82" s="133"/>
      <c r="H82" s="133"/>
      <c r="I82" s="134"/>
    </row>
    <row r="83" spans="1:9" ht="18" customHeight="1">
      <c r="A83" s="108">
        <v>13</v>
      </c>
      <c r="B83" s="75" t="s">
        <v>179</v>
      </c>
      <c r="C83" s="74" t="s">
        <v>180</v>
      </c>
      <c r="D83" s="75"/>
      <c r="E83" s="76"/>
      <c r="F83" s="77">
        <v>200</v>
      </c>
      <c r="G83" s="60">
        <v>1.2</v>
      </c>
      <c r="H83" s="78">
        <f>F83*G83/1000</f>
        <v>0.24</v>
      </c>
      <c r="I83" s="101">
        <f>G83*100</f>
        <v>120</v>
      </c>
    </row>
    <row r="84" spans="1:9" ht="29.25" customHeight="1">
      <c r="A84" s="108">
        <v>14</v>
      </c>
      <c r="B84" s="99" t="s">
        <v>193</v>
      </c>
      <c r="C84" s="100" t="s">
        <v>194</v>
      </c>
      <c r="D84" s="14"/>
      <c r="E84" s="18"/>
      <c r="F84" s="13"/>
      <c r="G84" s="37">
        <v>1272</v>
      </c>
      <c r="H84" s="60"/>
      <c r="I84" s="101">
        <f>G84*12</f>
        <v>15264</v>
      </c>
    </row>
    <row r="85" spans="1:9" ht="18" customHeight="1">
      <c r="A85" s="108">
        <v>15</v>
      </c>
      <c r="B85" s="99" t="s">
        <v>195</v>
      </c>
      <c r="C85" s="100" t="s">
        <v>118</v>
      </c>
      <c r="D85" s="14"/>
      <c r="E85" s="18"/>
      <c r="F85" s="13"/>
      <c r="G85" s="37">
        <v>8.44</v>
      </c>
      <c r="H85" s="60"/>
      <c r="I85" s="101">
        <f>G85*6</f>
        <v>50.64</v>
      </c>
    </row>
    <row r="86" spans="1:9" ht="18" customHeight="1">
      <c r="A86" s="108">
        <v>16</v>
      </c>
      <c r="B86" s="99" t="s">
        <v>196</v>
      </c>
      <c r="C86" s="100" t="s">
        <v>118</v>
      </c>
      <c r="D86" s="14"/>
      <c r="E86" s="18"/>
      <c r="F86" s="13"/>
      <c r="G86" s="37">
        <v>151.31</v>
      </c>
      <c r="H86" s="60"/>
      <c r="I86" s="101">
        <f>G86*5</f>
        <v>756.55</v>
      </c>
    </row>
    <row r="87" spans="1:9" ht="18" customHeight="1">
      <c r="A87" s="108">
        <v>17</v>
      </c>
      <c r="B87" s="99" t="s">
        <v>197</v>
      </c>
      <c r="C87" s="100" t="s">
        <v>118</v>
      </c>
      <c r="D87" s="14"/>
      <c r="E87" s="18"/>
      <c r="F87" s="13"/>
      <c r="G87" s="37">
        <v>169.34</v>
      </c>
      <c r="H87" s="60"/>
      <c r="I87" s="101">
        <f>G87*5</f>
        <v>846.7</v>
      </c>
    </row>
    <row r="88" spans="1:9" ht="18" customHeight="1">
      <c r="A88" s="108">
        <v>18</v>
      </c>
      <c r="B88" s="99" t="s">
        <v>198</v>
      </c>
      <c r="C88" s="100" t="s">
        <v>118</v>
      </c>
      <c r="D88" s="14"/>
      <c r="E88" s="18"/>
      <c r="F88" s="13"/>
      <c r="G88" s="37">
        <v>65.260000000000005</v>
      </c>
      <c r="H88" s="60"/>
      <c r="I88" s="101">
        <f>G88*4</f>
        <v>261.04000000000002</v>
      </c>
    </row>
    <row r="89" spans="1:9" ht="18" customHeight="1">
      <c r="A89" s="108">
        <v>19</v>
      </c>
      <c r="B89" s="99" t="s">
        <v>199</v>
      </c>
      <c r="C89" s="100" t="s">
        <v>118</v>
      </c>
      <c r="D89" s="14"/>
      <c r="E89" s="18"/>
      <c r="F89" s="13"/>
      <c r="G89" s="37">
        <v>5.42</v>
      </c>
      <c r="H89" s="60"/>
      <c r="I89" s="101">
        <f>G89*2</f>
        <v>10.84</v>
      </c>
    </row>
    <row r="90" spans="1:9" ht="18" customHeight="1">
      <c r="A90" s="33">
        <v>20</v>
      </c>
      <c r="B90" s="99" t="s">
        <v>200</v>
      </c>
      <c r="C90" s="100" t="s">
        <v>118</v>
      </c>
      <c r="D90" s="14"/>
      <c r="E90" s="18"/>
      <c r="F90" s="13"/>
      <c r="G90" s="37">
        <v>1008.38</v>
      </c>
      <c r="H90" s="60"/>
      <c r="I90" s="101">
        <f>G90*2</f>
        <v>2016.76</v>
      </c>
    </row>
    <row r="91" spans="1:9" ht="18" customHeight="1">
      <c r="A91" s="33">
        <v>21</v>
      </c>
      <c r="B91" s="99" t="s">
        <v>201</v>
      </c>
      <c r="C91" s="100" t="s">
        <v>118</v>
      </c>
      <c r="D91" s="14"/>
      <c r="E91" s="18"/>
      <c r="F91" s="13"/>
      <c r="G91" s="37">
        <v>95.25</v>
      </c>
      <c r="H91" s="60"/>
      <c r="I91" s="101">
        <f>G91*2</f>
        <v>190.5</v>
      </c>
    </row>
    <row r="92" spans="1:9" ht="18" hidden="1" customHeight="1">
      <c r="A92" s="33"/>
      <c r="B92" s="14"/>
      <c r="C92" s="16"/>
      <c r="D92" s="14"/>
      <c r="E92" s="18"/>
      <c r="F92" s="13"/>
      <c r="G92" s="13"/>
      <c r="H92" s="60"/>
      <c r="I92" s="101"/>
    </row>
    <row r="93" spans="1:9" ht="16.5" customHeight="1">
      <c r="A93" s="33">
        <v>22</v>
      </c>
      <c r="B93" s="99" t="s">
        <v>192</v>
      </c>
      <c r="C93" s="100" t="s">
        <v>99</v>
      </c>
      <c r="D93" s="45"/>
      <c r="E93" s="13"/>
      <c r="F93" s="13">
        <v>1</v>
      </c>
      <c r="G93" s="37">
        <v>3413.41</v>
      </c>
      <c r="H93" s="79">
        <f t="shared" ref="H93" si="7">G93*F93/1000</f>
        <v>3.4134099999999998</v>
      </c>
      <c r="I93" s="13">
        <f>G93*0.12</f>
        <v>409.60919999999999</v>
      </c>
    </row>
    <row r="94" spans="1:9">
      <c r="A94" s="33"/>
      <c r="B94" s="43" t="s">
        <v>51</v>
      </c>
      <c r="C94" s="39"/>
      <c r="D94" s="46"/>
      <c r="E94" s="39">
        <v>1</v>
      </c>
      <c r="F94" s="39"/>
      <c r="G94" s="39"/>
      <c r="H94" s="39"/>
      <c r="I94" s="35">
        <f>SUM(I83:I93)</f>
        <v>19926.639199999998</v>
      </c>
    </row>
    <row r="95" spans="1:9" ht="16.5" customHeight="1">
      <c r="A95" s="33"/>
      <c r="B95" s="45" t="s">
        <v>80</v>
      </c>
      <c r="C95" s="15"/>
      <c r="D95" s="15"/>
      <c r="E95" s="40"/>
      <c r="F95" s="40"/>
      <c r="G95" s="41"/>
      <c r="H95" s="41"/>
      <c r="I95" s="17">
        <v>0</v>
      </c>
    </row>
    <row r="96" spans="1:9" ht="16.5" customHeight="1">
      <c r="A96" s="47"/>
      <c r="B96" s="44" t="s">
        <v>169</v>
      </c>
      <c r="C96" s="36"/>
      <c r="D96" s="36"/>
      <c r="E96" s="36"/>
      <c r="F96" s="36"/>
      <c r="G96" s="36"/>
      <c r="H96" s="36"/>
      <c r="I96" s="42">
        <f>I81+I94</f>
        <v>35708.553293644443</v>
      </c>
    </row>
    <row r="97" spans="1:9" ht="15.75" customHeight="1">
      <c r="A97" s="119" t="s">
        <v>202</v>
      </c>
      <c r="B97" s="119"/>
      <c r="C97" s="119"/>
      <c r="D97" s="119"/>
      <c r="E97" s="119"/>
      <c r="F97" s="119"/>
      <c r="G97" s="119"/>
      <c r="H97" s="119"/>
      <c r="I97" s="119"/>
    </row>
    <row r="98" spans="1:9" ht="15.75" customHeight="1">
      <c r="A98" s="57"/>
      <c r="B98" s="120" t="s">
        <v>203</v>
      </c>
      <c r="C98" s="120"/>
      <c r="D98" s="120"/>
      <c r="E98" s="120"/>
      <c r="F98" s="120"/>
      <c r="G98" s="120"/>
      <c r="H98" s="63"/>
      <c r="I98" s="3"/>
    </row>
    <row r="99" spans="1:9">
      <c r="A99" s="56"/>
      <c r="B99" s="121" t="s">
        <v>6</v>
      </c>
      <c r="C99" s="121"/>
      <c r="D99" s="121"/>
      <c r="E99" s="121"/>
      <c r="F99" s="121"/>
      <c r="G99" s="121"/>
      <c r="H99" s="28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22" t="s">
        <v>7</v>
      </c>
      <c r="B101" s="122"/>
      <c r="C101" s="122"/>
      <c r="D101" s="122"/>
      <c r="E101" s="122"/>
      <c r="F101" s="122"/>
      <c r="G101" s="122"/>
      <c r="H101" s="122"/>
      <c r="I101" s="122"/>
    </row>
    <row r="102" spans="1:9" ht="15.75">
      <c r="A102" s="122" t="s">
        <v>8</v>
      </c>
      <c r="B102" s="122"/>
      <c r="C102" s="122"/>
      <c r="D102" s="122"/>
      <c r="E102" s="122"/>
      <c r="F102" s="122"/>
      <c r="G102" s="122"/>
      <c r="H102" s="122"/>
      <c r="I102" s="122"/>
    </row>
    <row r="103" spans="1:9" ht="15.75">
      <c r="A103" s="127" t="s">
        <v>62</v>
      </c>
      <c r="B103" s="127"/>
      <c r="C103" s="127"/>
      <c r="D103" s="127"/>
      <c r="E103" s="127"/>
      <c r="F103" s="127"/>
      <c r="G103" s="127"/>
      <c r="H103" s="127"/>
      <c r="I103" s="127"/>
    </row>
    <row r="104" spans="1:9" ht="15.75">
      <c r="A104" s="11"/>
    </row>
    <row r="105" spans="1:9" ht="15.75">
      <c r="A105" s="128" t="s">
        <v>9</v>
      </c>
      <c r="B105" s="128"/>
      <c r="C105" s="128"/>
      <c r="D105" s="128"/>
      <c r="E105" s="128"/>
      <c r="F105" s="128"/>
      <c r="G105" s="128"/>
      <c r="H105" s="128"/>
      <c r="I105" s="128"/>
    </row>
    <row r="106" spans="1:9" ht="15.75">
      <c r="A106" s="4"/>
    </row>
    <row r="107" spans="1:9" ht="15.75">
      <c r="B107" s="53" t="s">
        <v>10</v>
      </c>
      <c r="C107" s="129" t="s">
        <v>131</v>
      </c>
      <c r="D107" s="129"/>
      <c r="E107" s="129"/>
      <c r="F107" s="61"/>
      <c r="I107" s="55"/>
    </row>
    <row r="108" spans="1:9">
      <c r="A108" s="56"/>
      <c r="C108" s="121" t="s">
        <v>11</v>
      </c>
      <c r="D108" s="121"/>
      <c r="E108" s="121"/>
      <c r="F108" s="28"/>
      <c r="I108" s="54" t="s">
        <v>12</v>
      </c>
    </row>
    <row r="109" spans="1:9" ht="15.75">
      <c r="A109" s="29"/>
      <c r="C109" s="12"/>
      <c r="D109" s="12"/>
      <c r="G109" s="12"/>
      <c r="H109" s="12"/>
    </row>
    <row r="110" spans="1:9" ht="15.75">
      <c r="B110" s="53" t="s">
        <v>13</v>
      </c>
      <c r="C110" s="130"/>
      <c r="D110" s="130"/>
      <c r="E110" s="130"/>
      <c r="F110" s="62"/>
      <c r="I110" s="55"/>
    </row>
    <row r="111" spans="1:9">
      <c r="A111" s="56"/>
      <c r="C111" s="118" t="s">
        <v>11</v>
      </c>
      <c r="D111" s="118"/>
      <c r="E111" s="118"/>
      <c r="F111" s="56"/>
      <c r="I111" s="54" t="s">
        <v>12</v>
      </c>
    </row>
    <row r="112" spans="1:9" ht="15.75">
      <c r="A112" s="4" t="s">
        <v>14</v>
      </c>
    </row>
    <row r="113" spans="1:9">
      <c r="A113" s="131" t="s">
        <v>15</v>
      </c>
      <c r="B113" s="131"/>
      <c r="C113" s="131"/>
      <c r="D113" s="131"/>
      <c r="E113" s="131"/>
      <c r="F113" s="131"/>
      <c r="G113" s="131"/>
      <c r="H113" s="131"/>
      <c r="I113" s="131"/>
    </row>
    <row r="114" spans="1:9" ht="45" customHeight="1">
      <c r="A114" s="126" t="s">
        <v>16</v>
      </c>
      <c r="B114" s="126"/>
      <c r="C114" s="126"/>
      <c r="D114" s="126"/>
      <c r="E114" s="126"/>
      <c r="F114" s="126"/>
      <c r="G114" s="126"/>
      <c r="H114" s="126"/>
      <c r="I114" s="126"/>
    </row>
    <row r="115" spans="1:9" ht="30" customHeight="1">
      <c r="A115" s="126" t="s">
        <v>17</v>
      </c>
      <c r="B115" s="126"/>
      <c r="C115" s="126"/>
      <c r="D115" s="126"/>
      <c r="E115" s="126"/>
      <c r="F115" s="126"/>
      <c r="G115" s="126"/>
      <c r="H115" s="126"/>
      <c r="I115" s="126"/>
    </row>
    <row r="116" spans="1:9" ht="30" customHeight="1">
      <c r="A116" s="126" t="s">
        <v>21</v>
      </c>
      <c r="B116" s="126"/>
      <c r="C116" s="126"/>
      <c r="D116" s="126"/>
      <c r="E116" s="126"/>
      <c r="F116" s="126"/>
      <c r="G116" s="126"/>
      <c r="H116" s="126"/>
      <c r="I116" s="126"/>
    </row>
    <row r="117" spans="1:9" ht="14.25" customHeight="1">
      <c r="A117" s="126" t="s">
        <v>20</v>
      </c>
      <c r="B117" s="126"/>
      <c r="C117" s="126"/>
      <c r="D117" s="126"/>
      <c r="E117" s="126"/>
      <c r="F117" s="126"/>
      <c r="G117" s="126"/>
      <c r="H117" s="126"/>
      <c r="I117" s="126"/>
    </row>
  </sheetData>
  <autoFilter ref="I12:I61"/>
  <mergeCells count="29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9:I29"/>
    <mergeCell ref="A44:I44"/>
    <mergeCell ref="A55:I55"/>
    <mergeCell ref="A97:I97"/>
    <mergeCell ref="B98:G98"/>
    <mergeCell ref="B99:G99"/>
    <mergeCell ref="A101:I101"/>
    <mergeCell ref="A102:I102"/>
    <mergeCell ref="A82:I82"/>
    <mergeCell ref="R66:U66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1"/>
  <sheetViews>
    <sheetView topLeftCell="A30" workbookViewId="0">
      <selection activeCell="K90" sqref="K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206</v>
      </c>
      <c r="I1" s="30"/>
      <c r="J1" s="1"/>
      <c r="K1" s="1"/>
      <c r="L1" s="1"/>
      <c r="M1" s="1"/>
    </row>
    <row r="2" spans="1:13" ht="15.75">
      <c r="A2" s="32" t="s">
        <v>63</v>
      </c>
      <c r="J2" s="2"/>
      <c r="K2" s="2"/>
      <c r="L2" s="2"/>
      <c r="M2" s="2"/>
    </row>
    <row r="3" spans="1:13" ht="15.75" customHeight="1">
      <c r="A3" s="112" t="s">
        <v>160</v>
      </c>
      <c r="B3" s="112"/>
      <c r="C3" s="112"/>
      <c r="D3" s="112"/>
      <c r="E3" s="112"/>
      <c r="F3" s="112"/>
      <c r="G3" s="112"/>
      <c r="H3" s="112"/>
      <c r="I3" s="112"/>
      <c r="J3" s="3"/>
      <c r="K3" s="3"/>
      <c r="L3" s="3"/>
    </row>
    <row r="4" spans="1:13" ht="31.5" customHeight="1">
      <c r="A4" s="113" t="s">
        <v>130</v>
      </c>
      <c r="B4" s="113"/>
      <c r="C4" s="113"/>
      <c r="D4" s="113"/>
      <c r="E4" s="113"/>
      <c r="F4" s="113"/>
      <c r="G4" s="113"/>
      <c r="H4" s="113"/>
      <c r="I4" s="113"/>
    </row>
    <row r="5" spans="1:13" ht="15.75">
      <c r="A5" s="112" t="s">
        <v>207</v>
      </c>
      <c r="B5" s="114"/>
      <c r="C5" s="114"/>
      <c r="D5" s="114"/>
      <c r="E5" s="114"/>
      <c r="F5" s="114"/>
      <c r="G5" s="114"/>
      <c r="H5" s="114"/>
      <c r="I5" s="114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43312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5" t="s">
        <v>208</v>
      </c>
      <c r="B8" s="115"/>
      <c r="C8" s="115"/>
      <c r="D8" s="115"/>
      <c r="E8" s="115"/>
      <c r="F8" s="115"/>
      <c r="G8" s="115"/>
      <c r="H8" s="115"/>
      <c r="I8" s="115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16" t="s">
        <v>165</v>
      </c>
      <c r="B10" s="116"/>
      <c r="C10" s="116"/>
      <c r="D10" s="116"/>
      <c r="E10" s="116"/>
      <c r="F10" s="116"/>
      <c r="G10" s="116"/>
      <c r="H10" s="116"/>
      <c r="I10" s="116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7" t="s">
        <v>60</v>
      </c>
      <c r="B14" s="117"/>
      <c r="C14" s="117"/>
      <c r="D14" s="117"/>
      <c r="E14" s="117"/>
      <c r="F14" s="117"/>
      <c r="G14" s="117"/>
      <c r="H14" s="117"/>
      <c r="I14" s="117"/>
      <c r="J14" s="8"/>
      <c r="K14" s="8"/>
      <c r="L14" s="8"/>
      <c r="M14" s="8"/>
    </row>
    <row r="15" spans="1:13" ht="15.75" customHeight="1">
      <c r="A15" s="111" t="s">
        <v>4</v>
      </c>
      <c r="B15" s="111"/>
      <c r="C15" s="111"/>
      <c r="D15" s="111"/>
      <c r="E15" s="111"/>
      <c r="F15" s="111"/>
      <c r="G15" s="111"/>
      <c r="H15" s="111"/>
      <c r="I15" s="111"/>
      <c r="J15" s="8"/>
      <c r="K15" s="8"/>
      <c r="L15" s="8"/>
      <c r="M15" s="8"/>
    </row>
    <row r="16" spans="1:13" ht="15.75" customHeight="1">
      <c r="A16" s="33">
        <v>1</v>
      </c>
      <c r="B16" s="64" t="s">
        <v>88</v>
      </c>
      <c r="C16" s="65" t="s">
        <v>89</v>
      </c>
      <c r="D16" s="64" t="s">
        <v>166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137</v>
      </c>
      <c r="C17" s="65" t="s">
        <v>89</v>
      </c>
      <c r="D17" s="64" t="s">
        <v>167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138</v>
      </c>
      <c r="C18" s="65" t="s">
        <v>89</v>
      </c>
      <c r="D18" s="64" t="s">
        <v>168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98</v>
      </c>
      <c r="C19" s="65" t="s">
        <v>99</v>
      </c>
      <c r="D19" s="64" t="s">
        <v>100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101</v>
      </c>
      <c r="C20" s="65" t="s">
        <v>89</v>
      </c>
      <c r="D20" s="64" t="s">
        <v>29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5</v>
      </c>
      <c r="B21" s="64" t="s">
        <v>102</v>
      </c>
      <c r="C21" s="65" t="s">
        <v>89</v>
      </c>
      <c r="D21" s="64" t="s">
        <v>103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104</v>
      </c>
      <c r="C22" s="65" t="s">
        <v>53</v>
      </c>
      <c r="D22" s="64" t="s">
        <v>100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105</v>
      </c>
      <c r="C23" s="65" t="s">
        <v>53</v>
      </c>
      <c r="D23" s="64" t="s">
        <v>100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106</v>
      </c>
      <c r="C24" s="65" t="s">
        <v>53</v>
      </c>
      <c r="D24" s="64" t="s">
        <v>107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108</v>
      </c>
      <c r="C25" s="65" t="s">
        <v>53</v>
      </c>
      <c r="D25" s="64" t="s">
        <v>54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109</v>
      </c>
      <c r="C26" s="65" t="s">
        <v>53</v>
      </c>
      <c r="D26" s="64" t="s">
        <v>100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4" t="s">
        <v>65</v>
      </c>
      <c r="C27" s="65" t="s">
        <v>32</v>
      </c>
      <c r="D27" s="64"/>
      <c r="E27" s="66">
        <v>0.1</v>
      </c>
      <c r="F27" s="67">
        <f>SUM(E27*365)</f>
        <v>36.5</v>
      </c>
      <c r="G27" s="67">
        <v>138.44999999999999</v>
      </c>
      <c r="H27" s="68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7</v>
      </c>
      <c r="B28" s="72" t="s">
        <v>23</v>
      </c>
      <c r="C28" s="65" t="s">
        <v>24</v>
      </c>
      <c r="D28" s="64"/>
      <c r="E28" s="66">
        <v>1042.5999999999999</v>
      </c>
      <c r="F28" s="67">
        <f>SUM(E28*12)</f>
        <v>12511.199999999999</v>
      </c>
      <c r="G28" s="67">
        <v>6.15</v>
      </c>
      <c r="H28" s="68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23" t="s">
        <v>86</v>
      </c>
      <c r="B29" s="124"/>
      <c r="C29" s="124"/>
      <c r="D29" s="124"/>
      <c r="E29" s="124"/>
      <c r="F29" s="124"/>
      <c r="G29" s="124"/>
      <c r="H29" s="124"/>
      <c r="I29" s="125"/>
      <c r="J29" s="26"/>
      <c r="K29" s="8"/>
      <c r="L29" s="8"/>
      <c r="M29" s="8"/>
    </row>
    <row r="30" spans="1:13" ht="15.75" customHeight="1">
      <c r="A30" s="33"/>
      <c r="B30" s="85" t="s">
        <v>27</v>
      </c>
      <c r="C30" s="65"/>
      <c r="D30" s="64"/>
      <c r="E30" s="66"/>
      <c r="F30" s="67"/>
      <c r="G30" s="67"/>
      <c r="H30" s="68"/>
      <c r="I30" s="13"/>
      <c r="J30" s="26"/>
      <c r="K30" s="8"/>
      <c r="L30" s="8"/>
      <c r="M30" s="8"/>
    </row>
    <row r="31" spans="1:13" ht="15.75" customHeight="1">
      <c r="A31" s="33">
        <v>8</v>
      </c>
      <c r="B31" s="64" t="s">
        <v>114</v>
      </c>
      <c r="C31" s="65" t="s">
        <v>92</v>
      </c>
      <c r="D31" s="64" t="s">
        <v>170</v>
      </c>
      <c r="E31" s="67">
        <v>266.57</v>
      </c>
      <c r="F31" s="67">
        <f>SUM(E31*52/1000)</f>
        <v>13.86164</v>
      </c>
      <c r="G31" s="67">
        <v>146.79</v>
      </c>
      <c r="H31" s="68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customHeight="1">
      <c r="A32" s="33">
        <v>9</v>
      </c>
      <c r="B32" s="64" t="s">
        <v>113</v>
      </c>
      <c r="C32" s="65" t="s">
        <v>92</v>
      </c>
      <c r="D32" s="64" t="s">
        <v>171</v>
      </c>
      <c r="E32" s="67">
        <v>48.03</v>
      </c>
      <c r="F32" s="67">
        <f>SUM(E32*78/1000)</f>
        <v>3.74634</v>
      </c>
      <c r="G32" s="67">
        <v>243.54</v>
      </c>
      <c r="H32" s="68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26</v>
      </c>
      <c r="C33" s="65" t="s">
        <v>92</v>
      </c>
      <c r="D33" s="64" t="s">
        <v>54</v>
      </c>
      <c r="E33" s="67">
        <v>266.57</v>
      </c>
      <c r="F33" s="67">
        <f>SUM(E33/1000)</f>
        <v>0.26656999999999997</v>
      </c>
      <c r="G33" s="67">
        <v>2844</v>
      </c>
      <c r="H33" s="68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customHeight="1">
      <c r="A34" s="33">
        <v>10</v>
      </c>
      <c r="B34" s="64" t="s">
        <v>112</v>
      </c>
      <c r="C34" s="65" t="s">
        <v>30</v>
      </c>
      <c r="D34" s="64" t="s">
        <v>64</v>
      </c>
      <c r="E34" s="71">
        <v>0.33333333333333331</v>
      </c>
      <c r="F34" s="67">
        <f>155/3</f>
        <v>51.666666666666664</v>
      </c>
      <c r="G34" s="67">
        <v>53.38</v>
      </c>
      <c r="H34" s="68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4" t="s">
        <v>66</v>
      </c>
      <c r="C35" s="65" t="s">
        <v>32</v>
      </c>
      <c r="D35" s="64" t="s">
        <v>68</v>
      </c>
      <c r="E35" s="66"/>
      <c r="F35" s="67">
        <v>1</v>
      </c>
      <c r="G35" s="67">
        <v>180.15</v>
      </c>
      <c r="H35" s="68">
        <f t="shared" si="1"/>
        <v>0.18015</v>
      </c>
      <c r="I35" s="13">
        <v>0</v>
      </c>
      <c r="J35" s="27"/>
    </row>
    <row r="36" spans="1:14" ht="15.75" hidden="1" customHeight="1">
      <c r="A36" s="33"/>
      <c r="B36" s="64" t="s">
        <v>67</v>
      </c>
      <c r="C36" s="65" t="s">
        <v>31</v>
      </c>
      <c r="D36" s="64" t="s">
        <v>68</v>
      </c>
      <c r="E36" s="66"/>
      <c r="F36" s="67">
        <v>1</v>
      </c>
      <c r="G36" s="67">
        <v>1214.74</v>
      </c>
      <c r="H36" s="68">
        <f t="shared" si="1"/>
        <v>1.2147399999999999</v>
      </c>
      <c r="I36" s="13">
        <v>0</v>
      </c>
      <c r="J36" s="27"/>
    </row>
    <row r="37" spans="1:14" ht="15.75" hidden="1" customHeight="1">
      <c r="A37" s="33"/>
      <c r="B37" s="85" t="s">
        <v>5</v>
      </c>
      <c r="C37" s="65"/>
      <c r="D37" s="64"/>
      <c r="E37" s="66"/>
      <c r="F37" s="67"/>
      <c r="G37" s="67"/>
      <c r="H37" s="68" t="s">
        <v>139</v>
      </c>
      <c r="I37" s="13"/>
      <c r="J37" s="27"/>
    </row>
    <row r="38" spans="1:14" ht="15.75" hidden="1" customHeight="1">
      <c r="A38" s="33">
        <v>8</v>
      </c>
      <c r="B38" s="64" t="s">
        <v>25</v>
      </c>
      <c r="C38" s="65" t="s">
        <v>31</v>
      </c>
      <c r="D38" s="64"/>
      <c r="E38" s="66"/>
      <c r="F38" s="67">
        <v>3</v>
      </c>
      <c r="G38" s="67">
        <v>1632.6</v>
      </c>
      <c r="H38" s="68">
        <f t="shared" ref="H38:H43" si="3">SUM(F38*G38/1000)</f>
        <v>4.8977999999999993</v>
      </c>
      <c r="I38" s="13">
        <f t="shared" ref="I38:I43" si="4">F38/6*G38</f>
        <v>816.3</v>
      </c>
      <c r="J38" s="27"/>
    </row>
    <row r="39" spans="1:14" ht="15.75" hidden="1" customHeight="1">
      <c r="A39" s="33">
        <v>9</v>
      </c>
      <c r="B39" s="64" t="s">
        <v>115</v>
      </c>
      <c r="C39" s="65" t="s">
        <v>28</v>
      </c>
      <c r="D39" s="64" t="s">
        <v>90</v>
      </c>
      <c r="E39" s="66">
        <v>48.03</v>
      </c>
      <c r="F39" s="67">
        <v>1.44</v>
      </c>
      <c r="G39" s="67">
        <v>1979.95</v>
      </c>
      <c r="H39" s="68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hidden="1" customHeight="1">
      <c r="A40" s="33">
        <v>10</v>
      </c>
      <c r="B40" s="64" t="s">
        <v>69</v>
      </c>
      <c r="C40" s="65" t="s">
        <v>28</v>
      </c>
      <c r="D40" s="64" t="s">
        <v>91</v>
      </c>
      <c r="E40" s="67">
        <v>48.03</v>
      </c>
      <c r="F40" s="67">
        <f>SUM(E40*155/1000)</f>
        <v>7.4446500000000002</v>
      </c>
      <c r="G40" s="67">
        <v>330.27</v>
      </c>
      <c r="H40" s="68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hidden="1" customHeight="1">
      <c r="A41" s="33">
        <v>11</v>
      </c>
      <c r="B41" s="64" t="s">
        <v>84</v>
      </c>
      <c r="C41" s="65" t="s">
        <v>92</v>
      </c>
      <c r="D41" s="64" t="s">
        <v>116</v>
      </c>
      <c r="E41" s="67">
        <v>48.03</v>
      </c>
      <c r="F41" s="67">
        <f>SUM(E41*35/1000)</f>
        <v>1.6810499999999999</v>
      </c>
      <c r="G41" s="67">
        <v>5464.48</v>
      </c>
      <c r="H41" s="68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hidden="1" customHeight="1">
      <c r="A42" s="33">
        <v>12</v>
      </c>
      <c r="B42" s="64" t="s">
        <v>93</v>
      </c>
      <c r="C42" s="65" t="s">
        <v>92</v>
      </c>
      <c r="D42" s="64" t="s">
        <v>70</v>
      </c>
      <c r="E42" s="67">
        <v>48.03</v>
      </c>
      <c r="F42" s="67">
        <f>SUM(E42*45/1000)</f>
        <v>2.1613500000000001</v>
      </c>
      <c r="G42" s="67">
        <v>403.67</v>
      </c>
      <c r="H42" s="68">
        <f t="shared" si="3"/>
        <v>0.87247215450000015</v>
      </c>
      <c r="I42" s="13">
        <f t="shared" si="4"/>
        <v>145.41202575000003</v>
      </c>
      <c r="J42" s="27"/>
      <c r="L42" s="20"/>
      <c r="M42" s="21"/>
      <c r="N42" s="22"/>
    </row>
    <row r="43" spans="1:14" ht="15.75" hidden="1" customHeight="1">
      <c r="A43" s="33">
        <v>13</v>
      </c>
      <c r="B43" s="64" t="s">
        <v>71</v>
      </c>
      <c r="C43" s="65" t="s">
        <v>32</v>
      </c>
      <c r="D43" s="64"/>
      <c r="E43" s="66"/>
      <c r="F43" s="67">
        <v>0.53</v>
      </c>
      <c r="G43" s="67">
        <v>750.34</v>
      </c>
      <c r="H43" s="68">
        <f t="shared" si="3"/>
        <v>0.39768020000000004</v>
      </c>
      <c r="I43" s="13">
        <f t="shared" si="4"/>
        <v>66.280033333333336</v>
      </c>
      <c r="J43" s="27"/>
      <c r="L43" s="20"/>
      <c r="M43" s="21"/>
      <c r="N43" s="22"/>
    </row>
    <row r="44" spans="1:14" ht="15.75" hidden="1" customHeight="1">
      <c r="A44" s="123" t="s">
        <v>132</v>
      </c>
      <c r="B44" s="124"/>
      <c r="C44" s="124"/>
      <c r="D44" s="124"/>
      <c r="E44" s="124"/>
      <c r="F44" s="124"/>
      <c r="G44" s="124"/>
      <c r="H44" s="124"/>
      <c r="I44" s="125"/>
      <c r="J44" s="27"/>
      <c r="L44" s="20"/>
      <c r="M44" s="21"/>
      <c r="N44" s="22"/>
    </row>
    <row r="45" spans="1:14" ht="15.75" hidden="1" customHeight="1">
      <c r="A45" s="33"/>
      <c r="B45" s="64" t="s">
        <v>117</v>
      </c>
      <c r="C45" s="65" t="s">
        <v>92</v>
      </c>
      <c r="D45" s="64" t="s">
        <v>42</v>
      </c>
      <c r="E45" s="66">
        <v>636.25</v>
      </c>
      <c r="F45" s="67">
        <f>SUM(E45*2/1000)</f>
        <v>1.2725</v>
      </c>
      <c r="G45" s="13">
        <v>762.53</v>
      </c>
      <c r="H45" s="68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4" t="s">
        <v>35</v>
      </c>
      <c r="C46" s="65" t="s">
        <v>92</v>
      </c>
      <c r="D46" s="64" t="s">
        <v>42</v>
      </c>
      <c r="E46" s="66">
        <v>26</v>
      </c>
      <c r="F46" s="67">
        <f>SUM(E46*2/1000)</f>
        <v>5.1999999999999998E-2</v>
      </c>
      <c r="G46" s="13">
        <v>545.65</v>
      </c>
      <c r="H46" s="68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4" t="s">
        <v>36</v>
      </c>
      <c r="C47" s="65" t="s">
        <v>92</v>
      </c>
      <c r="D47" s="64" t="s">
        <v>42</v>
      </c>
      <c r="E47" s="66">
        <v>579</v>
      </c>
      <c r="F47" s="67">
        <f>SUM(E47*2/1000)</f>
        <v>1.1579999999999999</v>
      </c>
      <c r="G47" s="13">
        <v>545.65</v>
      </c>
      <c r="H47" s="68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4" t="s">
        <v>37</v>
      </c>
      <c r="C48" s="65" t="s">
        <v>92</v>
      </c>
      <c r="D48" s="64" t="s">
        <v>42</v>
      </c>
      <c r="E48" s="66">
        <v>683.33</v>
      </c>
      <c r="F48" s="67">
        <f>SUM(E48*2/1000)</f>
        <v>1.36666</v>
      </c>
      <c r="G48" s="13">
        <v>571.35</v>
      </c>
      <c r="H48" s="68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4" t="s">
        <v>33</v>
      </c>
      <c r="C49" s="65" t="s">
        <v>34</v>
      </c>
      <c r="D49" s="64" t="s">
        <v>42</v>
      </c>
      <c r="E49" s="66">
        <v>44.11</v>
      </c>
      <c r="F49" s="67">
        <f>SUM(E49*2/100)</f>
        <v>0.88219999999999998</v>
      </c>
      <c r="G49" s="13">
        <v>68.56</v>
      </c>
      <c r="H49" s="68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4" t="s">
        <v>57</v>
      </c>
      <c r="C50" s="65" t="s">
        <v>92</v>
      </c>
      <c r="D50" s="64" t="s">
        <v>133</v>
      </c>
      <c r="E50" s="66">
        <v>1140</v>
      </c>
      <c r="F50" s="67">
        <f>SUM(E50*5/1000)</f>
        <v>5.7</v>
      </c>
      <c r="G50" s="13">
        <v>1142.7</v>
      </c>
      <c r="H50" s="68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4" t="s">
        <v>94</v>
      </c>
      <c r="C51" s="65" t="s">
        <v>92</v>
      </c>
      <c r="D51" s="64" t="s">
        <v>42</v>
      </c>
      <c r="E51" s="66">
        <v>1140</v>
      </c>
      <c r="F51" s="67">
        <f>SUM(E51*2/1000)</f>
        <v>2.2799999999999998</v>
      </c>
      <c r="G51" s="13">
        <v>1142.7</v>
      </c>
      <c r="H51" s="68">
        <f t="shared" si="5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4" t="s">
        <v>95</v>
      </c>
      <c r="C52" s="65" t="s">
        <v>38</v>
      </c>
      <c r="D52" s="64" t="s">
        <v>42</v>
      </c>
      <c r="E52" s="66">
        <v>9</v>
      </c>
      <c r="F52" s="67">
        <f>SUM(E52*2/100)</f>
        <v>0.18</v>
      </c>
      <c r="G52" s="13">
        <v>2571.08</v>
      </c>
      <c r="H52" s="68">
        <f t="shared" si="5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>
        <v>11</v>
      </c>
      <c r="B53" s="64" t="s">
        <v>39</v>
      </c>
      <c r="C53" s="65" t="s">
        <v>40</v>
      </c>
      <c r="D53" s="64" t="s">
        <v>42</v>
      </c>
      <c r="E53" s="66">
        <v>1</v>
      </c>
      <c r="F53" s="67">
        <v>0.02</v>
      </c>
      <c r="G53" s="13">
        <v>5322.15</v>
      </c>
      <c r="H53" s="68">
        <f t="shared" si="5"/>
        <v>0.106443</v>
      </c>
      <c r="I53" s="13">
        <f>F53/2*G53</f>
        <v>53.221499999999999</v>
      </c>
      <c r="J53" s="27"/>
      <c r="L53" s="20"/>
      <c r="M53" s="21"/>
      <c r="N53" s="22"/>
    </row>
    <row r="54" spans="1:22" ht="15.75" hidden="1" customHeight="1">
      <c r="A54" s="33">
        <v>15</v>
      </c>
      <c r="B54" s="64" t="s">
        <v>41</v>
      </c>
      <c r="C54" s="65" t="s">
        <v>118</v>
      </c>
      <c r="D54" s="64" t="s">
        <v>72</v>
      </c>
      <c r="E54" s="66">
        <v>36</v>
      </c>
      <c r="F54" s="67">
        <f>SUM(E54)*3</f>
        <v>108</v>
      </c>
      <c r="G54" s="13">
        <v>61.84</v>
      </c>
      <c r="H54" s="68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hidden="1" customHeight="1">
      <c r="A55" s="123" t="s">
        <v>134</v>
      </c>
      <c r="B55" s="124"/>
      <c r="C55" s="124"/>
      <c r="D55" s="124"/>
      <c r="E55" s="124"/>
      <c r="F55" s="124"/>
      <c r="G55" s="124"/>
      <c r="H55" s="124"/>
      <c r="I55" s="125"/>
      <c r="J55" s="27"/>
      <c r="L55" s="20"/>
      <c r="M55" s="21"/>
      <c r="N55" s="22"/>
    </row>
    <row r="56" spans="1:22" ht="15.75" hidden="1" customHeight="1">
      <c r="A56" s="33"/>
      <c r="B56" s="85" t="s">
        <v>43</v>
      </c>
      <c r="C56" s="65"/>
      <c r="D56" s="64"/>
      <c r="E56" s="66"/>
      <c r="F56" s="67"/>
      <c r="G56" s="67"/>
      <c r="H56" s="68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4" t="s">
        <v>119</v>
      </c>
      <c r="C57" s="65" t="s">
        <v>89</v>
      </c>
      <c r="D57" s="64" t="s">
        <v>120</v>
      </c>
      <c r="E57" s="66">
        <v>72.33</v>
      </c>
      <c r="F57" s="67">
        <f>SUM(E57*6/100)</f>
        <v>4.3398000000000003</v>
      </c>
      <c r="G57" s="13">
        <v>1456.95</v>
      </c>
      <c r="H57" s="68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5" t="s">
        <v>44</v>
      </c>
      <c r="C58" s="65"/>
      <c r="D58" s="64"/>
      <c r="E58" s="66"/>
      <c r="F58" s="67"/>
      <c r="G58" s="60"/>
      <c r="H58" s="68"/>
      <c r="I58" s="13"/>
      <c r="J58" s="27"/>
      <c r="L58" s="20"/>
      <c r="M58" s="21"/>
      <c r="N58" s="22"/>
    </row>
    <row r="59" spans="1:22" ht="15.75" hidden="1" customHeight="1">
      <c r="A59" s="33"/>
      <c r="B59" s="64" t="s">
        <v>121</v>
      </c>
      <c r="C59" s="65"/>
      <c r="D59" s="64" t="s">
        <v>54</v>
      </c>
      <c r="E59" s="66">
        <v>952</v>
      </c>
      <c r="F59" s="68">
        <v>9.52</v>
      </c>
      <c r="G59" s="13">
        <v>848.37</v>
      </c>
      <c r="H59" s="73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6" t="s">
        <v>45</v>
      </c>
      <c r="C60" s="74"/>
      <c r="D60" s="75"/>
      <c r="E60" s="76"/>
      <c r="F60" s="77"/>
      <c r="G60" s="77"/>
      <c r="H60" s="78" t="s">
        <v>139</v>
      </c>
      <c r="I60" s="13"/>
    </row>
    <row r="61" spans="1:22" ht="15.75" hidden="1" customHeight="1">
      <c r="A61" s="33">
        <v>17</v>
      </c>
      <c r="B61" s="14" t="s">
        <v>46</v>
      </c>
      <c r="C61" s="16" t="s">
        <v>118</v>
      </c>
      <c r="D61" s="14" t="s">
        <v>68</v>
      </c>
      <c r="E61" s="18">
        <v>5</v>
      </c>
      <c r="F61" s="67">
        <v>5</v>
      </c>
      <c r="G61" s="13">
        <v>237.74</v>
      </c>
      <c r="H61" s="79">
        <f t="shared" ref="H61:H75" si="6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47</v>
      </c>
      <c r="C62" s="16" t="s">
        <v>118</v>
      </c>
      <c r="D62" s="14" t="s">
        <v>68</v>
      </c>
      <c r="E62" s="18">
        <v>2</v>
      </c>
      <c r="F62" s="67">
        <v>2</v>
      </c>
      <c r="G62" s="13">
        <v>81.510000000000005</v>
      </c>
      <c r="H62" s="79">
        <f t="shared" si="6"/>
        <v>0.16302</v>
      </c>
      <c r="I62" s="13">
        <v>0</v>
      </c>
    </row>
    <row r="63" spans="1:22" ht="15.75" hidden="1" customHeight="1">
      <c r="A63" s="33"/>
      <c r="B63" s="14" t="s">
        <v>48</v>
      </c>
      <c r="C63" s="16" t="s">
        <v>122</v>
      </c>
      <c r="D63" s="14" t="s">
        <v>54</v>
      </c>
      <c r="E63" s="66">
        <v>4292</v>
      </c>
      <c r="F63" s="13">
        <f>SUM(E63/100)</f>
        <v>42.92</v>
      </c>
      <c r="G63" s="13">
        <v>226.79</v>
      </c>
      <c r="H63" s="79">
        <f t="shared" si="6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49</v>
      </c>
      <c r="C64" s="16" t="s">
        <v>123</v>
      </c>
      <c r="D64" s="14"/>
      <c r="E64" s="66">
        <v>4292</v>
      </c>
      <c r="F64" s="13">
        <f>SUM(E64/1000)</f>
        <v>4.2919999999999998</v>
      </c>
      <c r="G64" s="13">
        <v>176.61</v>
      </c>
      <c r="H64" s="79">
        <f t="shared" si="6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50</v>
      </c>
      <c r="C65" s="16" t="s">
        <v>78</v>
      </c>
      <c r="D65" s="14" t="s">
        <v>54</v>
      </c>
      <c r="E65" s="66">
        <v>510</v>
      </c>
      <c r="F65" s="13">
        <f>SUM(E65/100)</f>
        <v>5.0999999999999996</v>
      </c>
      <c r="G65" s="13">
        <v>2217.7800000000002</v>
      </c>
      <c r="H65" s="79">
        <f t="shared" si="6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0" t="s">
        <v>124</v>
      </c>
      <c r="C66" s="16" t="s">
        <v>32</v>
      </c>
      <c r="D66" s="14"/>
      <c r="E66" s="66">
        <v>4.5999999999999996</v>
      </c>
      <c r="F66" s="13">
        <f>SUM(E66)</f>
        <v>4.5999999999999996</v>
      </c>
      <c r="G66" s="13">
        <v>42.67</v>
      </c>
      <c r="H66" s="79">
        <f t="shared" si="6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8"/>
      <c r="S66" s="118"/>
      <c r="T66" s="118"/>
      <c r="U66" s="118"/>
    </row>
    <row r="67" spans="1:21" ht="15.75" hidden="1" customHeight="1">
      <c r="A67" s="33"/>
      <c r="B67" s="80" t="s">
        <v>125</v>
      </c>
      <c r="C67" s="16" t="s">
        <v>32</v>
      </c>
      <c r="D67" s="14"/>
      <c r="E67" s="66">
        <v>4.5999999999999996</v>
      </c>
      <c r="F67" s="13">
        <f>SUM(E67)</f>
        <v>4.5999999999999996</v>
      </c>
      <c r="G67" s="13">
        <v>39.81</v>
      </c>
      <c r="H67" s="79">
        <f t="shared" si="6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58</v>
      </c>
      <c r="C68" s="16" t="s">
        <v>59</v>
      </c>
      <c r="D68" s="14" t="s">
        <v>54</v>
      </c>
      <c r="E68" s="18">
        <v>3</v>
      </c>
      <c r="F68" s="67">
        <v>3</v>
      </c>
      <c r="G68" s="13">
        <v>53.32</v>
      </c>
      <c r="H68" s="79">
        <f t="shared" si="6"/>
        <v>0.15996000000000002</v>
      </c>
      <c r="I68" s="13">
        <v>0</v>
      </c>
    </row>
    <row r="69" spans="1:21" ht="15.75" hidden="1" customHeight="1">
      <c r="A69" s="33"/>
      <c r="B69" s="51" t="s">
        <v>73</v>
      </c>
      <c r="C69" s="16"/>
      <c r="D69" s="14"/>
      <c r="E69" s="18"/>
      <c r="F69" s="13"/>
      <c r="G69" s="13"/>
      <c r="H69" s="79" t="s">
        <v>139</v>
      </c>
      <c r="I69" s="13"/>
    </row>
    <row r="70" spans="1:21" ht="15.75" hidden="1" customHeight="1">
      <c r="A70" s="33"/>
      <c r="B70" s="14" t="s">
        <v>74</v>
      </c>
      <c r="C70" s="16" t="s">
        <v>76</v>
      </c>
      <c r="D70" s="14"/>
      <c r="E70" s="18">
        <v>2</v>
      </c>
      <c r="F70" s="13">
        <v>0.2</v>
      </c>
      <c r="G70" s="13">
        <v>536.23</v>
      </c>
      <c r="H70" s="79">
        <f t="shared" si="6"/>
        <v>0.10724600000000001</v>
      </c>
      <c r="I70" s="13">
        <v>0</v>
      </c>
    </row>
    <row r="71" spans="1:21" ht="15.75" hidden="1" customHeight="1">
      <c r="A71" s="33"/>
      <c r="B71" s="14" t="s">
        <v>75</v>
      </c>
      <c r="C71" s="16" t="s">
        <v>30</v>
      </c>
      <c r="D71" s="14"/>
      <c r="E71" s="18">
        <v>1</v>
      </c>
      <c r="F71" s="60">
        <v>1</v>
      </c>
      <c r="G71" s="13">
        <v>911.85</v>
      </c>
      <c r="H71" s="79">
        <f t="shared" si="6"/>
        <v>0.91185000000000005</v>
      </c>
      <c r="I71" s="13">
        <v>0</v>
      </c>
    </row>
    <row r="72" spans="1:21" ht="15.75" hidden="1" customHeight="1">
      <c r="A72" s="33"/>
      <c r="B72" s="14" t="s">
        <v>140</v>
      </c>
      <c r="C72" s="16" t="s">
        <v>141</v>
      </c>
      <c r="D72" s="14"/>
      <c r="E72" s="18"/>
      <c r="F72" s="13"/>
      <c r="G72" s="13">
        <v>31.54</v>
      </c>
      <c r="H72" s="79">
        <f t="shared" si="6"/>
        <v>0</v>
      </c>
      <c r="I72" s="13"/>
    </row>
    <row r="73" spans="1:21" ht="15.75" hidden="1" customHeight="1">
      <c r="A73" s="33"/>
      <c r="B73" s="14" t="s">
        <v>127</v>
      </c>
      <c r="C73" s="16" t="s">
        <v>30</v>
      </c>
      <c r="D73" s="14"/>
      <c r="E73" s="18">
        <v>1</v>
      </c>
      <c r="F73" s="13">
        <v>1</v>
      </c>
      <c r="G73" s="13">
        <v>383.25</v>
      </c>
      <c r="H73" s="79">
        <f>G73*F73/1000</f>
        <v>0.38324999999999998</v>
      </c>
      <c r="I73" s="13">
        <v>0</v>
      </c>
    </row>
    <row r="74" spans="1:21" ht="15.75" hidden="1" customHeight="1">
      <c r="A74" s="33"/>
      <c r="B74" s="82" t="s">
        <v>77</v>
      </c>
      <c r="C74" s="16"/>
      <c r="D74" s="14"/>
      <c r="E74" s="18"/>
      <c r="F74" s="13"/>
      <c r="G74" s="13" t="s">
        <v>139</v>
      </c>
      <c r="H74" s="79" t="s">
        <v>139</v>
      </c>
      <c r="I74" s="13"/>
    </row>
    <row r="75" spans="1:21" ht="15.75" hidden="1" customHeight="1">
      <c r="A75" s="33"/>
      <c r="B75" s="45" t="s">
        <v>151</v>
      </c>
      <c r="C75" s="16" t="s">
        <v>78</v>
      </c>
      <c r="D75" s="14"/>
      <c r="E75" s="18"/>
      <c r="F75" s="13">
        <v>0.1</v>
      </c>
      <c r="G75" s="13">
        <v>2949.85</v>
      </c>
      <c r="H75" s="79">
        <f t="shared" si="6"/>
        <v>0.294985</v>
      </c>
      <c r="I75" s="13">
        <v>0</v>
      </c>
    </row>
    <row r="76" spans="1:21" ht="15.75" hidden="1" customHeight="1">
      <c r="A76" s="33"/>
      <c r="B76" s="89" t="s">
        <v>96</v>
      </c>
      <c r="C76" s="89"/>
      <c r="D76" s="89"/>
      <c r="E76" s="89"/>
      <c r="F76" s="89"/>
      <c r="G76" s="70"/>
      <c r="H76" s="83">
        <f>SUM(H57:H75)</f>
        <v>39.790287929999998</v>
      </c>
      <c r="I76" s="70"/>
    </row>
    <row r="77" spans="1:21" ht="15.75" hidden="1" customHeight="1">
      <c r="A77" s="33"/>
      <c r="B77" s="87" t="s">
        <v>126</v>
      </c>
      <c r="C77" s="24"/>
      <c r="D77" s="23"/>
      <c r="E77" s="84"/>
      <c r="F77" s="88">
        <v>1</v>
      </c>
      <c r="G77" s="13">
        <v>3124.9</v>
      </c>
      <c r="H77" s="79">
        <f>G77*F77/1000</f>
        <v>3.1249000000000002</v>
      </c>
      <c r="I77" s="13">
        <v>0</v>
      </c>
    </row>
    <row r="78" spans="1:21" ht="15.75" customHeight="1">
      <c r="A78" s="123" t="s">
        <v>159</v>
      </c>
      <c r="B78" s="124"/>
      <c r="C78" s="124"/>
      <c r="D78" s="124"/>
      <c r="E78" s="124"/>
      <c r="F78" s="124"/>
      <c r="G78" s="124"/>
      <c r="H78" s="124"/>
      <c r="I78" s="125"/>
    </row>
    <row r="79" spans="1:21" ht="15.75" customHeight="1">
      <c r="A79" s="33">
        <v>11</v>
      </c>
      <c r="B79" s="64" t="s">
        <v>128</v>
      </c>
      <c r="C79" s="16" t="s">
        <v>55</v>
      </c>
      <c r="D79" s="50" t="s">
        <v>56</v>
      </c>
      <c r="E79" s="13">
        <v>1042.5999999999999</v>
      </c>
      <c r="F79" s="13">
        <f>SUM(E79*12)</f>
        <v>12511.199999999999</v>
      </c>
      <c r="G79" s="13">
        <v>2.2400000000000002</v>
      </c>
      <c r="H79" s="79">
        <f>SUM(F79*G79/1000)</f>
        <v>28.025088</v>
      </c>
      <c r="I79" s="13">
        <f>F79/12*G79</f>
        <v>2335.424</v>
      </c>
    </row>
    <row r="80" spans="1:21" ht="31.5" customHeight="1">
      <c r="A80" s="33">
        <v>12</v>
      </c>
      <c r="B80" s="14" t="s">
        <v>79</v>
      </c>
      <c r="C80" s="16"/>
      <c r="D80" s="50" t="s">
        <v>56</v>
      </c>
      <c r="E80" s="66">
        <f>E79</f>
        <v>1042.5999999999999</v>
      </c>
      <c r="F80" s="13">
        <f>E80*12</f>
        <v>12511.199999999999</v>
      </c>
      <c r="G80" s="13">
        <v>1.74</v>
      </c>
      <c r="H80" s="79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82</v>
      </c>
      <c r="C81" s="82"/>
      <c r="D81" s="81"/>
      <c r="E81" s="70"/>
      <c r="F81" s="70"/>
      <c r="G81" s="70"/>
      <c r="H81" s="83">
        <f>H80</f>
        <v>21.769487999999999</v>
      </c>
      <c r="I81" s="70">
        <f>I80+I79+I34+I32+I31+I28+I27+I21+I20+I18+I17+I16</f>
        <v>15308.631893644442</v>
      </c>
    </row>
    <row r="82" spans="1:9" ht="15.75" customHeight="1">
      <c r="A82" s="132" t="s">
        <v>61</v>
      </c>
      <c r="B82" s="133"/>
      <c r="C82" s="133"/>
      <c r="D82" s="133"/>
      <c r="E82" s="133"/>
      <c r="F82" s="133"/>
      <c r="G82" s="133"/>
      <c r="H82" s="133"/>
      <c r="I82" s="134"/>
    </row>
    <row r="83" spans="1:9" ht="15.75" customHeight="1">
      <c r="A83" s="96">
        <v>13</v>
      </c>
      <c r="B83" s="75" t="s">
        <v>179</v>
      </c>
      <c r="C83" s="74" t="s">
        <v>180</v>
      </c>
      <c r="D83" s="75"/>
      <c r="E83" s="76"/>
      <c r="F83" s="77">
        <v>200</v>
      </c>
      <c r="G83" s="60">
        <v>1.2</v>
      </c>
      <c r="H83" s="78">
        <f>F83*G83/1000</f>
        <v>0.24</v>
      </c>
      <c r="I83" s="101">
        <f>G83*100</f>
        <v>120</v>
      </c>
    </row>
    <row r="84" spans="1:9" ht="15.75" customHeight="1">
      <c r="A84" s="33">
        <v>14</v>
      </c>
      <c r="B84" s="105" t="s">
        <v>209</v>
      </c>
      <c r="C84" s="106" t="s">
        <v>118</v>
      </c>
      <c r="D84" s="45"/>
      <c r="E84" s="13"/>
      <c r="F84" s="13">
        <v>1</v>
      </c>
      <c r="G84" s="107">
        <v>956.2</v>
      </c>
      <c r="H84" s="79">
        <f t="shared" ref="H84" si="7">G84*F84/1000</f>
        <v>0.95620000000000005</v>
      </c>
      <c r="I84" s="19">
        <v>873.22</v>
      </c>
    </row>
    <row r="85" spans="1:9" ht="31.5" customHeight="1">
      <c r="A85" s="33">
        <v>15</v>
      </c>
      <c r="B85" s="105" t="s">
        <v>210</v>
      </c>
      <c r="C85" s="109" t="s">
        <v>211</v>
      </c>
      <c r="D85" s="45"/>
      <c r="E85" s="13"/>
      <c r="F85" s="13">
        <v>0.04</v>
      </c>
      <c r="G85" s="107">
        <v>3186.62</v>
      </c>
      <c r="H85" s="79">
        <f>G85*F85/1000</f>
        <v>0.12746479999999999</v>
      </c>
      <c r="I85" s="19">
        <f>G85*0.025</f>
        <v>79.665500000000009</v>
      </c>
    </row>
    <row r="86" spans="1:9" ht="16.5" customHeight="1">
      <c r="A86" s="33">
        <v>16</v>
      </c>
      <c r="B86" s="105" t="s">
        <v>212</v>
      </c>
      <c r="C86" s="109" t="s">
        <v>213</v>
      </c>
      <c r="D86" s="45"/>
      <c r="E86" s="13"/>
      <c r="F86" s="13"/>
      <c r="G86" s="107">
        <v>300.61</v>
      </c>
      <c r="H86" s="79"/>
      <c r="I86" s="19">
        <f>G86*1</f>
        <v>300.61</v>
      </c>
    </row>
    <row r="87" spans="1:9" ht="31.5" customHeight="1">
      <c r="A87" s="33">
        <v>17</v>
      </c>
      <c r="B87" s="105" t="s">
        <v>189</v>
      </c>
      <c r="C87" s="106" t="s">
        <v>174</v>
      </c>
      <c r="D87" s="45"/>
      <c r="E87" s="13"/>
      <c r="F87" s="13"/>
      <c r="G87" s="107">
        <v>6183.75</v>
      </c>
      <c r="H87" s="79"/>
      <c r="I87" s="19">
        <f>G87*0.154</f>
        <v>952.29750000000001</v>
      </c>
    </row>
    <row r="88" spans="1:9" ht="15.75" customHeight="1">
      <c r="A88" s="33"/>
      <c r="B88" s="43" t="s">
        <v>51</v>
      </c>
      <c r="C88" s="39"/>
      <c r="D88" s="46"/>
      <c r="E88" s="39">
        <v>1</v>
      </c>
      <c r="F88" s="39"/>
      <c r="G88" s="39"/>
      <c r="H88" s="39"/>
      <c r="I88" s="35">
        <f>SUM(I83:I87)</f>
        <v>2325.7930000000001</v>
      </c>
    </row>
    <row r="89" spans="1:9" ht="15.75" customHeight="1">
      <c r="A89" s="33"/>
      <c r="B89" s="45" t="s">
        <v>80</v>
      </c>
      <c r="C89" s="15"/>
      <c r="D89" s="15"/>
      <c r="E89" s="40"/>
      <c r="F89" s="40"/>
      <c r="G89" s="41"/>
      <c r="H89" s="41"/>
      <c r="I89" s="17">
        <v>0</v>
      </c>
    </row>
    <row r="90" spans="1:9" ht="16.5" customHeight="1">
      <c r="A90" s="47"/>
      <c r="B90" s="44" t="s">
        <v>169</v>
      </c>
      <c r="C90" s="36"/>
      <c r="D90" s="36"/>
      <c r="E90" s="36"/>
      <c r="F90" s="36"/>
      <c r="G90" s="36"/>
      <c r="H90" s="36"/>
      <c r="I90" s="42">
        <f>I81+I88</f>
        <v>17634.424893644442</v>
      </c>
    </row>
    <row r="91" spans="1:9" ht="15.75" customHeight="1">
      <c r="A91" s="119" t="s">
        <v>226</v>
      </c>
      <c r="B91" s="119"/>
      <c r="C91" s="119"/>
      <c r="D91" s="119"/>
      <c r="E91" s="119"/>
      <c r="F91" s="119"/>
      <c r="G91" s="119"/>
      <c r="H91" s="119"/>
      <c r="I91" s="119"/>
    </row>
    <row r="92" spans="1:9" ht="15.75" customHeight="1">
      <c r="A92" s="57"/>
      <c r="B92" s="120" t="s">
        <v>227</v>
      </c>
      <c r="C92" s="120"/>
      <c r="D92" s="120"/>
      <c r="E92" s="120"/>
      <c r="F92" s="120"/>
      <c r="G92" s="120"/>
      <c r="H92" s="63"/>
      <c r="I92" s="3"/>
    </row>
    <row r="93" spans="1:9">
      <c r="A93" s="56"/>
      <c r="B93" s="121" t="s">
        <v>6</v>
      </c>
      <c r="C93" s="121"/>
      <c r="D93" s="121"/>
      <c r="E93" s="121"/>
      <c r="F93" s="121"/>
      <c r="G93" s="121"/>
      <c r="H93" s="28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22" t="s">
        <v>7</v>
      </c>
      <c r="B95" s="122"/>
      <c r="C95" s="122"/>
      <c r="D95" s="122"/>
      <c r="E95" s="122"/>
      <c r="F95" s="122"/>
      <c r="G95" s="122"/>
      <c r="H95" s="122"/>
      <c r="I95" s="122"/>
    </row>
    <row r="96" spans="1:9" ht="15.75">
      <c r="A96" s="122" t="s">
        <v>8</v>
      </c>
      <c r="B96" s="122"/>
      <c r="C96" s="122"/>
      <c r="D96" s="122"/>
      <c r="E96" s="122"/>
      <c r="F96" s="122"/>
      <c r="G96" s="122"/>
      <c r="H96" s="122"/>
      <c r="I96" s="122"/>
    </row>
    <row r="97" spans="1:9" ht="15.75">
      <c r="A97" s="127" t="s">
        <v>62</v>
      </c>
      <c r="B97" s="127"/>
      <c r="C97" s="127"/>
      <c r="D97" s="127"/>
      <c r="E97" s="127"/>
      <c r="F97" s="127"/>
      <c r="G97" s="127"/>
      <c r="H97" s="127"/>
      <c r="I97" s="127"/>
    </row>
    <row r="98" spans="1:9" ht="15.75">
      <c r="A98" s="11"/>
    </row>
    <row r="99" spans="1:9" ht="15.75">
      <c r="A99" s="128" t="s">
        <v>9</v>
      </c>
      <c r="B99" s="128"/>
      <c r="C99" s="128"/>
      <c r="D99" s="128"/>
      <c r="E99" s="128"/>
      <c r="F99" s="128"/>
      <c r="G99" s="128"/>
      <c r="H99" s="128"/>
      <c r="I99" s="128"/>
    </row>
    <row r="100" spans="1:9" ht="15.75">
      <c r="A100" s="4"/>
    </row>
    <row r="101" spans="1:9" ht="15.75">
      <c r="B101" s="53" t="s">
        <v>10</v>
      </c>
      <c r="C101" s="129" t="s">
        <v>131</v>
      </c>
      <c r="D101" s="129"/>
      <c r="E101" s="129"/>
      <c r="F101" s="61"/>
      <c r="I101" s="55"/>
    </row>
    <row r="102" spans="1:9">
      <c r="A102" s="56"/>
      <c r="C102" s="121" t="s">
        <v>11</v>
      </c>
      <c r="D102" s="121"/>
      <c r="E102" s="121"/>
      <c r="F102" s="28"/>
      <c r="I102" s="54" t="s">
        <v>12</v>
      </c>
    </row>
    <row r="103" spans="1:9" ht="15.75">
      <c r="A103" s="29"/>
      <c r="C103" s="12"/>
      <c r="D103" s="12"/>
      <c r="G103" s="12"/>
      <c r="H103" s="12"/>
    </row>
    <row r="104" spans="1:9" ht="15.75">
      <c r="B104" s="53" t="s">
        <v>13</v>
      </c>
      <c r="C104" s="130"/>
      <c r="D104" s="130"/>
      <c r="E104" s="130"/>
      <c r="F104" s="62"/>
      <c r="I104" s="55"/>
    </row>
    <row r="105" spans="1:9">
      <c r="A105" s="56"/>
      <c r="C105" s="118" t="s">
        <v>11</v>
      </c>
      <c r="D105" s="118"/>
      <c r="E105" s="118"/>
      <c r="F105" s="56"/>
      <c r="I105" s="54" t="s">
        <v>12</v>
      </c>
    </row>
    <row r="106" spans="1:9" ht="15.75">
      <c r="A106" s="4" t="s">
        <v>14</v>
      </c>
    </row>
    <row r="107" spans="1:9">
      <c r="A107" s="131" t="s">
        <v>15</v>
      </c>
      <c r="B107" s="131"/>
      <c r="C107" s="131"/>
      <c r="D107" s="131"/>
      <c r="E107" s="131"/>
      <c r="F107" s="131"/>
      <c r="G107" s="131"/>
      <c r="H107" s="131"/>
      <c r="I107" s="131"/>
    </row>
    <row r="108" spans="1:9" ht="45" customHeight="1">
      <c r="A108" s="126" t="s">
        <v>16</v>
      </c>
      <c r="B108" s="126"/>
      <c r="C108" s="126"/>
      <c r="D108" s="126"/>
      <c r="E108" s="126"/>
      <c r="F108" s="126"/>
      <c r="G108" s="126"/>
      <c r="H108" s="126"/>
      <c r="I108" s="126"/>
    </row>
    <row r="109" spans="1:9" ht="30" customHeight="1">
      <c r="A109" s="126" t="s">
        <v>17</v>
      </c>
      <c r="B109" s="126"/>
      <c r="C109" s="126"/>
      <c r="D109" s="126"/>
      <c r="E109" s="126"/>
      <c r="F109" s="126"/>
      <c r="G109" s="126"/>
      <c r="H109" s="126"/>
      <c r="I109" s="126"/>
    </row>
    <row r="110" spans="1:9" ht="30" customHeight="1">
      <c r="A110" s="126" t="s">
        <v>21</v>
      </c>
      <c r="B110" s="126"/>
      <c r="C110" s="126"/>
      <c r="D110" s="126"/>
      <c r="E110" s="126"/>
      <c r="F110" s="126"/>
      <c r="G110" s="126"/>
      <c r="H110" s="126"/>
      <c r="I110" s="126"/>
    </row>
    <row r="111" spans="1:9" ht="14.25" customHeight="1">
      <c r="A111" s="126" t="s">
        <v>20</v>
      </c>
      <c r="B111" s="126"/>
      <c r="C111" s="126"/>
      <c r="D111" s="126"/>
      <c r="E111" s="126"/>
      <c r="F111" s="126"/>
      <c r="G111" s="126"/>
      <c r="H111" s="126"/>
      <c r="I111" s="126"/>
    </row>
  </sheetData>
  <autoFilter ref="I12:I61"/>
  <mergeCells count="29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9:I29"/>
    <mergeCell ref="A44:I44"/>
    <mergeCell ref="A55:I55"/>
    <mergeCell ref="A91:I91"/>
    <mergeCell ref="B92:G92"/>
    <mergeCell ref="B93:G93"/>
    <mergeCell ref="A95:I95"/>
    <mergeCell ref="A96:I96"/>
    <mergeCell ref="A82:I82"/>
    <mergeCell ref="R66:U66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4"/>
  <sheetViews>
    <sheetView tabSelected="1" workbookViewId="0">
      <selection activeCell="I96" sqref="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206</v>
      </c>
      <c r="I1" s="30"/>
      <c r="J1" s="1"/>
      <c r="K1" s="1"/>
      <c r="L1" s="1"/>
      <c r="M1" s="1"/>
    </row>
    <row r="2" spans="1:13" ht="15.75">
      <c r="A2" s="32" t="s">
        <v>63</v>
      </c>
      <c r="J2" s="2"/>
      <c r="K2" s="2"/>
      <c r="L2" s="2"/>
      <c r="M2" s="2"/>
    </row>
    <row r="3" spans="1:13" ht="15.75" customHeight="1">
      <c r="A3" s="112" t="s">
        <v>161</v>
      </c>
      <c r="B3" s="112"/>
      <c r="C3" s="112"/>
      <c r="D3" s="112"/>
      <c r="E3" s="112"/>
      <c r="F3" s="112"/>
      <c r="G3" s="112"/>
      <c r="H3" s="112"/>
      <c r="I3" s="112"/>
      <c r="J3" s="3"/>
      <c r="K3" s="3"/>
      <c r="L3" s="3"/>
    </row>
    <row r="4" spans="1:13" ht="31.5" customHeight="1">
      <c r="A4" s="113" t="s">
        <v>130</v>
      </c>
      <c r="B4" s="113"/>
      <c r="C4" s="113"/>
      <c r="D4" s="113"/>
      <c r="E4" s="113"/>
      <c r="F4" s="113"/>
      <c r="G4" s="113"/>
      <c r="H4" s="113"/>
      <c r="I4" s="113"/>
    </row>
    <row r="5" spans="1:13" ht="15.75">
      <c r="A5" s="112" t="s">
        <v>220</v>
      </c>
      <c r="B5" s="114"/>
      <c r="C5" s="114"/>
      <c r="D5" s="114"/>
      <c r="E5" s="114"/>
      <c r="F5" s="114"/>
      <c r="G5" s="114"/>
      <c r="H5" s="114"/>
      <c r="I5" s="114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43343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5" t="s">
        <v>208</v>
      </c>
      <c r="B8" s="115"/>
      <c r="C8" s="115"/>
      <c r="D8" s="115"/>
      <c r="E8" s="115"/>
      <c r="F8" s="115"/>
      <c r="G8" s="115"/>
      <c r="H8" s="115"/>
      <c r="I8" s="115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16" t="s">
        <v>165</v>
      </c>
      <c r="B10" s="116"/>
      <c r="C10" s="116"/>
      <c r="D10" s="116"/>
      <c r="E10" s="116"/>
      <c r="F10" s="116"/>
      <c r="G10" s="116"/>
      <c r="H10" s="116"/>
      <c r="I10" s="116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7" t="s">
        <v>60</v>
      </c>
      <c r="B14" s="117"/>
      <c r="C14" s="117"/>
      <c r="D14" s="117"/>
      <c r="E14" s="117"/>
      <c r="F14" s="117"/>
      <c r="G14" s="117"/>
      <c r="H14" s="117"/>
      <c r="I14" s="117"/>
      <c r="J14" s="8"/>
      <c r="K14" s="8"/>
      <c r="L14" s="8"/>
      <c r="M14" s="8"/>
    </row>
    <row r="15" spans="1:13">
      <c r="A15" s="111" t="s">
        <v>4</v>
      </c>
      <c r="B15" s="111"/>
      <c r="C15" s="111"/>
      <c r="D15" s="111"/>
      <c r="E15" s="111"/>
      <c r="F15" s="111"/>
      <c r="G15" s="111"/>
      <c r="H15" s="111"/>
      <c r="I15" s="111"/>
      <c r="J15" s="8"/>
      <c r="K15" s="8"/>
      <c r="L15" s="8"/>
      <c r="M15" s="8"/>
    </row>
    <row r="16" spans="1:13" ht="15.75" customHeight="1">
      <c r="A16" s="33">
        <v>1</v>
      </c>
      <c r="B16" s="64" t="s">
        <v>88</v>
      </c>
      <c r="C16" s="65" t="s">
        <v>89</v>
      </c>
      <c r="D16" s="64" t="s">
        <v>166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137</v>
      </c>
      <c r="C17" s="65" t="s">
        <v>89</v>
      </c>
      <c r="D17" s="64" t="s">
        <v>167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138</v>
      </c>
      <c r="C18" s="65" t="s">
        <v>89</v>
      </c>
      <c r="D18" s="64" t="s">
        <v>168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98</v>
      </c>
      <c r="C19" s="65" t="s">
        <v>99</v>
      </c>
      <c r="D19" s="64" t="s">
        <v>100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101</v>
      </c>
      <c r="C20" s="65" t="s">
        <v>89</v>
      </c>
      <c r="D20" s="64" t="s">
        <v>29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4" t="s">
        <v>102</v>
      </c>
      <c r="C21" s="65" t="s">
        <v>89</v>
      </c>
      <c r="D21" s="64" t="s">
        <v>103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104</v>
      </c>
      <c r="C22" s="65" t="s">
        <v>53</v>
      </c>
      <c r="D22" s="64" t="s">
        <v>100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105</v>
      </c>
      <c r="C23" s="65" t="s">
        <v>53</v>
      </c>
      <c r="D23" s="64" t="s">
        <v>100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106</v>
      </c>
      <c r="C24" s="65" t="s">
        <v>53</v>
      </c>
      <c r="D24" s="64" t="s">
        <v>107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108</v>
      </c>
      <c r="C25" s="65" t="s">
        <v>53</v>
      </c>
      <c r="D25" s="64" t="s">
        <v>54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109</v>
      </c>
      <c r="C26" s="65" t="s">
        <v>53</v>
      </c>
      <c r="D26" s="64" t="s">
        <v>100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4" t="s">
        <v>65</v>
      </c>
      <c r="C27" s="65" t="s">
        <v>32</v>
      </c>
      <c r="D27" s="64"/>
      <c r="E27" s="66">
        <v>0.1</v>
      </c>
      <c r="F27" s="67">
        <f>SUM(E27*365)</f>
        <v>36.5</v>
      </c>
      <c r="G27" s="67">
        <v>138.44999999999999</v>
      </c>
      <c r="H27" s="68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6</v>
      </c>
      <c r="B28" s="72" t="s">
        <v>23</v>
      </c>
      <c r="C28" s="65" t="s">
        <v>24</v>
      </c>
      <c r="D28" s="64"/>
      <c r="E28" s="66">
        <v>1042.5999999999999</v>
      </c>
      <c r="F28" s="67">
        <f>SUM(E28*12)</f>
        <v>12511.199999999999</v>
      </c>
      <c r="G28" s="67">
        <v>6.15</v>
      </c>
      <c r="H28" s="68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23" t="s">
        <v>86</v>
      </c>
      <c r="B29" s="124"/>
      <c r="C29" s="124"/>
      <c r="D29" s="124"/>
      <c r="E29" s="124"/>
      <c r="F29" s="124"/>
      <c r="G29" s="124"/>
      <c r="H29" s="124"/>
      <c r="I29" s="125"/>
      <c r="J29" s="26"/>
      <c r="K29" s="8"/>
      <c r="L29" s="8"/>
      <c r="M29" s="8"/>
    </row>
    <row r="30" spans="1:13" ht="15.75" customHeight="1">
      <c r="A30" s="33"/>
      <c r="B30" s="85" t="s">
        <v>27</v>
      </c>
      <c r="C30" s="65"/>
      <c r="D30" s="64"/>
      <c r="E30" s="66"/>
      <c r="F30" s="67"/>
      <c r="G30" s="67"/>
      <c r="H30" s="68"/>
      <c r="I30" s="13"/>
      <c r="J30" s="26"/>
      <c r="K30" s="8"/>
      <c r="L30" s="8"/>
      <c r="M30" s="8"/>
    </row>
    <row r="31" spans="1:13" ht="15.75" customHeight="1">
      <c r="A31" s="33">
        <v>7</v>
      </c>
      <c r="B31" s="64" t="s">
        <v>114</v>
      </c>
      <c r="C31" s="65" t="s">
        <v>92</v>
      </c>
      <c r="D31" s="64" t="s">
        <v>170</v>
      </c>
      <c r="E31" s="67">
        <v>266.57</v>
      </c>
      <c r="F31" s="67">
        <f>SUM(E31*52/1000)</f>
        <v>13.86164</v>
      </c>
      <c r="G31" s="67">
        <v>146.79</v>
      </c>
      <c r="H31" s="68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customHeight="1">
      <c r="A32" s="33">
        <v>8</v>
      </c>
      <c r="B32" s="64" t="s">
        <v>113</v>
      </c>
      <c r="C32" s="65" t="s">
        <v>92</v>
      </c>
      <c r="D32" s="64" t="s">
        <v>171</v>
      </c>
      <c r="E32" s="67">
        <v>48.03</v>
      </c>
      <c r="F32" s="67">
        <f>SUM(E32*78/1000)</f>
        <v>3.74634</v>
      </c>
      <c r="G32" s="67">
        <v>243.54</v>
      </c>
      <c r="H32" s="68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26</v>
      </c>
      <c r="C33" s="65" t="s">
        <v>92</v>
      </c>
      <c r="D33" s="64" t="s">
        <v>54</v>
      </c>
      <c r="E33" s="67">
        <v>266.57</v>
      </c>
      <c r="F33" s="67">
        <f>SUM(E33/1000)</f>
        <v>0.26656999999999997</v>
      </c>
      <c r="G33" s="67">
        <v>2844</v>
      </c>
      <c r="H33" s="68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customHeight="1">
      <c r="A34" s="33">
        <v>9</v>
      </c>
      <c r="B34" s="64" t="s">
        <v>112</v>
      </c>
      <c r="C34" s="65" t="s">
        <v>30</v>
      </c>
      <c r="D34" s="64" t="s">
        <v>64</v>
      </c>
      <c r="E34" s="71">
        <v>0.33333333333333331</v>
      </c>
      <c r="F34" s="67">
        <f>155/3</f>
        <v>51.666666666666664</v>
      </c>
      <c r="G34" s="67">
        <v>53.38</v>
      </c>
      <c r="H34" s="68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4" t="s">
        <v>66</v>
      </c>
      <c r="C35" s="65" t="s">
        <v>32</v>
      </c>
      <c r="D35" s="64" t="s">
        <v>68</v>
      </c>
      <c r="E35" s="66"/>
      <c r="F35" s="67">
        <v>1</v>
      </c>
      <c r="G35" s="67">
        <v>180.15</v>
      </c>
      <c r="H35" s="68">
        <f t="shared" si="1"/>
        <v>0.18015</v>
      </c>
      <c r="I35" s="13">
        <v>0</v>
      </c>
      <c r="J35" s="27"/>
    </row>
    <row r="36" spans="1:14" ht="15.75" hidden="1" customHeight="1">
      <c r="A36" s="33"/>
      <c r="B36" s="64" t="s">
        <v>67</v>
      </c>
      <c r="C36" s="65" t="s">
        <v>31</v>
      </c>
      <c r="D36" s="64" t="s">
        <v>68</v>
      </c>
      <c r="E36" s="66"/>
      <c r="F36" s="67">
        <v>1</v>
      </c>
      <c r="G36" s="67">
        <v>1214.74</v>
      </c>
      <c r="H36" s="68">
        <f t="shared" si="1"/>
        <v>1.2147399999999999</v>
      </c>
      <c r="I36" s="13">
        <v>0</v>
      </c>
      <c r="J36" s="27"/>
    </row>
    <row r="37" spans="1:14" ht="15.75" hidden="1" customHeight="1">
      <c r="A37" s="33"/>
      <c r="B37" s="85" t="s">
        <v>5</v>
      </c>
      <c r="C37" s="65"/>
      <c r="D37" s="64"/>
      <c r="E37" s="66"/>
      <c r="F37" s="67"/>
      <c r="G37" s="67"/>
      <c r="H37" s="68" t="s">
        <v>139</v>
      </c>
      <c r="I37" s="13"/>
      <c r="J37" s="27"/>
    </row>
    <row r="38" spans="1:14" ht="15.75" hidden="1" customHeight="1">
      <c r="A38" s="33">
        <v>8</v>
      </c>
      <c r="B38" s="64" t="s">
        <v>25</v>
      </c>
      <c r="C38" s="65" t="s">
        <v>31</v>
      </c>
      <c r="D38" s="64"/>
      <c r="E38" s="66"/>
      <c r="F38" s="67">
        <v>3</v>
      </c>
      <c r="G38" s="67">
        <v>1632.6</v>
      </c>
      <c r="H38" s="68">
        <f t="shared" ref="H38:H43" si="3">SUM(F38*G38/1000)</f>
        <v>4.8977999999999993</v>
      </c>
      <c r="I38" s="13">
        <f t="shared" ref="I38:I43" si="4">F38/6*G38</f>
        <v>816.3</v>
      </c>
      <c r="J38" s="27"/>
    </row>
    <row r="39" spans="1:14" ht="15.75" hidden="1" customHeight="1">
      <c r="A39" s="33">
        <v>9</v>
      </c>
      <c r="B39" s="64" t="s">
        <v>115</v>
      </c>
      <c r="C39" s="65" t="s">
        <v>28</v>
      </c>
      <c r="D39" s="64" t="s">
        <v>90</v>
      </c>
      <c r="E39" s="66">
        <v>48.03</v>
      </c>
      <c r="F39" s="67">
        <v>1.44</v>
      </c>
      <c r="G39" s="67">
        <v>1979.95</v>
      </c>
      <c r="H39" s="68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hidden="1" customHeight="1">
      <c r="A40" s="33">
        <v>10</v>
      </c>
      <c r="B40" s="64" t="s">
        <v>69</v>
      </c>
      <c r="C40" s="65" t="s">
        <v>28</v>
      </c>
      <c r="D40" s="64" t="s">
        <v>91</v>
      </c>
      <c r="E40" s="67">
        <v>48.03</v>
      </c>
      <c r="F40" s="67">
        <f>SUM(E40*155/1000)</f>
        <v>7.4446500000000002</v>
      </c>
      <c r="G40" s="67">
        <v>330.27</v>
      </c>
      <c r="H40" s="68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hidden="1" customHeight="1">
      <c r="A41" s="33">
        <v>11</v>
      </c>
      <c r="B41" s="64" t="s">
        <v>84</v>
      </c>
      <c r="C41" s="65" t="s">
        <v>92</v>
      </c>
      <c r="D41" s="64" t="s">
        <v>116</v>
      </c>
      <c r="E41" s="67">
        <v>48.03</v>
      </c>
      <c r="F41" s="67">
        <f>SUM(E41*35/1000)</f>
        <v>1.6810499999999999</v>
      </c>
      <c r="G41" s="67">
        <v>5464.48</v>
      </c>
      <c r="H41" s="68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hidden="1" customHeight="1">
      <c r="A42" s="33">
        <v>12</v>
      </c>
      <c r="B42" s="64" t="s">
        <v>93</v>
      </c>
      <c r="C42" s="65" t="s">
        <v>92</v>
      </c>
      <c r="D42" s="64" t="s">
        <v>70</v>
      </c>
      <c r="E42" s="67">
        <v>48.03</v>
      </c>
      <c r="F42" s="67">
        <f>SUM(E42*45/1000)</f>
        <v>2.1613500000000001</v>
      </c>
      <c r="G42" s="67">
        <v>403.67</v>
      </c>
      <c r="H42" s="68">
        <f t="shared" si="3"/>
        <v>0.87247215450000015</v>
      </c>
      <c r="I42" s="13">
        <f t="shared" si="4"/>
        <v>145.41202575000003</v>
      </c>
      <c r="J42" s="27"/>
      <c r="L42" s="20"/>
      <c r="M42" s="21"/>
      <c r="N42" s="22"/>
    </row>
    <row r="43" spans="1:14" ht="15.75" hidden="1" customHeight="1">
      <c r="A43" s="33">
        <v>13</v>
      </c>
      <c r="B43" s="64" t="s">
        <v>71</v>
      </c>
      <c r="C43" s="65" t="s">
        <v>32</v>
      </c>
      <c r="D43" s="64"/>
      <c r="E43" s="66"/>
      <c r="F43" s="67">
        <v>0.53</v>
      </c>
      <c r="G43" s="67">
        <v>750.34</v>
      </c>
      <c r="H43" s="68">
        <f t="shared" si="3"/>
        <v>0.39768020000000004</v>
      </c>
      <c r="I43" s="13">
        <f t="shared" si="4"/>
        <v>66.280033333333336</v>
      </c>
      <c r="J43" s="27"/>
      <c r="L43" s="20"/>
      <c r="M43" s="21"/>
      <c r="N43" s="22"/>
    </row>
    <row r="44" spans="1:14" ht="15.75" hidden="1" customHeight="1">
      <c r="A44" s="123" t="s">
        <v>132</v>
      </c>
      <c r="B44" s="124"/>
      <c r="C44" s="124"/>
      <c r="D44" s="124"/>
      <c r="E44" s="124"/>
      <c r="F44" s="124"/>
      <c r="G44" s="124"/>
      <c r="H44" s="124"/>
      <c r="I44" s="125"/>
      <c r="J44" s="27"/>
      <c r="L44" s="20"/>
      <c r="M44" s="21"/>
      <c r="N44" s="22"/>
    </row>
    <row r="45" spans="1:14" ht="15.75" hidden="1" customHeight="1">
      <c r="A45" s="33"/>
      <c r="B45" s="64" t="s">
        <v>117</v>
      </c>
      <c r="C45" s="65" t="s">
        <v>92</v>
      </c>
      <c r="D45" s="64" t="s">
        <v>42</v>
      </c>
      <c r="E45" s="66">
        <v>636.25</v>
      </c>
      <c r="F45" s="67">
        <f>SUM(E45*2/1000)</f>
        <v>1.2725</v>
      </c>
      <c r="G45" s="13">
        <v>762.53</v>
      </c>
      <c r="H45" s="68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4" t="s">
        <v>35</v>
      </c>
      <c r="C46" s="65" t="s">
        <v>92</v>
      </c>
      <c r="D46" s="64" t="s">
        <v>42</v>
      </c>
      <c r="E46" s="66">
        <v>26</v>
      </c>
      <c r="F46" s="67">
        <f>SUM(E46*2/1000)</f>
        <v>5.1999999999999998E-2</v>
      </c>
      <c r="G46" s="13">
        <v>545.65</v>
      </c>
      <c r="H46" s="68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4" t="s">
        <v>36</v>
      </c>
      <c r="C47" s="65" t="s">
        <v>92</v>
      </c>
      <c r="D47" s="64" t="s">
        <v>42</v>
      </c>
      <c r="E47" s="66">
        <v>579</v>
      </c>
      <c r="F47" s="67">
        <f>SUM(E47*2/1000)</f>
        <v>1.1579999999999999</v>
      </c>
      <c r="G47" s="13">
        <v>545.65</v>
      </c>
      <c r="H47" s="68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4" t="s">
        <v>37</v>
      </c>
      <c r="C48" s="65" t="s">
        <v>92</v>
      </c>
      <c r="D48" s="64" t="s">
        <v>42</v>
      </c>
      <c r="E48" s="66">
        <v>683.33</v>
      </c>
      <c r="F48" s="67">
        <f>SUM(E48*2/1000)</f>
        <v>1.36666</v>
      </c>
      <c r="G48" s="13">
        <v>571.35</v>
      </c>
      <c r="H48" s="68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4" t="s">
        <v>33</v>
      </c>
      <c r="C49" s="65" t="s">
        <v>34</v>
      </c>
      <c r="D49" s="64" t="s">
        <v>42</v>
      </c>
      <c r="E49" s="66">
        <v>44.11</v>
      </c>
      <c r="F49" s="67">
        <f>SUM(E49*2/100)</f>
        <v>0.88219999999999998</v>
      </c>
      <c r="G49" s="13">
        <v>68.56</v>
      </c>
      <c r="H49" s="68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4" t="s">
        <v>57</v>
      </c>
      <c r="C50" s="65" t="s">
        <v>92</v>
      </c>
      <c r="D50" s="64" t="s">
        <v>133</v>
      </c>
      <c r="E50" s="66">
        <v>1140</v>
      </c>
      <c r="F50" s="67">
        <f>SUM(E50*5/1000)</f>
        <v>5.7</v>
      </c>
      <c r="G50" s="13">
        <v>1142.7</v>
      </c>
      <c r="H50" s="68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4" t="s">
        <v>94</v>
      </c>
      <c r="C51" s="65" t="s">
        <v>92</v>
      </c>
      <c r="D51" s="64" t="s">
        <v>42</v>
      </c>
      <c r="E51" s="66">
        <v>1140</v>
      </c>
      <c r="F51" s="67">
        <f>SUM(E51*2/1000)</f>
        <v>2.2799999999999998</v>
      </c>
      <c r="G51" s="13">
        <v>1142.7</v>
      </c>
      <c r="H51" s="68">
        <f t="shared" si="5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4" t="s">
        <v>95</v>
      </c>
      <c r="C52" s="65" t="s">
        <v>38</v>
      </c>
      <c r="D52" s="64" t="s">
        <v>42</v>
      </c>
      <c r="E52" s="66">
        <v>9</v>
      </c>
      <c r="F52" s="67">
        <f>SUM(E52*2/100)</f>
        <v>0.18</v>
      </c>
      <c r="G52" s="13">
        <v>2571.08</v>
      </c>
      <c r="H52" s="68">
        <f t="shared" si="5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4" t="s">
        <v>39</v>
      </c>
      <c r="C53" s="65" t="s">
        <v>40</v>
      </c>
      <c r="D53" s="64" t="s">
        <v>42</v>
      </c>
      <c r="E53" s="66">
        <v>1</v>
      </c>
      <c r="F53" s="67">
        <v>0.02</v>
      </c>
      <c r="G53" s="13">
        <v>5322.15</v>
      </c>
      <c r="H53" s="68">
        <f t="shared" si="5"/>
        <v>0.106443</v>
      </c>
      <c r="I53" s="13">
        <v>0</v>
      </c>
      <c r="J53" s="27"/>
      <c r="L53" s="20"/>
      <c r="M53" s="21"/>
      <c r="N53" s="22"/>
    </row>
    <row r="54" spans="1:22" ht="15.75" hidden="1" customHeight="1">
      <c r="A54" s="33">
        <v>10</v>
      </c>
      <c r="B54" s="64" t="s">
        <v>41</v>
      </c>
      <c r="C54" s="65" t="s">
        <v>118</v>
      </c>
      <c r="D54" s="64" t="s">
        <v>72</v>
      </c>
      <c r="E54" s="66">
        <v>36</v>
      </c>
      <c r="F54" s="67">
        <f>SUM(E54)*3</f>
        <v>108</v>
      </c>
      <c r="G54" s="13">
        <v>61.84</v>
      </c>
      <c r="H54" s="68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hidden="1" customHeight="1">
      <c r="A55" s="123" t="s">
        <v>154</v>
      </c>
      <c r="B55" s="124"/>
      <c r="C55" s="124"/>
      <c r="D55" s="124"/>
      <c r="E55" s="124"/>
      <c r="F55" s="124"/>
      <c r="G55" s="124"/>
      <c r="H55" s="124"/>
      <c r="I55" s="125"/>
      <c r="J55" s="27"/>
      <c r="L55" s="20"/>
      <c r="M55" s="21"/>
      <c r="N55" s="22"/>
    </row>
    <row r="56" spans="1:22" ht="15.75" hidden="1" customHeight="1">
      <c r="A56" s="33"/>
      <c r="B56" s="85" t="s">
        <v>43</v>
      </c>
      <c r="C56" s="65"/>
      <c r="D56" s="64"/>
      <c r="E56" s="66"/>
      <c r="F56" s="67"/>
      <c r="G56" s="67"/>
      <c r="H56" s="68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4" t="s">
        <v>119</v>
      </c>
      <c r="C57" s="65" t="s">
        <v>89</v>
      </c>
      <c r="D57" s="64" t="s">
        <v>120</v>
      </c>
      <c r="E57" s="66">
        <v>72.33</v>
      </c>
      <c r="F57" s="67">
        <f>SUM(E57*6/100)</f>
        <v>4.3398000000000003</v>
      </c>
      <c r="G57" s="13">
        <v>1456.95</v>
      </c>
      <c r="H57" s="68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5" t="s">
        <v>44</v>
      </c>
      <c r="C58" s="65"/>
      <c r="D58" s="64"/>
      <c r="E58" s="66"/>
      <c r="F58" s="67"/>
      <c r="G58" s="60"/>
      <c r="H58" s="68"/>
      <c r="I58" s="13"/>
      <c r="J58" s="27"/>
      <c r="L58" s="20"/>
      <c r="M58" s="21"/>
      <c r="N58" s="22"/>
    </row>
    <row r="59" spans="1:22" ht="15.75" hidden="1" customHeight="1">
      <c r="A59" s="33"/>
      <c r="B59" s="64" t="s">
        <v>121</v>
      </c>
      <c r="C59" s="65"/>
      <c r="D59" s="64" t="s">
        <v>54</v>
      </c>
      <c r="E59" s="66">
        <v>952</v>
      </c>
      <c r="F59" s="68">
        <v>9.52</v>
      </c>
      <c r="G59" s="13">
        <v>848.37</v>
      </c>
      <c r="H59" s="73">
        <f>F59*G59/1000</f>
        <v>8.0764823999999997</v>
      </c>
      <c r="I59" s="13">
        <v>0</v>
      </c>
      <c r="J59" s="27"/>
      <c r="L59" s="20"/>
    </row>
    <row r="60" spans="1:22" ht="16.5" customHeight="1">
      <c r="A60" s="33"/>
      <c r="B60" s="86" t="s">
        <v>45</v>
      </c>
      <c r="C60" s="74"/>
      <c r="D60" s="75"/>
      <c r="E60" s="76"/>
      <c r="F60" s="77"/>
      <c r="G60" s="77"/>
      <c r="H60" s="78" t="s">
        <v>139</v>
      </c>
      <c r="I60" s="13"/>
    </row>
    <row r="61" spans="1:22" ht="15.75" customHeight="1">
      <c r="A61" s="33">
        <v>10</v>
      </c>
      <c r="B61" s="14" t="s">
        <v>46</v>
      </c>
      <c r="C61" s="16" t="s">
        <v>118</v>
      </c>
      <c r="D61" s="14" t="s">
        <v>68</v>
      </c>
      <c r="E61" s="18">
        <v>5</v>
      </c>
      <c r="F61" s="67">
        <v>5</v>
      </c>
      <c r="G61" s="13">
        <v>237.74</v>
      </c>
      <c r="H61" s="79">
        <f t="shared" ref="H61:H75" si="6">SUM(F61*G61/1000)</f>
        <v>1.1887000000000001</v>
      </c>
      <c r="I61" s="13">
        <f>G61</f>
        <v>237.74</v>
      </c>
    </row>
    <row r="62" spans="1:22" ht="14.25" hidden="1" customHeight="1">
      <c r="A62" s="33"/>
      <c r="B62" s="14" t="s">
        <v>47</v>
      </c>
      <c r="C62" s="16" t="s">
        <v>118</v>
      </c>
      <c r="D62" s="14" t="s">
        <v>68</v>
      </c>
      <c r="E62" s="18">
        <v>2</v>
      </c>
      <c r="F62" s="67">
        <v>2</v>
      </c>
      <c r="G62" s="13">
        <v>81.510000000000005</v>
      </c>
      <c r="H62" s="79">
        <f t="shared" si="6"/>
        <v>0.16302</v>
      </c>
      <c r="I62" s="13">
        <v>0</v>
      </c>
    </row>
    <row r="63" spans="1:22" ht="16.5" hidden="1" customHeight="1">
      <c r="A63" s="33"/>
      <c r="B63" s="14" t="s">
        <v>48</v>
      </c>
      <c r="C63" s="16" t="s">
        <v>122</v>
      </c>
      <c r="D63" s="14" t="s">
        <v>54</v>
      </c>
      <c r="E63" s="66">
        <v>4292</v>
      </c>
      <c r="F63" s="13">
        <f>SUM(E63/100)</f>
        <v>42.92</v>
      </c>
      <c r="G63" s="13">
        <v>226.79</v>
      </c>
      <c r="H63" s="79">
        <f t="shared" si="6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8" hidden="1" customHeight="1">
      <c r="A64" s="33"/>
      <c r="B64" s="14" t="s">
        <v>49</v>
      </c>
      <c r="C64" s="16" t="s">
        <v>123</v>
      </c>
      <c r="D64" s="14"/>
      <c r="E64" s="66">
        <v>4292</v>
      </c>
      <c r="F64" s="13">
        <f>SUM(E64/1000)</f>
        <v>4.2919999999999998</v>
      </c>
      <c r="G64" s="13">
        <v>176.61</v>
      </c>
      <c r="H64" s="79">
        <f t="shared" si="6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21" hidden="1" customHeight="1">
      <c r="A65" s="33"/>
      <c r="B65" s="14" t="s">
        <v>50</v>
      </c>
      <c r="C65" s="16" t="s">
        <v>78</v>
      </c>
      <c r="D65" s="14" t="s">
        <v>54</v>
      </c>
      <c r="E65" s="66">
        <v>510</v>
      </c>
      <c r="F65" s="13">
        <f>SUM(E65/100)</f>
        <v>5.0999999999999996</v>
      </c>
      <c r="G65" s="13">
        <v>2217.7800000000002</v>
      </c>
      <c r="H65" s="79">
        <f t="shared" si="6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22.5" hidden="1" customHeight="1">
      <c r="A66" s="33"/>
      <c r="B66" s="80" t="s">
        <v>124</v>
      </c>
      <c r="C66" s="16" t="s">
        <v>32</v>
      </c>
      <c r="D66" s="14"/>
      <c r="E66" s="66">
        <v>4.5999999999999996</v>
      </c>
      <c r="F66" s="13">
        <f>SUM(E66)</f>
        <v>4.5999999999999996</v>
      </c>
      <c r="G66" s="13">
        <v>42.67</v>
      </c>
      <c r="H66" s="79">
        <f t="shared" si="6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8"/>
      <c r="S66" s="118"/>
      <c r="T66" s="118"/>
      <c r="U66" s="118"/>
    </row>
    <row r="67" spans="1:21" ht="19.5" hidden="1" customHeight="1">
      <c r="A67" s="33"/>
      <c r="B67" s="80" t="s">
        <v>125</v>
      </c>
      <c r="C67" s="16" t="s">
        <v>32</v>
      </c>
      <c r="D67" s="14"/>
      <c r="E67" s="66">
        <v>4.5999999999999996</v>
      </c>
      <c r="F67" s="13">
        <f>SUM(E67)</f>
        <v>4.5999999999999996</v>
      </c>
      <c r="G67" s="13">
        <v>39.81</v>
      </c>
      <c r="H67" s="79">
        <f t="shared" si="6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22.5" hidden="1" customHeight="1">
      <c r="A68" s="33"/>
      <c r="B68" s="14" t="s">
        <v>58</v>
      </c>
      <c r="C68" s="16" t="s">
        <v>59</v>
      </c>
      <c r="D68" s="14" t="s">
        <v>54</v>
      </c>
      <c r="E68" s="18">
        <v>3</v>
      </c>
      <c r="F68" s="67">
        <v>3</v>
      </c>
      <c r="G68" s="13">
        <v>53.32</v>
      </c>
      <c r="H68" s="79">
        <f t="shared" si="6"/>
        <v>0.15996000000000002</v>
      </c>
      <c r="I68" s="13">
        <v>0</v>
      </c>
    </row>
    <row r="69" spans="1:21" ht="22.5" hidden="1" customHeight="1">
      <c r="A69" s="33"/>
      <c r="B69" s="51" t="s">
        <v>73</v>
      </c>
      <c r="C69" s="16"/>
      <c r="D69" s="14"/>
      <c r="E69" s="18"/>
      <c r="F69" s="13"/>
      <c r="G69" s="13"/>
      <c r="H69" s="79" t="s">
        <v>139</v>
      </c>
      <c r="I69" s="13"/>
    </row>
    <row r="70" spans="1:21" ht="23.25" hidden="1" customHeight="1">
      <c r="A70" s="33"/>
      <c r="B70" s="14" t="s">
        <v>74</v>
      </c>
      <c r="C70" s="16" t="s">
        <v>76</v>
      </c>
      <c r="D70" s="14"/>
      <c r="E70" s="18">
        <v>2</v>
      </c>
      <c r="F70" s="13">
        <v>0.2</v>
      </c>
      <c r="G70" s="13">
        <v>536.23</v>
      </c>
      <c r="H70" s="79">
        <f t="shared" si="6"/>
        <v>0.10724600000000001</v>
      </c>
      <c r="I70" s="13">
        <v>0</v>
      </c>
    </row>
    <row r="71" spans="1:21" ht="19.5" hidden="1" customHeight="1">
      <c r="A71" s="33"/>
      <c r="B71" s="14" t="s">
        <v>75</v>
      </c>
      <c r="C71" s="16" t="s">
        <v>30</v>
      </c>
      <c r="D71" s="14"/>
      <c r="E71" s="18">
        <v>1</v>
      </c>
      <c r="F71" s="60">
        <v>1</v>
      </c>
      <c r="G71" s="13">
        <v>911.85</v>
      </c>
      <c r="H71" s="79">
        <f t="shared" si="6"/>
        <v>0.91185000000000005</v>
      </c>
      <c r="I71" s="13">
        <v>0</v>
      </c>
    </row>
    <row r="72" spans="1:21" ht="21" hidden="1" customHeight="1">
      <c r="A72" s="33"/>
      <c r="B72" s="14" t="s">
        <v>140</v>
      </c>
      <c r="C72" s="16" t="s">
        <v>141</v>
      </c>
      <c r="D72" s="14"/>
      <c r="E72" s="18"/>
      <c r="F72" s="13"/>
      <c r="G72" s="13">
        <v>31.54</v>
      </c>
      <c r="H72" s="79">
        <f t="shared" si="6"/>
        <v>0</v>
      </c>
      <c r="I72" s="13"/>
    </row>
    <row r="73" spans="1:21" ht="21" hidden="1" customHeight="1">
      <c r="A73" s="33"/>
      <c r="B73" s="14" t="s">
        <v>127</v>
      </c>
      <c r="C73" s="16" t="s">
        <v>30</v>
      </c>
      <c r="D73" s="14"/>
      <c r="E73" s="18">
        <v>1</v>
      </c>
      <c r="F73" s="13">
        <v>1</v>
      </c>
      <c r="G73" s="13">
        <v>383.25</v>
      </c>
      <c r="H73" s="79">
        <f>G73*F73/1000</f>
        <v>0.38324999999999998</v>
      </c>
      <c r="I73" s="13">
        <v>0</v>
      </c>
    </row>
    <row r="74" spans="1:21" ht="24.75" hidden="1" customHeight="1">
      <c r="A74" s="33"/>
      <c r="B74" s="82" t="s">
        <v>77</v>
      </c>
      <c r="C74" s="16"/>
      <c r="D74" s="14"/>
      <c r="E74" s="18"/>
      <c r="F74" s="13"/>
      <c r="G74" s="13" t="s">
        <v>139</v>
      </c>
      <c r="H74" s="79" t="s">
        <v>139</v>
      </c>
      <c r="I74" s="13"/>
    </row>
    <row r="75" spans="1:21" ht="24.75" hidden="1" customHeight="1">
      <c r="A75" s="33"/>
      <c r="B75" s="45" t="s">
        <v>151</v>
      </c>
      <c r="C75" s="16" t="s">
        <v>78</v>
      </c>
      <c r="D75" s="14"/>
      <c r="E75" s="18"/>
      <c r="F75" s="13">
        <v>0.1</v>
      </c>
      <c r="G75" s="13">
        <v>2949.85</v>
      </c>
      <c r="H75" s="79">
        <f t="shared" si="6"/>
        <v>0.294985</v>
      </c>
      <c r="I75" s="13">
        <v>0</v>
      </c>
    </row>
    <row r="76" spans="1:21" ht="25.5" hidden="1" customHeight="1">
      <c r="A76" s="33"/>
      <c r="B76" s="89" t="s">
        <v>96</v>
      </c>
      <c r="C76" s="89"/>
      <c r="D76" s="89"/>
      <c r="E76" s="89"/>
      <c r="F76" s="89"/>
      <c r="G76" s="70"/>
      <c r="H76" s="83">
        <f>SUM(H57:H75)</f>
        <v>39.790287929999998</v>
      </c>
      <c r="I76" s="70"/>
    </row>
    <row r="77" spans="1:21" ht="19.5" hidden="1" customHeight="1">
      <c r="A77" s="33"/>
      <c r="B77" s="87" t="s">
        <v>126</v>
      </c>
      <c r="C77" s="24"/>
      <c r="D77" s="23"/>
      <c r="E77" s="84"/>
      <c r="F77" s="88">
        <v>1</v>
      </c>
      <c r="G77" s="13">
        <v>3124.9</v>
      </c>
      <c r="H77" s="79">
        <f>G77*F77/1000</f>
        <v>3.1249000000000002</v>
      </c>
      <c r="I77" s="13">
        <v>0</v>
      </c>
    </row>
    <row r="78" spans="1:21" ht="15.75" customHeight="1">
      <c r="A78" s="123" t="s">
        <v>159</v>
      </c>
      <c r="B78" s="124"/>
      <c r="C78" s="124"/>
      <c r="D78" s="124"/>
      <c r="E78" s="124"/>
      <c r="F78" s="124"/>
      <c r="G78" s="124"/>
      <c r="H78" s="124"/>
      <c r="I78" s="125"/>
    </row>
    <row r="79" spans="1:21" ht="15.75" customHeight="1">
      <c r="A79" s="33">
        <v>11</v>
      </c>
      <c r="B79" s="64" t="s">
        <v>128</v>
      </c>
      <c r="C79" s="16" t="s">
        <v>55</v>
      </c>
      <c r="D79" s="50" t="s">
        <v>56</v>
      </c>
      <c r="E79" s="13">
        <v>1042.5999999999999</v>
      </c>
      <c r="F79" s="13">
        <f>SUM(E79*12)</f>
        <v>12511.199999999999</v>
      </c>
      <c r="G79" s="13">
        <v>2.2400000000000002</v>
      </c>
      <c r="H79" s="79">
        <f>SUM(F79*G79/1000)</f>
        <v>28.025088</v>
      </c>
      <c r="I79" s="13">
        <f>F79/12*G79</f>
        <v>2335.424</v>
      </c>
    </row>
    <row r="80" spans="1:21" ht="31.5" customHeight="1">
      <c r="A80" s="33">
        <v>12</v>
      </c>
      <c r="B80" s="14" t="s">
        <v>79</v>
      </c>
      <c r="C80" s="16"/>
      <c r="D80" s="50" t="s">
        <v>56</v>
      </c>
      <c r="E80" s="66">
        <f>E79</f>
        <v>1042.5999999999999</v>
      </c>
      <c r="F80" s="13">
        <f>E80*12</f>
        <v>12511.199999999999</v>
      </c>
      <c r="G80" s="13">
        <v>1.74</v>
      </c>
      <c r="H80" s="79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82</v>
      </c>
      <c r="C81" s="82"/>
      <c r="D81" s="81"/>
      <c r="E81" s="70"/>
      <c r="F81" s="70"/>
      <c r="G81" s="70"/>
      <c r="H81" s="83">
        <f>H80</f>
        <v>21.769487999999999</v>
      </c>
      <c r="I81" s="70">
        <f>I80+I79+I61+I34+I32+I31+I28+I27+I20+I18+I17+I16</f>
        <v>15544.174093644442</v>
      </c>
    </row>
    <row r="82" spans="1:9" ht="15.75" customHeight="1">
      <c r="A82" s="132" t="s">
        <v>61</v>
      </c>
      <c r="B82" s="133"/>
      <c r="C82" s="133"/>
      <c r="D82" s="133"/>
      <c r="E82" s="133"/>
      <c r="F82" s="133"/>
      <c r="G82" s="133"/>
      <c r="H82" s="133"/>
      <c r="I82" s="134"/>
    </row>
    <row r="83" spans="1:9" ht="16.5" customHeight="1">
      <c r="A83" s="33">
        <v>13</v>
      </c>
      <c r="B83" s="75" t="s">
        <v>179</v>
      </c>
      <c r="C83" s="74" t="s">
        <v>180</v>
      </c>
      <c r="D83" s="75"/>
      <c r="E83" s="76"/>
      <c r="F83" s="77">
        <v>200</v>
      </c>
      <c r="G83" s="60">
        <v>1.2</v>
      </c>
      <c r="H83" s="78">
        <f>F83*G83/1000</f>
        <v>0.24</v>
      </c>
      <c r="I83" s="101">
        <f>G83*100</f>
        <v>120</v>
      </c>
    </row>
    <row r="84" spans="1:9" ht="16.5" customHeight="1">
      <c r="A84" s="33">
        <v>14</v>
      </c>
      <c r="B84" s="105" t="s">
        <v>173</v>
      </c>
      <c r="C84" s="106" t="s">
        <v>118</v>
      </c>
      <c r="D84" s="97"/>
      <c r="E84" s="37"/>
      <c r="F84" s="37"/>
      <c r="G84" s="37">
        <v>197.48</v>
      </c>
      <c r="H84" s="98"/>
      <c r="I84" s="13">
        <f>G84*1</f>
        <v>197.48</v>
      </c>
    </row>
    <row r="85" spans="1:9" ht="16.5" customHeight="1">
      <c r="A85" s="33">
        <v>15</v>
      </c>
      <c r="B85" s="105" t="s">
        <v>140</v>
      </c>
      <c r="C85" s="109" t="s">
        <v>172</v>
      </c>
      <c r="D85" s="97"/>
      <c r="E85" s="37"/>
      <c r="F85" s="37"/>
      <c r="G85" s="37">
        <v>19</v>
      </c>
      <c r="H85" s="98"/>
      <c r="I85" s="13">
        <f>G85*1</f>
        <v>19</v>
      </c>
    </row>
    <row r="86" spans="1:9" ht="16.5" customHeight="1">
      <c r="A86" s="33">
        <v>16</v>
      </c>
      <c r="B86" s="105" t="s">
        <v>221</v>
      </c>
      <c r="C86" s="106" t="s">
        <v>118</v>
      </c>
      <c r="D86" s="97"/>
      <c r="E86" s="37"/>
      <c r="F86" s="37"/>
      <c r="G86" s="37">
        <v>136.19999999999999</v>
      </c>
      <c r="H86" s="98"/>
      <c r="I86" s="13">
        <f>G86*1</f>
        <v>136.19999999999999</v>
      </c>
    </row>
    <row r="87" spans="1:9" ht="30">
      <c r="A87" s="33">
        <v>17</v>
      </c>
      <c r="B87" s="48" t="s">
        <v>83</v>
      </c>
      <c r="C87" s="49" t="s">
        <v>38</v>
      </c>
      <c r="D87" s="45"/>
      <c r="E87" s="13"/>
      <c r="F87" s="13">
        <v>1</v>
      </c>
      <c r="G87" s="37">
        <v>3724.37</v>
      </c>
      <c r="H87" s="79">
        <f t="shared" ref="H87" si="7">G87*F87/1000</f>
        <v>3.72437</v>
      </c>
      <c r="I87" s="13">
        <f>G87*0.01</f>
        <v>37.243699999999997</v>
      </c>
    </row>
    <row r="88" spans="1:9">
      <c r="A88" s="33">
        <v>18</v>
      </c>
      <c r="B88" s="99" t="s">
        <v>249</v>
      </c>
      <c r="C88" s="100" t="s">
        <v>99</v>
      </c>
      <c r="D88" s="45"/>
      <c r="E88" s="13"/>
      <c r="F88" s="13"/>
      <c r="G88" s="107">
        <v>45187.4</v>
      </c>
      <c r="H88" s="79"/>
      <c r="I88" s="13">
        <f>G88*0.02</f>
        <v>903.74800000000005</v>
      </c>
    </row>
    <row r="89" spans="1:9">
      <c r="A89" s="33">
        <v>19</v>
      </c>
      <c r="B89" s="110" t="s">
        <v>250</v>
      </c>
      <c r="C89" s="106" t="s">
        <v>174</v>
      </c>
      <c r="D89" s="45"/>
      <c r="E89" s="13"/>
      <c r="F89" s="13"/>
      <c r="G89" s="107">
        <v>6365.06</v>
      </c>
      <c r="H89" s="79"/>
      <c r="I89" s="13">
        <f>G89*1.4</f>
        <v>8911.0840000000007</v>
      </c>
    </row>
    <row r="90" spans="1:9">
      <c r="A90" s="33">
        <v>20</v>
      </c>
      <c r="B90" s="110" t="s">
        <v>251</v>
      </c>
      <c r="C90" s="106" t="s">
        <v>174</v>
      </c>
      <c r="D90" s="45"/>
      <c r="E90" s="13"/>
      <c r="F90" s="13"/>
      <c r="G90" s="107">
        <v>6325.06</v>
      </c>
      <c r="H90" s="79"/>
      <c r="I90" s="13">
        <f>G90*0.996</f>
        <v>6299.7597600000008</v>
      </c>
    </row>
    <row r="91" spans="1:9">
      <c r="A91" s="33"/>
      <c r="B91" s="43" t="s">
        <v>51</v>
      </c>
      <c r="C91" s="39"/>
      <c r="D91" s="46"/>
      <c r="E91" s="39">
        <v>1</v>
      </c>
      <c r="F91" s="39"/>
      <c r="G91" s="39"/>
      <c r="H91" s="39"/>
      <c r="I91" s="35">
        <f>SUM(I83:I90)</f>
        <v>16624.515460000002</v>
      </c>
    </row>
    <row r="92" spans="1:9" ht="16.5" customHeight="1">
      <c r="A92" s="33"/>
      <c r="B92" s="45" t="s">
        <v>80</v>
      </c>
      <c r="C92" s="15"/>
      <c r="D92" s="15"/>
      <c r="E92" s="40"/>
      <c r="F92" s="40"/>
      <c r="G92" s="41"/>
      <c r="H92" s="41"/>
      <c r="I92" s="17">
        <v>0</v>
      </c>
    </row>
    <row r="93" spans="1:9" ht="16.5" customHeight="1">
      <c r="A93" s="47"/>
      <c r="B93" s="44" t="s">
        <v>169</v>
      </c>
      <c r="C93" s="36"/>
      <c r="D93" s="36"/>
      <c r="E93" s="36"/>
      <c r="F93" s="36"/>
      <c r="G93" s="36"/>
      <c r="H93" s="36"/>
      <c r="I93" s="42">
        <f>I81+I91</f>
        <v>32168.689553644443</v>
      </c>
    </row>
    <row r="94" spans="1:9" ht="15.75" customHeight="1">
      <c r="A94" s="119" t="s">
        <v>252</v>
      </c>
      <c r="B94" s="119"/>
      <c r="C94" s="119"/>
      <c r="D94" s="119"/>
      <c r="E94" s="119"/>
      <c r="F94" s="119"/>
      <c r="G94" s="119"/>
      <c r="H94" s="119"/>
      <c r="I94" s="119"/>
    </row>
    <row r="95" spans="1:9" ht="15.75" customHeight="1">
      <c r="A95" s="57"/>
      <c r="B95" s="120" t="s">
        <v>253</v>
      </c>
      <c r="C95" s="120"/>
      <c r="D95" s="120"/>
      <c r="E95" s="120"/>
      <c r="F95" s="120"/>
      <c r="G95" s="120"/>
      <c r="H95" s="63"/>
      <c r="I95" s="3"/>
    </row>
    <row r="96" spans="1:9">
      <c r="A96" s="56"/>
      <c r="B96" s="121" t="s">
        <v>6</v>
      </c>
      <c r="C96" s="121"/>
      <c r="D96" s="121"/>
      <c r="E96" s="121"/>
      <c r="F96" s="121"/>
      <c r="G96" s="121"/>
      <c r="H96" s="28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22" t="s">
        <v>7</v>
      </c>
      <c r="B98" s="122"/>
      <c r="C98" s="122"/>
      <c r="D98" s="122"/>
      <c r="E98" s="122"/>
      <c r="F98" s="122"/>
      <c r="G98" s="122"/>
      <c r="H98" s="122"/>
      <c r="I98" s="122"/>
    </row>
    <row r="99" spans="1:9" ht="15.75">
      <c r="A99" s="122" t="s">
        <v>8</v>
      </c>
      <c r="B99" s="122"/>
      <c r="C99" s="122"/>
      <c r="D99" s="122"/>
      <c r="E99" s="122"/>
      <c r="F99" s="122"/>
      <c r="G99" s="122"/>
      <c r="H99" s="122"/>
      <c r="I99" s="122"/>
    </row>
    <row r="100" spans="1:9" ht="15.75">
      <c r="A100" s="127" t="s">
        <v>62</v>
      </c>
      <c r="B100" s="127"/>
      <c r="C100" s="127"/>
      <c r="D100" s="127"/>
      <c r="E100" s="127"/>
      <c r="F100" s="127"/>
      <c r="G100" s="127"/>
      <c r="H100" s="127"/>
      <c r="I100" s="127"/>
    </row>
    <row r="101" spans="1:9" ht="15.75">
      <c r="A101" s="11"/>
    </row>
    <row r="102" spans="1:9" ht="15.75">
      <c r="A102" s="128" t="s">
        <v>9</v>
      </c>
      <c r="B102" s="128"/>
      <c r="C102" s="128"/>
      <c r="D102" s="128"/>
      <c r="E102" s="128"/>
      <c r="F102" s="128"/>
      <c r="G102" s="128"/>
      <c r="H102" s="128"/>
      <c r="I102" s="128"/>
    </row>
    <row r="103" spans="1:9" ht="15.75">
      <c r="A103" s="4"/>
    </row>
    <row r="104" spans="1:9" ht="15.75">
      <c r="B104" s="53" t="s">
        <v>10</v>
      </c>
      <c r="C104" s="129" t="s">
        <v>131</v>
      </c>
      <c r="D104" s="129"/>
      <c r="E104" s="129"/>
      <c r="F104" s="61"/>
      <c r="I104" s="55"/>
    </row>
    <row r="105" spans="1:9">
      <c r="A105" s="56"/>
      <c r="C105" s="121" t="s">
        <v>11</v>
      </c>
      <c r="D105" s="121"/>
      <c r="E105" s="121"/>
      <c r="F105" s="28"/>
      <c r="I105" s="54" t="s">
        <v>12</v>
      </c>
    </row>
    <row r="106" spans="1:9" ht="15.75">
      <c r="A106" s="29"/>
      <c r="C106" s="12"/>
      <c r="D106" s="12"/>
      <c r="G106" s="12"/>
      <c r="H106" s="12"/>
    </row>
    <row r="107" spans="1:9" ht="15.75">
      <c r="B107" s="53" t="s">
        <v>13</v>
      </c>
      <c r="C107" s="130"/>
      <c r="D107" s="130"/>
      <c r="E107" s="130"/>
      <c r="F107" s="62"/>
      <c r="I107" s="55"/>
    </row>
    <row r="108" spans="1:9">
      <c r="A108" s="56"/>
      <c r="C108" s="118" t="s">
        <v>11</v>
      </c>
      <c r="D108" s="118"/>
      <c r="E108" s="118"/>
      <c r="F108" s="56"/>
      <c r="I108" s="54" t="s">
        <v>12</v>
      </c>
    </row>
    <row r="109" spans="1:9" ht="15.75">
      <c r="A109" s="4" t="s">
        <v>14</v>
      </c>
    </row>
    <row r="110" spans="1:9">
      <c r="A110" s="131" t="s">
        <v>15</v>
      </c>
      <c r="B110" s="131"/>
      <c r="C110" s="131"/>
      <c r="D110" s="131"/>
      <c r="E110" s="131"/>
      <c r="F110" s="131"/>
      <c r="G110" s="131"/>
      <c r="H110" s="131"/>
      <c r="I110" s="131"/>
    </row>
    <row r="111" spans="1:9" ht="45" customHeight="1">
      <c r="A111" s="126" t="s">
        <v>16</v>
      </c>
      <c r="B111" s="126"/>
      <c r="C111" s="126"/>
      <c r="D111" s="126"/>
      <c r="E111" s="126"/>
      <c r="F111" s="126"/>
      <c r="G111" s="126"/>
      <c r="H111" s="126"/>
      <c r="I111" s="126"/>
    </row>
    <row r="112" spans="1:9" ht="30" customHeight="1">
      <c r="A112" s="126" t="s">
        <v>17</v>
      </c>
      <c r="B112" s="126"/>
      <c r="C112" s="126"/>
      <c r="D112" s="126"/>
      <c r="E112" s="126"/>
      <c r="F112" s="126"/>
      <c r="G112" s="126"/>
      <c r="H112" s="126"/>
      <c r="I112" s="126"/>
    </row>
    <row r="113" spans="1:9" ht="30" customHeight="1">
      <c r="A113" s="126" t="s">
        <v>21</v>
      </c>
      <c r="B113" s="126"/>
      <c r="C113" s="126"/>
      <c r="D113" s="126"/>
      <c r="E113" s="126"/>
      <c r="F113" s="126"/>
      <c r="G113" s="126"/>
      <c r="H113" s="126"/>
      <c r="I113" s="126"/>
    </row>
    <row r="114" spans="1:9" ht="14.25" customHeight="1">
      <c r="A114" s="126" t="s">
        <v>20</v>
      </c>
      <c r="B114" s="126"/>
      <c r="C114" s="126"/>
      <c r="D114" s="126"/>
      <c r="E114" s="126"/>
      <c r="F114" s="126"/>
      <c r="G114" s="126"/>
      <c r="H114" s="126"/>
      <c r="I114" s="126"/>
    </row>
  </sheetData>
  <autoFilter ref="I12:I61"/>
  <mergeCells count="29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9:I29"/>
    <mergeCell ref="A44:I44"/>
    <mergeCell ref="A55:I55"/>
    <mergeCell ref="A94:I94"/>
    <mergeCell ref="B95:G95"/>
    <mergeCell ref="B96:G96"/>
    <mergeCell ref="A98:I98"/>
    <mergeCell ref="A99:I99"/>
    <mergeCell ref="A82:I82"/>
    <mergeCell ref="R66:U66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7"/>
  <sheetViews>
    <sheetView topLeftCell="A50" workbookViewId="0">
      <selection activeCell="B88" sqref="B88:I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206</v>
      </c>
      <c r="I1" s="30"/>
      <c r="J1" s="1"/>
      <c r="K1" s="1"/>
      <c r="L1" s="1"/>
      <c r="M1" s="1"/>
    </row>
    <row r="2" spans="1:13" ht="15.75">
      <c r="A2" s="32" t="s">
        <v>63</v>
      </c>
      <c r="J2" s="2"/>
      <c r="K2" s="2"/>
      <c r="L2" s="2"/>
      <c r="M2" s="2"/>
    </row>
    <row r="3" spans="1:13" ht="15.75" customHeight="1">
      <c r="A3" s="112" t="s">
        <v>162</v>
      </c>
      <c r="B3" s="112"/>
      <c r="C3" s="112"/>
      <c r="D3" s="112"/>
      <c r="E3" s="112"/>
      <c r="F3" s="112"/>
      <c r="G3" s="112"/>
      <c r="H3" s="112"/>
      <c r="I3" s="112"/>
      <c r="J3" s="3"/>
      <c r="K3" s="3"/>
      <c r="L3" s="3"/>
    </row>
    <row r="4" spans="1:13" ht="31.5" customHeight="1">
      <c r="A4" s="113" t="s">
        <v>130</v>
      </c>
      <c r="B4" s="113"/>
      <c r="C4" s="113"/>
      <c r="D4" s="113"/>
      <c r="E4" s="113"/>
      <c r="F4" s="113"/>
      <c r="G4" s="113"/>
      <c r="H4" s="113"/>
      <c r="I4" s="113"/>
    </row>
    <row r="5" spans="1:13" ht="15.75">
      <c r="A5" s="112" t="s">
        <v>222</v>
      </c>
      <c r="B5" s="114"/>
      <c r="C5" s="114"/>
      <c r="D5" s="114"/>
      <c r="E5" s="114"/>
      <c r="F5" s="114"/>
      <c r="G5" s="114"/>
      <c r="H5" s="114"/>
      <c r="I5" s="114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43373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5" t="s">
        <v>208</v>
      </c>
      <c r="B8" s="115"/>
      <c r="C8" s="115"/>
      <c r="D8" s="115"/>
      <c r="E8" s="115"/>
      <c r="F8" s="115"/>
      <c r="G8" s="115"/>
      <c r="H8" s="115"/>
      <c r="I8" s="115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16" t="s">
        <v>165</v>
      </c>
      <c r="B10" s="116"/>
      <c r="C10" s="116"/>
      <c r="D10" s="116"/>
      <c r="E10" s="116"/>
      <c r="F10" s="116"/>
      <c r="G10" s="116"/>
      <c r="H10" s="116"/>
      <c r="I10" s="116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7" t="s">
        <v>60</v>
      </c>
      <c r="B14" s="117"/>
      <c r="C14" s="117"/>
      <c r="D14" s="117"/>
      <c r="E14" s="117"/>
      <c r="F14" s="117"/>
      <c r="G14" s="117"/>
      <c r="H14" s="117"/>
      <c r="I14" s="117"/>
      <c r="J14" s="8"/>
      <c r="K14" s="8"/>
      <c r="L14" s="8"/>
      <c r="M14" s="8"/>
    </row>
    <row r="15" spans="1:13">
      <c r="A15" s="111" t="s">
        <v>4</v>
      </c>
      <c r="B15" s="111"/>
      <c r="C15" s="111"/>
      <c r="D15" s="111"/>
      <c r="E15" s="111"/>
      <c r="F15" s="111"/>
      <c r="G15" s="111"/>
      <c r="H15" s="111"/>
      <c r="I15" s="111"/>
      <c r="J15" s="8"/>
      <c r="K15" s="8"/>
      <c r="L15" s="8"/>
      <c r="M15" s="8"/>
    </row>
    <row r="16" spans="1:13" ht="15.75" customHeight="1">
      <c r="A16" s="33">
        <v>1</v>
      </c>
      <c r="B16" s="64" t="s">
        <v>88</v>
      </c>
      <c r="C16" s="65" t="s">
        <v>89</v>
      </c>
      <c r="D16" s="64" t="s">
        <v>166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137</v>
      </c>
      <c r="C17" s="65" t="s">
        <v>89</v>
      </c>
      <c r="D17" s="64" t="s">
        <v>167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138</v>
      </c>
      <c r="C18" s="65" t="s">
        <v>89</v>
      </c>
      <c r="D18" s="64" t="s">
        <v>168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98</v>
      </c>
      <c r="C19" s="65" t="s">
        <v>99</v>
      </c>
      <c r="D19" s="64" t="s">
        <v>100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101</v>
      </c>
      <c r="C20" s="65" t="s">
        <v>89</v>
      </c>
      <c r="D20" s="64" t="s">
        <v>29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5</v>
      </c>
      <c r="B21" s="64" t="s">
        <v>102</v>
      </c>
      <c r="C21" s="65" t="s">
        <v>89</v>
      </c>
      <c r="D21" s="64" t="s">
        <v>103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104</v>
      </c>
      <c r="C22" s="65" t="s">
        <v>53</v>
      </c>
      <c r="D22" s="64" t="s">
        <v>100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105</v>
      </c>
      <c r="C23" s="65" t="s">
        <v>53</v>
      </c>
      <c r="D23" s="64" t="s">
        <v>100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106</v>
      </c>
      <c r="C24" s="65" t="s">
        <v>53</v>
      </c>
      <c r="D24" s="64" t="s">
        <v>107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108</v>
      </c>
      <c r="C25" s="65" t="s">
        <v>53</v>
      </c>
      <c r="D25" s="64" t="s">
        <v>54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109</v>
      </c>
      <c r="C26" s="65" t="s">
        <v>53</v>
      </c>
      <c r="D26" s="64" t="s">
        <v>100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4" t="s">
        <v>65</v>
      </c>
      <c r="C27" s="65" t="s">
        <v>32</v>
      </c>
      <c r="D27" s="64"/>
      <c r="E27" s="66">
        <v>0.1</v>
      </c>
      <c r="F27" s="67">
        <f>SUM(E27*365)</f>
        <v>36.5</v>
      </c>
      <c r="G27" s="67">
        <v>138.44999999999999</v>
      </c>
      <c r="H27" s="68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7</v>
      </c>
      <c r="B28" s="72" t="s">
        <v>23</v>
      </c>
      <c r="C28" s="65" t="s">
        <v>24</v>
      </c>
      <c r="D28" s="64"/>
      <c r="E28" s="66">
        <v>1042.5999999999999</v>
      </c>
      <c r="F28" s="67">
        <f>SUM(E28*12)</f>
        <v>12511.199999999999</v>
      </c>
      <c r="G28" s="67">
        <v>6.15</v>
      </c>
      <c r="H28" s="68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23" t="s">
        <v>86</v>
      </c>
      <c r="B29" s="124"/>
      <c r="C29" s="124"/>
      <c r="D29" s="124"/>
      <c r="E29" s="124"/>
      <c r="F29" s="124"/>
      <c r="G29" s="124"/>
      <c r="H29" s="124"/>
      <c r="I29" s="125"/>
      <c r="J29" s="26"/>
      <c r="K29" s="8"/>
      <c r="L29" s="8"/>
      <c r="M29" s="8"/>
    </row>
    <row r="30" spans="1:13" ht="15.75" customHeight="1">
      <c r="A30" s="33"/>
      <c r="B30" s="85" t="s">
        <v>27</v>
      </c>
      <c r="C30" s="65"/>
      <c r="D30" s="64"/>
      <c r="E30" s="66"/>
      <c r="F30" s="67"/>
      <c r="G30" s="67"/>
      <c r="H30" s="68"/>
      <c r="I30" s="13"/>
      <c r="J30" s="26"/>
      <c r="K30" s="8"/>
      <c r="L30" s="8"/>
      <c r="M30" s="8"/>
    </row>
    <row r="31" spans="1:13" ht="15.75" customHeight="1">
      <c r="A31" s="33">
        <v>8</v>
      </c>
      <c r="B31" s="64" t="s">
        <v>114</v>
      </c>
      <c r="C31" s="65" t="s">
        <v>92</v>
      </c>
      <c r="D31" s="64" t="s">
        <v>170</v>
      </c>
      <c r="E31" s="67">
        <v>266.57</v>
      </c>
      <c r="F31" s="67">
        <f>SUM(E31*52/1000)</f>
        <v>13.86164</v>
      </c>
      <c r="G31" s="67">
        <v>146.79</v>
      </c>
      <c r="H31" s="68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customHeight="1">
      <c r="A32" s="33">
        <v>9</v>
      </c>
      <c r="B32" s="64" t="s">
        <v>113</v>
      </c>
      <c r="C32" s="65" t="s">
        <v>92</v>
      </c>
      <c r="D32" s="64" t="s">
        <v>171</v>
      </c>
      <c r="E32" s="67">
        <v>48.03</v>
      </c>
      <c r="F32" s="67">
        <f>SUM(E32*78/1000)</f>
        <v>3.74634</v>
      </c>
      <c r="G32" s="67">
        <v>243.54</v>
      </c>
      <c r="H32" s="68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26</v>
      </c>
      <c r="C33" s="65" t="s">
        <v>92</v>
      </c>
      <c r="D33" s="64" t="s">
        <v>54</v>
      </c>
      <c r="E33" s="67">
        <v>266.57</v>
      </c>
      <c r="F33" s="67">
        <f>SUM(E33/1000)</f>
        <v>0.26656999999999997</v>
      </c>
      <c r="G33" s="67">
        <v>2844</v>
      </c>
      <c r="H33" s="68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customHeight="1">
      <c r="A34" s="33">
        <v>10</v>
      </c>
      <c r="B34" s="64" t="s">
        <v>112</v>
      </c>
      <c r="C34" s="65" t="s">
        <v>30</v>
      </c>
      <c r="D34" s="64" t="s">
        <v>64</v>
      </c>
      <c r="E34" s="71">
        <v>0.33333333333333331</v>
      </c>
      <c r="F34" s="67">
        <f>155/3</f>
        <v>51.666666666666664</v>
      </c>
      <c r="G34" s="67">
        <v>53.38</v>
      </c>
      <c r="H34" s="68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4" t="s">
        <v>66</v>
      </c>
      <c r="C35" s="65" t="s">
        <v>32</v>
      </c>
      <c r="D35" s="64" t="s">
        <v>68</v>
      </c>
      <c r="E35" s="66"/>
      <c r="F35" s="67">
        <v>1</v>
      </c>
      <c r="G35" s="67">
        <v>180.15</v>
      </c>
      <c r="H35" s="68">
        <f t="shared" si="1"/>
        <v>0.18015</v>
      </c>
      <c r="I35" s="13">
        <v>0</v>
      </c>
      <c r="J35" s="27"/>
    </row>
    <row r="36" spans="1:14" ht="15.75" hidden="1" customHeight="1">
      <c r="A36" s="33"/>
      <c r="B36" s="64" t="s">
        <v>67</v>
      </c>
      <c r="C36" s="65" t="s">
        <v>31</v>
      </c>
      <c r="D36" s="64" t="s">
        <v>68</v>
      </c>
      <c r="E36" s="66"/>
      <c r="F36" s="67">
        <v>1</v>
      </c>
      <c r="G36" s="67">
        <v>1214.74</v>
      </c>
      <c r="H36" s="68">
        <f t="shared" si="1"/>
        <v>1.2147399999999999</v>
      </c>
      <c r="I36" s="13">
        <v>0</v>
      </c>
      <c r="J36" s="27"/>
    </row>
    <row r="37" spans="1:14" ht="15.75" hidden="1" customHeight="1">
      <c r="A37" s="33"/>
      <c r="B37" s="85" t="s">
        <v>5</v>
      </c>
      <c r="C37" s="65"/>
      <c r="D37" s="64"/>
      <c r="E37" s="66"/>
      <c r="F37" s="67"/>
      <c r="G37" s="67"/>
      <c r="H37" s="68" t="s">
        <v>139</v>
      </c>
      <c r="I37" s="13"/>
      <c r="J37" s="27"/>
    </row>
    <row r="38" spans="1:14" ht="15.75" hidden="1" customHeight="1">
      <c r="A38" s="33">
        <v>8</v>
      </c>
      <c r="B38" s="64" t="s">
        <v>25</v>
      </c>
      <c r="C38" s="65" t="s">
        <v>31</v>
      </c>
      <c r="D38" s="64"/>
      <c r="E38" s="66"/>
      <c r="F38" s="67">
        <v>3</v>
      </c>
      <c r="G38" s="67">
        <v>1632.6</v>
      </c>
      <c r="H38" s="68">
        <f t="shared" ref="H38:H43" si="3">SUM(F38*G38/1000)</f>
        <v>4.8977999999999993</v>
      </c>
      <c r="I38" s="13">
        <f t="shared" ref="I38:I43" si="4">F38/6*G38</f>
        <v>816.3</v>
      </c>
      <c r="J38" s="27"/>
    </row>
    <row r="39" spans="1:14" ht="15.75" hidden="1" customHeight="1">
      <c r="A39" s="33">
        <v>9</v>
      </c>
      <c r="B39" s="64" t="s">
        <v>115</v>
      </c>
      <c r="C39" s="65" t="s">
        <v>28</v>
      </c>
      <c r="D39" s="64" t="s">
        <v>90</v>
      </c>
      <c r="E39" s="66">
        <v>48.03</v>
      </c>
      <c r="F39" s="67">
        <v>1.44</v>
      </c>
      <c r="G39" s="67">
        <v>1979.95</v>
      </c>
      <c r="H39" s="68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hidden="1" customHeight="1">
      <c r="A40" s="33">
        <v>10</v>
      </c>
      <c r="B40" s="64" t="s">
        <v>69</v>
      </c>
      <c r="C40" s="65" t="s">
        <v>28</v>
      </c>
      <c r="D40" s="64" t="s">
        <v>91</v>
      </c>
      <c r="E40" s="67">
        <v>48.03</v>
      </c>
      <c r="F40" s="67">
        <f>SUM(E40*155/1000)</f>
        <v>7.4446500000000002</v>
      </c>
      <c r="G40" s="67">
        <v>330.27</v>
      </c>
      <c r="H40" s="68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hidden="1" customHeight="1">
      <c r="A41" s="33">
        <v>11</v>
      </c>
      <c r="B41" s="64" t="s">
        <v>84</v>
      </c>
      <c r="C41" s="65" t="s">
        <v>92</v>
      </c>
      <c r="D41" s="64" t="s">
        <v>116</v>
      </c>
      <c r="E41" s="67">
        <v>48.03</v>
      </c>
      <c r="F41" s="67">
        <f>SUM(E41*35/1000)</f>
        <v>1.6810499999999999</v>
      </c>
      <c r="G41" s="67">
        <v>5464.48</v>
      </c>
      <c r="H41" s="68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hidden="1" customHeight="1">
      <c r="A42" s="33">
        <v>12</v>
      </c>
      <c r="B42" s="64" t="s">
        <v>93</v>
      </c>
      <c r="C42" s="65" t="s">
        <v>92</v>
      </c>
      <c r="D42" s="64" t="s">
        <v>70</v>
      </c>
      <c r="E42" s="67">
        <v>48.03</v>
      </c>
      <c r="F42" s="67">
        <f>SUM(E42*45/1000)</f>
        <v>2.1613500000000001</v>
      </c>
      <c r="G42" s="67">
        <v>403.67</v>
      </c>
      <c r="H42" s="68">
        <f t="shared" si="3"/>
        <v>0.87247215450000015</v>
      </c>
      <c r="I42" s="13">
        <f t="shared" si="4"/>
        <v>145.41202575000003</v>
      </c>
      <c r="J42" s="27"/>
      <c r="L42" s="20"/>
      <c r="M42" s="21"/>
      <c r="N42" s="22"/>
    </row>
    <row r="43" spans="1:14" ht="15.75" hidden="1" customHeight="1">
      <c r="A43" s="33">
        <v>13</v>
      </c>
      <c r="B43" s="64" t="s">
        <v>71</v>
      </c>
      <c r="C43" s="65" t="s">
        <v>32</v>
      </c>
      <c r="D43" s="64"/>
      <c r="E43" s="66"/>
      <c r="F43" s="67">
        <v>0.53</v>
      </c>
      <c r="G43" s="67">
        <v>750.34</v>
      </c>
      <c r="H43" s="68">
        <f t="shared" si="3"/>
        <v>0.39768020000000004</v>
      </c>
      <c r="I43" s="13">
        <f t="shared" si="4"/>
        <v>66.280033333333336</v>
      </c>
      <c r="J43" s="27"/>
      <c r="L43" s="20"/>
      <c r="M43" s="21"/>
      <c r="N43" s="22"/>
    </row>
    <row r="44" spans="1:14" ht="15.75" customHeight="1">
      <c r="A44" s="123" t="s">
        <v>132</v>
      </c>
      <c r="B44" s="124"/>
      <c r="C44" s="124"/>
      <c r="D44" s="124"/>
      <c r="E44" s="124"/>
      <c r="F44" s="124"/>
      <c r="G44" s="124"/>
      <c r="H44" s="124"/>
      <c r="I44" s="125"/>
      <c r="J44" s="27"/>
      <c r="L44" s="20"/>
      <c r="M44" s="21"/>
      <c r="N44" s="22"/>
    </row>
    <row r="45" spans="1:14" ht="15.75" customHeight="1">
      <c r="A45" s="33">
        <v>11</v>
      </c>
      <c r="B45" s="64" t="s">
        <v>117</v>
      </c>
      <c r="C45" s="65" t="s">
        <v>92</v>
      </c>
      <c r="D45" s="64" t="s">
        <v>42</v>
      </c>
      <c r="E45" s="66">
        <v>636.25</v>
      </c>
      <c r="F45" s="67">
        <f>SUM(E45*2/1000)</f>
        <v>1.2725</v>
      </c>
      <c r="G45" s="13">
        <v>762.53</v>
      </c>
      <c r="H45" s="68">
        <f t="shared" ref="H45:H54" si="5">SUM(F45*G45/1000)</f>
        <v>0.9703194249999999</v>
      </c>
      <c r="I45" s="13">
        <f t="shared" ref="I45:I48" si="6">F45/2*G45</f>
        <v>485.15971249999996</v>
      </c>
      <c r="J45" s="27"/>
      <c r="L45" s="20"/>
      <c r="M45" s="21"/>
      <c r="N45" s="22"/>
    </row>
    <row r="46" spans="1:14" ht="15.75" customHeight="1">
      <c r="A46" s="33">
        <v>12</v>
      </c>
      <c r="B46" s="64" t="s">
        <v>35</v>
      </c>
      <c r="C46" s="65" t="s">
        <v>92</v>
      </c>
      <c r="D46" s="64" t="s">
        <v>42</v>
      </c>
      <c r="E46" s="66">
        <v>26</v>
      </c>
      <c r="F46" s="67">
        <f>SUM(E46*2/1000)</f>
        <v>5.1999999999999998E-2</v>
      </c>
      <c r="G46" s="13">
        <v>545.65</v>
      </c>
      <c r="H46" s="68">
        <f t="shared" si="5"/>
        <v>2.8373799999999998E-2</v>
      </c>
      <c r="I46" s="13">
        <f t="shared" si="6"/>
        <v>14.1869</v>
      </c>
      <c r="J46" s="27"/>
      <c r="L46" s="20"/>
      <c r="M46" s="21"/>
      <c r="N46" s="22"/>
    </row>
    <row r="47" spans="1:14" ht="15.75" customHeight="1">
      <c r="A47" s="33">
        <v>13</v>
      </c>
      <c r="B47" s="64" t="s">
        <v>36</v>
      </c>
      <c r="C47" s="65" t="s">
        <v>92</v>
      </c>
      <c r="D47" s="64" t="s">
        <v>42</v>
      </c>
      <c r="E47" s="66">
        <v>579</v>
      </c>
      <c r="F47" s="67">
        <f>SUM(E47*2/1000)</f>
        <v>1.1579999999999999</v>
      </c>
      <c r="G47" s="13">
        <v>545.65</v>
      </c>
      <c r="H47" s="68">
        <f t="shared" si="5"/>
        <v>0.63186269999999989</v>
      </c>
      <c r="I47" s="13">
        <f t="shared" si="6"/>
        <v>315.93134999999995</v>
      </c>
      <c r="J47" s="27"/>
      <c r="L47" s="20"/>
      <c r="M47" s="21"/>
      <c r="N47" s="22"/>
    </row>
    <row r="48" spans="1:14" ht="15.75" customHeight="1">
      <c r="A48" s="33">
        <v>14</v>
      </c>
      <c r="B48" s="64" t="s">
        <v>37</v>
      </c>
      <c r="C48" s="65" t="s">
        <v>92</v>
      </c>
      <c r="D48" s="64" t="s">
        <v>42</v>
      </c>
      <c r="E48" s="66">
        <v>683.33</v>
      </c>
      <c r="F48" s="67">
        <f>SUM(E48*2/1000)</f>
        <v>1.36666</v>
      </c>
      <c r="G48" s="13">
        <v>571.35</v>
      </c>
      <c r="H48" s="68">
        <f t="shared" si="5"/>
        <v>0.78084119099999993</v>
      </c>
      <c r="I48" s="13">
        <f t="shared" si="6"/>
        <v>390.42059549999999</v>
      </c>
      <c r="J48" s="27"/>
      <c r="L48" s="20"/>
      <c r="M48" s="21"/>
      <c r="N48" s="22"/>
    </row>
    <row r="49" spans="1:22" ht="15.75" customHeight="1">
      <c r="A49" s="33">
        <v>15</v>
      </c>
      <c r="B49" s="64" t="s">
        <v>33</v>
      </c>
      <c r="C49" s="65" t="s">
        <v>34</v>
      </c>
      <c r="D49" s="64" t="s">
        <v>42</v>
      </c>
      <c r="E49" s="66">
        <v>44.11</v>
      </c>
      <c r="F49" s="67">
        <f>SUM(E49*2/100)</f>
        <v>0.88219999999999998</v>
      </c>
      <c r="G49" s="13">
        <v>68.56</v>
      </c>
      <c r="H49" s="68">
        <f t="shared" si="5"/>
        <v>6.0483632000000002E-2</v>
      </c>
      <c r="I49" s="13">
        <f>F49/2*G49</f>
        <v>30.241816</v>
      </c>
      <c r="J49" s="27"/>
      <c r="L49" s="20"/>
      <c r="M49" s="21"/>
      <c r="N49" s="22"/>
    </row>
    <row r="50" spans="1:22" ht="15.75" customHeight="1">
      <c r="A50" s="33">
        <v>16</v>
      </c>
      <c r="B50" s="64" t="s">
        <v>57</v>
      </c>
      <c r="C50" s="65" t="s">
        <v>92</v>
      </c>
      <c r="D50" s="64" t="s">
        <v>133</v>
      </c>
      <c r="E50" s="66">
        <v>1140</v>
      </c>
      <c r="F50" s="67">
        <f>SUM(E50*5/1000)</f>
        <v>5.7</v>
      </c>
      <c r="G50" s="13">
        <v>1142.7</v>
      </c>
      <c r="H50" s="68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4" t="s">
        <v>94</v>
      </c>
      <c r="C51" s="65" t="s">
        <v>92</v>
      </c>
      <c r="D51" s="64" t="s">
        <v>42</v>
      </c>
      <c r="E51" s="66">
        <v>1140</v>
      </c>
      <c r="F51" s="67">
        <f>SUM(E51*2/1000)</f>
        <v>2.2799999999999998</v>
      </c>
      <c r="G51" s="13">
        <v>1142.7</v>
      </c>
      <c r="H51" s="68">
        <f t="shared" si="5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4" t="s">
        <v>95</v>
      </c>
      <c r="C52" s="65" t="s">
        <v>38</v>
      </c>
      <c r="D52" s="64" t="s">
        <v>42</v>
      </c>
      <c r="E52" s="66">
        <v>9</v>
      </c>
      <c r="F52" s="67">
        <f>SUM(E52*2/100)</f>
        <v>0.18</v>
      </c>
      <c r="G52" s="13">
        <v>2571.08</v>
      </c>
      <c r="H52" s="68">
        <f t="shared" si="5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4" t="s">
        <v>39</v>
      </c>
      <c r="C53" s="65" t="s">
        <v>40</v>
      </c>
      <c r="D53" s="64" t="s">
        <v>42</v>
      </c>
      <c r="E53" s="66">
        <v>1</v>
      </c>
      <c r="F53" s="67">
        <v>0.02</v>
      </c>
      <c r="G53" s="13">
        <v>5322.15</v>
      </c>
      <c r="H53" s="68">
        <f t="shared" si="5"/>
        <v>0.106443</v>
      </c>
      <c r="I53" s="13">
        <v>0</v>
      </c>
      <c r="J53" s="27"/>
      <c r="L53" s="20"/>
      <c r="M53" s="21"/>
      <c r="N53" s="22"/>
    </row>
    <row r="54" spans="1:22" ht="15.75" customHeight="1">
      <c r="A54" s="33">
        <v>17</v>
      </c>
      <c r="B54" s="64" t="s">
        <v>41</v>
      </c>
      <c r="C54" s="65" t="s">
        <v>118</v>
      </c>
      <c r="D54" s="64" t="s">
        <v>72</v>
      </c>
      <c r="E54" s="66">
        <v>36</v>
      </c>
      <c r="F54" s="67">
        <f>SUM(E54)*3</f>
        <v>108</v>
      </c>
      <c r="G54" s="13">
        <v>61.84</v>
      </c>
      <c r="H54" s="68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customHeight="1">
      <c r="A55" s="123" t="s">
        <v>134</v>
      </c>
      <c r="B55" s="124"/>
      <c r="C55" s="124"/>
      <c r="D55" s="124"/>
      <c r="E55" s="124"/>
      <c r="F55" s="124"/>
      <c r="G55" s="124"/>
      <c r="H55" s="124"/>
      <c r="I55" s="125"/>
      <c r="J55" s="27"/>
      <c r="L55" s="20"/>
      <c r="M55" s="21"/>
      <c r="N55" s="22"/>
    </row>
    <row r="56" spans="1:22" ht="15.75" hidden="1" customHeight="1">
      <c r="A56" s="33"/>
      <c r="B56" s="85" t="s">
        <v>43</v>
      </c>
      <c r="C56" s="65"/>
      <c r="D56" s="64"/>
      <c r="E56" s="66"/>
      <c r="F56" s="67"/>
      <c r="G56" s="67"/>
      <c r="H56" s="68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4" t="s">
        <v>119</v>
      </c>
      <c r="C57" s="65" t="s">
        <v>89</v>
      </c>
      <c r="D57" s="64" t="s">
        <v>120</v>
      </c>
      <c r="E57" s="66">
        <v>72.33</v>
      </c>
      <c r="F57" s="67">
        <f>SUM(E57*6/100)</f>
        <v>4.3398000000000003</v>
      </c>
      <c r="G57" s="13">
        <v>1456.95</v>
      </c>
      <c r="H57" s="68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5" t="s">
        <v>44</v>
      </c>
      <c r="C58" s="65"/>
      <c r="D58" s="64"/>
      <c r="E58" s="66"/>
      <c r="F58" s="67"/>
      <c r="G58" s="60"/>
      <c r="H58" s="68"/>
      <c r="I58" s="13"/>
      <c r="J58" s="27"/>
      <c r="L58" s="20"/>
      <c r="M58" s="21"/>
      <c r="N58" s="22"/>
    </row>
    <row r="59" spans="1:22" ht="15.75" hidden="1" customHeight="1">
      <c r="A59" s="33"/>
      <c r="B59" s="64" t="s">
        <v>121</v>
      </c>
      <c r="C59" s="65"/>
      <c r="D59" s="64" t="s">
        <v>54</v>
      </c>
      <c r="E59" s="66">
        <v>952</v>
      </c>
      <c r="F59" s="68">
        <v>9.52</v>
      </c>
      <c r="G59" s="13">
        <v>848.37</v>
      </c>
      <c r="H59" s="73">
        <f>F59*G59/1000</f>
        <v>8.0764823999999997</v>
      </c>
      <c r="I59" s="13">
        <v>0</v>
      </c>
      <c r="J59" s="27"/>
      <c r="L59" s="20"/>
    </row>
    <row r="60" spans="1:22" ht="15.75" customHeight="1">
      <c r="A60" s="33"/>
      <c r="B60" s="86" t="s">
        <v>45</v>
      </c>
      <c r="C60" s="74"/>
      <c r="D60" s="75"/>
      <c r="E60" s="76"/>
      <c r="F60" s="77"/>
      <c r="G60" s="77"/>
      <c r="H60" s="78" t="s">
        <v>139</v>
      </c>
      <c r="I60" s="13"/>
    </row>
    <row r="61" spans="1:22" ht="15.75" hidden="1" customHeight="1">
      <c r="A61" s="33">
        <v>17</v>
      </c>
      <c r="B61" s="14" t="s">
        <v>46</v>
      </c>
      <c r="C61" s="16" t="s">
        <v>118</v>
      </c>
      <c r="D61" s="14" t="s">
        <v>68</v>
      </c>
      <c r="E61" s="18">
        <v>5</v>
      </c>
      <c r="F61" s="67">
        <v>5</v>
      </c>
      <c r="G61" s="13">
        <v>237.74</v>
      </c>
      <c r="H61" s="79">
        <f t="shared" ref="H61:H75" si="7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47</v>
      </c>
      <c r="C62" s="16" t="s">
        <v>118</v>
      </c>
      <c r="D62" s="14" t="s">
        <v>68</v>
      </c>
      <c r="E62" s="18">
        <v>2</v>
      </c>
      <c r="F62" s="67">
        <v>2</v>
      </c>
      <c r="G62" s="13">
        <v>81.510000000000005</v>
      </c>
      <c r="H62" s="79">
        <f t="shared" si="7"/>
        <v>0.16302</v>
      </c>
      <c r="I62" s="13">
        <v>0</v>
      </c>
    </row>
    <row r="63" spans="1:22" ht="15.75" hidden="1" customHeight="1">
      <c r="A63" s="33"/>
      <c r="B63" s="14" t="s">
        <v>48</v>
      </c>
      <c r="C63" s="16" t="s">
        <v>122</v>
      </c>
      <c r="D63" s="14" t="s">
        <v>54</v>
      </c>
      <c r="E63" s="66">
        <v>4292</v>
      </c>
      <c r="F63" s="13">
        <f>SUM(E63/100)</f>
        <v>42.92</v>
      </c>
      <c r="G63" s="13">
        <v>226.79</v>
      </c>
      <c r="H63" s="79">
        <f t="shared" si="7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49</v>
      </c>
      <c r="C64" s="16" t="s">
        <v>123</v>
      </c>
      <c r="D64" s="14"/>
      <c r="E64" s="66">
        <v>4292</v>
      </c>
      <c r="F64" s="13">
        <f>SUM(E64/1000)</f>
        <v>4.2919999999999998</v>
      </c>
      <c r="G64" s="13">
        <v>176.61</v>
      </c>
      <c r="H64" s="79">
        <f t="shared" si="7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50</v>
      </c>
      <c r="C65" s="16" t="s">
        <v>78</v>
      </c>
      <c r="D65" s="14" t="s">
        <v>54</v>
      </c>
      <c r="E65" s="66">
        <v>510</v>
      </c>
      <c r="F65" s="13">
        <f>SUM(E65/100)</f>
        <v>5.0999999999999996</v>
      </c>
      <c r="G65" s="13">
        <v>2217.7800000000002</v>
      </c>
      <c r="H65" s="79">
        <f t="shared" si="7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0" t="s">
        <v>124</v>
      </c>
      <c r="C66" s="16" t="s">
        <v>32</v>
      </c>
      <c r="D66" s="14"/>
      <c r="E66" s="66">
        <v>4.5999999999999996</v>
      </c>
      <c r="F66" s="13">
        <f>SUM(E66)</f>
        <v>4.5999999999999996</v>
      </c>
      <c r="G66" s="13">
        <v>42.67</v>
      </c>
      <c r="H66" s="79">
        <f t="shared" si="7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8"/>
      <c r="S66" s="118"/>
      <c r="T66" s="118"/>
      <c r="U66" s="118"/>
    </row>
    <row r="67" spans="1:21" ht="15.75" hidden="1" customHeight="1">
      <c r="A67" s="33"/>
      <c r="B67" s="80" t="s">
        <v>125</v>
      </c>
      <c r="C67" s="16" t="s">
        <v>32</v>
      </c>
      <c r="D67" s="14"/>
      <c r="E67" s="66">
        <v>4.5999999999999996</v>
      </c>
      <c r="F67" s="13">
        <f>SUM(E67)</f>
        <v>4.5999999999999996</v>
      </c>
      <c r="G67" s="13">
        <v>39.81</v>
      </c>
      <c r="H67" s="79">
        <f t="shared" si="7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>
      <c r="A68" s="33">
        <v>18</v>
      </c>
      <c r="B68" s="14" t="s">
        <v>58</v>
      </c>
      <c r="C68" s="16" t="s">
        <v>59</v>
      </c>
      <c r="D68" s="14" t="s">
        <v>54</v>
      </c>
      <c r="E68" s="18">
        <v>3</v>
      </c>
      <c r="F68" s="67">
        <v>3</v>
      </c>
      <c r="G68" s="13">
        <v>53.32</v>
      </c>
      <c r="H68" s="79">
        <f t="shared" si="7"/>
        <v>0.15996000000000002</v>
      </c>
      <c r="I68" s="13">
        <f>G68*3</f>
        <v>159.96</v>
      </c>
    </row>
    <row r="69" spans="1:21" ht="15.75" hidden="1" customHeight="1">
      <c r="A69" s="33"/>
      <c r="B69" s="51" t="s">
        <v>73</v>
      </c>
      <c r="C69" s="16"/>
      <c r="D69" s="14"/>
      <c r="E69" s="18"/>
      <c r="F69" s="13"/>
      <c r="G69" s="13"/>
      <c r="H69" s="79" t="s">
        <v>139</v>
      </c>
      <c r="I69" s="13"/>
    </row>
    <row r="70" spans="1:21" ht="15.75" hidden="1" customHeight="1">
      <c r="A70" s="33"/>
      <c r="B70" s="14" t="s">
        <v>74</v>
      </c>
      <c r="C70" s="16" t="s">
        <v>76</v>
      </c>
      <c r="D70" s="14"/>
      <c r="E70" s="18">
        <v>2</v>
      </c>
      <c r="F70" s="13">
        <v>0.2</v>
      </c>
      <c r="G70" s="13">
        <v>536.23</v>
      </c>
      <c r="H70" s="79">
        <f t="shared" si="7"/>
        <v>0.10724600000000001</v>
      </c>
      <c r="I70" s="13">
        <v>0</v>
      </c>
    </row>
    <row r="71" spans="1:21" ht="15.75" hidden="1" customHeight="1">
      <c r="A71" s="33"/>
      <c r="B71" s="14" t="s">
        <v>75</v>
      </c>
      <c r="C71" s="16" t="s">
        <v>30</v>
      </c>
      <c r="D71" s="14"/>
      <c r="E71" s="18">
        <v>1</v>
      </c>
      <c r="F71" s="60">
        <v>1</v>
      </c>
      <c r="G71" s="13">
        <v>911.85</v>
      </c>
      <c r="H71" s="79">
        <f t="shared" si="7"/>
        <v>0.91185000000000005</v>
      </c>
      <c r="I71" s="13">
        <v>0</v>
      </c>
    </row>
    <row r="72" spans="1:21" ht="15.75" hidden="1" customHeight="1">
      <c r="A72" s="33"/>
      <c r="B72" s="14" t="s">
        <v>140</v>
      </c>
      <c r="C72" s="16" t="s">
        <v>141</v>
      </c>
      <c r="D72" s="14"/>
      <c r="E72" s="18"/>
      <c r="F72" s="13"/>
      <c r="G72" s="13">
        <v>31.54</v>
      </c>
      <c r="H72" s="79">
        <f t="shared" si="7"/>
        <v>0</v>
      </c>
      <c r="I72" s="13"/>
    </row>
    <row r="73" spans="1:21" ht="15.75" hidden="1" customHeight="1">
      <c r="A73" s="33"/>
      <c r="B73" s="14" t="s">
        <v>127</v>
      </c>
      <c r="C73" s="16" t="s">
        <v>30</v>
      </c>
      <c r="D73" s="14"/>
      <c r="E73" s="18">
        <v>1</v>
      </c>
      <c r="F73" s="13">
        <v>1</v>
      </c>
      <c r="G73" s="13">
        <v>383.25</v>
      </c>
      <c r="H73" s="79">
        <f>G73*F73/1000</f>
        <v>0.38324999999999998</v>
      </c>
      <c r="I73" s="13">
        <v>0</v>
      </c>
    </row>
    <row r="74" spans="1:21" ht="15.75" hidden="1" customHeight="1">
      <c r="A74" s="33"/>
      <c r="B74" s="82" t="s">
        <v>77</v>
      </c>
      <c r="C74" s="16"/>
      <c r="D74" s="14"/>
      <c r="E74" s="18"/>
      <c r="F74" s="13"/>
      <c r="G74" s="13" t="s">
        <v>139</v>
      </c>
      <c r="H74" s="79" t="s">
        <v>139</v>
      </c>
      <c r="I74" s="13"/>
    </row>
    <row r="75" spans="1:21" ht="15.75" hidden="1" customHeight="1">
      <c r="A75" s="33"/>
      <c r="B75" s="45" t="s">
        <v>151</v>
      </c>
      <c r="C75" s="16" t="s">
        <v>78</v>
      </c>
      <c r="D75" s="14"/>
      <c r="E75" s="18"/>
      <c r="F75" s="13">
        <v>0.1</v>
      </c>
      <c r="G75" s="13">
        <v>2949.85</v>
      </c>
      <c r="H75" s="79">
        <f t="shared" si="7"/>
        <v>0.294985</v>
      </c>
      <c r="I75" s="13">
        <v>0</v>
      </c>
    </row>
    <row r="76" spans="1:21" ht="15.75" hidden="1" customHeight="1">
      <c r="A76" s="33"/>
      <c r="B76" s="89" t="s">
        <v>96</v>
      </c>
      <c r="C76" s="89"/>
      <c r="D76" s="89"/>
      <c r="E76" s="89"/>
      <c r="F76" s="89"/>
      <c r="G76" s="70"/>
      <c r="H76" s="83">
        <f>SUM(H57:H75)</f>
        <v>39.790287929999998</v>
      </c>
      <c r="I76" s="70"/>
    </row>
    <row r="77" spans="1:21" ht="15.75" hidden="1" customHeight="1">
      <c r="A77" s="33">
        <v>18</v>
      </c>
      <c r="B77" s="87" t="s">
        <v>126</v>
      </c>
      <c r="C77" s="24"/>
      <c r="D77" s="23"/>
      <c r="E77" s="84"/>
      <c r="F77" s="88">
        <v>1</v>
      </c>
      <c r="G77" s="13">
        <v>3124.9</v>
      </c>
      <c r="H77" s="79">
        <f>G77*F77/1000</f>
        <v>3.1249000000000002</v>
      </c>
      <c r="I77" s="13">
        <f>G77</f>
        <v>3124.9</v>
      </c>
    </row>
    <row r="78" spans="1:21" ht="15.75" customHeight="1">
      <c r="A78" s="123" t="s">
        <v>135</v>
      </c>
      <c r="B78" s="124"/>
      <c r="C78" s="124"/>
      <c r="D78" s="124"/>
      <c r="E78" s="124"/>
      <c r="F78" s="124"/>
      <c r="G78" s="124"/>
      <c r="H78" s="124"/>
      <c r="I78" s="125"/>
    </row>
    <row r="79" spans="1:21" ht="15.75" customHeight="1">
      <c r="A79" s="33">
        <v>19</v>
      </c>
      <c r="B79" s="64" t="s">
        <v>128</v>
      </c>
      <c r="C79" s="16" t="s">
        <v>55</v>
      </c>
      <c r="D79" s="50" t="s">
        <v>56</v>
      </c>
      <c r="E79" s="13">
        <v>1042.5999999999999</v>
      </c>
      <c r="F79" s="13">
        <f>SUM(E79*12)</f>
        <v>12511.199999999999</v>
      </c>
      <c r="G79" s="13">
        <v>2.2400000000000002</v>
      </c>
      <c r="H79" s="79">
        <f>SUM(F79*G79/1000)</f>
        <v>28.025088</v>
      </c>
      <c r="I79" s="13">
        <f>F79/12*G79</f>
        <v>2335.424</v>
      </c>
    </row>
    <row r="80" spans="1:21" ht="31.5" customHeight="1">
      <c r="A80" s="33">
        <v>20</v>
      </c>
      <c r="B80" s="14" t="s">
        <v>79</v>
      </c>
      <c r="C80" s="16"/>
      <c r="D80" s="50" t="s">
        <v>56</v>
      </c>
      <c r="E80" s="66">
        <f>E79</f>
        <v>1042.5999999999999</v>
      </c>
      <c r="F80" s="13">
        <f>E80*12</f>
        <v>12511.199999999999</v>
      </c>
      <c r="G80" s="13">
        <v>1.74</v>
      </c>
      <c r="H80" s="79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82</v>
      </c>
      <c r="C81" s="82"/>
      <c r="D81" s="81"/>
      <c r="E81" s="70"/>
      <c r="F81" s="70"/>
      <c r="G81" s="70"/>
      <c r="H81" s="83">
        <f>H80</f>
        <v>21.769487999999999</v>
      </c>
      <c r="I81" s="70">
        <f>I80+I79+I68+I54+I50+I49+I48+I47+I46+I45+I34+I32+I31+I28+I27+I21+I20+I18+I17+I16</f>
        <v>20233.450267644443</v>
      </c>
    </row>
    <row r="82" spans="1:9" ht="15.75" customHeight="1">
      <c r="A82" s="132" t="s">
        <v>61</v>
      </c>
      <c r="B82" s="133"/>
      <c r="C82" s="133"/>
      <c r="D82" s="133"/>
      <c r="E82" s="133"/>
      <c r="F82" s="133"/>
      <c r="G82" s="133"/>
      <c r="H82" s="133"/>
      <c r="I82" s="134"/>
    </row>
    <row r="83" spans="1:9" ht="31.5" hidden="1" customHeight="1">
      <c r="A83" s="33"/>
      <c r="B83" s="48" t="s">
        <v>142</v>
      </c>
      <c r="C83" s="49" t="s">
        <v>143</v>
      </c>
      <c r="D83" s="45"/>
      <c r="E83" s="13"/>
      <c r="F83" s="13">
        <v>1</v>
      </c>
      <c r="G83" s="13">
        <v>51.39</v>
      </c>
      <c r="H83" s="79">
        <f t="shared" ref="H83:H90" si="8">G83*F83/1000</f>
        <v>5.1389999999999998E-2</v>
      </c>
      <c r="I83" s="13">
        <v>0</v>
      </c>
    </row>
    <row r="84" spans="1:9" ht="15.75" hidden="1" customHeight="1">
      <c r="A84" s="33"/>
      <c r="B84" s="48" t="s">
        <v>144</v>
      </c>
      <c r="C84" s="49" t="s">
        <v>145</v>
      </c>
      <c r="D84" s="45"/>
      <c r="E84" s="13"/>
      <c r="F84" s="13">
        <v>5</v>
      </c>
      <c r="G84" s="13">
        <v>1501</v>
      </c>
      <c r="H84" s="79">
        <f t="shared" si="8"/>
        <v>7.5049999999999999</v>
      </c>
      <c r="I84" s="13">
        <v>0</v>
      </c>
    </row>
    <row r="85" spans="1:9" ht="15.75" hidden="1" customHeight="1">
      <c r="A85" s="33"/>
      <c r="B85" s="48" t="s">
        <v>146</v>
      </c>
      <c r="C85" s="49" t="s">
        <v>147</v>
      </c>
      <c r="D85" s="45"/>
      <c r="E85" s="13"/>
      <c r="F85" s="13">
        <v>1</v>
      </c>
      <c r="G85" s="13">
        <v>1646</v>
      </c>
      <c r="H85" s="79">
        <f t="shared" si="8"/>
        <v>1.6459999999999999</v>
      </c>
      <c r="I85" s="13">
        <v>0</v>
      </c>
    </row>
    <row r="86" spans="1:9" ht="15.75" hidden="1" customHeight="1">
      <c r="A86" s="33"/>
      <c r="B86" s="48" t="s">
        <v>148</v>
      </c>
      <c r="C86" s="49" t="s">
        <v>97</v>
      </c>
      <c r="D86" s="45"/>
      <c r="E86" s="13"/>
      <c r="F86" s="13">
        <v>1</v>
      </c>
      <c r="G86" s="13">
        <v>182.63</v>
      </c>
      <c r="H86" s="79">
        <f t="shared" si="8"/>
        <v>0.18262999999999999</v>
      </c>
      <c r="I86" s="13">
        <v>0</v>
      </c>
    </row>
    <row r="87" spans="1:9" ht="15.75" hidden="1" customHeight="1">
      <c r="A87" s="33"/>
      <c r="B87" s="48" t="s">
        <v>129</v>
      </c>
      <c r="C87" s="49" t="s">
        <v>85</v>
      </c>
      <c r="D87" s="45"/>
      <c r="E87" s="13"/>
      <c r="F87" s="13">
        <v>2</v>
      </c>
      <c r="G87" s="13">
        <v>185.81</v>
      </c>
      <c r="H87" s="79">
        <f t="shared" si="8"/>
        <v>0.37162000000000001</v>
      </c>
      <c r="I87" s="13">
        <v>0</v>
      </c>
    </row>
    <row r="88" spans="1:9" ht="15.75" customHeight="1">
      <c r="A88" s="33">
        <v>21</v>
      </c>
      <c r="B88" s="75" t="s">
        <v>179</v>
      </c>
      <c r="C88" s="74" t="s">
        <v>180</v>
      </c>
      <c r="D88" s="75"/>
      <c r="E88" s="76"/>
      <c r="F88" s="77">
        <v>200</v>
      </c>
      <c r="G88" s="60">
        <v>1.2</v>
      </c>
      <c r="H88" s="78">
        <f>F88*G88/1000</f>
        <v>0.24</v>
      </c>
      <c r="I88" s="101">
        <f>G88*100</f>
        <v>120</v>
      </c>
    </row>
    <row r="89" spans="1:9" ht="31.5" hidden="1" customHeight="1">
      <c r="A89" s="33"/>
      <c r="B89" s="48" t="s">
        <v>81</v>
      </c>
      <c r="C89" s="49" t="s">
        <v>118</v>
      </c>
      <c r="D89" s="45"/>
      <c r="E89" s="13"/>
      <c r="F89" s="13">
        <v>1</v>
      </c>
      <c r="G89" s="13">
        <v>79.09</v>
      </c>
      <c r="H89" s="79">
        <f t="shared" si="8"/>
        <v>7.9090000000000008E-2</v>
      </c>
      <c r="I89" s="13">
        <v>0</v>
      </c>
    </row>
    <row r="90" spans="1:9" ht="15.75" hidden="1" customHeight="1">
      <c r="A90" s="33"/>
      <c r="B90" s="48" t="s">
        <v>149</v>
      </c>
      <c r="C90" s="49" t="s">
        <v>150</v>
      </c>
      <c r="D90" s="45"/>
      <c r="E90" s="13"/>
      <c r="F90" s="13">
        <v>1</v>
      </c>
      <c r="G90" s="13">
        <v>1072.21</v>
      </c>
      <c r="H90" s="79">
        <f t="shared" si="8"/>
        <v>1.0722100000000001</v>
      </c>
      <c r="I90" s="13">
        <v>0</v>
      </c>
    </row>
    <row r="91" spans="1:9" ht="15.75" customHeight="1">
      <c r="A91" s="33">
        <v>22</v>
      </c>
      <c r="B91" s="105" t="s">
        <v>223</v>
      </c>
      <c r="C91" s="106" t="s">
        <v>224</v>
      </c>
      <c r="D91" s="45"/>
      <c r="E91" s="13"/>
      <c r="F91" s="13"/>
      <c r="G91" s="37">
        <v>134.12</v>
      </c>
      <c r="H91" s="79"/>
      <c r="I91" s="13">
        <f>G91*9</f>
        <v>1207.08</v>
      </c>
    </row>
    <row r="92" spans="1:9" ht="15.75" customHeight="1">
      <c r="A92" s="33">
        <v>23</v>
      </c>
      <c r="B92" s="105" t="s">
        <v>209</v>
      </c>
      <c r="C92" s="106" t="s">
        <v>118</v>
      </c>
      <c r="D92" s="45"/>
      <c r="E92" s="13"/>
      <c r="F92" s="13"/>
      <c r="G92" s="37">
        <v>873.22</v>
      </c>
      <c r="H92" s="79"/>
      <c r="I92" s="13">
        <v>873.22</v>
      </c>
    </row>
    <row r="93" spans="1:9" ht="15.75" customHeight="1">
      <c r="A93" s="33">
        <v>24</v>
      </c>
      <c r="B93" s="99" t="s">
        <v>225</v>
      </c>
      <c r="C93" s="100" t="s">
        <v>99</v>
      </c>
      <c r="D93" s="45"/>
      <c r="E93" s="13"/>
      <c r="F93" s="13"/>
      <c r="G93" s="37">
        <v>3413.41</v>
      </c>
      <c r="H93" s="79"/>
      <c r="I93" s="13">
        <f>G93*0.06</f>
        <v>204.80459999999999</v>
      </c>
    </row>
    <row r="94" spans="1:9">
      <c r="A94" s="33"/>
      <c r="B94" s="43" t="s">
        <v>51</v>
      </c>
      <c r="C94" s="39"/>
      <c r="D94" s="46"/>
      <c r="E94" s="39">
        <v>1</v>
      </c>
      <c r="F94" s="39"/>
      <c r="G94" s="39"/>
      <c r="H94" s="39"/>
      <c r="I94" s="35">
        <f>SUM(I83:I93)</f>
        <v>2405.1046000000001</v>
      </c>
    </row>
    <row r="95" spans="1:9" ht="16.5" customHeight="1">
      <c r="A95" s="33"/>
      <c r="B95" s="45" t="s">
        <v>80</v>
      </c>
      <c r="C95" s="15"/>
      <c r="D95" s="15"/>
      <c r="E95" s="40"/>
      <c r="F95" s="40"/>
      <c r="G95" s="41"/>
      <c r="H95" s="41"/>
      <c r="I95" s="17">
        <v>0</v>
      </c>
    </row>
    <row r="96" spans="1:9" ht="16.5" customHeight="1">
      <c r="A96" s="47"/>
      <c r="B96" s="44" t="s">
        <v>169</v>
      </c>
      <c r="C96" s="36"/>
      <c r="D96" s="36"/>
      <c r="E96" s="36"/>
      <c r="F96" s="36"/>
      <c r="G96" s="36"/>
      <c r="H96" s="36"/>
      <c r="I96" s="42">
        <f>I81+I94</f>
        <v>22638.554867644441</v>
      </c>
    </row>
    <row r="97" spans="1:9" ht="15.75" customHeight="1">
      <c r="A97" s="119" t="s">
        <v>228</v>
      </c>
      <c r="B97" s="119"/>
      <c r="C97" s="119"/>
      <c r="D97" s="119"/>
      <c r="E97" s="119"/>
      <c r="F97" s="119"/>
      <c r="G97" s="119"/>
      <c r="H97" s="119"/>
      <c r="I97" s="119"/>
    </row>
    <row r="98" spans="1:9" ht="15.75" customHeight="1">
      <c r="A98" s="57"/>
      <c r="B98" s="120" t="s">
        <v>229</v>
      </c>
      <c r="C98" s="120"/>
      <c r="D98" s="120"/>
      <c r="E98" s="120"/>
      <c r="F98" s="120"/>
      <c r="G98" s="120"/>
      <c r="H98" s="63"/>
      <c r="I98" s="3"/>
    </row>
    <row r="99" spans="1:9">
      <c r="A99" s="56"/>
      <c r="B99" s="121" t="s">
        <v>6</v>
      </c>
      <c r="C99" s="121"/>
      <c r="D99" s="121"/>
      <c r="E99" s="121"/>
      <c r="F99" s="121"/>
      <c r="G99" s="121"/>
      <c r="H99" s="28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22" t="s">
        <v>7</v>
      </c>
      <c r="B101" s="122"/>
      <c r="C101" s="122"/>
      <c r="D101" s="122"/>
      <c r="E101" s="122"/>
      <c r="F101" s="122"/>
      <c r="G101" s="122"/>
      <c r="H101" s="122"/>
      <c r="I101" s="122"/>
    </row>
    <row r="102" spans="1:9" ht="15.75">
      <c r="A102" s="122" t="s">
        <v>8</v>
      </c>
      <c r="B102" s="122"/>
      <c r="C102" s="122"/>
      <c r="D102" s="122"/>
      <c r="E102" s="122"/>
      <c r="F102" s="122"/>
      <c r="G102" s="122"/>
      <c r="H102" s="122"/>
      <c r="I102" s="122"/>
    </row>
    <row r="103" spans="1:9" ht="15.75">
      <c r="A103" s="127" t="s">
        <v>62</v>
      </c>
      <c r="B103" s="127"/>
      <c r="C103" s="127"/>
      <c r="D103" s="127"/>
      <c r="E103" s="127"/>
      <c r="F103" s="127"/>
      <c r="G103" s="127"/>
      <c r="H103" s="127"/>
      <c r="I103" s="127"/>
    </row>
    <row r="104" spans="1:9" ht="7.5" customHeight="1">
      <c r="A104" s="11"/>
    </row>
    <row r="105" spans="1:9" ht="15.75">
      <c r="A105" s="128" t="s">
        <v>9</v>
      </c>
      <c r="B105" s="128"/>
      <c r="C105" s="128"/>
      <c r="D105" s="128"/>
      <c r="E105" s="128"/>
      <c r="F105" s="128"/>
      <c r="G105" s="128"/>
      <c r="H105" s="128"/>
      <c r="I105" s="128"/>
    </row>
    <row r="106" spans="1:9" ht="15.75">
      <c r="A106" s="4"/>
    </row>
    <row r="107" spans="1:9" ht="15.75">
      <c r="B107" s="53" t="s">
        <v>10</v>
      </c>
      <c r="C107" s="129" t="s">
        <v>131</v>
      </c>
      <c r="D107" s="129"/>
      <c r="E107" s="129"/>
      <c r="F107" s="61"/>
      <c r="I107" s="55"/>
    </row>
    <row r="108" spans="1:9">
      <c r="A108" s="56"/>
      <c r="C108" s="121" t="s">
        <v>11</v>
      </c>
      <c r="D108" s="121"/>
      <c r="E108" s="121"/>
      <c r="F108" s="28"/>
      <c r="I108" s="54" t="s">
        <v>12</v>
      </c>
    </row>
    <row r="109" spans="1:9" ht="15.75">
      <c r="A109" s="29"/>
      <c r="C109" s="12"/>
      <c r="D109" s="12"/>
      <c r="G109" s="12"/>
      <c r="H109" s="12"/>
    </row>
    <row r="110" spans="1:9" ht="15.75">
      <c r="B110" s="53" t="s">
        <v>13</v>
      </c>
      <c r="C110" s="130"/>
      <c r="D110" s="130"/>
      <c r="E110" s="130"/>
      <c r="F110" s="62"/>
      <c r="I110" s="55"/>
    </row>
    <row r="111" spans="1:9">
      <c r="A111" s="56"/>
      <c r="C111" s="118" t="s">
        <v>11</v>
      </c>
      <c r="D111" s="118"/>
      <c r="E111" s="118"/>
      <c r="F111" s="56"/>
      <c r="I111" s="54" t="s">
        <v>12</v>
      </c>
    </row>
    <row r="112" spans="1:9" ht="15.75">
      <c r="A112" s="4" t="s">
        <v>14</v>
      </c>
    </row>
    <row r="113" spans="1:9">
      <c r="A113" s="131" t="s">
        <v>15</v>
      </c>
      <c r="B113" s="131"/>
      <c r="C113" s="131"/>
      <c r="D113" s="131"/>
      <c r="E113" s="131"/>
      <c r="F113" s="131"/>
      <c r="G113" s="131"/>
      <c r="H113" s="131"/>
      <c r="I113" s="131"/>
    </row>
    <row r="114" spans="1:9" ht="45" customHeight="1">
      <c r="A114" s="126" t="s">
        <v>16</v>
      </c>
      <c r="B114" s="126"/>
      <c r="C114" s="126"/>
      <c r="D114" s="126"/>
      <c r="E114" s="126"/>
      <c r="F114" s="126"/>
      <c r="G114" s="126"/>
      <c r="H114" s="126"/>
      <c r="I114" s="126"/>
    </row>
    <row r="115" spans="1:9" ht="30" customHeight="1">
      <c r="A115" s="126" t="s">
        <v>17</v>
      </c>
      <c r="B115" s="126"/>
      <c r="C115" s="126"/>
      <c r="D115" s="126"/>
      <c r="E115" s="126"/>
      <c r="F115" s="126"/>
      <c r="G115" s="126"/>
      <c r="H115" s="126"/>
      <c r="I115" s="126"/>
    </row>
    <row r="116" spans="1:9" ht="30" customHeight="1">
      <c r="A116" s="126" t="s">
        <v>21</v>
      </c>
      <c r="B116" s="126"/>
      <c r="C116" s="126"/>
      <c r="D116" s="126"/>
      <c r="E116" s="126"/>
      <c r="F116" s="126"/>
      <c r="G116" s="126"/>
      <c r="H116" s="126"/>
      <c r="I116" s="126"/>
    </row>
    <row r="117" spans="1:9" ht="14.25" customHeight="1">
      <c r="A117" s="126" t="s">
        <v>20</v>
      </c>
      <c r="B117" s="126"/>
      <c r="C117" s="126"/>
      <c r="D117" s="126"/>
      <c r="E117" s="126"/>
      <c r="F117" s="126"/>
      <c r="G117" s="126"/>
      <c r="H117" s="126"/>
      <c r="I117" s="126"/>
    </row>
  </sheetData>
  <autoFilter ref="I12:I61"/>
  <mergeCells count="29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9:I29"/>
    <mergeCell ref="A44:I44"/>
    <mergeCell ref="A55:I55"/>
    <mergeCell ref="A97:I97"/>
    <mergeCell ref="B98:G98"/>
    <mergeCell ref="B99:G99"/>
    <mergeCell ref="A101:I101"/>
    <mergeCell ref="A102:I102"/>
    <mergeCell ref="A82:I82"/>
    <mergeCell ref="R66:U66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7.874015748031496E-2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2019-09-27T05:14:44Z</cp:lastPrinted>
  <dcterms:created xsi:type="dcterms:W3CDTF">2016-03-25T08:33:47Z</dcterms:created>
  <dcterms:modified xsi:type="dcterms:W3CDTF">2019-09-27T05:16:43Z</dcterms:modified>
</cp:coreProperties>
</file>