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20100" windowHeight="7815"/>
  </bookViews>
  <sheets>
    <sheet name="Сов.,14" sheetId="1" r:id="rId1"/>
  </sheets>
  <definedNames>
    <definedName name="_xlnm.Print_Area" localSheetId="0">'Сов.,14'!$A$1:$Z$136</definedName>
  </definedNames>
  <calcPr calcId="124519"/>
</workbook>
</file>

<file path=xl/calcChain.xml><?xml version="1.0" encoding="utf-8"?>
<calcChain xmlns="http://schemas.openxmlformats.org/spreadsheetml/2006/main">
  <c r="C133" i="1"/>
  <c r="R105" l="1"/>
  <c r="U105" s="1"/>
  <c r="F105"/>
  <c r="H105" s="1"/>
  <c r="R112"/>
  <c r="U113"/>
  <c r="R113"/>
  <c r="H113"/>
  <c r="U106"/>
  <c r="R106"/>
  <c r="H106"/>
  <c r="S57"/>
  <c r="S59"/>
  <c r="U107"/>
  <c r="R107"/>
  <c r="H107"/>
  <c r="T122" l="1"/>
  <c r="U122" s="1"/>
  <c r="F122"/>
  <c r="H122" s="1"/>
  <c r="F123"/>
  <c r="T123" s="1"/>
  <c r="U123" s="1"/>
  <c r="F121"/>
  <c r="T121" s="1"/>
  <c r="U121" s="1"/>
  <c r="C134"/>
  <c r="C131"/>
  <c r="S120"/>
  <c r="U120" s="1"/>
  <c r="H120"/>
  <c r="S119"/>
  <c r="U119" s="1"/>
  <c r="H119"/>
  <c r="T108"/>
  <c r="R108"/>
  <c r="S118"/>
  <c r="R111"/>
  <c r="U111" s="1"/>
  <c r="H111"/>
  <c r="R110"/>
  <c r="U110" s="1"/>
  <c r="Q110"/>
  <c r="K110"/>
  <c r="H110"/>
  <c r="F114"/>
  <c r="S114"/>
  <c r="U114" s="1"/>
  <c r="S61"/>
  <c r="S117"/>
  <c r="U117" s="1"/>
  <c r="H117"/>
  <c r="F116"/>
  <c r="S116"/>
  <c r="U116" s="1"/>
  <c r="S115"/>
  <c r="H114"/>
  <c r="H123" l="1"/>
  <c r="H121"/>
  <c r="U115"/>
  <c r="U118"/>
  <c r="U82"/>
  <c r="U81"/>
  <c r="U57"/>
  <c r="U59"/>
  <c r="U62"/>
  <c r="U63"/>
  <c r="U64"/>
  <c r="U65"/>
  <c r="U66"/>
  <c r="U67"/>
  <c r="U68"/>
  <c r="U70"/>
  <c r="U71"/>
  <c r="U72"/>
  <c r="U73"/>
  <c r="U74"/>
  <c r="U79"/>
  <c r="U43"/>
  <c r="U44"/>
  <c r="U45"/>
  <c r="U46"/>
  <c r="U51"/>
  <c r="U52"/>
  <c r="U42"/>
  <c r="U36"/>
  <c r="U25"/>
  <c r="U28"/>
  <c r="U29"/>
  <c r="U14"/>
  <c r="U15"/>
  <c r="U17"/>
  <c r="U18"/>
  <c r="U19"/>
  <c r="U20"/>
  <c r="U112" l="1"/>
  <c r="Q112"/>
  <c r="P112"/>
  <c r="O112"/>
  <c r="H112"/>
  <c r="H124" s="1"/>
  <c r="R104" l="1"/>
  <c r="U104" s="1"/>
  <c r="R109"/>
  <c r="U109" s="1"/>
  <c r="H109"/>
  <c r="H108"/>
  <c r="U108"/>
  <c r="H103"/>
  <c r="R103"/>
  <c r="U103" s="1"/>
  <c r="R61"/>
  <c r="U61" s="1"/>
  <c r="R102"/>
  <c r="U102" s="1"/>
  <c r="I102"/>
  <c r="H102"/>
  <c r="R101" l="1"/>
  <c r="U101" s="1"/>
  <c r="L101"/>
  <c r="H101"/>
  <c r="R100"/>
  <c r="U100" s="1"/>
  <c r="R99"/>
  <c r="U99" s="1"/>
  <c r="J99"/>
  <c r="H99"/>
  <c r="R98"/>
  <c r="U98" s="1"/>
  <c r="J98"/>
  <c r="H98"/>
  <c r="R97"/>
  <c r="U97" s="1"/>
  <c r="M97"/>
  <c r="J97"/>
  <c r="H97"/>
  <c r="R96"/>
  <c r="U96" s="1"/>
  <c r="M96"/>
  <c r="J96"/>
  <c r="H96"/>
  <c r="R95"/>
  <c r="U95" s="1"/>
  <c r="J95"/>
  <c r="H95"/>
  <c r="R94"/>
  <c r="U94" s="1"/>
  <c r="L94"/>
  <c r="J94"/>
  <c r="H94"/>
  <c r="R93"/>
  <c r="U93" s="1"/>
  <c r="M93"/>
  <c r="L93"/>
  <c r="J93"/>
  <c r="H93"/>
  <c r="R92"/>
  <c r="U92" s="1"/>
  <c r="M92"/>
  <c r="J92"/>
  <c r="H92"/>
  <c r="U124" l="1"/>
  <c r="F77"/>
  <c r="T77" s="1"/>
  <c r="K77" l="1"/>
  <c r="O77"/>
  <c r="Q77"/>
  <c r="S77"/>
  <c r="I77"/>
  <c r="M77"/>
  <c r="H77"/>
  <c r="J77"/>
  <c r="L77"/>
  <c r="N77"/>
  <c r="P77"/>
  <c r="R77"/>
  <c r="U77" s="1"/>
  <c r="H82" l="1"/>
  <c r="T75"/>
  <c r="S75"/>
  <c r="R75"/>
  <c r="Q75"/>
  <c r="P75"/>
  <c r="O75"/>
  <c r="H75"/>
  <c r="H74"/>
  <c r="U75" l="1"/>
  <c r="F62"/>
  <c r="F61"/>
  <c r="F59"/>
  <c r="H57"/>
  <c r="F56"/>
  <c r="H56" s="1"/>
  <c r="F51"/>
  <c r="F37"/>
  <c r="F38"/>
  <c r="F27"/>
  <c r="E26"/>
  <c r="F24"/>
  <c r="F15"/>
  <c r="L104" l="1"/>
  <c r="K104"/>
  <c r="N116"/>
  <c r="L116"/>
  <c r="H118"/>
  <c r="Q104" l="1"/>
  <c r="Q116"/>
  <c r="P118"/>
  <c r="K72"/>
  <c r="L115"/>
  <c r="H115"/>
  <c r="K116" l="1"/>
  <c r="M81" l="1"/>
  <c r="L36"/>
  <c r="J116"/>
  <c r="I116" l="1"/>
  <c r="H116"/>
  <c r="I100"/>
  <c r="H100"/>
  <c r="F73" l="1"/>
  <c r="H73" s="1"/>
  <c r="F71"/>
  <c r="H71" s="1"/>
  <c r="H70"/>
  <c r="T39" l="1"/>
  <c r="T33"/>
  <c r="S33"/>
  <c r="Q68"/>
  <c r="R50"/>
  <c r="U50" s="1"/>
  <c r="S39"/>
  <c r="U39" s="1"/>
  <c r="L33"/>
  <c r="F19"/>
  <c r="Q52"/>
  <c r="Q51"/>
  <c r="U33" l="1"/>
  <c r="H36"/>
  <c r="M50"/>
  <c r="I51"/>
  <c r="H104"/>
  <c r="M52"/>
  <c r="M51"/>
  <c r="L39" l="1"/>
  <c r="K33"/>
  <c r="F26" l="1"/>
  <c r="H26" s="1"/>
  <c r="H81"/>
  <c r="K39"/>
  <c r="J39"/>
  <c r="J33"/>
  <c r="I52"/>
  <c r="F52"/>
  <c r="I39"/>
  <c r="I33"/>
  <c r="O26" l="1"/>
  <c r="Q26"/>
  <c r="P26"/>
  <c r="R26"/>
  <c r="U26" s="1"/>
  <c r="N26"/>
  <c r="M26"/>
  <c r="T56"/>
  <c r="L56" l="1"/>
  <c r="S56"/>
  <c r="U56" s="1"/>
  <c r="I56"/>
  <c r="K56"/>
  <c r="J56"/>
  <c r="F34"/>
  <c r="T34" s="1"/>
  <c r="F16"/>
  <c r="T37"/>
  <c r="H33"/>
  <c r="M19"/>
  <c r="F127"/>
  <c r="H126"/>
  <c r="E85"/>
  <c r="H88" s="1"/>
  <c r="F83"/>
  <c r="H83" s="1"/>
  <c r="H79"/>
  <c r="H72"/>
  <c r="F67"/>
  <c r="M67" s="1"/>
  <c r="F66"/>
  <c r="M66" s="1"/>
  <c r="F65"/>
  <c r="M65" s="1"/>
  <c r="F64"/>
  <c r="M64" s="1"/>
  <c r="F63"/>
  <c r="M63" s="1"/>
  <c r="H62"/>
  <c r="H61"/>
  <c r="F55"/>
  <c r="H52"/>
  <c r="H51"/>
  <c r="H50"/>
  <c r="F49"/>
  <c r="F48"/>
  <c r="F47"/>
  <c r="F46"/>
  <c r="F45"/>
  <c r="F44"/>
  <c r="F43"/>
  <c r="F42"/>
  <c r="H39"/>
  <c r="F35"/>
  <c r="T35" s="1"/>
  <c r="F30"/>
  <c r="T30" s="1"/>
  <c r="H29"/>
  <c r="H28"/>
  <c r="F25"/>
  <c r="M25" s="1"/>
  <c r="F23"/>
  <c r="F20"/>
  <c r="M20" s="1"/>
  <c r="F18"/>
  <c r="M18" s="1"/>
  <c r="F17"/>
  <c r="M17" s="1"/>
  <c r="H16"/>
  <c r="F14"/>
  <c r="M14" s="1"/>
  <c r="E13"/>
  <c r="F13" s="1"/>
  <c r="T13" s="1"/>
  <c r="F12"/>
  <c r="T12" s="1"/>
  <c r="F11"/>
  <c r="H37" l="1"/>
  <c r="H34"/>
  <c r="S11"/>
  <c r="T11"/>
  <c r="T83"/>
  <c r="S83"/>
  <c r="S27"/>
  <c r="T27"/>
  <c r="Q47"/>
  <c r="T47"/>
  <c r="U47" s="1"/>
  <c r="T55"/>
  <c r="S55"/>
  <c r="O13"/>
  <c r="Q13"/>
  <c r="S13"/>
  <c r="R13"/>
  <c r="P13"/>
  <c r="O15"/>
  <c r="P15"/>
  <c r="Q15"/>
  <c r="O12"/>
  <c r="R12"/>
  <c r="P12"/>
  <c r="Q12"/>
  <c r="S12"/>
  <c r="R23"/>
  <c r="U23" s="1"/>
  <c r="P23"/>
  <c r="Q23"/>
  <c r="O23"/>
  <c r="O27"/>
  <c r="Q27"/>
  <c r="R27"/>
  <c r="U27" s="1"/>
  <c r="P27"/>
  <c r="M43"/>
  <c r="Q43"/>
  <c r="M45"/>
  <c r="Q45"/>
  <c r="M47"/>
  <c r="M49"/>
  <c r="R49"/>
  <c r="U49" s="1"/>
  <c r="L55"/>
  <c r="S16"/>
  <c r="U16" s="1"/>
  <c r="O16"/>
  <c r="Q16"/>
  <c r="Q11"/>
  <c r="R11"/>
  <c r="U11" s="1"/>
  <c r="P11"/>
  <c r="O11"/>
  <c r="O24"/>
  <c r="Q24"/>
  <c r="R24"/>
  <c r="U24" s="1"/>
  <c r="P24"/>
  <c r="O30"/>
  <c r="R30"/>
  <c r="P30"/>
  <c r="Q30"/>
  <c r="S30"/>
  <c r="L35"/>
  <c r="S35"/>
  <c r="U35" s="1"/>
  <c r="L38"/>
  <c r="U38"/>
  <c r="Q42"/>
  <c r="M42"/>
  <c r="M44"/>
  <c r="Q44"/>
  <c r="M46"/>
  <c r="Q46"/>
  <c r="M48"/>
  <c r="R48"/>
  <c r="U48" s="1"/>
  <c r="Q83"/>
  <c r="R83"/>
  <c r="U83" s="1"/>
  <c r="P83"/>
  <c r="O83"/>
  <c r="L37"/>
  <c r="S37"/>
  <c r="U37" s="1"/>
  <c r="L34"/>
  <c r="S34"/>
  <c r="U34" s="1"/>
  <c r="N23"/>
  <c r="N11"/>
  <c r="N83"/>
  <c r="L12"/>
  <c r="N12"/>
  <c r="M12"/>
  <c r="M11"/>
  <c r="L11"/>
  <c r="L13"/>
  <c r="N13"/>
  <c r="M13"/>
  <c r="N15"/>
  <c r="M15"/>
  <c r="N24"/>
  <c r="M24"/>
  <c r="N30"/>
  <c r="M30"/>
  <c r="M83"/>
  <c r="L83"/>
  <c r="M23"/>
  <c r="N27"/>
  <c r="M27"/>
  <c r="I16"/>
  <c r="M16"/>
  <c r="K16"/>
  <c r="K27"/>
  <c r="L27"/>
  <c r="K55"/>
  <c r="K11"/>
  <c r="K15"/>
  <c r="L15"/>
  <c r="K30"/>
  <c r="L30"/>
  <c r="K83"/>
  <c r="J11"/>
  <c r="K13"/>
  <c r="J13"/>
  <c r="J15"/>
  <c r="H17"/>
  <c r="H20"/>
  <c r="H24"/>
  <c r="J30"/>
  <c r="K35"/>
  <c r="J35"/>
  <c r="K38"/>
  <c r="J38"/>
  <c r="H42"/>
  <c r="H44"/>
  <c r="H46"/>
  <c r="H48"/>
  <c r="H63"/>
  <c r="H65"/>
  <c r="H67"/>
  <c r="I83"/>
  <c r="J83"/>
  <c r="I37"/>
  <c r="J37"/>
  <c r="K37"/>
  <c r="I34"/>
  <c r="J34"/>
  <c r="K34"/>
  <c r="I12"/>
  <c r="K12"/>
  <c r="J12"/>
  <c r="H14"/>
  <c r="H18"/>
  <c r="H23"/>
  <c r="H25"/>
  <c r="J27"/>
  <c r="H43"/>
  <c r="H45"/>
  <c r="J47"/>
  <c r="H49"/>
  <c r="J55"/>
  <c r="H64"/>
  <c r="H66"/>
  <c r="H68"/>
  <c r="H27"/>
  <c r="I27"/>
  <c r="H30"/>
  <c r="I30"/>
  <c r="H35"/>
  <c r="I35"/>
  <c r="H11"/>
  <c r="I11"/>
  <c r="H13"/>
  <c r="I13"/>
  <c r="H15"/>
  <c r="I15"/>
  <c r="H38"/>
  <c r="H40" s="1"/>
  <c r="I38"/>
  <c r="H47"/>
  <c r="I47"/>
  <c r="H55"/>
  <c r="I55"/>
  <c r="H84"/>
  <c r="H12"/>
  <c r="F85"/>
  <c r="H19"/>
  <c r="U12" l="1"/>
  <c r="U13"/>
  <c r="U21" s="1"/>
  <c r="U55"/>
  <c r="U30"/>
  <c r="H53"/>
  <c r="H21"/>
  <c r="H31"/>
  <c r="T85"/>
  <c r="S85"/>
  <c r="S127" s="1"/>
  <c r="T127"/>
  <c r="Q85"/>
  <c r="Q127" s="1"/>
  <c r="O85"/>
  <c r="R85"/>
  <c r="U85" s="1"/>
  <c r="P85"/>
  <c r="N85"/>
  <c r="N127" s="1"/>
  <c r="U31"/>
  <c r="M85"/>
  <c r="L85"/>
  <c r="L127" s="1"/>
  <c r="U80"/>
  <c r="K85"/>
  <c r="K127" s="1"/>
  <c r="I85"/>
  <c r="J85"/>
  <c r="J127" s="1"/>
  <c r="M127"/>
  <c r="R127"/>
  <c r="U84"/>
  <c r="P127"/>
  <c r="O127"/>
  <c r="H80"/>
  <c r="H85"/>
  <c r="H86" s="1"/>
  <c r="I127"/>
  <c r="U53" l="1"/>
  <c r="U40"/>
  <c r="U86"/>
  <c r="H87"/>
  <c r="H89" s="1"/>
  <c r="G127" s="1"/>
  <c r="H127" s="1"/>
  <c r="U87" l="1"/>
  <c r="U127" s="1"/>
  <c r="C132" s="1"/>
  <c r="C136" l="1"/>
</calcChain>
</file>

<file path=xl/sharedStrings.xml><?xml version="1.0" encoding="utf-8"?>
<sst xmlns="http://schemas.openxmlformats.org/spreadsheetml/2006/main" count="379" uniqueCount="266">
  <si>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</si>
  <si>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</si>
  <si>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</si>
  <si>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</si>
  <si>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</si>
  <si>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</si>
  <si>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</si>
  <si>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</si>
  <si>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</si>
  <si>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</si>
  <si>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</si>
  <si>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</si>
  <si>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</si>
  <si>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</si>
  <si>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Влажное подметание лестничных клеток 2-5 этажа</t>
  </si>
  <si>
    <t>Мытье лестничных  площадок и маршей 1-5 этаж.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</si>
  <si>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</si>
  <si>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</si>
  <si>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</si>
  <si>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</si>
  <si>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</si>
  <si>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</si>
  <si>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</si>
  <si>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</si>
  <si>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</si>
  <si>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итого:</t>
  </si>
  <si>
    <t>Летняя уборка</t>
  </si>
  <si>
    <t>1000м2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</si>
  <si>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</si>
  <si>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</si>
  <si>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</si>
  <si>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</si>
  <si>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</si>
  <si>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</si>
  <si>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</si>
  <si>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</si>
  <si>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</si>
  <si>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</si>
  <si>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</si>
  <si>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</si>
  <si>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</si>
  <si>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</si>
  <si>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 xml:space="preserve">Сдвигание снега в дни снегопада </t>
  </si>
  <si>
    <t>1000 м2</t>
  </si>
  <si>
    <t>155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</si>
  <si>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</si>
  <si>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</si>
  <si>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</si>
  <si>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</si>
  <si>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</si>
  <si>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Осмотр деревянных конструкций стропил</t>
  </si>
  <si>
    <t>100 м3</t>
  </si>
  <si>
    <t xml:space="preserve">Осмотр СО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</si>
  <si>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</si>
  <si>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</si>
  <si>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</si>
  <si>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</si>
  <si>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</si>
  <si>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2-1-1а</t>
  </si>
  <si>
    <t xml:space="preserve">Проверка дымоходов </t>
  </si>
  <si>
    <t>шт</t>
  </si>
  <si>
    <t>2-1-1б</t>
  </si>
  <si>
    <t>Проверка вентканалов</t>
  </si>
  <si>
    <t>Кровля</t>
  </si>
  <si>
    <t xml:space="preserve">6 раз за сезон </t>
  </si>
  <si>
    <t>Осмотр и очистка оголовков дымоходов и вентканалов от наледи и снега (по необходимости) зимой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</si>
  <si>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</si>
  <si>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</si>
  <si>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</si>
  <si>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</si>
  <si>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</si>
  <si>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</si>
  <si>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</si>
  <si>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</si>
  <si>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</si>
  <si>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</si>
  <si>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</si>
  <si>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</si>
  <si>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</si>
  <si>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</si>
  <si>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</si>
  <si>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</si>
  <si>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</si>
  <si>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</si>
  <si>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</si>
  <si>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</si>
  <si>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</si>
  <si>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</si>
  <si>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</si>
  <si>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</si>
  <si>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</si>
  <si>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</si>
  <si>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</si>
  <si>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</si>
  <si>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</si>
  <si>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</si>
  <si>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</si>
  <si>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1 раз в месяц</t>
  </si>
  <si>
    <t xml:space="preserve">1 раз в год  </t>
  </si>
  <si>
    <t>1 раз в 2 месяца</t>
  </si>
  <si>
    <t>30 раз за сезон</t>
  </si>
  <si>
    <t>Вывоз снега с придомовой территории</t>
  </si>
  <si>
    <t>Очистка от мусора</t>
  </si>
  <si>
    <t>Вода для промывки СО</t>
  </si>
  <si>
    <t>Спуск воды после промывки СО в канализацию</t>
  </si>
  <si>
    <t>Генеральный директор ООО "Жилсервис"_______Ю.Л.Куканов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</si>
  <si>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</si>
  <si>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</si>
  <si>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</si>
  <si>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</si>
  <si>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</si>
  <si>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</si>
  <si>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</si>
  <si>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</si>
  <si>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</si>
  <si>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</si>
  <si>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</si>
  <si>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3 раза в год</t>
  </si>
  <si>
    <t>калькуляция</t>
  </si>
  <si>
    <t>Работа автовышки</t>
  </si>
  <si>
    <t>Стоимость (руб.)</t>
  </si>
  <si>
    <t>договор</t>
  </si>
  <si>
    <t>5 этажей, 4 подъезда</t>
  </si>
  <si>
    <t>Выполне  ние       май</t>
  </si>
  <si>
    <t xml:space="preserve">Очистка края кровли от слежавшегося снега со сбрасыванием сосулек (10% от S кровли) </t>
  </si>
  <si>
    <t>смета</t>
  </si>
  <si>
    <t>Подключение и отключение сварочного аппарата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</si>
  <si>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</si>
  <si>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</si>
  <si>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</si>
  <si>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>Вывоз смета, травы, ветвей и т.п.- м/ч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</si>
  <si>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</si>
  <si>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</si>
  <si>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</si>
  <si>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</si>
  <si>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1 м</t>
  </si>
  <si>
    <t>Осмотр шиферной кровли</t>
  </si>
  <si>
    <t>Внеплановй осмотр электросетей, армазуры и электрооборудования на лестничных клетках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</si>
  <si>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</si>
  <si>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</si>
  <si>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</si>
  <si>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</si>
  <si>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</si>
  <si>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</si>
  <si>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</si>
  <si>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</si>
  <si>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51-024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</si>
  <si>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</si>
  <si>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</si>
  <si>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</si>
  <si>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</si>
  <si>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</si>
  <si>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</si>
  <si>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54-003</t>
  </si>
  <si>
    <t>ТЕР 54-013</t>
  </si>
  <si>
    <t>ТЕР 54-022</t>
  </si>
  <si>
    <t>ТЕР 54-025</t>
  </si>
  <si>
    <t>ТЕР 3-7-1в</t>
  </si>
  <si>
    <t>ТЕР 42-007</t>
  </si>
  <si>
    <t>ТЕР 42-009</t>
  </si>
  <si>
    <t>ТЕР 42-010</t>
  </si>
  <si>
    <t>ТЕР 42-003</t>
  </si>
  <si>
    <t>ТЕР 42-011</t>
  </si>
  <si>
    <t>ТЕР 42-013</t>
  </si>
  <si>
    <t>ТЕР 42-012</t>
  </si>
  <si>
    <t>ТЕР 42-014</t>
  </si>
  <si>
    <t>ТЕР 54-041 и 42</t>
  </si>
  <si>
    <t xml:space="preserve">пр.ТЕР 54-041 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</si>
  <si>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</si>
  <si>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</si>
  <si>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</si>
  <si>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</si>
  <si>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</si>
  <si>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</si>
  <si>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</si>
  <si>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</si>
  <si>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33-060</t>
  </si>
  <si>
    <t>3м</t>
  </si>
  <si>
    <t>Баланс выполненных работ на 01.01.2017 г. ( -долг за предприятием, +долг за населением)</t>
  </si>
  <si>
    <t>пр.ТЕР 33-024</t>
  </si>
  <si>
    <t xml:space="preserve">Смена светодиодных светильников </t>
  </si>
  <si>
    <t>счёт-фактура</t>
  </si>
  <si>
    <t>Стоимость светодиодного светильника</t>
  </si>
  <si>
    <t>руб</t>
  </si>
  <si>
    <t>ТЕР 33-043</t>
  </si>
  <si>
    <t>Смена плавкой вставки в электрощитке</t>
  </si>
  <si>
    <t>Начислено за содержание и текущий ремонт за 2017 г.</t>
  </si>
  <si>
    <t>Выполнено работ по содержанию за 2017 г.</t>
  </si>
  <si>
    <t>Выполнено работ по текущему ремонту за 2017 г.</t>
  </si>
  <si>
    <t>Фактически оплачено за 2017 г.</t>
  </si>
  <si>
    <t>Прочистка засоров канализации</t>
  </si>
  <si>
    <t>пр.ТЕР 32-101</t>
  </si>
  <si>
    <t>1 шт</t>
  </si>
  <si>
    <t>ТЕР 32-027</t>
  </si>
  <si>
    <t>Смена арматуры - вентилей и клапанов обратных муфтовых диаметром до 20 мм</t>
  </si>
  <si>
    <t>м</t>
  </si>
  <si>
    <t>ТЕР 33-034</t>
  </si>
  <si>
    <t>Внеплановый осмотр элекгросетей, арматуры и электрооборудования на чердаках и подвалах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</si>
  <si>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Советская, 14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октябрь-декабрь 2017 года</t>
    </r>
  </si>
  <si>
    <t>156 раз в год</t>
  </si>
  <si>
    <t>104 раза в год</t>
  </si>
  <si>
    <t xml:space="preserve">24 раза в год </t>
  </si>
  <si>
    <t>52 раза в сезон</t>
  </si>
  <si>
    <t>52 раза за сезон</t>
  </si>
  <si>
    <t>182 раза</t>
  </si>
  <si>
    <t>24 раза за сезон</t>
  </si>
  <si>
    <t>1 раз в месяц (5 раз в год)</t>
  </si>
  <si>
    <t>маш/час</t>
  </si>
  <si>
    <t>ТЕР 33-048</t>
  </si>
  <si>
    <t>Смена светильника РКУ</t>
  </si>
  <si>
    <t>пр.ТЕР 33-037</t>
  </si>
  <si>
    <t>Снятие показаний с общедомовых приборов учёта холодной воды</t>
  </si>
  <si>
    <t>Обход и осмотр фасадного газопровода</t>
  </si>
  <si>
    <t>Техническое диагностирование ВДГО</t>
  </si>
  <si>
    <t>Водоснабжение, канализация</t>
  </si>
  <si>
    <t>ТО внутренних сетей водопровода и канализации</t>
  </si>
  <si>
    <t>руб/м2 в мес</t>
  </si>
  <si>
    <t>пр.ТЕР 32-083</t>
  </si>
  <si>
    <t>Смена полиэтиленовых канализационных труб 110×2000 мм</t>
  </si>
  <si>
    <t>Смена полиэтиленовых канализационных труб 110×1000 мм</t>
  </si>
  <si>
    <t>счёт</t>
  </si>
  <si>
    <t xml:space="preserve">Переход чугун-пластик Ду 110 </t>
  </si>
  <si>
    <t>Муфта 110</t>
  </si>
  <si>
    <t>Тройник 100-90°</t>
  </si>
  <si>
    <r>
      <t>Тройник 100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50/90гр.</t>
    </r>
  </si>
  <si>
    <t>Патрубок компенсацинный ПП Ду 110</t>
  </si>
  <si>
    <t>Заглушка 110</t>
  </si>
  <si>
    <t>Смена трубопроводов на полипропиленовые трубы PN20 диаметром 25 мм</t>
  </si>
  <si>
    <t>пр.ТЕР 32-028</t>
  </si>
  <si>
    <t>Смена шарового крана ПП диаметром 25 мм</t>
  </si>
  <si>
    <t>пр.ТЕР 31-057</t>
  </si>
  <si>
    <t>Утепление трубопроводов минеральной ватой</t>
  </si>
  <si>
    <t>1 м3</t>
  </si>
  <si>
    <t>Ремонт силового предохранительного шкафа</t>
  </si>
  <si>
    <t>пр.ТЕР 33-032</t>
  </si>
  <si>
    <t>100шт</t>
  </si>
  <si>
    <t>пр.ТЕР 42-014</t>
  </si>
  <si>
    <t>Внеплановый осмотр вводных электрических щитков</t>
  </si>
  <si>
    <r>
      <t>Смена отдельных участков наружной проводки (кабель АВВГ 2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2,5</t>
    </r>
    <r>
      <rPr>
        <sz val="10"/>
        <rFont val="Calibri"/>
        <family val="2"/>
        <charset val="204"/>
      </rPr>
      <t>мм²)</t>
    </r>
  </si>
  <si>
    <t>пр.ТЕР 15-022</t>
  </si>
  <si>
    <t>Смена оконных приборов - ручки (окна ПВХ)</t>
  </si>
  <si>
    <t>Утепление трубопроводов минеральной ватой УРСА</t>
  </si>
  <si>
    <t>1 мЗ</t>
  </si>
  <si>
    <t>Установка заглушек диаметром трубопроводов до 100 мм</t>
  </si>
  <si>
    <t>заглушка</t>
  </si>
  <si>
    <t>ТЕР 31-012</t>
  </si>
  <si>
    <t>Смена выключателей</t>
  </si>
  <si>
    <t>ТЕР 33-025</t>
  </si>
  <si>
    <t>Работа автопогрузчика</t>
  </si>
  <si>
    <t>Смена дверных приборов - пружины</t>
  </si>
  <si>
    <t>ТЕР 15-018</t>
  </si>
  <si>
    <t>Просроченная задолженность по Вашему дому по статье "Содержание и текущий ремонт МКД" на конец декабря 2017 г., составляет:</t>
  </si>
  <si>
    <t>Баланс выполненных работ на 01.01.2018 г. ( -долг за предприятием, +долг за населением)</t>
  </si>
  <si>
    <t>пр.ТЕР 12-026</t>
  </si>
  <si>
    <t>Заделка отверстий на шиферной кровле</t>
  </si>
  <si>
    <t>Сверхнормативы по ОДП за 2 полугодие</t>
  </si>
  <si>
    <t>Сверхнормативы по ОДП за 1 полугодие</t>
  </si>
  <si>
    <t>ТЕР 16-038</t>
  </si>
  <si>
    <t>Устройство стяжек цементных толщиной 20 мм</t>
  </si>
  <si>
    <t>ТЕР 12-001</t>
  </si>
  <si>
    <t>Ремонт поверхности кирпичных стен при глубине заделки в 1 кирпич площадью в одном месте до 1 м2</t>
  </si>
  <si>
    <t>ТЕР 21-003</t>
  </si>
  <si>
    <t>Ремонт штукатурки внутренних стен по камню известковым раствором площадью до 10 м2 толщиной слоя до 20 мм</t>
  </si>
  <si>
    <t>10 м2</t>
  </si>
  <si>
    <t>Смена дверных приборов - петли</t>
  </si>
  <si>
    <t>ТЕР 15-013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</si>
</sst>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20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3" borderId="0" xfId="0" applyFont="1" applyFill="1"/>
    <xf numFmtId="0" fontId="0" fillId="3" borderId="0" xfId="0" applyFill="1"/>
    <xf numFmtId="4" fontId="1" fillId="4" borderId="4" xfId="0" applyNumberFormat="1" applyFont="1" applyFill="1" applyBorder="1" applyAlignment="1">
      <alignment horizontal="center" vertical="center" wrapText="1"/>
    </xf>
    <xf numFmtId="4" fontId="1" fillId="7" borderId="3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1" fillId="9" borderId="3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4" fontId="1" fillId="8" borderId="7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 applyProtection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vertical="center"/>
    </xf>
    <xf numFmtId="4" fontId="1" fillId="10" borderId="7" xfId="0" applyNumberFormat="1" applyFont="1" applyFill="1" applyBorder="1" applyAlignment="1">
      <alignment vertical="center"/>
    </xf>
    <xf numFmtId="0" fontId="1" fillId="10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10" borderId="3" xfId="0" applyNumberFormat="1" applyFont="1" applyFill="1" applyBorder="1" applyAlignment="1">
      <alignment horizontal="center" vertical="center"/>
    </xf>
    <xf numFmtId="4" fontId="1" fillId="10" borderId="7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3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4" fontId="1" fillId="9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2" borderId="2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4" fontId="1" fillId="9" borderId="1" xfId="0" applyNumberFormat="1" applyFont="1" applyFill="1" applyBorder="1" applyAlignment="1">
      <alignment horizontal="center" vertical="center"/>
    </xf>
    <xf numFmtId="4" fontId="1" fillId="11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0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/>
    </xf>
    <xf numFmtId="4" fontId="1" fillId="4" borderId="7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9" borderId="3" xfId="0" applyFont="1" applyFill="1" applyBorder="1" applyAlignment="1">
      <alignment horizontal="left" vertical="center"/>
    </xf>
    <xf numFmtId="4" fontId="1" fillId="9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2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5" fillId="2" borderId="6" xfId="0" applyNumberFormat="1" applyFont="1" applyFill="1" applyBorder="1" applyAlignment="1">
      <alignment horizontal="center" vertical="center"/>
    </xf>
    <xf numFmtId="4" fontId="15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5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5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0" fontId="1" fillId="0" borderId="0" xfId="0" applyFont="1"/>
    <xf numFmtId="4" fontId="16" fillId="0" borderId="0" xfId="0" applyNumberFormat="1" applyFont="1"/>
    <xf numFmtId="0" fontId="16" fillId="0" borderId="0" xfId="0" applyFont="1"/>
    <xf numFmtId="0" fontId="17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8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4" fontId="3" fillId="12" borderId="3" xfId="0" applyNumberFormat="1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/>
    </xf>
    <xf numFmtId="4" fontId="15" fillId="10" borderId="3" xfId="0" applyNumberFormat="1" applyFont="1" applyFill="1" applyBorder="1" applyAlignment="1">
      <alignment horizontal="center" vertical="center"/>
    </xf>
    <xf numFmtId="4" fontId="3" fillId="10" borderId="3" xfId="0" applyNumberFormat="1" applyFont="1" applyFill="1" applyBorder="1" applyAlignment="1">
      <alignment horizontal="center" vertical="center"/>
    </xf>
    <xf numFmtId="4" fontId="0" fillId="10" borderId="3" xfId="0" applyNumberForma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vertical="center"/>
    </xf>
    <xf numFmtId="4" fontId="1" fillId="2" borderId="20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4" fontId="1" fillId="0" borderId="7" xfId="0" applyNumberFormat="1" applyFont="1" applyFill="1" applyBorder="1" applyAlignment="1">
      <alignment horizontal="center" vertical="center"/>
    </xf>
    <xf numFmtId="0" fontId="1" fillId="0" borderId="19" xfId="0" applyFont="1" applyBorder="1"/>
    <xf numFmtId="0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left" vertical="center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/>
    </xf>
    <xf numFmtId="165" fontId="1" fillId="4" borderId="3" xfId="0" applyNumberFormat="1" applyFont="1" applyFill="1" applyBorder="1" applyAlignment="1">
      <alignment horizontal="center" vertical="center"/>
    </xf>
    <xf numFmtId="4" fontId="1" fillId="10" borderId="13" xfId="0" applyNumberFormat="1" applyFont="1" applyFill="1" applyBorder="1" applyAlignment="1">
      <alignment horizontal="center" vertical="center"/>
    </xf>
    <xf numFmtId="0" fontId="0" fillId="0" borderId="0" xfId="0" applyFont="1" applyFill="1"/>
    <xf numFmtId="4" fontId="14" fillId="4" borderId="0" xfId="0" applyNumberFormat="1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 applyProtection="1">
      <alignment horizontal="left" vertical="center" wrapText="1"/>
    </xf>
    <xf numFmtId="4" fontId="1" fillId="4" borderId="3" xfId="0" applyNumberFormat="1" applyFont="1" applyFill="1" applyBorder="1" applyAlignment="1">
      <alignment horizontal="left" vertical="center"/>
    </xf>
    <xf numFmtId="165" fontId="1" fillId="0" borderId="7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/>
    </xf>
    <xf numFmtId="4" fontId="7" fillId="0" borderId="7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Z140"/>
  <sheetViews>
    <sheetView tabSelected="1" view="pageBreakPreview" zoomScaleNormal="75" zoomScaleSheetLayoutView="100" workbookViewId="0">
      <pane ySplit="7" topLeftCell="A8" activePane="bottomLeft" state="frozen"/>
      <selection activeCell="B1" sqref="B1"/>
      <selection pane="bottomLeft" activeCell="C134" sqref="C134:F134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17" width="9.85546875" hidden="1" customWidth="1"/>
    <col min="18" max="20" width="9.85546875" customWidth="1"/>
    <col min="21" max="21" width="12.28515625" customWidth="1"/>
    <col min="22" max="26" width="9.140625" style="151"/>
  </cols>
  <sheetData>
    <row r="1" spans="1:21" ht="14.25" customHeight="1"/>
    <row r="3" spans="1:21" ht="18">
      <c r="A3" s="121"/>
      <c r="B3" s="175" t="s">
        <v>0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12"/>
      <c r="N3" s="112"/>
      <c r="O3" s="112"/>
      <c r="P3" s="112"/>
      <c r="Q3" s="112"/>
      <c r="R3" s="112"/>
      <c r="S3" s="112"/>
      <c r="T3" s="112"/>
      <c r="U3" s="112"/>
    </row>
    <row r="4" spans="1:21" ht="35.25" customHeight="1">
      <c r="A4" s="112"/>
      <c r="B4" s="176" t="s">
        <v>1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12"/>
      <c r="N4" s="112"/>
      <c r="O4" s="112"/>
      <c r="P4" s="112"/>
      <c r="Q4" s="112"/>
      <c r="R4" s="112"/>
      <c r="S4" s="112"/>
      <c r="T4" s="112"/>
      <c r="U4" s="112"/>
    </row>
    <row r="5" spans="1:21" ht="18">
      <c r="A5" s="112"/>
      <c r="B5" s="176" t="s">
        <v>198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12"/>
      <c r="N5" s="112"/>
      <c r="O5" s="112"/>
      <c r="P5" s="112"/>
      <c r="Q5" s="112"/>
      <c r="R5" s="112"/>
      <c r="S5" s="112"/>
      <c r="T5" s="112"/>
      <c r="U5" s="112"/>
    </row>
    <row r="6" spans="1:21" ht="14.25">
      <c r="A6" s="112"/>
      <c r="B6" s="177" t="s">
        <v>122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12"/>
      <c r="N6" s="112"/>
      <c r="O6" s="112"/>
      <c r="P6" s="112"/>
      <c r="Q6" s="112"/>
      <c r="R6" s="112"/>
      <c r="S6" s="112"/>
      <c r="T6" s="112"/>
      <c r="U6" s="112"/>
    </row>
    <row r="7" spans="1:21" ht="45.75" customHeight="1">
      <c r="A7" s="133" t="s">
        <v>2</v>
      </c>
      <c r="B7" s="134" t="s">
        <v>3</v>
      </c>
      <c r="C7" s="134" t="s">
        <v>4</v>
      </c>
      <c r="D7" s="134" t="s">
        <v>5</v>
      </c>
      <c r="E7" s="134" t="s">
        <v>6</v>
      </c>
      <c r="F7" s="134" t="s">
        <v>7</v>
      </c>
      <c r="G7" s="134" t="s">
        <v>8</v>
      </c>
      <c r="H7" s="135" t="s">
        <v>9</v>
      </c>
      <c r="I7" s="32" t="s">
        <v>106</v>
      </c>
      <c r="J7" s="32" t="s">
        <v>107</v>
      </c>
      <c r="K7" s="32" t="s">
        <v>108</v>
      </c>
      <c r="L7" s="32" t="s">
        <v>109</v>
      </c>
      <c r="M7" s="32" t="s">
        <v>123</v>
      </c>
      <c r="N7" s="32" t="s">
        <v>110</v>
      </c>
      <c r="O7" s="32" t="s">
        <v>111</v>
      </c>
      <c r="P7" s="32" t="s">
        <v>112</v>
      </c>
      <c r="Q7" s="32" t="s">
        <v>113</v>
      </c>
      <c r="R7" s="32" t="s">
        <v>114</v>
      </c>
      <c r="S7" s="32" t="s">
        <v>115</v>
      </c>
      <c r="T7" s="32" t="s">
        <v>116</v>
      </c>
      <c r="U7" s="32" t="s">
        <v>120</v>
      </c>
    </row>
    <row r="8" spans="1:21">
      <c r="A8" s="136">
        <v>1</v>
      </c>
      <c r="B8" s="11">
        <v>2</v>
      </c>
      <c r="C8" s="33">
        <v>3</v>
      </c>
      <c r="D8" s="11">
        <v>4</v>
      </c>
      <c r="E8" s="11">
        <v>5</v>
      </c>
      <c r="F8" s="33">
        <v>6</v>
      </c>
      <c r="G8" s="33">
        <v>7</v>
      </c>
      <c r="H8" s="122">
        <v>8</v>
      </c>
      <c r="I8" s="123">
        <v>9</v>
      </c>
      <c r="J8" s="123">
        <v>10</v>
      </c>
      <c r="K8" s="123">
        <v>11</v>
      </c>
      <c r="L8" s="123">
        <v>12</v>
      </c>
      <c r="M8" s="123">
        <v>13</v>
      </c>
      <c r="N8" s="123">
        <v>14</v>
      </c>
      <c r="O8" s="123">
        <v>15</v>
      </c>
      <c r="P8" s="123">
        <v>16</v>
      </c>
      <c r="Q8" s="123">
        <v>17</v>
      </c>
      <c r="R8" s="123">
        <v>9</v>
      </c>
      <c r="S8" s="123">
        <v>10</v>
      </c>
      <c r="T8" s="123">
        <v>11</v>
      </c>
      <c r="U8" s="123">
        <v>12</v>
      </c>
    </row>
    <row r="9" spans="1:21" ht="38.25">
      <c r="A9" s="136"/>
      <c r="B9" s="14" t="s">
        <v>10</v>
      </c>
      <c r="C9" s="33"/>
      <c r="D9" s="15"/>
      <c r="E9" s="15"/>
      <c r="F9" s="33"/>
      <c r="G9" s="33"/>
      <c r="H9" s="34"/>
      <c r="I9" s="35"/>
      <c r="J9" s="35"/>
      <c r="K9" s="35"/>
      <c r="L9" s="35"/>
      <c r="M9" s="36"/>
      <c r="N9" s="37"/>
      <c r="O9" s="37"/>
      <c r="P9" s="37"/>
      <c r="Q9" s="37"/>
      <c r="R9" s="37"/>
      <c r="S9" s="37"/>
      <c r="T9" s="37"/>
      <c r="U9" s="37"/>
    </row>
    <row r="10" spans="1:21">
      <c r="A10" s="136"/>
      <c r="B10" s="14" t="s">
        <v>11</v>
      </c>
      <c r="C10" s="33"/>
      <c r="D10" s="15"/>
      <c r="E10" s="15"/>
      <c r="F10" s="33"/>
      <c r="G10" s="33"/>
      <c r="H10" s="34"/>
      <c r="I10" s="35"/>
      <c r="J10" s="35"/>
      <c r="K10" s="35"/>
      <c r="L10" s="35"/>
      <c r="M10" s="36"/>
      <c r="N10" s="37"/>
      <c r="O10" s="37"/>
      <c r="P10" s="37"/>
      <c r="Q10" s="37"/>
      <c r="R10" s="37"/>
      <c r="S10" s="37"/>
      <c r="T10" s="37"/>
      <c r="U10" s="37"/>
    </row>
    <row r="11" spans="1:21" ht="12.75" customHeight="1">
      <c r="A11" s="136" t="s">
        <v>138</v>
      </c>
      <c r="B11" s="15" t="s">
        <v>12</v>
      </c>
      <c r="C11" s="33" t="s">
        <v>13</v>
      </c>
      <c r="D11" s="15" t="s">
        <v>199</v>
      </c>
      <c r="E11" s="38">
        <v>43.36</v>
      </c>
      <c r="F11" s="39">
        <f>SUM(E11*156/100)</f>
        <v>67.641599999999997</v>
      </c>
      <c r="G11" s="39">
        <v>230</v>
      </c>
      <c r="H11" s="40">
        <f t="shared" ref="H11:H20" si="0">SUM(F11*G11/1000)</f>
        <v>15.557568</v>
      </c>
      <c r="I11" s="41">
        <f>F11/12*G11</f>
        <v>1296.4639999999999</v>
      </c>
      <c r="J11" s="41">
        <f>F11/12*G11</f>
        <v>1296.4639999999999</v>
      </c>
      <c r="K11" s="41">
        <f>F11/12*G11</f>
        <v>1296.4639999999999</v>
      </c>
      <c r="L11" s="41">
        <f>F11/12*G11</f>
        <v>1296.4639999999999</v>
      </c>
      <c r="M11" s="41">
        <f>F11/12*G11</f>
        <v>1296.4639999999999</v>
      </c>
      <c r="N11" s="41">
        <f>F11/12*G11</f>
        <v>1296.4639999999999</v>
      </c>
      <c r="O11" s="41">
        <f>F11/12*G11</f>
        <v>1296.4639999999999</v>
      </c>
      <c r="P11" s="41">
        <f>F11/12*G11</f>
        <v>1296.4639999999999</v>
      </c>
      <c r="Q11" s="41">
        <f>F11/12*G11</f>
        <v>1296.4639999999999</v>
      </c>
      <c r="R11" s="41">
        <f>F11/12*G11</f>
        <v>1296.4639999999999</v>
      </c>
      <c r="S11" s="41">
        <f>F11/12*G11</f>
        <v>1296.4639999999999</v>
      </c>
      <c r="T11" s="41">
        <f>F11/12*G11</f>
        <v>1296.4639999999999</v>
      </c>
      <c r="U11" s="41">
        <f>SUM(R11:T11)</f>
        <v>3889.3919999999998</v>
      </c>
    </row>
    <row r="12" spans="1:21" ht="25.5">
      <c r="A12" s="136" t="s">
        <v>138</v>
      </c>
      <c r="B12" s="15" t="s">
        <v>14</v>
      </c>
      <c r="C12" s="33" t="s">
        <v>13</v>
      </c>
      <c r="D12" s="15" t="s">
        <v>200</v>
      </c>
      <c r="E12" s="38">
        <v>173.44</v>
      </c>
      <c r="F12" s="39">
        <f>SUM(E12*104/100)</f>
        <v>180.37759999999997</v>
      </c>
      <c r="G12" s="39">
        <v>230</v>
      </c>
      <c r="H12" s="40">
        <f t="shared" si="0"/>
        <v>41.486847999999988</v>
      </c>
      <c r="I12" s="41">
        <f>F12/12*G12</f>
        <v>3457.237333333333</v>
      </c>
      <c r="J12" s="41">
        <f>F12/12*G12</f>
        <v>3457.237333333333</v>
      </c>
      <c r="K12" s="41">
        <f>F12/12*G12</f>
        <v>3457.237333333333</v>
      </c>
      <c r="L12" s="41">
        <f>F12/12*G12</f>
        <v>3457.237333333333</v>
      </c>
      <c r="M12" s="41">
        <f t="shared" ref="M12:M15" si="1">F12/12*G12</f>
        <v>3457.237333333333</v>
      </c>
      <c r="N12" s="41">
        <f t="shared" ref="N12:N15" si="2">F12/12*G12</f>
        <v>3457.237333333333</v>
      </c>
      <c r="O12" s="41">
        <f t="shared" ref="O12:O15" si="3">F12/12*G12</f>
        <v>3457.237333333333</v>
      </c>
      <c r="P12" s="41">
        <f t="shared" ref="P12:P15" si="4">F12/12*G12</f>
        <v>3457.237333333333</v>
      </c>
      <c r="Q12" s="41">
        <f t="shared" ref="Q12:Q15" si="5">F12/12*G12</f>
        <v>3457.237333333333</v>
      </c>
      <c r="R12" s="41">
        <f t="shared" ref="R12:R13" si="6">F12/12*G12</f>
        <v>3457.237333333333</v>
      </c>
      <c r="S12" s="41">
        <f t="shared" ref="S12:S13" si="7">F12/12*G12</f>
        <v>3457.237333333333</v>
      </c>
      <c r="T12" s="41">
        <f t="shared" ref="T12:T13" si="8">F12/12*G12</f>
        <v>3457.237333333333</v>
      </c>
      <c r="U12" s="41">
        <f t="shared" ref="U12:U20" si="9">SUM(R12:T12)</f>
        <v>10371.712</v>
      </c>
    </row>
    <row r="13" spans="1:21" ht="25.5">
      <c r="A13" s="136" t="s">
        <v>139</v>
      </c>
      <c r="B13" s="15" t="s">
        <v>15</v>
      </c>
      <c r="C13" s="33" t="s">
        <v>13</v>
      </c>
      <c r="D13" s="15" t="s">
        <v>201</v>
      </c>
      <c r="E13" s="38">
        <f>SUM(E11+E12)</f>
        <v>216.8</v>
      </c>
      <c r="F13" s="39">
        <f>SUM(E13*24/100)</f>
        <v>52.032000000000011</v>
      </c>
      <c r="G13" s="39">
        <v>661.67</v>
      </c>
      <c r="H13" s="40">
        <f t="shared" si="0"/>
        <v>34.428013440000001</v>
      </c>
      <c r="I13" s="41">
        <f>F13/12*G13</f>
        <v>2869.0011200000008</v>
      </c>
      <c r="J13" s="41">
        <f>F13/12*G13</f>
        <v>2869.0011200000008</v>
      </c>
      <c r="K13" s="41">
        <f>F13/12*G13</f>
        <v>2869.0011200000008</v>
      </c>
      <c r="L13" s="41">
        <f>F13/12*G13</f>
        <v>2869.0011200000008</v>
      </c>
      <c r="M13" s="41">
        <f t="shared" si="1"/>
        <v>2869.0011200000008</v>
      </c>
      <c r="N13" s="41">
        <f t="shared" si="2"/>
        <v>2869.0011200000008</v>
      </c>
      <c r="O13" s="41">
        <f t="shared" si="3"/>
        <v>2869.0011200000008</v>
      </c>
      <c r="P13" s="41">
        <f t="shared" si="4"/>
        <v>2869.0011200000008</v>
      </c>
      <c r="Q13" s="41">
        <f t="shared" si="5"/>
        <v>2869.0011200000008</v>
      </c>
      <c r="R13" s="41">
        <f t="shared" si="6"/>
        <v>2869.0011200000008</v>
      </c>
      <c r="S13" s="41">
        <f t="shared" si="7"/>
        <v>2869.0011200000008</v>
      </c>
      <c r="T13" s="41">
        <f t="shared" si="8"/>
        <v>2869.0011200000008</v>
      </c>
      <c r="U13" s="41">
        <f t="shared" si="9"/>
        <v>8607.0033600000024</v>
      </c>
    </row>
    <row r="14" spans="1:21">
      <c r="A14" s="136" t="s">
        <v>140</v>
      </c>
      <c r="B14" s="15" t="s">
        <v>16</v>
      </c>
      <c r="C14" s="33" t="s">
        <v>17</v>
      </c>
      <c r="D14" s="15" t="s">
        <v>96</v>
      </c>
      <c r="E14" s="38">
        <v>40</v>
      </c>
      <c r="F14" s="39">
        <f>SUM(E14/10)</f>
        <v>4</v>
      </c>
      <c r="G14" s="39">
        <v>223.17</v>
      </c>
      <c r="H14" s="40">
        <f t="shared" si="0"/>
        <v>0.89267999999999992</v>
      </c>
      <c r="I14" s="41">
        <v>0</v>
      </c>
      <c r="J14" s="41">
        <v>0</v>
      </c>
      <c r="K14" s="41">
        <v>0</v>
      </c>
      <c r="L14" s="41">
        <v>0</v>
      </c>
      <c r="M14" s="41">
        <f>F14/2*G14</f>
        <v>446.34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f t="shared" si="9"/>
        <v>0</v>
      </c>
    </row>
    <row r="15" spans="1:21">
      <c r="A15" s="136" t="s">
        <v>141</v>
      </c>
      <c r="B15" s="15" t="s">
        <v>18</v>
      </c>
      <c r="C15" s="33" t="s">
        <v>13</v>
      </c>
      <c r="D15" s="15" t="s">
        <v>46</v>
      </c>
      <c r="E15" s="38">
        <v>10.5</v>
      </c>
      <c r="F15" s="39">
        <f>SUM(E15*2/100)</f>
        <v>0.21</v>
      </c>
      <c r="G15" s="39">
        <v>285.76</v>
      </c>
      <c r="H15" s="40">
        <f t="shared" si="0"/>
        <v>6.0009599999999996E-2</v>
      </c>
      <c r="I15" s="41">
        <f>F15/12*G15</f>
        <v>5.000799999999999</v>
      </c>
      <c r="J15" s="41">
        <f>F15/12*G15</f>
        <v>5.000799999999999</v>
      </c>
      <c r="K15" s="41">
        <f>F15/12*G15</f>
        <v>5.000799999999999</v>
      </c>
      <c r="L15" s="41">
        <f>F15/12*G15</f>
        <v>5.000799999999999</v>
      </c>
      <c r="M15" s="41">
        <f t="shared" si="1"/>
        <v>5.000799999999999</v>
      </c>
      <c r="N15" s="41">
        <f t="shared" si="2"/>
        <v>5.000799999999999</v>
      </c>
      <c r="O15" s="41">
        <f t="shared" si="3"/>
        <v>5.000799999999999</v>
      </c>
      <c r="P15" s="41">
        <f t="shared" si="4"/>
        <v>5.000799999999999</v>
      </c>
      <c r="Q15" s="41">
        <f t="shared" si="5"/>
        <v>5.000799999999999</v>
      </c>
      <c r="R15" s="41">
        <v>0</v>
      </c>
      <c r="S15" s="41">
        <v>0</v>
      </c>
      <c r="T15" s="41">
        <v>0</v>
      </c>
      <c r="U15" s="41">
        <f t="shared" si="9"/>
        <v>0</v>
      </c>
    </row>
    <row r="16" spans="1:21">
      <c r="A16" s="136" t="s">
        <v>142</v>
      </c>
      <c r="B16" s="15" t="s">
        <v>19</v>
      </c>
      <c r="C16" s="33" t="s">
        <v>13</v>
      </c>
      <c r="D16" s="15" t="s">
        <v>99</v>
      </c>
      <c r="E16" s="38">
        <v>2.7</v>
      </c>
      <c r="F16" s="39">
        <f>SUM(E16*6/100)</f>
        <v>0.16200000000000003</v>
      </c>
      <c r="G16" s="39">
        <v>283.44</v>
      </c>
      <c r="H16" s="40">
        <f t="shared" si="0"/>
        <v>4.5917280000000012E-2</v>
      </c>
      <c r="I16" s="41">
        <f>F16/6*G16</f>
        <v>7.6528800000000015</v>
      </c>
      <c r="J16" s="41">
        <v>0</v>
      </c>
      <c r="K16" s="41">
        <f>F16/6*G16</f>
        <v>7.6528800000000015</v>
      </c>
      <c r="L16" s="41">
        <v>0</v>
      </c>
      <c r="M16" s="41">
        <f>F16/6*G16</f>
        <v>7.6528800000000015</v>
      </c>
      <c r="N16" s="41">
        <v>0</v>
      </c>
      <c r="O16" s="41">
        <f>F16/6*G16</f>
        <v>7.6528800000000015</v>
      </c>
      <c r="P16" s="41">
        <v>0</v>
      </c>
      <c r="Q16" s="41">
        <f>F16/6*G16</f>
        <v>7.6528800000000015</v>
      </c>
      <c r="R16" s="41">
        <v>0</v>
      </c>
      <c r="S16" s="41">
        <f>F16/6*G16</f>
        <v>7.6528800000000015</v>
      </c>
      <c r="T16" s="41">
        <v>0</v>
      </c>
      <c r="U16" s="41">
        <f t="shared" si="9"/>
        <v>7.6528800000000015</v>
      </c>
    </row>
    <row r="17" spans="1:26">
      <c r="A17" s="136" t="s">
        <v>143</v>
      </c>
      <c r="B17" s="15" t="s">
        <v>20</v>
      </c>
      <c r="C17" s="33" t="s">
        <v>21</v>
      </c>
      <c r="D17" s="15" t="s">
        <v>96</v>
      </c>
      <c r="E17" s="38">
        <v>357</v>
      </c>
      <c r="F17" s="39">
        <f>SUM(E17/100)</f>
        <v>3.57</v>
      </c>
      <c r="G17" s="39">
        <v>353.14</v>
      </c>
      <c r="H17" s="40">
        <f t="shared" si="0"/>
        <v>1.2607097999999999</v>
      </c>
      <c r="I17" s="41">
        <v>0</v>
      </c>
      <c r="J17" s="41">
        <v>0</v>
      </c>
      <c r="K17" s="41">
        <v>0</v>
      </c>
      <c r="L17" s="41">
        <v>0</v>
      </c>
      <c r="M17" s="41">
        <f>F17*G17</f>
        <v>1260.7097999999999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f t="shared" si="9"/>
        <v>0</v>
      </c>
    </row>
    <row r="18" spans="1:26">
      <c r="A18" s="136" t="s">
        <v>144</v>
      </c>
      <c r="B18" s="15" t="s">
        <v>22</v>
      </c>
      <c r="C18" s="33" t="s">
        <v>21</v>
      </c>
      <c r="D18" s="15" t="s">
        <v>96</v>
      </c>
      <c r="E18" s="3">
        <v>38.64</v>
      </c>
      <c r="F18" s="39">
        <f>SUM(E18/100)</f>
        <v>0.38640000000000002</v>
      </c>
      <c r="G18" s="39">
        <v>58.08</v>
      </c>
      <c r="H18" s="40">
        <f t="shared" si="0"/>
        <v>2.2442112E-2</v>
      </c>
      <c r="I18" s="41">
        <v>0</v>
      </c>
      <c r="J18" s="41">
        <v>0</v>
      </c>
      <c r="K18" s="41">
        <v>0</v>
      </c>
      <c r="L18" s="41">
        <v>0</v>
      </c>
      <c r="M18" s="41">
        <f t="shared" ref="M18:M20" si="10">F18*G18</f>
        <v>22.442112000000002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f t="shared" si="9"/>
        <v>0</v>
      </c>
    </row>
    <row r="19" spans="1:26">
      <c r="A19" s="136" t="s">
        <v>145</v>
      </c>
      <c r="B19" s="15" t="s">
        <v>23</v>
      </c>
      <c r="C19" s="33" t="s">
        <v>21</v>
      </c>
      <c r="D19" s="15" t="s">
        <v>98</v>
      </c>
      <c r="E19" s="38">
        <v>15</v>
      </c>
      <c r="F19" s="39">
        <f>SUM(E19/100)</f>
        <v>0.15</v>
      </c>
      <c r="G19" s="39">
        <v>511.12</v>
      </c>
      <c r="H19" s="40">
        <f t="shared" si="0"/>
        <v>7.6667999999999986E-2</v>
      </c>
      <c r="I19" s="41">
        <v>0</v>
      </c>
      <c r="J19" s="41">
        <v>0</v>
      </c>
      <c r="K19" s="41">
        <v>0</v>
      </c>
      <c r="L19" s="41">
        <v>0</v>
      </c>
      <c r="M19" s="41">
        <f t="shared" si="10"/>
        <v>76.667999999999992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f t="shared" si="9"/>
        <v>0</v>
      </c>
    </row>
    <row r="20" spans="1:26">
      <c r="A20" s="136" t="s">
        <v>146</v>
      </c>
      <c r="B20" s="15" t="s">
        <v>24</v>
      </c>
      <c r="C20" s="33" t="s">
        <v>21</v>
      </c>
      <c r="D20" s="15" t="s">
        <v>96</v>
      </c>
      <c r="E20" s="38">
        <v>6.38</v>
      </c>
      <c r="F20" s="39">
        <f>SUM(E20/100)</f>
        <v>6.3799999999999996E-2</v>
      </c>
      <c r="G20" s="39">
        <v>683.05</v>
      </c>
      <c r="H20" s="40">
        <f t="shared" si="0"/>
        <v>4.3578589999999993E-2</v>
      </c>
      <c r="I20" s="41">
        <v>0</v>
      </c>
      <c r="J20" s="41">
        <v>0</v>
      </c>
      <c r="K20" s="41">
        <v>0</v>
      </c>
      <c r="L20" s="41">
        <v>0</v>
      </c>
      <c r="M20" s="41">
        <f t="shared" si="10"/>
        <v>43.578589999999991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f t="shared" si="9"/>
        <v>0</v>
      </c>
    </row>
    <row r="21" spans="1:26" s="23" customFormat="1">
      <c r="A21" s="137"/>
      <c r="B21" s="24" t="s">
        <v>25</v>
      </c>
      <c r="C21" s="43"/>
      <c r="D21" s="24"/>
      <c r="E21" s="44"/>
      <c r="F21" s="45"/>
      <c r="G21" s="45"/>
      <c r="H21" s="46">
        <f>SUM(H11:H20)</f>
        <v>93.874434821999969</v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>
        <f>SUM(U11:U20)</f>
        <v>22875.760240000003</v>
      </c>
      <c r="V21" s="151"/>
      <c r="W21" s="151"/>
      <c r="X21" s="151"/>
      <c r="Y21" s="151"/>
      <c r="Z21" s="151"/>
    </row>
    <row r="22" spans="1:26">
      <c r="A22" s="136"/>
      <c r="B22" s="16" t="s">
        <v>26</v>
      </c>
      <c r="C22" s="33"/>
      <c r="D22" s="15"/>
      <c r="E22" s="38"/>
      <c r="F22" s="39"/>
      <c r="G22" s="39"/>
      <c r="H22" s="40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</row>
    <row r="23" spans="1:26" ht="25.5" customHeight="1">
      <c r="A23" s="136" t="s">
        <v>147</v>
      </c>
      <c r="B23" s="15" t="s">
        <v>127</v>
      </c>
      <c r="C23" s="33" t="s">
        <v>27</v>
      </c>
      <c r="D23" s="15" t="s">
        <v>202</v>
      </c>
      <c r="E23" s="39">
        <v>124.74</v>
      </c>
      <c r="F23" s="39">
        <f>SUM(E23*52/1000)</f>
        <v>6.4864799999999994</v>
      </c>
      <c r="G23" s="39">
        <v>204.44</v>
      </c>
      <c r="H23" s="40">
        <f t="shared" ref="H23:H30" si="11">SUM(F23*G23/1000)</f>
        <v>1.3260959712</v>
      </c>
      <c r="I23" s="41">
        <v>0</v>
      </c>
      <c r="J23" s="41">
        <v>0</v>
      </c>
      <c r="K23" s="41">
        <v>0</v>
      </c>
      <c r="L23" s="41">
        <v>0</v>
      </c>
      <c r="M23" s="41">
        <f>F23/6*G23</f>
        <v>221.01599519999996</v>
      </c>
      <c r="N23" s="41">
        <f>F23/6*G23</f>
        <v>221.01599519999996</v>
      </c>
      <c r="O23" s="41">
        <f>F23/6*G23</f>
        <v>221.01599519999996</v>
      </c>
      <c r="P23" s="41">
        <f>F23/6*G23</f>
        <v>221.01599519999996</v>
      </c>
      <c r="Q23" s="41">
        <f>F23/6*G23</f>
        <v>221.01599519999996</v>
      </c>
      <c r="R23" s="41">
        <f>F23/6*G23</f>
        <v>221.01599519999996</v>
      </c>
      <c r="S23" s="41">
        <v>0</v>
      </c>
      <c r="T23" s="41">
        <v>0</v>
      </c>
      <c r="U23" s="41">
        <f t="shared" ref="U23:U30" si="12">SUM(R23:T23)</f>
        <v>221.01599519999996</v>
      </c>
    </row>
    <row r="24" spans="1:26" ht="38.25" customHeight="1">
      <c r="A24" s="136" t="s">
        <v>148</v>
      </c>
      <c r="B24" s="15" t="s">
        <v>128</v>
      </c>
      <c r="C24" s="33" t="s">
        <v>27</v>
      </c>
      <c r="D24" s="15" t="s">
        <v>203</v>
      </c>
      <c r="E24" s="39">
        <v>31.4</v>
      </c>
      <c r="F24" s="39">
        <f>SUM(E24*52/1000)</f>
        <v>1.6328</v>
      </c>
      <c r="G24" s="39">
        <v>339.21</v>
      </c>
      <c r="H24" s="40">
        <f t="shared" si="11"/>
        <v>0.55386208799999992</v>
      </c>
      <c r="I24" s="41">
        <v>0</v>
      </c>
      <c r="J24" s="41">
        <v>0</v>
      </c>
      <c r="K24" s="41">
        <v>0</v>
      </c>
      <c r="L24" s="41">
        <v>0</v>
      </c>
      <c r="M24" s="41">
        <f t="shared" ref="M24:M26" si="13">F24/6*G24</f>
        <v>92.310347999999991</v>
      </c>
      <c r="N24" s="41">
        <f t="shared" ref="N24:N26" si="14">F24/6*G24</f>
        <v>92.310347999999991</v>
      </c>
      <c r="O24" s="41">
        <f t="shared" ref="O24:O26" si="15">F24/6*G24</f>
        <v>92.310347999999991</v>
      </c>
      <c r="P24" s="41">
        <f t="shared" ref="P24:P26" si="16">F24/6*G24</f>
        <v>92.310347999999991</v>
      </c>
      <c r="Q24" s="41">
        <f t="shared" ref="Q24:Q26" si="17">F24/6*G24</f>
        <v>92.310347999999991</v>
      </c>
      <c r="R24" s="41">
        <f t="shared" ref="R24:R26" si="18">F24/6*G24</f>
        <v>92.310347999999991</v>
      </c>
      <c r="S24" s="41">
        <v>0</v>
      </c>
      <c r="T24" s="41">
        <v>0</v>
      </c>
      <c r="U24" s="41">
        <f t="shared" si="12"/>
        <v>92.310347999999991</v>
      </c>
    </row>
    <row r="25" spans="1:26">
      <c r="A25" s="136" t="s">
        <v>149</v>
      </c>
      <c r="B25" s="15" t="s">
        <v>28</v>
      </c>
      <c r="C25" s="33" t="s">
        <v>27</v>
      </c>
      <c r="D25" s="15" t="s">
        <v>29</v>
      </c>
      <c r="E25" s="39">
        <v>124.7</v>
      </c>
      <c r="F25" s="39">
        <f>SUM(E25/1000)</f>
        <v>0.12470000000000001</v>
      </c>
      <c r="G25" s="39">
        <v>3961.23</v>
      </c>
      <c r="H25" s="40">
        <f t="shared" si="11"/>
        <v>0.49396538100000004</v>
      </c>
      <c r="I25" s="41">
        <v>0</v>
      </c>
      <c r="J25" s="41">
        <v>0</v>
      </c>
      <c r="K25" s="41">
        <v>0</v>
      </c>
      <c r="L25" s="41">
        <v>0</v>
      </c>
      <c r="M25" s="41">
        <f>F25*G25</f>
        <v>493.96538100000004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f t="shared" si="12"/>
        <v>0</v>
      </c>
    </row>
    <row r="26" spans="1:26">
      <c r="A26" s="136" t="s">
        <v>150</v>
      </c>
      <c r="B26" s="15" t="s">
        <v>30</v>
      </c>
      <c r="C26" s="33" t="s">
        <v>31</v>
      </c>
      <c r="D26" s="15" t="s">
        <v>32</v>
      </c>
      <c r="E26" s="49">
        <f>1/3</f>
        <v>0.33333333333333331</v>
      </c>
      <c r="F26" s="39">
        <f>155/3</f>
        <v>51.666666666666664</v>
      </c>
      <c r="G26" s="39">
        <v>74.349999999999994</v>
      </c>
      <c r="H26" s="40">
        <f t="shared" si="11"/>
        <v>3.841416666666666</v>
      </c>
      <c r="I26" s="41">
        <v>0</v>
      </c>
      <c r="J26" s="41">
        <v>0</v>
      </c>
      <c r="K26" s="41">
        <v>0</v>
      </c>
      <c r="L26" s="41">
        <v>0</v>
      </c>
      <c r="M26" s="41">
        <f t="shared" si="13"/>
        <v>640.23611111111109</v>
      </c>
      <c r="N26" s="41">
        <f t="shared" si="14"/>
        <v>640.23611111111109</v>
      </c>
      <c r="O26" s="41">
        <f t="shared" si="15"/>
        <v>640.23611111111109</v>
      </c>
      <c r="P26" s="41">
        <f t="shared" si="16"/>
        <v>640.23611111111109</v>
      </c>
      <c r="Q26" s="41">
        <f t="shared" si="17"/>
        <v>640.23611111111109</v>
      </c>
      <c r="R26" s="41">
        <f t="shared" si="18"/>
        <v>640.23611111111109</v>
      </c>
      <c r="S26" s="41">
        <v>0</v>
      </c>
      <c r="T26" s="41">
        <v>0</v>
      </c>
      <c r="U26" s="41">
        <f t="shared" si="12"/>
        <v>640.23611111111109</v>
      </c>
    </row>
    <row r="27" spans="1:26" ht="12.75" customHeight="1">
      <c r="A27" s="136" t="s">
        <v>151</v>
      </c>
      <c r="B27" s="15" t="s">
        <v>33</v>
      </c>
      <c r="C27" s="33" t="s">
        <v>34</v>
      </c>
      <c r="D27" s="15" t="s">
        <v>204</v>
      </c>
      <c r="E27" s="50">
        <v>0.1</v>
      </c>
      <c r="F27" s="39">
        <f>SUM(E27*182)</f>
        <v>18.2</v>
      </c>
      <c r="G27" s="39">
        <v>264.85000000000002</v>
      </c>
      <c r="H27" s="40">
        <f t="shared" si="11"/>
        <v>4.8202700000000007</v>
      </c>
      <c r="I27" s="41">
        <f>F27/12*G27</f>
        <v>401.68916666666667</v>
      </c>
      <c r="J27" s="41">
        <f>F27/12*G27</f>
        <v>401.68916666666667</v>
      </c>
      <c r="K27" s="41">
        <f>F27/12*G27</f>
        <v>401.68916666666667</v>
      </c>
      <c r="L27" s="41">
        <f>F27/12*G27</f>
        <v>401.68916666666667</v>
      </c>
      <c r="M27" s="41">
        <f t="shared" ref="M27" si="19">F27/12*G27</f>
        <v>401.68916666666667</v>
      </c>
      <c r="N27" s="41">
        <f>F27/12*G27</f>
        <v>401.68916666666667</v>
      </c>
      <c r="O27" s="41">
        <f>F27/12*G27</f>
        <v>401.68916666666667</v>
      </c>
      <c r="P27" s="41">
        <f>F27/12*G27</f>
        <v>401.68916666666667</v>
      </c>
      <c r="Q27" s="41">
        <f>F27/12*G27</f>
        <v>401.68916666666667</v>
      </c>
      <c r="R27" s="41">
        <f>F27/12*G27</f>
        <v>401.68916666666667</v>
      </c>
      <c r="S27" s="41">
        <f>F27/12*G27</f>
        <v>401.68916666666667</v>
      </c>
      <c r="T27" s="41">
        <f>F27/12*G27</f>
        <v>401.68916666666667</v>
      </c>
      <c r="U27" s="41">
        <f t="shared" si="12"/>
        <v>1205.0675000000001</v>
      </c>
    </row>
    <row r="28" spans="1:26" ht="12.75" customHeight="1">
      <c r="A28" s="136" t="s">
        <v>152</v>
      </c>
      <c r="B28" s="15" t="s">
        <v>129</v>
      </c>
      <c r="C28" s="33" t="s">
        <v>34</v>
      </c>
      <c r="D28" s="15" t="s">
        <v>35</v>
      </c>
      <c r="E28" s="38"/>
      <c r="F28" s="39">
        <v>2</v>
      </c>
      <c r="G28" s="39">
        <v>250.92</v>
      </c>
      <c r="H28" s="40">
        <f t="shared" si="11"/>
        <v>0.50183999999999995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f t="shared" si="12"/>
        <v>0</v>
      </c>
    </row>
    <row r="29" spans="1:26" ht="12.75" customHeight="1">
      <c r="A29" s="136" t="s">
        <v>118</v>
      </c>
      <c r="B29" s="15" t="s">
        <v>130</v>
      </c>
      <c r="C29" s="33" t="s">
        <v>36</v>
      </c>
      <c r="D29" s="15" t="s">
        <v>35</v>
      </c>
      <c r="E29" s="38"/>
      <c r="F29" s="39">
        <v>1</v>
      </c>
      <c r="G29" s="39">
        <v>1490.31</v>
      </c>
      <c r="H29" s="40">
        <f t="shared" si="11"/>
        <v>1.49031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f t="shared" si="12"/>
        <v>0</v>
      </c>
    </row>
    <row r="30" spans="1:26">
      <c r="A30" s="136"/>
      <c r="B30" s="51" t="s">
        <v>37</v>
      </c>
      <c r="C30" s="33" t="s">
        <v>38</v>
      </c>
      <c r="D30" s="51" t="s">
        <v>39</v>
      </c>
      <c r="E30" s="38">
        <v>2579.4</v>
      </c>
      <c r="F30" s="39">
        <f>SUM(E30*12)</f>
        <v>30952.800000000003</v>
      </c>
      <c r="G30" s="39">
        <v>3.34</v>
      </c>
      <c r="H30" s="40">
        <f t="shared" si="11"/>
        <v>103.382352</v>
      </c>
      <c r="I30" s="41">
        <f>F30/12*G30</f>
        <v>8615.1959999999999</v>
      </c>
      <c r="J30" s="41">
        <f>F30/12*G30</f>
        <v>8615.1959999999999</v>
      </c>
      <c r="K30" s="41">
        <f>F30/12*G30</f>
        <v>8615.1959999999999</v>
      </c>
      <c r="L30" s="41">
        <f>F30/12*G30</f>
        <v>8615.1959999999999</v>
      </c>
      <c r="M30" s="41">
        <f>F30/12*G30</f>
        <v>8615.1959999999999</v>
      </c>
      <c r="N30" s="41">
        <f>F30/12*G30</f>
        <v>8615.1959999999999</v>
      </c>
      <c r="O30" s="41">
        <f>F30/12*G30</f>
        <v>8615.1959999999999</v>
      </c>
      <c r="P30" s="41">
        <f>F30/12*G30</f>
        <v>8615.1959999999999</v>
      </c>
      <c r="Q30" s="41">
        <f t="shared" ref="Q30" si="20">F30/12*G30</f>
        <v>8615.1959999999999</v>
      </c>
      <c r="R30" s="41">
        <f t="shared" ref="R30" si="21">F30/12*G30</f>
        <v>8615.1959999999999</v>
      </c>
      <c r="S30" s="41">
        <f t="shared" ref="S30" si="22">F30/12*G30</f>
        <v>8615.1959999999999</v>
      </c>
      <c r="T30" s="41">
        <f t="shared" ref="T30" si="23">F30/12*G30</f>
        <v>8615.1959999999999</v>
      </c>
      <c r="U30" s="41">
        <f t="shared" si="12"/>
        <v>25845.588</v>
      </c>
    </row>
    <row r="31" spans="1:26" s="23" customFormat="1">
      <c r="A31" s="137"/>
      <c r="B31" s="24" t="s">
        <v>25</v>
      </c>
      <c r="C31" s="43"/>
      <c r="D31" s="24"/>
      <c r="E31" s="44"/>
      <c r="F31" s="45"/>
      <c r="G31" s="45"/>
      <c r="H31" s="52">
        <f>SUM(H23:H30)</f>
        <v>116.41011210686666</v>
      </c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>
        <f>SUM(U23:U30)</f>
        <v>28004.217954311112</v>
      </c>
      <c r="V31" s="151"/>
      <c r="W31" s="151"/>
      <c r="X31" s="151"/>
      <c r="Y31" s="151"/>
      <c r="Z31" s="151"/>
    </row>
    <row r="32" spans="1:26">
      <c r="A32" s="136"/>
      <c r="B32" s="16" t="s">
        <v>40</v>
      </c>
      <c r="C32" s="33"/>
      <c r="D32" s="15"/>
      <c r="E32" s="38"/>
      <c r="F32" s="39"/>
      <c r="G32" s="39"/>
      <c r="H32" s="40" t="s">
        <v>39</v>
      </c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</row>
    <row r="33" spans="1:26" ht="12.75" customHeight="1">
      <c r="A33" s="136" t="s">
        <v>118</v>
      </c>
      <c r="B33" s="17" t="s">
        <v>41</v>
      </c>
      <c r="C33" s="33" t="s">
        <v>36</v>
      </c>
      <c r="D33" s="15"/>
      <c r="E33" s="38"/>
      <c r="F33" s="39">
        <v>6</v>
      </c>
      <c r="G33" s="39">
        <v>2003</v>
      </c>
      <c r="H33" s="40">
        <f>SUM(F33*G33/1000)</f>
        <v>12.018000000000001</v>
      </c>
      <c r="I33" s="41">
        <f>F33/6*G33</f>
        <v>2003</v>
      </c>
      <c r="J33" s="41">
        <f>F33/6*G33</f>
        <v>2003</v>
      </c>
      <c r="K33" s="41">
        <f>F33/6*G33</f>
        <v>2003</v>
      </c>
      <c r="L33" s="41">
        <f>F33/6*G33</f>
        <v>2003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f>F33/6*G33</f>
        <v>2003</v>
      </c>
      <c r="T33" s="41">
        <f>F33/6*G33</f>
        <v>2003</v>
      </c>
      <c r="U33" s="41">
        <f t="shared" ref="U33:U39" si="24">SUM(R33:T33)</f>
        <v>4006</v>
      </c>
    </row>
    <row r="34" spans="1:26" s="1" customFormat="1">
      <c r="A34" s="138" t="s">
        <v>154</v>
      </c>
      <c r="B34" s="17" t="s">
        <v>42</v>
      </c>
      <c r="C34" s="53" t="s">
        <v>43</v>
      </c>
      <c r="D34" s="17" t="s">
        <v>100</v>
      </c>
      <c r="E34" s="54">
        <v>26.07</v>
      </c>
      <c r="F34" s="54">
        <f>SUM(E34*30/1000)</f>
        <v>0.78210000000000002</v>
      </c>
      <c r="G34" s="54">
        <v>2757.78</v>
      </c>
      <c r="H34" s="40">
        <f t="shared" ref="H34:H39" si="25">SUM(F34*G34/1000)</f>
        <v>2.1568597380000001</v>
      </c>
      <c r="I34" s="55">
        <f>F34/6*G34</f>
        <v>359.47662300000002</v>
      </c>
      <c r="J34" s="55">
        <f>F34/6*G34</f>
        <v>359.47662300000002</v>
      </c>
      <c r="K34" s="55">
        <f>F34/6*G34</f>
        <v>359.47662300000002</v>
      </c>
      <c r="L34" s="41">
        <f t="shared" ref="L34:L39" si="26">F34/6*G34</f>
        <v>359.47662300000002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f t="shared" ref="S34:S39" si="27">F34/6*G34</f>
        <v>359.47662300000002</v>
      </c>
      <c r="T34" s="41">
        <f t="shared" ref="T34:T39" si="28">F34/6*G34</f>
        <v>359.47662300000002</v>
      </c>
      <c r="U34" s="41">
        <f t="shared" si="24"/>
        <v>718.95324600000004</v>
      </c>
      <c r="V34" s="158"/>
      <c r="W34" s="158"/>
      <c r="X34" s="158"/>
      <c r="Y34" s="158"/>
      <c r="Z34" s="158"/>
    </row>
    <row r="35" spans="1:26" ht="24.75" customHeight="1">
      <c r="A35" s="136" t="s">
        <v>153</v>
      </c>
      <c r="B35" s="15" t="s">
        <v>131</v>
      </c>
      <c r="C35" s="33" t="s">
        <v>43</v>
      </c>
      <c r="D35" s="15" t="s">
        <v>44</v>
      </c>
      <c r="E35" s="39">
        <v>31.4</v>
      </c>
      <c r="F35" s="54">
        <f>SUM(E35*155/1000)</f>
        <v>4.867</v>
      </c>
      <c r="G35" s="39">
        <v>460.02</v>
      </c>
      <c r="H35" s="40">
        <f t="shared" si="25"/>
        <v>2.23891734</v>
      </c>
      <c r="I35" s="41">
        <f>F35/6*G35</f>
        <v>373.15289000000001</v>
      </c>
      <c r="J35" s="41">
        <f>F35/6*G35</f>
        <v>373.15289000000001</v>
      </c>
      <c r="K35" s="41">
        <f>F35/6*G35</f>
        <v>373.15289000000001</v>
      </c>
      <c r="L35" s="41">
        <f t="shared" si="26"/>
        <v>373.15289000000001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f t="shared" si="27"/>
        <v>373.15289000000001</v>
      </c>
      <c r="T35" s="41">
        <f t="shared" si="28"/>
        <v>373.15289000000001</v>
      </c>
      <c r="U35" s="41">
        <f t="shared" si="24"/>
        <v>746.30578000000003</v>
      </c>
    </row>
    <row r="36" spans="1:26">
      <c r="A36" s="136" t="s">
        <v>118</v>
      </c>
      <c r="B36" s="15" t="s">
        <v>101</v>
      </c>
      <c r="C36" s="33" t="s">
        <v>85</v>
      </c>
      <c r="D36" s="15" t="s">
        <v>35</v>
      </c>
      <c r="E36" s="38"/>
      <c r="F36" s="54">
        <v>110</v>
      </c>
      <c r="G36" s="39">
        <v>314</v>
      </c>
      <c r="H36" s="40">
        <f t="shared" si="25"/>
        <v>34.54</v>
      </c>
      <c r="I36" s="41">
        <v>0</v>
      </c>
      <c r="J36" s="41">
        <v>0</v>
      </c>
      <c r="K36" s="41">
        <v>0</v>
      </c>
      <c r="L36" s="41">
        <f>G36*39</f>
        <v>12246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f t="shared" si="24"/>
        <v>0</v>
      </c>
    </row>
    <row r="37" spans="1:26" ht="51" customHeight="1">
      <c r="A37" s="136" t="s">
        <v>155</v>
      </c>
      <c r="B37" s="15" t="s">
        <v>132</v>
      </c>
      <c r="C37" s="33" t="s">
        <v>27</v>
      </c>
      <c r="D37" s="15" t="s">
        <v>100</v>
      </c>
      <c r="E37" s="39">
        <v>26.07</v>
      </c>
      <c r="F37" s="54">
        <f>SUM(E37*30/1000)</f>
        <v>0.78210000000000002</v>
      </c>
      <c r="G37" s="39">
        <v>7611.16</v>
      </c>
      <c r="H37" s="40">
        <f t="shared" si="25"/>
        <v>5.9526882360000002</v>
      </c>
      <c r="I37" s="41">
        <f>F37/6*G37</f>
        <v>992.11470599999996</v>
      </c>
      <c r="J37" s="41">
        <f>F37/6*G37</f>
        <v>992.11470599999996</v>
      </c>
      <c r="K37" s="41">
        <f>F37/6*G37</f>
        <v>992.11470599999996</v>
      </c>
      <c r="L37" s="41">
        <f t="shared" si="26"/>
        <v>992.11470599999996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f t="shared" si="27"/>
        <v>992.11470599999996</v>
      </c>
      <c r="T37" s="41">
        <f t="shared" si="28"/>
        <v>992.11470599999996</v>
      </c>
      <c r="U37" s="41">
        <f t="shared" si="24"/>
        <v>1984.2294119999999</v>
      </c>
    </row>
    <row r="38" spans="1:26" ht="12.75" customHeight="1">
      <c r="A38" s="136" t="s">
        <v>156</v>
      </c>
      <c r="B38" s="15" t="s">
        <v>133</v>
      </c>
      <c r="C38" s="33" t="s">
        <v>27</v>
      </c>
      <c r="D38" s="15" t="s">
        <v>205</v>
      </c>
      <c r="E38" s="39">
        <v>26.07</v>
      </c>
      <c r="F38" s="54">
        <f>SUM(E38*24/1000)</f>
        <v>0.62568000000000001</v>
      </c>
      <c r="G38" s="39">
        <v>562.25</v>
      </c>
      <c r="H38" s="40">
        <f t="shared" si="25"/>
        <v>0.35178858000000002</v>
      </c>
      <c r="I38" s="41">
        <f>F38/6*G38</f>
        <v>58.631430000000002</v>
      </c>
      <c r="J38" s="41">
        <f>F38/6*G38</f>
        <v>58.631430000000002</v>
      </c>
      <c r="K38" s="41">
        <f>F38/6*G38</f>
        <v>58.631430000000002</v>
      </c>
      <c r="L38" s="41">
        <f t="shared" si="26"/>
        <v>58.631430000000002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f t="shared" si="24"/>
        <v>0</v>
      </c>
    </row>
    <row r="39" spans="1:26" s="2" customFormat="1">
      <c r="A39" s="138"/>
      <c r="B39" s="17" t="s">
        <v>134</v>
      </c>
      <c r="C39" s="53" t="s">
        <v>34</v>
      </c>
      <c r="D39" s="17"/>
      <c r="E39" s="50"/>
      <c r="F39" s="54">
        <v>0.3</v>
      </c>
      <c r="G39" s="54">
        <v>974.83</v>
      </c>
      <c r="H39" s="40">
        <f t="shared" si="25"/>
        <v>0.29244900000000001</v>
      </c>
      <c r="I39" s="55">
        <f>F39/6*G39</f>
        <v>48.741499999999995</v>
      </c>
      <c r="J39" s="55">
        <f>F39/6*G39</f>
        <v>48.741499999999995</v>
      </c>
      <c r="K39" s="55">
        <f>F39/6*G39</f>
        <v>48.741499999999995</v>
      </c>
      <c r="L39" s="41">
        <f t="shared" si="26"/>
        <v>48.741499999999995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f t="shared" si="27"/>
        <v>48.741499999999995</v>
      </c>
      <c r="T39" s="41">
        <f t="shared" si="28"/>
        <v>48.741499999999995</v>
      </c>
      <c r="U39" s="41">
        <f t="shared" si="24"/>
        <v>97.48299999999999</v>
      </c>
      <c r="V39" s="151"/>
      <c r="W39" s="151"/>
      <c r="X39" s="151"/>
      <c r="Y39" s="151"/>
      <c r="Z39" s="151"/>
    </row>
    <row r="40" spans="1:26" s="23" customFormat="1">
      <c r="A40" s="137"/>
      <c r="B40" s="24" t="s">
        <v>25</v>
      </c>
      <c r="C40" s="43"/>
      <c r="D40" s="24"/>
      <c r="E40" s="44"/>
      <c r="F40" s="45" t="s">
        <v>39</v>
      </c>
      <c r="G40" s="45"/>
      <c r="H40" s="52">
        <f>SUM(H33:H39)</f>
        <v>57.550702893999997</v>
      </c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>
        <f>SUM(U33:U39)</f>
        <v>7552.9714379999996</v>
      </c>
      <c r="V40" s="151"/>
      <c r="W40" s="151"/>
      <c r="X40" s="151"/>
      <c r="Y40" s="151"/>
      <c r="Z40" s="151"/>
    </row>
    <row r="41" spans="1:26">
      <c r="A41" s="136"/>
      <c r="B41" s="18" t="s">
        <v>45</v>
      </c>
      <c r="C41" s="33"/>
      <c r="D41" s="15"/>
      <c r="E41" s="38"/>
      <c r="F41" s="39"/>
      <c r="G41" s="39"/>
      <c r="H41" s="40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</row>
    <row r="42" spans="1:26">
      <c r="A42" s="136" t="s">
        <v>157</v>
      </c>
      <c r="B42" s="15" t="s">
        <v>136</v>
      </c>
      <c r="C42" s="33" t="s">
        <v>27</v>
      </c>
      <c r="D42" s="15" t="s">
        <v>46</v>
      </c>
      <c r="E42" s="38">
        <v>1109.4000000000001</v>
      </c>
      <c r="F42" s="39">
        <f>SUM(E42*2/1000)</f>
        <v>2.2188000000000003</v>
      </c>
      <c r="G42" s="56">
        <v>1172.4100000000001</v>
      </c>
      <c r="H42" s="40">
        <f t="shared" ref="H42:H52" si="29">SUM(F42*G42/1000)</f>
        <v>2.6013433080000006</v>
      </c>
      <c r="I42" s="41">
        <v>0</v>
      </c>
      <c r="J42" s="41">
        <v>0</v>
      </c>
      <c r="K42" s="41">
        <v>0</v>
      </c>
      <c r="L42" s="41">
        <v>0</v>
      </c>
      <c r="M42" s="41">
        <f>F42/2*G42</f>
        <v>1300.6716540000002</v>
      </c>
      <c r="N42" s="41">
        <v>0</v>
      </c>
      <c r="O42" s="41">
        <v>0</v>
      </c>
      <c r="P42" s="41">
        <v>0</v>
      </c>
      <c r="Q42" s="41">
        <f>F42/2*G42</f>
        <v>1300.6716540000002</v>
      </c>
      <c r="R42" s="41">
        <v>0</v>
      </c>
      <c r="S42" s="41">
        <v>0</v>
      </c>
      <c r="T42" s="41">
        <v>0</v>
      </c>
      <c r="U42" s="41">
        <f t="shared" ref="U42:U52" si="30">SUM(R42:T42)</f>
        <v>0</v>
      </c>
    </row>
    <row r="43" spans="1:26">
      <c r="A43" s="136" t="s">
        <v>158</v>
      </c>
      <c r="B43" s="15" t="s">
        <v>47</v>
      </c>
      <c r="C43" s="33" t="s">
        <v>27</v>
      </c>
      <c r="D43" s="15" t="s">
        <v>46</v>
      </c>
      <c r="E43" s="38">
        <v>66</v>
      </c>
      <c r="F43" s="39">
        <f>SUM(E43*2/1000)</f>
        <v>0.13200000000000001</v>
      </c>
      <c r="G43" s="56">
        <v>4419.05</v>
      </c>
      <c r="H43" s="40">
        <f t="shared" si="29"/>
        <v>0.58331460000000002</v>
      </c>
      <c r="I43" s="41">
        <v>0</v>
      </c>
      <c r="J43" s="41">
        <v>0</v>
      </c>
      <c r="K43" s="41">
        <v>0</v>
      </c>
      <c r="L43" s="41">
        <v>0</v>
      </c>
      <c r="M43" s="41">
        <f t="shared" ref="M43:M46" si="31">F43/2*G43</f>
        <v>291.65730000000002</v>
      </c>
      <c r="N43" s="41">
        <v>0</v>
      </c>
      <c r="O43" s="41">
        <v>0</v>
      </c>
      <c r="P43" s="41">
        <v>0</v>
      </c>
      <c r="Q43" s="41">
        <f t="shared" ref="Q43:Q46" si="32">F43/2*G43</f>
        <v>291.65730000000002</v>
      </c>
      <c r="R43" s="41">
        <v>0</v>
      </c>
      <c r="S43" s="41">
        <v>0</v>
      </c>
      <c r="T43" s="41">
        <v>0</v>
      </c>
      <c r="U43" s="41">
        <f t="shared" si="30"/>
        <v>0</v>
      </c>
    </row>
    <row r="44" spans="1:26" ht="12.75" customHeight="1">
      <c r="A44" s="136" t="s">
        <v>159</v>
      </c>
      <c r="B44" s="15" t="s">
        <v>48</v>
      </c>
      <c r="C44" s="33" t="s">
        <v>27</v>
      </c>
      <c r="D44" s="15" t="s">
        <v>46</v>
      </c>
      <c r="E44" s="38">
        <v>1563.2750000000001</v>
      </c>
      <c r="F44" s="39">
        <f>SUM(E44*2/1000)</f>
        <v>3.1265500000000004</v>
      </c>
      <c r="G44" s="56">
        <v>1803.69</v>
      </c>
      <c r="H44" s="40">
        <f t="shared" si="29"/>
        <v>5.6393269695000008</v>
      </c>
      <c r="I44" s="41">
        <v>0</v>
      </c>
      <c r="J44" s="41">
        <v>0</v>
      </c>
      <c r="K44" s="41">
        <v>0</v>
      </c>
      <c r="L44" s="41">
        <v>0</v>
      </c>
      <c r="M44" s="41">
        <f t="shared" si="31"/>
        <v>2819.6634847500004</v>
      </c>
      <c r="N44" s="41">
        <v>0</v>
      </c>
      <c r="O44" s="41">
        <v>0</v>
      </c>
      <c r="P44" s="41">
        <v>0</v>
      </c>
      <c r="Q44" s="41">
        <f t="shared" si="32"/>
        <v>2819.6634847500004</v>
      </c>
      <c r="R44" s="41">
        <v>0</v>
      </c>
      <c r="S44" s="41">
        <v>0</v>
      </c>
      <c r="T44" s="41">
        <v>0</v>
      </c>
      <c r="U44" s="41">
        <f t="shared" si="30"/>
        <v>0</v>
      </c>
    </row>
    <row r="45" spans="1:26">
      <c r="A45" s="136" t="s">
        <v>160</v>
      </c>
      <c r="B45" s="15" t="s">
        <v>49</v>
      </c>
      <c r="C45" s="33" t="s">
        <v>27</v>
      </c>
      <c r="D45" s="15" t="s">
        <v>46</v>
      </c>
      <c r="E45" s="38">
        <v>1619.6</v>
      </c>
      <c r="F45" s="39">
        <f>SUM(E45*2/1000)</f>
        <v>3.2391999999999999</v>
      </c>
      <c r="G45" s="56">
        <v>1243.43</v>
      </c>
      <c r="H45" s="40">
        <f t="shared" si="29"/>
        <v>4.0277184559999997</v>
      </c>
      <c r="I45" s="41">
        <v>0</v>
      </c>
      <c r="J45" s="41">
        <v>0</v>
      </c>
      <c r="K45" s="41">
        <v>0</v>
      </c>
      <c r="L45" s="41">
        <v>0</v>
      </c>
      <c r="M45" s="41">
        <f t="shared" si="31"/>
        <v>2013.859228</v>
      </c>
      <c r="N45" s="41">
        <v>0</v>
      </c>
      <c r="O45" s="41">
        <v>0</v>
      </c>
      <c r="P45" s="41">
        <v>0</v>
      </c>
      <c r="Q45" s="41">
        <f t="shared" si="32"/>
        <v>2013.859228</v>
      </c>
      <c r="R45" s="41">
        <v>0</v>
      </c>
      <c r="S45" s="41">
        <v>0</v>
      </c>
      <c r="T45" s="41">
        <v>0</v>
      </c>
      <c r="U45" s="41">
        <f t="shared" si="30"/>
        <v>0</v>
      </c>
    </row>
    <row r="46" spans="1:26">
      <c r="A46" s="136" t="s">
        <v>161</v>
      </c>
      <c r="B46" s="15" t="s">
        <v>50</v>
      </c>
      <c r="C46" s="33" t="s">
        <v>51</v>
      </c>
      <c r="D46" s="15" t="s">
        <v>46</v>
      </c>
      <c r="E46" s="38">
        <v>85.84</v>
      </c>
      <c r="F46" s="39">
        <f>SUM(E46*2/100)</f>
        <v>1.7168000000000001</v>
      </c>
      <c r="G46" s="56">
        <v>1352.76</v>
      </c>
      <c r="H46" s="40">
        <f t="shared" si="29"/>
        <v>2.3224183680000001</v>
      </c>
      <c r="I46" s="41">
        <v>0</v>
      </c>
      <c r="J46" s="41">
        <v>0</v>
      </c>
      <c r="K46" s="41">
        <v>0</v>
      </c>
      <c r="L46" s="41">
        <v>0</v>
      </c>
      <c r="M46" s="41">
        <f t="shared" si="31"/>
        <v>1161.2091840000001</v>
      </c>
      <c r="N46" s="41">
        <v>0</v>
      </c>
      <c r="O46" s="41">
        <v>0</v>
      </c>
      <c r="P46" s="41">
        <v>0</v>
      </c>
      <c r="Q46" s="41">
        <f t="shared" si="32"/>
        <v>1161.2091840000001</v>
      </c>
      <c r="R46" s="41">
        <v>0</v>
      </c>
      <c r="S46" s="41">
        <v>0</v>
      </c>
      <c r="T46" s="41">
        <v>0</v>
      </c>
      <c r="U46" s="41">
        <f t="shared" si="30"/>
        <v>0</v>
      </c>
    </row>
    <row r="47" spans="1:26" ht="25.5">
      <c r="A47" s="136" t="s">
        <v>162</v>
      </c>
      <c r="B47" s="15" t="s">
        <v>52</v>
      </c>
      <c r="C47" s="33" t="s">
        <v>27</v>
      </c>
      <c r="D47" s="15" t="s">
        <v>206</v>
      </c>
      <c r="E47" s="38">
        <v>2579.4</v>
      </c>
      <c r="F47" s="39">
        <f>SUM(E47*5/1000)</f>
        <v>12.897</v>
      </c>
      <c r="G47" s="56">
        <v>1803.69</v>
      </c>
      <c r="H47" s="40">
        <f t="shared" si="29"/>
        <v>23.262189930000002</v>
      </c>
      <c r="I47" s="41">
        <f>F47/5*G47</f>
        <v>4652.4379860000008</v>
      </c>
      <c r="J47" s="41">
        <f>F47/5*G47</f>
        <v>4652.4379860000008</v>
      </c>
      <c r="K47" s="41">
        <v>0</v>
      </c>
      <c r="L47" s="41">
        <v>0</v>
      </c>
      <c r="M47" s="41">
        <f>F47/5*G47</f>
        <v>4652.4379860000008</v>
      </c>
      <c r="N47" s="41">
        <v>0</v>
      </c>
      <c r="O47" s="41">
        <v>0</v>
      </c>
      <c r="P47" s="41">
        <v>0</v>
      </c>
      <c r="Q47" s="41">
        <f>F47/5*G47</f>
        <v>4652.4379860000008</v>
      </c>
      <c r="R47" s="41">
        <v>0</v>
      </c>
      <c r="S47" s="41">
        <v>0</v>
      </c>
      <c r="T47" s="41">
        <f>F47/5*G47</f>
        <v>4652.4379860000008</v>
      </c>
      <c r="U47" s="41">
        <f t="shared" si="30"/>
        <v>4652.4379860000008</v>
      </c>
    </row>
    <row r="48" spans="1:26" ht="38.25" customHeight="1">
      <c r="A48" s="136" t="s">
        <v>163</v>
      </c>
      <c r="B48" s="15" t="s">
        <v>53</v>
      </c>
      <c r="C48" s="33" t="s">
        <v>27</v>
      </c>
      <c r="D48" s="15" t="s">
        <v>46</v>
      </c>
      <c r="E48" s="38">
        <v>2579.4</v>
      </c>
      <c r="F48" s="39">
        <f>SUM(E48*2/1000)</f>
        <v>5.1588000000000003</v>
      </c>
      <c r="G48" s="56">
        <v>1591.6</v>
      </c>
      <c r="H48" s="40">
        <f t="shared" si="29"/>
        <v>8.2107460800000016</v>
      </c>
      <c r="I48" s="41">
        <v>0</v>
      </c>
      <c r="J48" s="41">
        <v>0</v>
      </c>
      <c r="K48" s="41">
        <v>0</v>
      </c>
      <c r="L48" s="41">
        <v>0</v>
      </c>
      <c r="M48" s="41">
        <f>F48/2*G48</f>
        <v>4105.3730400000004</v>
      </c>
      <c r="N48" s="41">
        <v>0</v>
      </c>
      <c r="O48" s="41">
        <v>0</v>
      </c>
      <c r="P48" s="41">
        <v>0</v>
      </c>
      <c r="Q48" s="41">
        <v>0</v>
      </c>
      <c r="R48" s="41">
        <f>F48/2*G48</f>
        <v>4105.3730400000004</v>
      </c>
      <c r="S48" s="41">
        <v>0</v>
      </c>
      <c r="T48" s="41">
        <v>0</v>
      </c>
      <c r="U48" s="41">
        <f t="shared" si="30"/>
        <v>4105.3730400000004</v>
      </c>
    </row>
    <row r="49" spans="1:26" ht="25.5" customHeight="1">
      <c r="A49" s="136" t="s">
        <v>164</v>
      </c>
      <c r="B49" s="15" t="s">
        <v>54</v>
      </c>
      <c r="C49" s="33" t="s">
        <v>55</v>
      </c>
      <c r="D49" s="15" t="s">
        <v>46</v>
      </c>
      <c r="E49" s="38">
        <v>20</v>
      </c>
      <c r="F49" s="39">
        <f>SUM(E49*2/100)</f>
        <v>0.4</v>
      </c>
      <c r="G49" s="56">
        <v>4058.32</v>
      </c>
      <c r="H49" s="40">
        <f t="shared" si="29"/>
        <v>1.6233280000000001</v>
      </c>
      <c r="I49" s="41">
        <v>0</v>
      </c>
      <c r="J49" s="41">
        <v>0</v>
      </c>
      <c r="K49" s="41">
        <v>0</v>
      </c>
      <c r="L49" s="41">
        <v>0</v>
      </c>
      <c r="M49" s="41">
        <f t="shared" ref="M49:M50" si="33">F49/2*G49</f>
        <v>811.6640000000001</v>
      </c>
      <c r="N49" s="41">
        <v>0</v>
      </c>
      <c r="O49" s="41">
        <v>0</v>
      </c>
      <c r="P49" s="41">
        <v>0</v>
      </c>
      <c r="Q49" s="41">
        <v>0</v>
      </c>
      <c r="R49" s="41">
        <f t="shared" ref="R49:R50" si="34">F49/2*G49</f>
        <v>811.6640000000001</v>
      </c>
      <c r="S49" s="41">
        <v>0</v>
      </c>
      <c r="T49" s="41">
        <v>0</v>
      </c>
      <c r="U49" s="41">
        <f t="shared" si="30"/>
        <v>811.6640000000001</v>
      </c>
    </row>
    <row r="50" spans="1:26">
      <c r="A50" s="136" t="s">
        <v>165</v>
      </c>
      <c r="B50" s="15" t="s">
        <v>56</v>
      </c>
      <c r="C50" s="33" t="s">
        <v>57</v>
      </c>
      <c r="D50" s="15" t="s">
        <v>46</v>
      </c>
      <c r="E50" s="38">
        <v>1</v>
      </c>
      <c r="F50" s="39">
        <v>0.02</v>
      </c>
      <c r="G50" s="56">
        <v>7412.92</v>
      </c>
      <c r="H50" s="40">
        <f t="shared" si="29"/>
        <v>0.14825839999999998</v>
      </c>
      <c r="I50" s="41">
        <v>0</v>
      </c>
      <c r="J50" s="41">
        <v>0</v>
      </c>
      <c r="K50" s="41">
        <v>0</v>
      </c>
      <c r="L50" s="41">
        <v>0</v>
      </c>
      <c r="M50" s="41">
        <f t="shared" si="33"/>
        <v>74.129199999999997</v>
      </c>
      <c r="N50" s="41">
        <v>0</v>
      </c>
      <c r="O50" s="41">
        <v>0</v>
      </c>
      <c r="P50" s="41">
        <v>0</v>
      </c>
      <c r="Q50" s="41">
        <v>0</v>
      </c>
      <c r="R50" s="41">
        <f t="shared" si="34"/>
        <v>74.129199999999997</v>
      </c>
      <c r="S50" s="41">
        <v>0</v>
      </c>
      <c r="T50" s="41">
        <v>0</v>
      </c>
      <c r="U50" s="41">
        <f t="shared" si="30"/>
        <v>74.129199999999997</v>
      </c>
    </row>
    <row r="51" spans="1:26" ht="13.5" customHeight="1">
      <c r="A51" s="136" t="s">
        <v>58</v>
      </c>
      <c r="B51" s="15" t="s">
        <v>59</v>
      </c>
      <c r="C51" s="33" t="s">
        <v>60</v>
      </c>
      <c r="D51" s="15" t="s">
        <v>117</v>
      </c>
      <c r="E51" s="38">
        <v>62</v>
      </c>
      <c r="F51" s="39">
        <f>SUM(E51*3)</f>
        <v>186</v>
      </c>
      <c r="G51" s="57">
        <v>185.08</v>
      </c>
      <c r="H51" s="40">
        <f t="shared" si="29"/>
        <v>34.424880000000002</v>
      </c>
      <c r="I51" s="41">
        <f>E51*G51</f>
        <v>11474.960000000001</v>
      </c>
      <c r="J51" s="41">
        <v>0</v>
      </c>
      <c r="K51" s="41">
        <v>0</v>
      </c>
      <c r="L51" s="41">
        <v>0</v>
      </c>
      <c r="M51" s="41">
        <f>E51*G51</f>
        <v>11474.960000000001</v>
      </c>
      <c r="N51" s="41">
        <v>0</v>
      </c>
      <c r="O51" s="41">
        <v>0</v>
      </c>
      <c r="P51" s="41">
        <v>0</v>
      </c>
      <c r="Q51" s="41">
        <f>E51*G51</f>
        <v>11474.960000000001</v>
      </c>
      <c r="R51" s="41">
        <v>0</v>
      </c>
      <c r="S51" s="41">
        <v>0</v>
      </c>
      <c r="T51" s="41">
        <v>0</v>
      </c>
      <c r="U51" s="41">
        <f t="shared" si="30"/>
        <v>0</v>
      </c>
    </row>
    <row r="52" spans="1:26" ht="13.5" customHeight="1">
      <c r="A52" s="136" t="s">
        <v>61</v>
      </c>
      <c r="B52" s="15" t="s">
        <v>62</v>
      </c>
      <c r="C52" s="33" t="s">
        <v>60</v>
      </c>
      <c r="D52" s="15" t="s">
        <v>117</v>
      </c>
      <c r="E52" s="38">
        <v>124</v>
      </c>
      <c r="F52" s="39">
        <f>SUM(E52)*3</f>
        <v>372</v>
      </c>
      <c r="G52" s="57">
        <v>86.15</v>
      </c>
      <c r="H52" s="40">
        <f t="shared" si="29"/>
        <v>32.047800000000002</v>
      </c>
      <c r="I52" s="41">
        <f>E52*G52</f>
        <v>10682.6</v>
      </c>
      <c r="J52" s="41">
        <v>0</v>
      </c>
      <c r="K52" s="41">
        <v>0</v>
      </c>
      <c r="L52" s="41">
        <v>0</v>
      </c>
      <c r="M52" s="41">
        <f>E52*G52</f>
        <v>10682.6</v>
      </c>
      <c r="N52" s="41">
        <v>0</v>
      </c>
      <c r="O52" s="41">
        <v>0</v>
      </c>
      <c r="P52" s="41">
        <v>0</v>
      </c>
      <c r="Q52" s="41">
        <f>E52*G52</f>
        <v>10682.6</v>
      </c>
      <c r="R52" s="41">
        <v>0</v>
      </c>
      <c r="S52" s="41">
        <v>0</v>
      </c>
      <c r="T52" s="41">
        <v>0</v>
      </c>
      <c r="U52" s="41">
        <f t="shared" si="30"/>
        <v>0</v>
      </c>
    </row>
    <row r="53" spans="1:26" s="25" customFormat="1">
      <c r="A53" s="139"/>
      <c r="B53" s="24" t="s">
        <v>25</v>
      </c>
      <c r="C53" s="58"/>
      <c r="D53" s="24"/>
      <c r="E53" s="59"/>
      <c r="F53" s="60"/>
      <c r="G53" s="60"/>
      <c r="H53" s="52">
        <f>SUM(H42:H52)</f>
        <v>114.89132411150001</v>
      </c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>
        <f>SUM(U42:U52)</f>
        <v>9643.6042260000013</v>
      </c>
      <c r="V53" s="151"/>
      <c r="W53" s="151"/>
      <c r="X53" s="151"/>
      <c r="Y53" s="151"/>
      <c r="Z53" s="151"/>
    </row>
    <row r="54" spans="1:26">
      <c r="A54" s="136"/>
      <c r="B54" s="16" t="s">
        <v>63</v>
      </c>
      <c r="C54" s="33"/>
      <c r="D54" s="15"/>
      <c r="E54" s="38"/>
      <c r="F54" s="39"/>
      <c r="G54" s="39"/>
      <c r="H54" s="40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</row>
    <row r="55" spans="1:26" ht="25.5" customHeight="1">
      <c r="A55" s="11" t="s">
        <v>166</v>
      </c>
      <c r="B55" s="15" t="s">
        <v>124</v>
      </c>
      <c r="C55" s="33" t="s">
        <v>13</v>
      </c>
      <c r="D55" s="15" t="s">
        <v>64</v>
      </c>
      <c r="E55" s="38">
        <v>126.94</v>
      </c>
      <c r="F55" s="39">
        <f>SUM(E55*6/100)</f>
        <v>7.6163999999999996</v>
      </c>
      <c r="G55" s="56">
        <v>2029.3</v>
      </c>
      <c r="H55" s="40">
        <f>SUM(F55*G55/1000)</f>
        <v>15.455960519999998</v>
      </c>
      <c r="I55" s="41">
        <f>F55/6*G55</f>
        <v>2575.9934199999998</v>
      </c>
      <c r="J55" s="41">
        <f>F55/6*G55</f>
        <v>2575.9934199999998</v>
      </c>
      <c r="K55" s="41">
        <f>F55/6*G55</f>
        <v>2575.9934199999998</v>
      </c>
      <c r="L55" s="41">
        <f>F55/6*G55</f>
        <v>2575.9934199999998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f>F55/6*G55</f>
        <v>2575.9934199999998</v>
      </c>
      <c r="T55" s="41">
        <f>F55/6*G55</f>
        <v>2575.9934199999998</v>
      </c>
      <c r="U55" s="41">
        <f t="shared" ref="U55:U85" si="35">SUM(R55:T55)</f>
        <v>5151.9868399999996</v>
      </c>
    </row>
    <row r="56" spans="1:26" ht="38.25">
      <c r="A56" s="136" t="s">
        <v>167</v>
      </c>
      <c r="B56" s="15" t="s">
        <v>65</v>
      </c>
      <c r="C56" s="33" t="s">
        <v>13</v>
      </c>
      <c r="D56" s="15" t="s">
        <v>97</v>
      </c>
      <c r="E56" s="5">
        <v>19.899999999999999</v>
      </c>
      <c r="F56" s="39">
        <f>SUM(E56*6/100)</f>
        <v>1.194</v>
      </c>
      <c r="G56" s="54">
        <v>2029.3</v>
      </c>
      <c r="H56" s="40">
        <f t="shared" ref="H56:H57" si="36">SUM(F56*G56/1000)</f>
        <v>2.4229841999999997</v>
      </c>
      <c r="I56" s="41">
        <f>F56/6*G56</f>
        <v>403.83069999999998</v>
      </c>
      <c r="J56" s="41">
        <f>F56/6*G56</f>
        <v>403.83069999999998</v>
      </c>
      <c r="K56" s="41">
        <f>F56/6*G56</f>
        <v>403.83069999999998</v>
      </c>
      <c r="L56" s="41">
        <f t="shared" ref="L56" si="37">F56/6*G56</f>
        <v>403.83069999999998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f t="shared" ref="S56" si="38">F56/6*G56</f>
        <v>403.83069999999998</v>
      </c>
      <c r="T56" s="41">
        <f t="shared" ref="T56" si="39">F56/6*G56</f>
        <v>403.83069999999998</v>
      </c>
      <c r="U56" s="41">
        <f t="shared" si="35"/>
        <v>807.66139999999996</v>
      </c>
    </row>
    <row r="57" spans="1:26">
      <c r="A57" s="140" t="s">
        <v>118</v>
      </c>
      <c r="B57" s="26" t="s">
        <v>119</v>
      </c>
      <c r="C57" s="63" t="s">
        <v>207</v>
      </c>
      <c r="D57" s="26" t="s">
        <v>35</v>
      </c>
      <c r="E57" s="159"/>
      <c r="F57" s="65">
        <v>3</v>
      </c>
      <c r="G57" s="54">
        <v>1582.05</v>
      </c>
      <c r="H57" s="40">
        <f t="shared" si="36"/>
        <v>4.7461499999999992</v>
      </c>
      <c r="I57" s="41"/>
      <c r="J57" s="41"/>
      <c r="K57" s="41"/>
      <c r="L57" s="41"/>
      <c r="M57" s="41"/>
      <c r="N57" s="41"/>
      <c r="O57" s="41"/>
      <c r="P57" s="41"/>
      <c r="Q57" s="41"/>
      <c r="R57" s="41">
        <v>0</v>
      </c>
      <c r="S57" s="41">
        <f>G57*(2+1+1.5+8)</f>
        <v>19775.625</v>
      </c>
      <c r="T57" s="41">
        <v>0</v>
      </c>
      <c r="U57" s="41">
        <f t="shared" si="35"/>
        <v>19775.625</v>
      </c>
    </row>
    <row r="58" spans="1:26" ht="12.75" customHeight="1">
      <c r="A58" s="140"/>
      <c r="B58" s="27" t="s">
        <v>66</v>
      </c>
      <c r="C58" s="63"/>
      <c r="D58" s="26"/>
      <c r="E58" s="64"/>
      <c r="F58" s="65"/>
      <c r="G58" s="54"/>
      <c r="H58" s="66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</row>
    <row r="59" spans="1:26" ht="12.75" customHeight="1">
      <c r="A59" s="136" t="s">
        <v>168</v>
      </c>
      <c r="B59" s="26" t="s">
        <v>102</v>
      </c>
      <c r="C59" s="63" t="s">
        <v>13</v>
      </c>
      <c r="D59" s="26" t="s">
        <v>29</v>
      </c>
      <c r="E59" s="64">
        <v>450</v>
      </c>
      <c r="F59" s="39">
        <f>SUM(E59/100)</f>
        <v>4.5</v>
      </c>
      <c r="G59" s="56">
        <v>1040.8399999999999</v>
      </c>
      <c r="H59" s="67">
        <v>7.6349999999999998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f>G59*0.13</f>
        <v>135.3092</v>
      </c>
      <c r="T59" s="41">
        <v>0</v>
      </c>
      <c r="U59" s="41">
        <f t="shared" si="35"/>
        <v>135.3092</v>
      </c>
    </row>
    <row r="60" spans="1:26">
      <c r="A60" s="140"/>
      <c r="B60" s="19" t="s">
        <v>67</v>
      </c>
      <c r="C60" s="63"/>
      <c r="D60" s="26"/>
      <c r="E60" s="64"/>
      <c r="F60" s="65"/>
      <c r="G60" s="68"/>
      <c r="H60" s="66" t="s">
        <v>39</v>
      </c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</row>
    <row r="61" spans="1:26" ht="12.75" customHeight="1">
      <c r="A61" s="29" t="s">
        <v>169</v>
      </c>
      <c r="B61" s="20" t="s">
        <v>68</v>
      </c>
      <c r="C61" s="29" t="s">
        <v>60</v>
      </c>
      <c r="D61" s="12" t="s">
        <v>35</v>
      </c>
      <c r="E61" s="5">
        <v>5</v>
      </c>
      <c r="F61" s="39">
        <f>E61</f>
        <v>5</v>
      </c>
      <c r="G61" s="56">
        <v>291.68</v>
      </c>
      <c r="H61" s="69">
        <f t="shared" ref="H61:H79" si="40">SUM(F61*G61/1000)</f>
        <v>1.4584000000000001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f>G61*5</f>
        <v>1458.4</v>
      </c>
      <c r="S61" s="41">
        <f>G61</f>
        <v>291.68</v>
      </c>
      <c r="T61" s="41">
        <v>0</v>
      </c>
      <c r="U61" s="41">
        <f t="shared" si="35"/>
        <v>1750.0800000000002</v>
      </c>
    </row>
    <row r="62" spans="1:26" ht="12.75" customHeight="1">
      <c r="A62" s="29" t="s">
        <v>170</v>
      </c>
      <c r="B62" s="20" t="s">
        <v>69</v>
      </c>
      <c r="C62" s="29" t="s">
        <v>60</v>
      </c>
      <c r="D62" s="12" t="s">
        <v>35</v>
      </c>
      <c r="E62" s="5">
        <v>2</v>
      </c>
      <c r="F62" s="39">
        <f>E62</f>
        <v>2</v>
      </c>
      <c r="G62" s="56">
        <v>100.01</v>
      </c>
      <c r="H62" s="69">
        <f t="shared" si="40"/>
        <v>0.20002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f t="shared" si="35"/>
        <v>0</v>
      </c>
    </row>
    <row r="63" spans="1:26" s="2" customFormat="1">
      <c r="A63" s="70" t="s">
        <v>171</v>
      </c>
      <c r="B63" s="20" t="s">
        <v>70</v>
      </c>
      <c r="C63" s="70" t="s">
        <v>71</v>
      </c>
      <c r="D63" s="12" t="s">
        <v>29</v>
      </c>
      <c r="E63" s="38">
        <v>13313</v>
      </c>
      <c r="F63" s="57">
        <f>SUM(E63/100)</f>
        <v>133.13</v>
      </c>
      <c r="G63" s="56">
        <v>278.24</v>
      </c>
      <c r="H63" s="69">
        <f t="shared" si="40"/>
        <v>37.042091200000002</v>
      </c>
      <c r="I63" s="55">
        <v>0</v>
      </c>
      <c r="J63" s="55">
        <v>0</v>
      </c>
      <c r="K63" s="55">
        <v>0</v>
      </c>
      <c r="L63" s="41">
        <v>0</v>
      </c>
      <c r="M63" s="55">
        <f>F63*G63</f>
        <v>37042.091200000003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f t="shared" si="35"/>
        <v>0</v>
      </c>
      <c r="V63" s="151"/>
      <c r="W63" s="151"/>
      <c r="X63" s="151"/>
      <c r="Y63" s="151"/>
      <c r="Z63" s="151"/>
    </row>
    <row r="64" spans="1:26" ht="12.75" customHeight="1">
      <c r="A64" s="29" t="s">
        <v>172</v>
      </c>
      <c r="B64" s="20" t="s">
        <v>72</v>
      </c>
      <c r="C64" s="29" t="s">
        <v>73</v>
      </c>
      <c r="D64" s="12"/>
      <c r="E64" s="38">
        <v>13313</v>
      </c>
      <c r="F64" s="56">
        <f>SUM(E64/1000)</f>
        <v>13.313000000000001</v>
      </c>
      <c r="G64" s="56">
        <v>216.68</v>
      </c>
      <c r="H64" s="69">
        <f t="shared" si="40"/>
        <v>2.88466084</v>
      </c>
      <c r="I64" s="41">
        <v>0</v>
      </c>
      <c r="J64" s="41">
        <v>0</v>
      </c>
      <c r="K64" s="41">
        <v>0</v>
      </c>
      <c r="L64" s="41">
        <v>0</v>
      </c>
      <c r="M64" s="41">
        <f>F64*G64</f>
        <v>2884.66084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f t="shared" si="35"/>
        <v>0</v>
      </c>
    </row>
    <row r="65" spans="1:26">
      <c r="A65" s="29" t="s">
        <v>173</v>
      </c>
      <c r="B65" s="20" t="s">
        <v>74</v>
      </c>
      <c r="C65" s="29" t="s">
        <v>75</v>
      </c>
      <c r="D65" s="12" t="s">
        <v>29</v>
      </c>
      <c r="E65" s="38">
        <v>2184</v>
      </c>
      <c r="F65" s="56">
        <f>SUM(E65/100)</f>
        <v>21.84</v>
      </c>
      <c r="G65" s="56">
        <v>2720.94</v>
      </c>
      <c r="H65" s="69">
        <f t="shared" si="40"/>
        <v>59.425329599999998</v>
      </c>
      <c r="I65" s="41">
        <v>0</v>
      </c>
      <c r="J65" s="41">
        <v>0</v>
      </c>
      <c r="K65" s="41">
        <v>0</v>
      </c>
      <c r="L65" s="41">
        <v>0</v>
      </c>
      <c r="M65" s="41">
        <f>F65*G65</f>
        <v>59425.329599999997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f t="shared" si="35"/>
        <v>0</v>
      </c>
    </row>
    <row r="66" spans="1:26">
      <c r="A66" s="29"/>
      <c r="B66" s="21" t="s">
        <v>103</v>
      </c>
      <c r="C66" s="29" t="s">
        <v>34</v>
      </c>
      <c r="D66" s="12"/>
      <c r="E66" s="38">
        <v>12.2</v>
      </c>
      <c r="F66" s="56">
        <f>SUM(E66)</f>
        <v>12.2</v>
      </c>
      <c r="G66" s="56">
        <v>42.61</v>
      </c>
      <c r="H66" s="69">
        <f t="shared" si="40"/>
        <v>0.51984200000000003</v>
      </c>
      <c r="I66" s="41">
        <v>0</v>
      </c>
      <c r="J66" s="41">
        <v>0</v>
      </c>
      <c r="K66" s="41">
        <v>0</v>
      </c>
      <c r="L66" s="41">
        <v>0</v>
      </c>
      <c r="M66" s="41">
        <f>F66*G66</f>
        <v>519.84199999999998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f t="shared" si="35"/>
        <v>0</v>
      </c>
    </row>
    <row r="67" spans="1:26" ht="12.75" customHeight="1">
      <c r="A67" s="146"/>
      <c r="B67" s="21" t="s">
        <v>104</v>
      </c>
      <c r="C67" s="29" t="s">
        <v>34</v>
      </c>
      <c r="D67" s="12"/>
      <c r="E67" s="38">
        <v>12.2</v>
      </c>
      <c r="F67" s="56">
        <f>SUM(E67)</f>
        <v>12.2</v>
      </c>
      <c r="G67" s="56">
        <v>46.04</v>
      </c>
      <c r="H67" s="69">
        <f t="shared" si="40"/>
        <v>0.56168799999999997</v>
      </c>
      <c r="I67" s="41">
        <v>0</v>
      </c>
      <c r="J67" s="41">
        <v>0</v>
      </c>
      <c r="K67" s="41">
        <v>0</v>
      </c>
      <c r="L67" s="41">
        <v>0</v>
      </c>
      <c r="M67" s="41">
        <f>F67*G67</f>
        <v>561.68799999999999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f t="shared" si="35"/>
        <v>0</v>
      </c>
    </row>
    <row r="68" spans="1:26">
      <c r="A68" s="29" t="s">
        <v>174</v>
      </c>
      <c r="B68" s="12" t="s">
        <v>76</v>
      </c>
      <c r="C68" s="29" t="s">
        <v>77</v>
      </c>
      <c r="D68" s="12" t="s">
        <v>29</v>
      </c>
      <c r="E68" s="5">
        <v>3</v>
      </c>
      <c r="F68" s="39">
        <v>3</v>
      </c>
      <c r="G68" s="56">
        <v>65.42</v>
      </c>
      <c r="H68" s="69">
        <f t="shared" si="40"/>
        <v>0.19625999999999999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f>G68*5</f>
        <v>327.10000000000002</v>
      </c>
      <c r="R68" s="41">
        <v>0</v>
      </c>
      <c r="S68" s="41">
        <v>0</v>
      </c>
      <c r="T68" s="41">
        <v>0</v>
      </c>
      <c r="U68" s="41">
        <f t="shared" si="35"/>
        <v>0</v>
      </c>
    </row>
    <row r="69" spans="1:26">
      <c r="A69" s="29"/>
      <c r="B69" s="22" t="s">
        <v>78</v>
      </c>
      <c r="C69" s="29"/>
      <c r="D69" s="12"/>
      <c r="E69" s="5"/>
      <c r="F69" s="56"/>
      <c r="G69" s="56"/>
      <c r="H69" s="69" t="s">
        <v>39</v>
      </c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</row>
    <row r="70" spans="1:26">
      <c r="A70" s="29" t="s">
        <v>179</v>
      </c>
      <c r="B70" s="12" t="s">
        <v>180</v>
      </c>
      <c r="C70" s="29" t="s">
        <v>60</v>
      </c>
      <c r="D70" s="12" t="s">
        <v>35</v>
      </c>
      <c r="E70" s="5">
        <v>1</v>
      </c>
      <c r="F70" s="56">
        <v>1</v>
      </c>
      <c r="G70" s="56">
        <v>1029.1199999999999</v>
      </c>
      <c r="H70" s="69">
        <f t="shared" si="40"/>
        <v>1.0291199999999998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f t="shared" si="35"/>
        <v>0</v>
      </c>
    </row>
    <row r="71" spans="1:26">
      <c r="A71" s="29" t="s">
        <v>181</v>
      </c>
      <c r="B71" s="12" t="s">
        <v>182</v>
      </c>
      <c r="C71" s="29" t="s">
        <v>183</v>
      </c>
      <c r="D71" s="12"/>
      <c r="E71" s="5">
        <v>1</v>
      </c>
      <c r="F71" s="56">
        <f>E71</f>
        <v>1</v>
      </c>
      <c r="G71" s="56">
        <v>735</v>
      </c>
      <c r="H71" s="69">
        <f t="shared" si="40"/>
        <v>0.73499999999999999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f t="shared" si="35"/>
        <v>0</v>
      </c>
    </row>
    <row r="72" spans="1:26">
      <c r="A72" s="29" t="s">
        <v>175</v>
      </c>
      <c r="B72" s="12" t="s">
        <v>79</v>
      </c>
      <c r="C72" s="29" t="s">
        <v>80</v>
      </c>
      <c r="D72" s="12" t="s">
        <v>35</v>
      </c>
      <c r="E72" s="5">
        <v>3</v>
      </c>
      <c r="F72" s="56">
        <v>0.2</v>
      </c>
      <c r="G72" s="56">
        <v>657.87</v>
      </c>
      <c r="H72" s="69">
        <f t="shared" si="40"/>
        <v>0.13157400000000002</v>
      </c>
      <c r="I72" s="41">
        <v>0</v>
      </c>
      <c r="J72" s="41">
        <v>0</v>
      </c>
      <c r="K72" s="41">
        <f>G72*0.2</f>
        <v>131.57400000000001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f t="shared" si="35"/>
        <v>0</v>
      </c>
    </row>
    <row r="73" spans="1:26">
      <c r="A73" s="29" t="s">
        <v>184</v>
      </c>
      <c r="B73" s="12" t="s">
        <v>185</v>
      </c>
      <c r="C73" s="29" t="s">
        <v>60</v>
      </c>
      <c r="D73" s="12" t="s">
        <v>35</v>
      </c>
      <c r="E73" s="5">
        <v>1</v>
      </c>
      <c r="F73" s="39">
        <f>SUM(E73)</f>
        <v>1</v>
      </c>
      <c r="G73" s="56">
        <v>1118.72</v>
      </c>
      <c r="H73" s="69">
        <f t="shared" si="40"/>
        <v>1.1187199999999999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f t="shared" si="35"/>
        <v>0</v>
      </c>
    </row>
    <row r="74" spans="1:26">
      <c r="A74" s="154" t="s">
        <v>208</v>
      </c>
      <c r="B74" s="153" t="s">
        <v>209</v>
      </c>
      <c r="C74" s="154" t="s">
        <v>60</v>
      </c>
      <c r="D74" s="12" t="s">
        <v>35</v>
      </c>
      <c r="E74" s="5">
        <v>1</v>
      </c>
      <c r="F74" s="62">
        <v>1</v>
      </c>
      <c r="G74" s="56">
        <v>1605.83</v>
      </c>
      <c r="H74" s="69">
        <f>SUM(F74*G74/1000)</f>
        <v>1.6058299999999999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f t="shared" si="35"/>
        <v>0</v>
      </c>
      <c r="V74"/>
      <c r="W74"/>
      <c r="X74"/>
      <c r="Y74"/>
      <c r="Z74"/>
    </row>
    <row r="75" spans="1:26" ht="25.5">
      <c r="A75" s="154" t="s">
        <v>210</v>
      </c>
      <c r="B75" s="153" t="s">
        <v>211</v>
      </c>
      <c r="C75" s="154" t="s">
        <v>60</v>
      </c>
      <c r="D75" s="12" t="s">
        <v>97</v>
      </c>
      <c r="E75" s="5">
        <v>1</v>
      </c>
      <c r="F75" s="39">
        <v>12</v>
      </c>
      <c r="G75" s="56">
        <v>53.42</v>
      </c>
      <c r="H75" s="69">
        <f t="shared" ref="H75" si="41">SUM(F75*G75/1000)</f>
        <v>0.64103999999999994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f>G75*2</f>
        <v>106.84</v>
      </c>
      <c r="P75" s="41">
        <f>G75*2</f>
        <v>106.84</v>
      </c>
      <c r="Q75" s="41">
        <f>G75*2</f>
        <v>106.84</v>
      </c>
      <c r="R75" s="41">
        <f>G75</f>
        <v>53.42</v>
      </c>
      <c r="S75" s="41">
        <f>G75</f>
        <v>53.42</v>
      </c>
      <c r="T75" s="41">
        <f>G75</f>
        <v>53.42</v>
      </c>
      <c r="U75" s="41">
        <f t="shared" si="35"/>
        <v>160.26</v>
      </c>
      <c r="V75"/>
      <c r="W75"/>
      <c r="X75"/>
      <c r="Y75"/>
      <c r="Z75"/>
    </row>
    <row r="76" spans="1:26">
      <c r="A76" s="154"/>
      <c r="B76" s="160" t="s">
        <v>214</v>
      </c>
      <c r="C76" s="154"/>
      <c r="D76" s="12"/>
      <c r="E76" s="5"/>
      <c r="F76" s="62"/>
      <c r="G76" s="56"/>
      <c r="H76" s="69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/>
      <c r="W76"/>
      <c r="X76"/>
      <c r="Y76"/>
      <c r="Z76"/>
    </row>
    <row r="77" spans="1:26" ht="25.5">
      <c r="A77" s="29"/>
      <c r="B77" s="12" t="s">
        <v>215</v>
      </c>
      <c r="C77" s="13" t="s">
        <v>216</v>
      </c>
      <c r="D77" s="12" t="s">
        <v>35</v>
      </c>
      <c r="E77" s="5">
        <v>2579.4</v>
      </c>
      <c r="F77" s="56">
        <f>SUM(E77*12)</f>
        <v>30952.800000000003</v>
      </c>
      <c r="G77" s="56">
        <v>2.2799999999999998</v>
      </c>
      <c r="H77" s="69">
        <f t="shared" ref="H77" si="42">SUM(F77*G77/1000)</f>
        <v>70.572384</v>
      </c>
      <c r="I77" s="41">
        <f>F77/12*G77</f>
        <v>5881.0320000000002</v>
      </c>
      <c r="J77" s="41">
        <f>F77/12*G77</f>
        <v>5881.0320000000002</v>
      </c>
      <c r="K77" s="41">
        <f>F77/12*G77</f>
        <v>5881.0320000000002</v>
      </c>
      <c r="L77" s="41">
        <f>F77/12*G77</f>
        <v>5881.0320000000002</v>
      </c>
      <c r="M77" s="41">
        <f>F77/12*G77</f>
        <v>5881.0320000000002</v>
      </c>
      <c r="N77" s="41">
        <f>F77/12*G77</f>
        <v>5881.0320000000002</v>
      </c>
      <c r="O77" s="41">
        <f>F77/12*G77</f>
        <v>5881.0320000000002</v>
      </c>
      <c r="P77" s="41">
        <f>F77/12*G77</f>
        <v>5881.0320000000002</v>
      </c>
      <c r="Q77" s="41">
        <f>F77/12*G77</f>
        <v>5881.0320000000002</v>
      </c>
      <c r="R77" s="41">
        <f>F77/12*G77</f>
        <v>5881.0320000000002</v>
      </c>
      <c r="S77" s="41">
        <f>F77/12*G77</f>
        <v>5881.0320000000002</v>
      </c>
      <c r="T77" s="41">
        <f>F77/12*G77</f>
        <v>5881.0320000000002</v>
      </c>
      <c r="U77" s="41">
        <f t="shared" si="35"/>
        <v>17643.096000000001</v>
      </c>
      <c r="V77"/>
      <c r="W77"/>
      <c r="X77"/>
      <c r="Y77"/>
      <c r="Z77"/>
    </row>
    <row r="78" spans="1:26">
      <c r="A78" s="29"/>
      <c r="B78" s="71" t="s">
        <v>81</v>
      </c>
      <c r="C78" s="29"/>
      <c r="D78" s="12"/>
      <c r="E78" s="5"/>
      <c r="F78" s="56"/>
      <c r="G78" s="56" t="s">
        <v>39</v>
      </c>
      <c r="H78" s="69" t="s">
        <v>39</v>
      </c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</row>
    <row r="79" spans="1:26" s="2" customFormat="1">
      <c r="A79" s="70" t="s">
        <v>82</v>
      </c>
      <c r="B79" s="72" t="s">
        <v>83</v>
      </c>
      <c r="C79" s="70" t="s">
        <v>75</v>
      </c>
      <c r="D79" s="20"/>
      <c r="E79" s="73"/>
      <c r="F79" s="57">
        <v>0.1</v>
      </c>
      <c r="G79" s="57">
        <v>3619.09</v>
      </c>
      <c r="H79" s="69">
        <f t="shared" si="40"/>
        <v>0.36190900000000004</v>
      </c>
      <c r="I79" s="55">
        <v>0</v>
      </c>
      <c r="J79" s="55">
        <v>0</v>
      </c>
      <c r="K79" s="55">
        <v>0</v>
      </c>
      <c r="L79" s="55">
        <v>0</v>
      </c>
      <c r="M79" s="55">
        <v>0</v>
      </c>
      <c r="N79" s="55">
        <v>0</v>
      </c>
      <c r="O79" s="55">
        <v>0</v>
      </c>
      <c r="P79" s="55">
        <v>0</v>
      </c>
      <c r="Q79" s="55">
        <v>0</v>
      </c>
      <c r="R79" s="55">
        <v>0</v>
      </c>
      <c r="S79" s="55">
        <v>0</v>
      </c>
      <c r="T79" s="55">
        <v>0</v>
      </c>
      <c r="U79" s="41">
        <f t="shared" si="35"/>
        <v>0</v>
      </c>
      <c r="V79" s="151"/>
      <c r="W79" s="151"/>
      <c r="X79" s="151"/>
      <c r="Y79" s="151"/>
      <c r="Z79" s="151"/>
    </row>
    <row r="80" spans="1:26" s="25" customFormat="1">
      <c r="A80" s="74"/>
      <c r="B80" s="24" t="s">
        <v>25</v>
      </c>
      <c r="C80" s="75"/>
      <c r="D80" s="76"/>
      <c r="E80" s="77"/>
      <c r="F80" s="61"/>
      <c r="G80" s="61"/>
      <c r="H80" s="78">
        <f>SUM(H55:H79)</f>
        <v>208.74396336000004</v>
      </c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>
        <f>SUM(U55:U79)</f>
        <v>45424.01844</v>
      </c>
      <c r="V80" s="151"/>
      <c r="W80" s="151"/>
      <c r="X80" s="151"/>
      <c r="Y80" s="151"/>
      <c r="Z80" s="151"/>
    </row>
    <row r="81" spans="1:26">
      <c r="A81" s="141" t="s">
        <v>121</v>
      </c>
      <c r="B81" s="15" t="s">
        <v>212</v>
      </c>
      <c r="C81" s="80"/>
      <c r="D81" s="81"/>
      <c r="E81" s="81"/>
      <c r="F81" s="82">
        <v>1</v>
      </c>
      <c r="G81" s="83">
        <v>20408</v>
      </c>
      <c r="H81" s="69">
        <f>G81*F81/1000</f>
        <v>20.408000000000001</v>
      </c>
      <c r="I81" s="41">
        <v>0</v>
      </c>
      <c r="J81" s="41">
        <v>0</v>
      </c>
      <c r="K81" s="41">
        <v>0</v>
      </c>
      <c r="L81" s="41">
        <v>0</v>
      </c>
      <c r="M81" s="42">
        <f>G81</f>
        <v>20408</v>
      </c>
      <c r="N81" s="42">
        <v>0</v>
      </c>
      <c r="O81" s="41">
        <v>0</v>
      </c>
      <c r="P81" s="128">
        <v>0</v>
      </c>
      <c r="Q81" s="128">
        <v>0</v>
      </c>
      <c r="R81" s="128">
        <v>0</v>
      </c>
      <c r="S81" s="128">
        <v>0</v>
      </c>
      <c r="T81" s="128">
        <v>0</v>
      </c>
      <c r="U81" s="41">
        <f t="shared" si="35"/>
        <v>0</v>
      </c>
    </row>
    <row r="82" spans="1:26">
      <c r="A82" s="142"/>
      <c r="B82" s="15" t="s">
        <v>213</v>
      </c>
      <c r="C82" s="80"/>
      <c r="D82" s="81"/>
      <c r="E82" s="81"/>
      <c r="F82" s="82">
        <v>62</v>
      </c>
      <c r="G82" s="83">
        <v>700</v>
      </c>
      <c r="H82" s="69">
        <f t="shared" ref="H82:H83" si="43">G82*F82/1000</f>
        <v>43.4</v>
      </c>
      <c r="I82" s="41"/>
      <c r="J82" s="41"/>
      <c r="K82" s="41"/>
      <c r="L82" s="41"/>
      <c r="M82" s="42"/>
      <c r="N82" s="42"/>
      <c r="O82" s="41"/>
      <c r="P82" s="128"/>
      <c r="Q82" s="128"/>
      <c r="R82" s="128">
        <v>0</v>
      </c>
      <c r="S82" s="128">
        <v>0</v>
      </c>
      <c r="T82" s="128">
        <v>0</v>
      </c>
      <c r="U82" s="41">
        <f t="shared" si="35"/>
        <v>0</v>
      </c>
    </row>
    <row r="83" spans="1:26" ht="12.75" customHeight="1">
      <c r="A83" s="142"/>
      <c r="B83" s="79" t="s">
        <v>84</v>
      </c>
      <c r="C83" s="29" t="s">
        <v>85</v>
      </c>
      <c r="D83" s="84"/>
      <c r="E83" s="56">
        <v>2579.4</v>
      </c>
      <c r="F83" s="56">
        <f>SUM(E83*12)</f>
        <v>30952.800000000003</v>
      </c>
      <c r="G83" s="85">
        <v>3.1</v>
      </c>
      <c r="H83" s="69">
        <f t="shared" si="43"/>
        <v>95.953680000000006</v>
      </c>
      <c r="I83" s="41">
        <f>F83/12*G83</f>
        <v>7996.14</v>
      </c>
      <c r="J83" s="41">
        <f>F83/12*G83</f>
        <v>7996.14</v>
      </c>
      <c r="K83" s="41">
        <f>F83/12*G83</f>
        <v>7996.14</v>
      </c>
      <c r="L83" s="41">
        <f>F83/12*G83</f>
        <v>7996.14</v>
      </c>
      <c r="M83" s="42">
        <f>F83/12*G83</f>
        <v>7996.14</v>
      </c>
      <c r="N83" s="42">
        <f>F83/12*G83</f>
        <v>7996.14</v>
      </c>
      <c r="O83" s="41">
        <f>F83/12*G83</f>
        <v>7996.14</v>
      </c>
      <c r="P83" s="128">
        <f>F83/12*G83</f>
        <v>7996.14</v>
      </c>
      <c r="Q83" s="128">
        <f>F83/12*G83</f>
        <v>7996.14</v>
      </c>
      <c r="R83" s="128">
        <f>F83/12*G83</f>
        <v>7996.14</v>
      </c>
      <c r="S83" s="128">
        <f>F83/12*G83</f>
        <v>7996.14</v>
      </c>
      <c r="T83" s="128">
        <f>F83/12*G83</f>
        <v>7996.14</v>
      </c>
      <c r="U83" s="41">
        <f t="shared" si="35"/>
        <v>23988.420000000002</v>
      </c>
    </row>
    <row r="84" spans="1:26" s="23" customFormat="1">
      <c r="A84" s="86"/>
      <c r="B84" s="24" t="s">
        <v>25</v>
      </c>
      <c r="C84" s="87"/>
      <c r="D84" s="88"/>
      <c r="E84" s="89"/>
      <c r="F84" s="47"/>
      <c r="G84" s="90"/>
      <c r="H84" s="48">
        <f>SUM(H81:H83)</f>
        <v>159.76168000000001</v>
      </c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>
        <f>SUM(U81:U83)</f>
        <v>23988.420000000002</v>
      </c>
      <c r="V84" s="151"/>
      <c r="W84" s="151"/>
      <c r="X84" s="151"/>
      <c r="Y84" s="151"/>
      <c r="Z84" s="151"/>
    </row>
    <row r="85" spans="1:26" ht="26.25" customHeight="1">
      <c r="A85" s="31"/>
      <c r="B85" s="12" t="s">
        <v>86</v>
      </c>
      <c r="C85" s="29"/>
      <c r="D85" s="30"/>
      <c r="E85" s="38">
        <f>E83</f>
        <v>2579.4</v>
      </c>
      <c r="F85" s="56">
        <f>E85*12</f>
        <v>30952.800000000003</v>
      </c>
      <c r="G85" s="56">
        <v>3.5</v>
      </c>
      <c r="H85" s="69">
        <f>F85*G85/1000</f>
        <v>108.33480000000002</v>
      </c>
      <c r="I85" s="41">
        <f>F85/12*G85</f>
        <v>9027.9</v>
      </c>
      <c r="J85" s="41">
        <f>F85/12*G85</f>
        <v>9027.9</v>
      </c>
      <c r="K85" s="41">
        <f>F85/12*G85</f>
        <v>9027.9</v>
      </c>
      <c r="L85" s="41">
        <f>F85/12*G85</f>
        <v>9027.9</v>
      </c>
      <c r="M85" s="41">
        <f>F85/12*G85</f>
        <v>9027.9</v>
      </c>
      <c r="N85" s="41">
        <f>F85/12*G85</f>
        <v>9027.9</v>
      </c>
      <c r="O85" s="41">
        <f>F85/12*G85</f>
        <v>9027.9</v>
      </c>
      <c r="P85" s="41">
        <f>F85/12*G85</f>
        <v>9027.9</v>
      </c>
      <c r="Q85" s="41">
        <f>F85/12*G85</f>
        <v>9027.9</v>
      </c>
      <c r="R85" s="41">
        <f>F85/12*G85</f>
        <v>9027.9</v>
      </c>
      <c r="S85" s="41">
        <f>F85/12*G85</f>
        <v>9027.9</v>
      </c>
      <c r="T85" s="41">
        <f>F85/12*G85</f>
        <v>9027.9</v>
      </c>
      <c r="U85" s="41">
        <f t="shared" si="35"/>
        <v>27083.699999999997</v>
      </c>
    </row>
    <row r="86" spans="1:26" s="23" customFormat="1">
      <c r="A86" s="86"/>
      <c r="B86" s="91" t="s">
        <v>87</v>
      </c>
      <c r="C86" s="92"/>
      <c r="D86" s="91"/>
      <c r="E86" s="47"/>
      <c r="F86" s="47"/>
      <c r="G86" s="47"/>
      <c r="H86" s="78">
        <f>SUM(H85)</f>
        <v>108.33480000000002</v>
      </c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124">
        <f>SUM(U85)</f>
        <v>27083.699999999997</v>
      </c>
      <c r="V86" s="151"/>
      <c r="W86" s="151"/>
      <c r="X86" s="151"/>
      <c r="Y86" s="151"/>
      <c r="Z86" s="151"/>
    </row>
    <row r="87" spans="1:26" s="23" customFormat="1">
      <c r="A87" s="86"/>
      <c r="B87" s="91" t="s">
        <v>88</v>
      </c>
      <c r="C87" s="93"/>
      <c r="D87" s="94"/>
      <c r="E87" s="95"/>
      <c r="F87" s="95"/>
      <c r="G87" s="95"/>
      <c r="H87" s="78">
        <f>SUM(H86+H84+H80+H53+H40+H31+H21)</f>
        <v>859.56701729436679</v>
      </c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124">
        <f>SUM(U86+U84+U80+U53+U40+U31+U21)</f>
        <v>164572.6922983111</v>
      </c>
      <c r="V87" s="151"/>
      <c r="W87" s="151"/>
      <c r="X87" s="151"/>
      <c r="Y87" s="151"/>
      <c r="Z87" s="151"/>
    </row>
    <row r="88" spans="1:26">
      <c r="A88" s="31"/>
      <c r="B88" s="30" t="s">
        <v>89</v>
      </c>
      <c r="C88" s="29"/>
      <c r="D88" s="30"/>
      <c r="E88" s="56"/>
      <c r="F88" s="56"/>
      <c r="G88" s="56" t="s">
        <v>90</v>
      </c>
      <c r="H88" s="96">
        <f>E85</f>
        <v>2579.4</v>
      </c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</row>
    <row r="89" spans="1:26" s="23" customFormat="1">
      <c r="A89" s="86"/>
      <c r="B89" s="94" t="s">
        <v>91</v>
      </c>
      <c r="C89" s="93"/>
      <c r="D89" s="94"/>
      <c r="E89" s="95"/>
      <c r="F89" s="95"/>
      <c r="G89" s="95"/>
      <c r="H89" s="97">
        <f>SUM(H87/H88/12*1000)</f>
        <v>27.770250746115597</v>
      </c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125"/>
      <c r="V89" s="151"/>
      <c r="W89" s="151"/>
      <c r="X89" s="151"/>
      <c r="Y89" s="151"/>
      <c r="Z89" s="151"/>
    </row>
    <row r="90" spans="1:26">
      <c r="A90" s="31"/>
      <c r="B90" s="30"/>
      <c r="C90" s="29"/>
      <c r="D90" s="30"/>
      <c r="E90" s="56"/>
      <c r="F90" s="56"/>
      <c r="G90" s="56"/>
      <c r="H90" s="98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126"/>
    </row>
    <row r="91" spans="1:26">
      <c r="A91" s="31"/>
      <c r="B91" s="71" t="s">
        <v>92</v>
      </c>
      <c r="C91" s="29"/>
      <c r="D91" s="30"/>
      <c r="E91" s="56"/>
      <c r="F91" s="56"/>
      <c r="G91" s="56"/>
      <c r="H91" s="56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</row>
    <row r="92" spans="1:26" ht="25.5">
      <c r="A92" s="154" t="s">
        <v>217</v>
      </c>
      <c r="B92" s="153" t="s">
        <v>218</v>
      </c>
      <c r="C92" s="154" t="s">
        <v>192</v>
      </c>
      <c r="D92" s="30"/>
      <c r="E92" s="56"/>
      <c r="F92" s="56">
        <v>1</v>
      </c>
      <c r="G92" s="56">
        <v>1046.06</v>
      </c>
      <c r="H92" s="69">
        <f t="shared" ref="H92:H96" si="44">G92*F92/1000</f>
        <v>1.04606</v>
      </c>
      <c r="I92" s="157">
        <v>0</v>
      </c>
      <c r="J92" s="157">
        <f>G92</f>
        <v>1046.06</v>
      </c>
      <c r="K92" s="157">
        <v>0</v>
      </c>
      <c r="L92" s="157">
        <v>0</v>
      </c>
      <c r="M92" s="157">
        <f>G92</f>
        <v>1046.06</v>
      </c>
      <c r="N92" s="157">
        <v>0</v>
      </c>
      <c r="O92" s="157">
        <v>0</v>
      </c>
      <c r="P92" s="157">
        <v>0</v>
      </c>
      <c r="Q92" s="157">
        <v>0</v>
      </c>
      <c r="R92" s="157">
        <f>G92</f>
        <v>1046.06</v>
      </c>
      <c r="S92" s="157">
        <v>0</v>
      </c>
      <c r="T92" s="157">
        <v>0</v>
      </c>
      <c r="U92" s="41">
        <f t="shared" ref="U92:U114" si="45">SUM(R92:T92)</f>
        <v>1046.06</v>
      </c>
      <c r="V92"/>
      <c r="W92"/>
      <c r="X92"/>
      <c r="Y92"/>
      <c r="Z92"/>
    </row>
    <row r="93" spans="1:26" ht="25.5">
      <c r="A93" s="154" t="s">
        <v>217</v>
      </c>
      <c r="B93" s="153" t="s">
        <v>219</v>
      </c>
      <c r="C93" s="154" t="s">
        <v>192</v>
      </c>
      <c r="D93" s="30"/>
      <c r="E93" s="56"/>
      <c r="F93" s="56">
        <v>1</v>
      </c>
      <c r="G93" s="56">
        <v>832.06</v>
      </c>
      <c r="H93" s="69">
        <f t="shared" si="44"/>
        <v>0.83205999999999991</v>
      </c>
      <c r="I93" s="157">
        <v>0</v>
      </c>
      <c r="J93" s="157">
        <f>G93</f>
        <v>832.06</v>
      </c>
      <c r="K93" s="157">
        <v>0</v>
      </c>
      <c r="L93" s="157">
        <f>G93*2</f>
        <v>1664.12</v>
      </c>
      <c r="M93" s="157">
        <f>G93</f>
        <v>832.06</v>
      </c>
      <c r="N93" s="157">
        <v>0</v>
      </c>
      <c r="O93" s="157">
        <v>0</v>
      </c>
      <c r="P93" s="157">
        <v>0</v>
      </c>
      <c r="Q93" s="157">
        <v>0</v>
      </c>
      <c r="R93" s="157">
        <f>G93</f>
        <v>832.06</v>
      </c>
      <c r="S93" s="157">
        <v>0</v>
      </c>
      <c r="T93" s="157">
        <v>0</v>
      </c>
      <c r="U93" s="41">
        <f t="shared" si="45"/>
        <v>832.06</v>
      </c>
      <c r="V93"/>
      <c r="W93"/>
      <c r="X93"/>
      <c r="Y93"/>
      <c r="Z93"/>
    </row>
    <row r="94" spans="1:26">
      <c r="A94" s="129" t="s">
        <v>220</v>
      </c>
      <c r="B94" s="130" t="s">
        <v>221</v>
      </c>
      <c r="C94" s="129" t="s">
        <v>60</v>
      </c>
      <c r="D94" s="12"/>
      <c r="E94" s="5"/>
      <c r="F94" s="56">
        <v>2</v>
      </c>
      <c r="G94" s="56">
        <v>140</v>
      </c>
      <c r="H94" s="69">
        <f t="shared" si="44"/>
        <v>0.28000000000000003</v>
      </c>
      <c r="I94" s="157">
        <v>0</v>
      </c>
      <c r="J94" s="157">
        <f>G94*(1+1)</f>
        <v>280</v>
      </c>
      <c r="K94" s="157">
        <v>0</v>
      </c>
      <c r="L94" s="157">
        <f>G94</f>
        <v>140</v>
      </c>
      <c r="M94" s="157">
        <v>0</v>
      </c>
      <c r="N94" s="157">
        <v>0</v>
      </c>
      <c r="O94" s="157">
        <v>0</v>
      </c>
      <c r="P94" s="157">
        <v>0</v>
      </c>
      <c r="Q94" s="157">
        <v>0</v>
      </c>
      <c r="R94" s="157">
        <f>G94*2</f>
        <v>280</v>
      </c>
      <c r="S94" s="157">
        <v>0</v>
      </c>
      <c r="T94" s="157">
        <v>0</v>
      </c>
      <c r="U94" s="41">
        <f t="shared" si="45"/>
        <v>280</v>
      </c>
      <c r="V94"/>
      <c r="W94"/>
      <c r="X94"/>
      <c r="Y94"/>
      <c r="Z94"/>
    </row>
    <row r="95" spans="1:26">
      <c r="A95" s="129" t="s">
        <v>220</v>
      </c>
      <c r="B95" s="130" t="s">
        <v>222</v>
      </c>
      <c r="C95" s="129" t="s">
        <v>60</v>
      </c>
      <c r="D95" s="12"/>
      <c r="E95" s="5"/>
      <c r="F95" s="56">
        <v>2</v>
      </c>
      <c r="G95" s="56">
        <v>70</v>
      </c>
      <c r="H95" s="69">
        <f t="shared" si="44"/>
        <v>0.14000000000000001</v>
      </c>
      <c r="I95" s="157">
        <v>0</v>
      </c>
      <c r="J95" s="157">
        <f>G95</f>
        <v>70</v>
      </c>
      <c r="K95" s="157">
        <v>0</v>
      </c>
      <c r="L95" s="157">
        <v>0</v>
      </c>
      <c r="M95" s="157">
        <v>0</v>
      </c>
      <c r="N95" s="157">
        <v>0</v>
      </c>
      <c r="O95" s="157">
        <v>0</v>
      </c>
      <c r="P95" s="157">
        <v>0</v>
      </c>
      <c r="Q95" s="157">
        <v>0</v>
      </c>
      <c r="R95" s="157">
        <f>G95*2</f>
        <v>140</v>
      </c>
      <c r="S95" s="157">
        <v>0</v>
      </c>
      <c r="T95" s="157">
        <v>0</v>
      </c>
      <c r="U95" s="41">
        <f t="shared" si="45"/>
        <v>140</v>
      </c>
      <c r="V95"/>
      <c r="W95"/>
      <c r="X95"/>
      <c r="Y95"/>
      <c r="Z95"/>
    </row>
    <row r="96" spans="1:26">
      <c r="A96" s="154" t="s">
        <v>220</v>
      </c>
      <c r="B96" s="153" t="s">
        <v>223</v>
      </c>
      <c r="C96" s="154" t="s">
        <v>60</v>
      </c>
      <c r="D96" s="30"/>
      <c r="E96" s="56"/>
      <c r="F96" s="56">
        <v>3</v>
      </c>
      <c r="G96" s="56">
        <v>112</v>
      </c>
      <c r="H96" s="69">
        <f t="shared" si="44"/>
        <v>0.33600000000000002</v>
      </c>
      <c r="I96" s="157">
        <v>0</v>
      </c>
      <c r="J96" s="157">
        <f>G96</f>
        <v>112</v>
      </c>
      <c r="K96" s="157">
        <v>0</v>
      </c>
      <c r="L96" s="157">
        <v>0</v>
      </c>
      <c r="M96" s="157">
        <f>G96*2</f>
        <v>224</v>
      </c>
      <c r="N96" s="157">
        <v>0</v>
      </c>
      <c r="O96" s="157">
        <v>0</v>
      </c>
      <c r="P96" s="157">
        <v>0</v>
      </c>
      <c r="Q96" s="157">
        <v>0</v>
      </c>
      <c r="R96" s="157">
        <f>G96*3</f>
        <v>336</v>
      </c>
      <c r="S96" s="157">
        <v>0</v>
      </c>
      <c r="T96" s="157">
        <v>0</v>
      </c>
      <c r="U96" s="41">
        <f t="shared" si="45"/>
        <v>336</v>
      </c>
      <c r="V96"/>
      <c r="W96"/>
      <c r="X96"/>
      <c r="Y96"/>
      <c r="Z96"/>
    </row>
    <row r="97" spans="1:26">
      <c r="A97" s="154" t="s">
        <v>220</v>
      </c>
      <c r="B97" s="153" t="s">
        <v>224</v>
      </c>
      <c r="C97" s="154" t="s">
        <v>60</v>
      </c>
      <c r="D97" s="30"/>
      <c r="E97" s="56"/>
      <c r="F97" s="56">
        <v>1</v>
      </c>
      <c r="G97" s="56">
        <v>82</v>
      </c>
      <c r="H97" s="69">
        <f t="shared" ref="H97:H99" si="46">G97*F97/1000</f>
        <v>8.2000000000000003E-2</v>
      </c>
      <c r="I97" s="157">
        <v>0</v>
      </c>
      <c r="J97" s="157">
        <f>G97</f>
        <v>82</v>
      </c>
      <c r="K97" s="157">
        <v>0</v>
      </c>
      <c r="L97" s="157">
        <v>0</v>
      </c>
      <c r="M97" s="157">
        <f>G97*2</f>
        <v>164</v>
      </c>
      <c r="N97" s="157">
        <v>0</v>
      </c>
      <c r="O97" s="157">
        <v>0</v>
      </c>
      <c r="P97" s="157">
        <v>0</v>
      </c>
      <c r="Q97" s="157">
        <v>0</v>
      </c>
      <c r="R97" s="157">
        <f>G97</f>
        <v>82</v>
      </c>
      <c r="S97" s="157">
        <v>0</v>
      </c>
      <c r="T97" s="157">
        <v>0</v>
      </c>
      <c r="U97" s="41">
        <f t="shared" si="45"/>
        <v>82</v>
      </c>
      <c r="V97"/>
      <c r="W97"/>
      <c r="X97"/>
      <c r="Y97"/>
      <c r="Z97"/>
    </row>
    <row r="98" spans="1:26">
      <c r="A98" s="129" t="s">
        <v>220</v>
      </c>
      <c r="B98" s="161" t="s">
        <v>225</v>
      </c>
      <c r="C98" s="129" t="s">
        <v>60</v>
      </c>
      <c r="D98" s="12"/>
      <c r="E98" s="5"/>
      <c r="F98" s="56">
        <v>2</v>
      </c>
      <c r="G98" s="56">
        <v>108</v>
      </c>
      <c r="H98" s="56">
        <f t="shared" si="46"/>
        <v>0.216</v>
      </c>
      <c r="I98" s="157">
        <v>0</v>
      </c>
      <c r="J98" s="157">
        <f>G98</f>
        <v>108</v>
      </c>
      <c r="K98" s="157">
        <v>0</v>
      </c>
      <c r="L98" s="157">
        <v>0</v>
      </c>
      <c r="M98" s="157">
        <v>0</v>
      </c>
      <c r="N98" s="157">
        <v>0</v>
      </c>
      <c r="O98" s="157">
        <v>0</v>
      </c>
      <c r="P98" s="157">
        <v>0</v>
      </c>
      <c r="Q98" s="157">
        <v>0</v>
      </c>
      <c r="R98" s="157">
        <f>G98*2</f>
        <v>216</v>
      </c>
      <c r="S98" s="157">
        <v>0</v>
      </c>
      <c r="T98" s="157">
        <v>0</v>
      </c>
      <c r="U98" s="41">
        <f t="shared" si="45"/>
        <v>216</v>
      </c>
      <c r="V98"/>
      <c r="W98"/>
      <c r="X98"/>
      <c r="Y98"/>
      <c r="Z98"/>
    </row>
    <row r="99" spans="1:26">
      <c r="A99" s="129" t="s">
        <v>220</v>
      </c>
      <c r="B99" s="130" t="s">
        <v>226</v>
      </c>
      <c r="C99" s="129" t="s">
        <v>60</v>
      </c>
      <c r="D99" s="12"/>
      <c r="E99" s="5"/>
      <c r="F99" s="56">
        <v>1</v>
      </c>
      <c r="G99" s="56">
        <v>20</v>
      </c>
      <c r="H99" s="69">
        <f t="shared" si="46"/>
        <v>0.02</v>
      </c>
      <c r="I99" s="157">
        <v>0</v>
      </c>
      <c r="J99" s="157">
        <f>G99</f>
        <v>20</v>
      </c>
      <c r="K99" s="157">
        <v>0</v>
      </c>
      <c r="L99" s="157">
        <v>0</v>
      </c>
      <c r="M99" s="157">
        <v>0</v>
      </c>
      <c r="N99" s="157">
        <v>0</v>
      </c>
      <c r="O99" s="157">
        <v>0</v>
      </c>
      <c r="P99" s="157">
        <v>0</v>
      </c>
      <c r="Q99" s="157">
        <v>0</v>
      </c>
      <c r="R99" s="157">
        <f>G99</f>
        <v>20</v>
      </c>
      <c r="S99" s="157">
        <v>0</v>
      </c>
      <c r="T99" s="157">
        <v>0</v>
      </c>
      <c r="U99" s="41">
        <f t="shared" si="45"/>
        <v>20</v>
      </c>
      <c r="V99"/>
      <c r="W99"/>
      <c r="X99"/>
      <c r="Y99"/>
      <c r="Z99"/>
    </row>
    <row r="100" spans="1:26" ht="25.5" customHeight="1">
      <c r="A100" s="129" t="s">
        <v>125</v>
      </c>
      <c r="B100" s="130" t="s">
        <v>227</v>
      </c>
      <c r="C100" s="129" t="s">
        <v>135</v>
      </c>
      <c r="D100" s="30"/>
      <c r="E100" s="56"/>
      <c r="F100" s="56">
        <v>1</v>
      </c>
      <c r="G100" s="56">
        <v>1206</v>
      </c>
      <c r="H100" s="69">
        <f t="shared" ref="H100:H120" si="47">G100*F100/1000</f>
        <v>1.206</v>
      </c>
      <c r="I100" s="41">
        <f>G100</f>
        <v>1206</v>
      </c>
      <c r="J100" s="41">
        <v>0</v>
      </c>
      <c r="K100" s="41">
        <v>0</v>
      </c>
      <c r="L100" s="41">
        <v>0</v>
      </c>
      <c r="M100" s="41">
        <v>0</v>
      </c>
      <c r="N100" s="41">
        <v>0</v>
      </c>
      <c r="O100" s="41">
        <v>0</v>
      </c>
      <c r="P100" s="41">
        <v>0</v>
      </c>
      <c r="Q100" s="41">
        <v>0</v>
      </c>
      <c r="R100" s="41">
        <f>G100</f>
        <v>1206</v>
      </c>
      <c r="S100" s="41">
        <v>0</v>
      </c>
      <c r="T100" s="41">
        <v>0</v>
      </c>
      <c r="U100" s="41">
        <f t="shared" si="45"/>
        <v>1206</v>
      </c>
    </row>
    <row r="101" spans="1:26" ht="12.75" customHeight="1">
      <c r="A101" s="152" t="s">
        <v>228</v>
      </c>
      <c r="B101" s="130" t="s">
        <v>229</v>
      </c>
      <c r="C101" s="129" t="s">
        <v>192</v>
      </c>
      <c r="D101" s="30"/>
      <c r="E101" s="56"/>
      <c r="F101" s="56">
        <v>1</v>
      </c>
      <c r="G101" s="56">
        <v>954.24</v>
      </c>
      <c r="H101" s="145">
        <f t="shared" ref="H101:H103" si="48">G101*F101/1000</f>
        <v>0.95423999999999998</v>
      </c>
      <c r="I101" s="41">
        <v>0</v>
      </c>
      <c r="J101" s="41">
        <v>0</v>
      </c>
      <c r="K101" s="41">
        <v>0</v>
      </c>
      <c r="L101" s="41">
        <f>G101</f>
        <v>954.24</v>
      </c>
      <c r="M101" s="41">
        <v>0</v>
      </c>
      <c r="N101" s="41">
        <v>0</v>
      </c>
      <c r="O101" s="41">
        <v>0</v>
      </c>
      <c r="P101" s="41">
        <v>0</v>
      </c>
      <c r="Q101" s="41">
        <v>0</v>
      </c>
      <c r="R101" s="41">
        <f>G101</f>
        <v>954.24</v>
      </c>
      <c r="S101" s="41">
        <v>0</v>
      </c>
      <c r="T101" s="41">
        <v>0</v>
      </c>
      <c r="U101" s="41">
        <f t="shared" si="45"/>
        <v>954.24</v>
      </c>
    </row>
    <row r="102" spans="1:26">
      <c r="A102" s="152" t="s">
        <v>230</v>
      </c>
      <c r="B102" s="130" t="s">
        <v>231</v>
      </c>
      <c r="C102" s="129" t="s">
        <v>232</v>
      </c>
      <c r="D102" s="12"/>
      <c r="E102" s="5"/>
      <c r="F102" s="56">
        <v>1</v>
      </c>
      <c r="G102" s="56">
        <v>3300.56</v>
      </c>
      <c r="H102" s="69">
        <f t="shared" si="48"/>
        <v>3.3005599999999999</v>
      </c>
      <c r="I102" s="157">
        <f>G102*(2+1)</f>
        <v>9901.68</v>
      </c>
      <c r="J102" s="157">
        <v>0</v>
      </c>
      <c r="K102" s="157">
        <v>0</v>
      </c>
      <c r="L102" s="157">
        <v>0</v>
      </c>
      <c r="M102" s="157">
        <v>0</v>
      </c>
      <c r="N102" s="157">
        <v>0</v>
      </c>
      <c r="O102" s="157">
        <v>0</v>
      </c>
      <c r="P102" s="157">
        <v>0</v>
      </c>
      <c r="Q102" s="157">
        <v>0</v>
      </c>
      <c r="R102" s="157">
        <f>G102</f>
        <v>3300.56</v>
      </c>
      <c r="S102" s="157">
        <v>0</v>
      </c>
      <c r="T102" s="157">
        <v>0</v>
      </c>
      <c r="U102" s="41">
        <f t="shared" si="45"/>
        <v>3300.56</v>
      </c>
      <c r="V102"/>
      <c r="W102"/>
      <c r="X102"/>
      <c r="Y102"/>
      <c r="Z102"/>
    </row>
    <row r="103" spans="1:26" ht="15" customHeight="1">
      <c r="A103" s="150" t="s">
        <v>234</v>
      </c>
      <c r="B103" s="153" t="s">
        <v>233</v>
      </c>
      <c r="C103" s="154" t="s">
        <v>60</v>
      </c>
      <c r="D103" s="12"/>
      <c r="E103" s="5"/>
      <c r="F103" s="56">
        <v>1</v>
      </c>
      <c r="G103" s="56">
        <v>2347.02</v>
      </c>
      <c r="H103" s="69">
        <f t="shared" si="48"/>
        <v>2.3470200000000001</v>
      </c>
      <c r="I103" s="157"/>
      <c r="J103" s="157"/>
      <c r="K103" s="157"/>
      <c r="L103" s="157"/>
      <c r="M103" s="157"/>
      <c r="N103" s="157"/>
      <c r="O103" s="157"/>
      <c r="P103" s="157"/>
      <c r="Q103" s="157"/>
      <c r="R103" s="157">
        <f>G103</f>
        <v>2347.02</v>
      </c>
      <c r="S103" s="157">
        <v>0</v>
      </c>
      <c r="T103" s="157">
        <v>0</v>
      </c>
      <c r="U103" s="41">
        <f t="shared" si="45"/>
        <v>2347.02</v>
      </c>
      <c r="V103"/>
      <c r="W103"/>
      <c r="X103"/>
      <c r="Y103"/>
      <c r="Z103"/>
    </row>
    <row r="104" spans="1:26" ht="25.5" customHeight="1">
      <c r="A104" s="129" t="s">
        <v>176</v>
      </c>
      <c r="B104" s="130" t="s">
        <v>126</v>
      </c>
      <c r="C104" s="129" t="s">
        <v>60</v>
      </c>
      <c r="D104" s="13"/>
      <c r="E104" s="5"/>
      <c r="F104" s="4">
        <v>2</v>
      </c>
      <c r="G104" s="5">
        <v>189.88</v>
      </c>
      <c r="H104" s="28">
        <f t="shared" ref="H104:H113" si="49">G104*F104/1000</f>
        <v>0.37975999999999999</v>
      </c>
      <c r="I104" s="41">
        <v>0</v>
      </c>
      <c r="J104" s="41">
        <v>0</v>
      </c>
      <c r="K104" s="41">
        <f>G104</f>
        <v>189.88</v>
      </c>
      <c r="L104" s="41">
        <f>G104</f>
        <v>189.88</v>
      </c>
      <c r="M104" s="41">
        <v>0</v>
      </c>
      <c r="N104" s="41">
        <v>0</v>
      </c>
      <c r="O104" s="41">
        <v>0</v>
      </c>
      <c r="P104" s="41">
        <v>0</v>
      </c>
      <c r="Q104" s="41">
        <f>G104*5</f>
        <v>949.4</v>
      </c>
      <c r="R104" s="41">
        <f>G104*2</f>
        <v>379.76</v>
      </c>
      <c r="S104" s="41">
        <v>0</v>
      </c>
      <c r="T104" s="41">
        <v>0</v>
      </c>
      <c r="U104" s="41">
        <f t="shared" si="45"/>
        <v>379.76</v>
      </c>
    </row>
    <row r="105" spans="1:26" ht="42" customHeight="1">
      <c r="A105" s="163" t="s">
        <v>259</v>
      </c>
      <c r="B105" s="164" t="s">
        <v>260</v>
      </c>
      <c r="C105" s="13" t="s">
        <v>17</v>
      </c>
      <c r="D105" s="30"/>
      <c r="E105" s="56"/>
      <c r="F105" s="56">
        <f>0.15+0.001+0.002</f>
        <v>0.153</v>
      </c>
      <c r="G105" s="56">
        <v>42994.68</v>
      </c>
      <c r="H105" s="28">
        <f>G105*F105/1000</f>
        <v>6.5781860399999994</v>
      </c>
      <c r="I105" s="41"/>
      <c r="J105" s="41"/>
      <c r="K105" s="41"/>
      <c r="L105" s="41"/>
      <c r="M105" s="41"/>
      <c r="N105" s="41"/>
      <c r="O105" s="41"/>
      <c r="P105" s="41"/>
      <c r="Q105" s="41"/>
      <c r="R105" s="41">
        <f>G105*0.153</f>
        <v>6578.1860399999996</v>
      </c>
      <c r="S105" s="41">
        <v>0</v>
      </c>
      <c r="T105" s="41">
        <v>0</v>
      </c>
      <c r="U105" s="41">
        <f t="shared" si="45"/>
        <v>6578.1860399999996</v>
      </c>
    </row>
    <row r="106" spans="1:26" ht="42" customHeight="1">
      <c r="A106" s="163" t="s">
        <v>261</v>
      </c>
      <c r="B106" s="153" t="s">
        <v>262</v>
      </c>
      <c r="C106" s="154" t="s">
        <v>263</v>
      </c>
      <c r="D106" s="30"/>
      <c r="E106" s="56"/>
      <c r="F106" s="56">
        <v>0.3</v>
      </c>
      <c r="G106" s="56">
        <v>7987.62</v>
      </c>
      <c r="H106" s="28">
        <f>G106*F106/1000</f>
        <v>2.3962859999999999</v>
      </c>
      <c r="I106" s="41"/>
      <c r="J106" s="41"/>
      <c r="K106" s="41"/>
      <c r="L106" s="41"/>
      <c r="M106" s="41"/>
      <c r="N106" s="41"/>
      <c r="O106" s="41"/>
      <c r="P106" s="41"/>
      <c r="Q106" s="41"/>
      <c r="R106" s="41">
        <f>G106*0.3</f>
        <v>2396.2860000000001</v>
      </c>
      <c r="S106" s="41">
        <v>0</v>
      </c>
      <c r="T106" s="41">
        <v>0</v>
      </c>
      <c r="U106" s="41">
        <f t="shared" si="45"/>
        <v>2396.2860000000001</v>
      </c>
    </row>
    <row r="107" spans="1:26" ht="25.5" customHeight="1">
      <c r="A107" s="163" t="s">
        <v>257</v>
      </c>
      <c r="B107" s="153" t="s">
        <v>258</v>
      </c>
      <c r="C107" s="154" t="s">
        <v>85</v>
      </c>
      <c r="D107" s="13"/>
      <c r="E107" s="5"/>
      <c r="F107" s="4">
        <v>1.5</v>
      </c>
      <c r="G107" s="5">
        <v>470.85</v>
      </c>
      <c r="H107" s="28">
        <f>G107*F107/1000</f>
        <v>0.7062750000000001</v>
      </c>
      <c r="I107" s="41"/>
      <c r="J107" s="41"/>
      <c r="K107" s="41"/>
      <c r="L107" s="41"/>
      <c r="M107" s="41"/>
      <c r="N107" s="41"/>
      <c r="O107" s="41"/>
      <c r="P107" s="41"/>
      <c r="Q107" s="41"/>
      <c r="R107" s="41">
        <f>G107*1.5</f>
        <v>706.27500000000009</v>
      </c>
      <c r="S107" s="41">
        <v>0</v>
      </c>
      <c r="T107" s="41">
        <v>0</v>
      </c>
      <c r="U107" s="41">
        <f>T107+S107+R107</f>
        <v>706.27500000000009</v>
      </c>
    </row>
    <row r="108" spans="1:26" ht="25.5" customHeight="1">
      <c r="A108" s="129" t="s">
        <v>236</v>
      </c>
      <c r="B108" s="130" t="s">
        <v>237</v>
      </c>
      <c r="C108" s="129" t="s">
        <v>235</v>
      </c>
      <c r="D108" s="13"/>
      <c r="E108" s="5"/>
      <c r="F108" s="4">
        <v>0.02</v>
      </c>
      <c r="G108" s="5">
        <v>7412.92</v>
      </c>
      <c r="H108" s="28">
        <f t="shared" si="49"/>
        <v>0.14825839999999998</v>
      </c>
      <c r="I108" s="41"/>
      <c r="J108" s="41"/>
      <c r="K108" s="41"/>
      <c r="L108" s="41"/>
      <c r="M108" s="41"/>
      <c r="N108" s="41"/>
      <c r="O108" s="41"/>
      <c r="P108" s="41"/>
      <c r="Q108" s="41"/>
      <c r="R108" s="41">
        <f>G108*0.01</f>
        <v>74.129199999999997</v>
      </c>
      <c r="S108" s="41">
        <v>0</v>
      </c>
      <c r="T108" s="41">
        <f>G108*0.01</f>
        <v>74.129199999999997</v>
      </c>
      <c r="U108" s="41">
        <f t="shared" si="45"/>
        <v>148.25839999999999</v>
      </c>
    </row>
    <row r="109" spans="1:26" ht="25.5" customHeight="1">
      <c r="A109" s="152" t="s">
        <v>196</v>
      </c>
      <c r="B109" s="130" t="s">
        <v>238</v>
      </c>
      <c r="C109" s="129" t="s">
        <v>195</v>
      </c>
      <c r="D109" s="13"/>
      <c r="E109" s="5"/>
      <c r="F109" s="4">
        <v>5</v>
      </c>
      <c r="G109" s="5">
        <v>143.97999999999999</v>
      </c>
      <c r="H109" s="28">
        <f t="shared" si="49"/>
        <v>0.71989999999999998</v>
      </c>
      <c r="I109" s="41"/>
      <c r="J109" s="41"/>
      <c r="K109" s="41"/>
      <c r="L109" s="41"/>
      <c r="M109" s="41"/>
      <c r="N109" s="41"/>
      <c r="O109" s="41"/>
      <c r="P109" s="41"/>
      <c r="Q109" s="41"/>
      <c r="R109" s="41">
        <f>G109*5</f>
        <v>719.9</v>
      </c>
      <c r="S109" s="41">
        <v>0</v>
      </c>
      <c r="T109" s="41">
        <v>0</v>
      </c>
      <c r="U109" s="41">
        <f t="shared" si="45"/>
        <v>719.9</v>
      </c>
    </row>
    <row r="110" spans="1:26" ht="25.5" customHeight="1">
      <c r="A110" s="129" t="s">
        <v>164</v>
      </c>
      <c r="B110" s="130" t="s">
        <v>137</v>
      </c>
      <c r="C110" s="129" t="s">
        <v>55</v>
      </c>
      <c r="D110" s="30"/>
      <c r="E110" s="56"/>
      <c r="F110" s="56">
        <v>0.02</v>
      </c>
      <c r="G110" s="56">
        <v>3581.13</v>
      </c>
      <c r="H110" s="69">
        <f t="shared" si="49"/>
        <v>7.1622600000000008E-2</v>
      </c>
      <c r="I110" s="41">
        <v>0</v>
      </c>
      <c r="J110" s="41">
        <v>0</v>
      </c>
      <c r="K110" s="41">
        <f>G110*0.01</f>
        <v>35.811300000000003</v>
      </c>
      <c r="L110" s="41">
        <v>0</v>
      </c>
      <c r="M110" s="41">
        <v>0</v>
      </c>
      <c r="N110" s="41">
        <v>0</v>
      </c>
      <c r="O110" s="41">
        <v>0</v>
      </c>
      <c r="P110" s="41">
        <v>0</v>
      </c>
      <c r="Q110" s="41">
        <f>G110*0.01</f>
        <v>35.811300000000003</v>
      </c>
      <c r="R110" s="41">
        <f>G110*0.02</f>
        <v>71.622600000000006</v>
      </c>
      <c r="S110" s="41">
        <v>0</v>
      </c>
      <c r="T110" s="41">
        <v>0</v>
      </c>
      <c r="U110" s="41">
        <f t="shared" ref="U110:U111" si="50">SUM(R110:T110)</f>
        <v>71.622600000000006</v>
      </c>
    </row>
    <row r="111" spans="1:26" ht="12.75" customHeight="1">
      <c r="A111" s="150" t="s">
        <v>247</v>
      </c>
      <c r="B111" s="153" t="s">
        <v>246</v>
      </c>
      <c r="C111" s="154" t="s">
        <v>60</v>
      </c>
      <c r="D111" s="30"/>
      <c r="E111" s="56"/>
      <c r="F111" s="56">
        <v>2</v>
      </c>
      <c r="G111" s="56">
        <v>130.96</v>
      </c>
      <c r="H111" s="69">
        <f t="shared" si="49"/>
        <v>0.26192000000000004</v>
      </c>
      <c r="I111" s="41"/>
      <c r="J111" s="41"/>
      <c r="K111" s="41"/>
      <c r="L111" s="41"/>
      <c r="M111" s="41"/>
      <c r="N111" s="41"/>
      <c r="O111" s="41"/>
      <c r="P111" s="41"/>
      <c r="Q111" s="41"/>
      <c r="R111" s="41">
        <f>G111*2</f>
        <v>261.92</v>
      </c>
      <c r="S111" s="41">
        <v>0</v>
      </c>
      <c r="T111" s="41">
        <v>0</v>
      </c>
      <c r="U111" s="41">
        <f t="shared" si="50"/>
        <v>261.92</v>
      </c>
    </row>
    <row r="112" spans="1:26">
      <c r="A112" s="132" t="s">
        <v>239</v>
      </c>
      <c r="B112" s="155" t="s">
        <v>240</v>
      </c>
      <c r="C112" s="152" t="s">
        <v>60</v>
      </c>
      <c r="D112" s="144"/>
      <c r="E112" s="56"/>
      <c r="F112" s="56">
        <v>3</v>
      </c>
      <c r="G112" s="56">
        <v>170.63</v>
      </c>
      <c r="H112" s="69">
        <f t="shared" si="49"/>
        <v>0.51188999999999996</v>
      </c>
      <c r="I112" s="41">
        <v>0</v>
      </c>
      <c r="J112" s="41">
        <v>0</v>
      </c>
      <c r="K112" s="41">
        <v>0</v>
      </c>
      <c r="L112" s="41">
        <v>0</v>
      </c>
      <c r="M112" s="41">
        <v>0</v>
      </c>
      <c r="N112" s="41">
        <v>0</v>
      </c>
      <c r="O112" s="41">
        <f>G112*3</f>
        <v>511.89</v>
      </c>
      <c r="P112" s="41">
        <f>G112</f>
        <v>170.63</v>
      </c>
      <c r="Q112" s="41">
        <f>G112</f>
        <v>170.63</v>
      </c>
      <c r="R112" s="41">
        <f>G112*3</f>
        <v>511.89</v>
      </c>
      <c r="S112" s="41">
        <v>0</v>
      </c>
      <c r="T112" s="41">
        <v>0</v>
      </c>
      <c r="U112" s="41">
        <f t="shared" si="45"/>
        <v>511.89</v>
      </c>
      <c r="V112"/>
      <c r="W112"/>
      <c r="X112"/>
      <c r="Y112"/>
      <c r="Z112"/>
    </row>
    <row r="113" spans="1:26">
      <c r="A113" s="163" t="s">
        <v>265</v>
      </c>
      <c r="B113" s="149" t="s">
        <v>264</v>
      </c>
      <c r="C113" s="150" t="s">
        <v>80</v>
      </c>
      <c r="D113" s="144"/>
      <c r="E113" s="56"/>
      <c r="F113" s="56">
        <v>0.6</v>
      </c>
      <c r="G113" s="56">
        <v>4165.3999999999996</v>
      </c>
      <c r="H113" s="69">
        <f t="shared" si="49"/>
        <v>2.4992399999999999</v>
      </c>
      <c r="I113" s="41"/>
      <c r="J113" s="41"/>
      <c r="K113" s="41"/>
      <c r="L113" s="41"/>
      <c r="M113" s="41"/>
      <c r="N113" s="41"/>
      <c r="O113" s="41"/>
      <c r="P113" s="41"/>
      <c r="Q113" s="41"/>
      <c r="R113" s="41">
        <f>G113*0.6</f>
        <v>2499.2399999999998</v>
      </c>
      <c r="S113" s="41">
        <v>0</v>
      </c>
      <c r="T113" s="41">
        <v>0</v>
      </c>
      <c r="U113" s="41">
        <f>T113+S113+R113</f>
        <v>2499.2399999999998</v>
      </c>
      <c r="V113"/>
      <c r="W113"/>
      <c r="X113"/>
      <c r="Y113"/>
      <c r="Z113"/>
    </row>
    <row r="114" spans="1:26" ht="25.5">
      <c r="A114" s="152" t="s">
        <v>230</v>
      </c>
      <c r="B114" s="130" t="s">
        <v>241</v>
      </c>
      <c r="C114" s="129" t="s">
        <v>242</v>
      </c>
      <c r="D114" s="30"/>
      <c r="E114" s="56"/>
      <c r="F114" s="56">
        <f>(0.21+0.42)</f>
        <v>0.63</v>
      </c>
      <c r="G114" s="56">
        <v>3300.56</v>
      </c>
      <c r="H114" s="69">
        <f t="shared" ref="H114" si="51">G114*F114/1000</f>
        <v>2.0793528000000001</v>
      </c>
      <c r="I114" s="41">
        <v>0</v>
      </c>
      <c r="J114" s="41">
        <v>0</v>
      </c>
      <c r="K114" s="41">
        <v>0</v>
      </c>
      <c r="L114" s="41">
        <v>0</v>
      </c>
      <c r="M114" s="41">
        <v>0</v>
      </c>
      <c r="N114" s="41">
        <v>0</v>
      </c>
      <c r="O114" s="41">
        <v>0</v>
      </c>
      <c r="P114" s="41">
        <v>0</v>
      </c>
      <c r="Q114" s="41">
        <v>0</v>
      </c>
      <c r="R114" s="41">
        <v>0</v>
      </c>
      <c r="S114" s="41">
        <f>G114*0.63</f>
        <v>2079.3528000000001</v>
      </c>
      <c r="T114" s="41">
        <v>0</v>
      </c>
      <c r="U114" s="41">
        <f t="shared" si="45"/>
        <v>2079.3528000000001</v>
      </c>
      <c r="V114"/>
      <c r="W114"/>
      <c r="X114"/>
      <c r="Y114"/>
      <c r="Z114"/>
    </row>
    <row r="115" spans="1:26" ht="25.5" customHeight="1">
      <c r="A115" s="152" t="s">
        <v>193</v>
      </c>
      <c r="B115" s="130" t="s">
        <v>194</v>
      </c>
      <c r="C115" s="129" t="s">
        <v>192</v>
      </c>
      <c r="D115" s="30"/>
      <c r="E115" s="56"/>
      <c r="F115" s="56">
        <v>1</v>
      </c>
      <c r="G115" s="56">
        <v>589.84</v>
      </c>
      <c r="H115" s="145">
        <f>G115*F115/1000</f>
        <v>0.58984000000000003</v>
      </c>
      <c r="I115" s="41">
        <v>0</v>
      </c>
      <c r="J115" s="41">
        <v>0</v>
      </c>
      <c r="K115" s="41">
        <v>0</v>
      </c>
      <c r="L115" s="41">
        <f>G115</f>
        <v>589.84</v>
      </c>
      <c r="M115" s="41">
        <v>0</v>
      </c>
      <c r="N115" s="41">
        <v>0</v>
      </c>
      <c r="O115" s="41">
        <v>0</v>
      </c>
      <c r="P115" s="41">
        <v>0</v>
      </c>
      <c r="Q115" s="41">
        <v>0</v>
      </c>
      <c r="R115" s="41">
        <v>0</v>
      </c>
      <c r="S115" s="41">
        <f>G115</f>
        <v>589.84</v>
      </c>
      <c r="T115" s="41">
        <v>0</v>
      </c>
      <c r="U115" s="41">
        <f>SUM(R115:T115)</f>
        <v>589.84</v>
      </c>
    </row>
    <row r="116" spans="1:26" ht="12.75" customHeight="1">
      <c r="A116" s="147" t="s">
        <v>191</v>
      </c>
      <c r="B116" s="148" t="s">
        <v>190</v>
      </c>
      <c r="C116" s="147" t="s">
        <v>177</v>
      </c>
      <c r="D116" s="13"/>
      <c r="E116" s="5"/>
      <c r="F116" s="4">
        <f>(15+15+10)/3</f>
        <v>13.333333333333334</v>
      </c>
      <c r="G116" s="5">
        <v>1120.8900000000001</v>
      </c>
      <c r="H116" s="28">
        <f>G116*F116/1000</f>
        <v>14.945200000000003</v>
      </c>
      <c r="I116" s="41">
        <f>G116</f>
        <v>1120.8900000000001</v>
      </c>
      <c r="J116" s="41">
        <f>G116*7</f>
        <v>7846.2300000000005</v>
      </c>
      <c r="K116" s="41">
        <f>G116*((15+20+15+20)/3)</f>
        <v>26154.100000000002</v>
      </c>
      <c r="L116" s="41">
        <f>G116*((10+10+20)/3)</f>
        <v>14945.200000000003</v>
      </c>
      <c r="M116" s="41">
        <v>0</v>
      </c>
      <c r="N116" s="41">
        <f>G116*((15+10+20)/3)</f>
        <v>16813.350000000002</v>
      </c>
      <c r="O116" s="41">
        <v>0</v>
      </c>
      <c r="P116" s="41">
        <v>0</v>
      </c>
      <c r="Q116" s="41">
        <f>G116</f>
        <v>1120.8900000000001</v>
      </c>
      <c r="R116" s="41">
        <v>0</v>
      </c>
      <c r="S116" s="41">
        <f>G116*((30+10)/3)</f>
        <v>14945.200000000003</v>
      </c>
      <c r="T116" s="41">
        <v>0</v>
      </c>
      <c r="U116" s="41">
        <f>SUM(R116:T116)</f>
        <v>14945.200000000003</v>
      </c>
    </row>
    <row r="117" spans="1:26" ht="25.5" customHeight="1">
      <c r="A117" s="154" t="s">
        <v>245</v>
      </c>
      <c r="B117" s="153" t="s">
        <v>243</v>
      </c>
      <c r="C117" s="154" t="s">
        <v>244</v>
      </c>
      <c r="D117" s="13"/>
      <c r="E117" s="5"/>
      <c r="F117" s="4">
        <v>1</v>
      </c>
      <c r="G117" s="5">
        <v>663.38</v>
      </c>
      <c r="H117" s="28">
        <f>G117*F117/1000</f>
        <v>0.66337999999999997</v>
      </c>
      <c r="I117" s="41"/>
      <c r="J117" s="41"/>
      <c r="K117" s="41"/>
      <c r="L117" s="41"/>
      <c r="M117" s="41"/>
      <c r="N117" s="41"/>
      <c r="O117" s="41"/>
      <c r="P117" s="41"/>
      <c r="Q117" s="41"/>
      <c r="R117" s="41">
        <v>0</v>
      </c>
      <c r="S117" s="41">
        <f>G117</f>
        <v>663.38</v>
      </c>
      <c r="T117" s="41">
        <v>0</v>
      </c>
      <c r="U117" s="41">
        <f>SUM(R117:T117)</f>
        <v>663.38</v>
      </c>
    </row>
    <row r="118" spans="1:26" ht="25.5" customHeight="1">
      <c r="A118" s="129" t="s">
        <v>163</v>
      </c>
      <c r="B118" s="153" t="s">
        <v>197</v>
      </c>
      <c r="C118" s="154" t="s">
        <v>43</v>
      </c>
      <c r="D118" s="30"/>
      <c r="E118" s="56"/>
      <c r="F118" s="156">
        <v>1E-3</v>
      </c>
      <c r="G118" s="56">
        <v>1591.6</v>
      </c>
      <c r="H118" s="162">
        <f>G118*F118/1000</f>
        <v>1.5915999999999999E-3</v>
      </c>
      <c r="I118" s="41">
        <v>0</v>
      </c>
      <c r="J118" s="41">
        <v>0</v>
      </c>
      <c r="K118" s="41">
        <v>0</v>
      </c>
      <c r="L118" s="41">
        <v>0</v>
      </c>
      <c r="M118" s="41">
        <v>0</v>
      </c>
      <c r="N118" s="41">
        <v>0</v>
      </c>
      <c r="O118" s="41">
        <v>0</v>
      </c>
      <c r="P118" s="41">
        <f>G118*0.001</f>
        <v>1.5915999999999999</v>
      </c>
      <c r="Q118" s="41">
        <v>0</v>
      </c>
      <c r="R118" s="41">
        <v>0</v>
      </c>
      <c r="S118" s="41">
        <f>G118*0.001</f>
        <v>1.5915999999999999</v>
      </c>
      <c r="T118" s="41">
        <v>0</v>
      </c>
      <c r="U118" s="41">
        <f>SUM(R118:T118)</f>
        <v>1.5915999999999999</v>
      </c>
    </row>
    <row r="119" spans="1:26" ht="12.75" customHeight="1">
      <c r="A119" s="129" t="s">
        <v>118</v>
      </c>
      <c r="B119" s="153" t="s">
        <v>248</v>
      </c>
      <c r="C119" s="154" t="s">
        <v>36</v>
      </c>
      <c r="D119" s="30"/>
      <c r="E119" s="56"/>
      <c r="F119" s="56">
        <v>6</v>
      </c>
      <c r="G119" s="56">
        <v>1725</v>
      </c>
      <c r="H119" s="28">
        <f t="shared" si="47"/>
        <v>10.35</v>
      </c>
      <c r="I119" s="41"/>
      <c r="J119" s="41"/>
      <c r="K119" s="41"/>
      <c r="L119" s="41"/>
      <c r="M119" s="41"/>
      <c r="N119" s="41"/>
      <c r="O119" s="41"/>
      <c r="P119" s="41"/>
      <c r="Q119" s="41"/>
      <c r="R119" s="41">
        <v>0</v>
      </c>
      <c r="S119" s="41">
        <f>G119*6</f>
        <v>10350</v>
      </c>
      <c r="T119" s="41">
        <v>0</v>
      </c>
      <c r="U119" s="41">
        <f>SUM(R119:T119)</f>
        <v>10350</v>
      </c>
    </row>
    <row r="120" spans="1:26" ht="12.75" customHeight="1">
      <c r="A120" s="163" t="s">
        <v>250</v>
      </c>
      <c r="B120" s="149" t="s">
        <v>249</v>
      </c>
      <c r="C120" s="150" t="s">
        <v>60</v>
      </c>
      <c r="D120" s="30"/>
      <c r="E120" s="56"/>
      <c r="F120" s="56">
        <v>1</v>
      </c>
      <c r="G120" s="56">
        <v>311.55</v>
      </c>
      <c r="H120" s="28">
        <f t="shared" si="47"/>
        <v>0.31154999999999999</v>
      </c>
      <c r="I120" s="41"/>
      <c r="J120" s="41"/>
      <c r="K120" s="41"/>
      <c r="L120" s="41"/>
      <c r="M120" s="41"/>
      <c r="N120" s="41"/>
      <c r="O120" s="41"/>
      <c r="P120" s="41"/>
      <c r="Q120" s="41"/>
      <c r="R120" s="41">
        <v>0</v>
      </c>
      <c r="S120" s="41">
        <f>G120</f>
        <v>311.55</v>
      </c>
      <c r="T120" s="41">
        <v>0</v>
      </c>
      <c r="U120" s="41">
        <f t="shared" ref="U120" si="52">SUM(R120:T120)</f>
        <v>311.55</v>
      </c>
    </row>
    <row r="121" spans="1:26">
      <c r="A121" s="163" t="s">
        <v>253</v>
      </c>
      <c r="B121" s="164" t="s">
        <v>254</v>
      </c>
      <c r="C121" s="13" t="s">
        <v>232</v>
      </c>
      <c r="D121" s="30"/>
      <c r="E121" s="56"/>
      <c r="F121" s="56">
        <f>0.05</f>
        <v>0.05</v>
      </c>
      <c r="G121" s="56">
        <v>56484.24</v>
      </c>
      <c r="H121" s="69">
        <f>G121*F121/1000</f>
        <v>2.8242120000000002</v>
      </c>
      <c r="I121" s="157"/>
      <c r="J121" s="157"/>
      <c r="K121" s="157"/>
      <c r="L121" s="157"/>
      <c r="M121" s="157"/>
      <c r="N121" s="157"/>
      <c r="O121" s="157"/>
      <c r="P121" s="157"/>
      <c r="Q121" s="157"/>
      <c r="R121" s="41">
        <v>0</v>
      </c>
      <c r="S121" s="41">
        <v>0</v>
      </c>
      <c r="T121" s="157">
        <f>G121*F121</f>
        <v>2824.212</v>
      </c>
      <c r="U121" s="41">
        <f>SUM(S121:T121)</f>
        <v>2824.212</v>
      </c>
    </row>
    <row r="122" spans="1:26">
      <c r="A122" s="129" t="s">
        <v>118</v>
      </c>
      <c r="B122" s="130" t="s">
        <v>256</v>
      </c>
      <c r="C122" s="129" t="s">
        <v>34</v>
      </c>
      <c r="D122" s="12"/>
      <c r="E122" s="5"/>
      <c r="F122" s="56">
        <f>(9.99+56.32+65.33+55.61)-(4.48*6)</f>
        <v>160.37</v>
      </c>
      <c r="G122" s="56">
        <v>42.61</v>
      </c>
      <c r="H122" s="56">
        <f t="shared" ref="H122" si="53">G122*F122/1000</f>
        <v>6.8333656999999999</v>
      </c>
      <c r="I122" s="157"/>
      <c r="J122" s="157"/>
      <c r="K122" s="157"/>
      <c r="L122" s="157"/>
      <c r="M122" s="157"/>
      <c r="N122" s="157"/>
      <c r="O122" s="157"/>
      <c r="P122" s="157"/>
      <c r="Q122" s="157"/>
      <c r="R122" s="41">
        <v>0</v>
      </c>
      <c r="S122" s="41">
        <v>0</v>
      </c>
      <c r="T122" s="157">
        <f>G122*F122</f>
        <v>6833.3657000000003</v>
      </c>
      <c r="U122" s="41">
        <f>SUM(S122:T122)</f>
        <v>6833.3657000000003</v>
      </c>
    </row>
    <row r="123" spans="1:26">
      <c r="A123" s="129" t="s">
        <v>118</v>
      </c>
      <c r="B123" s="130" t="s">
        <v>255</v>
      </c>
      <c r="C123" s="129" t="s">
        <v>34</v>
      </c>
      <c r="D123" s="12"/>
      <c r="E123" s="5"/>
      <c r="F123" s="56">
        <f>(32.77+86.88+96.95+102.53)-(4.48*6)</f>
        <v>292.25</v>
      </c>
      <c r="G123" s="56">
        <v>44.31</v>
      </c>
      <c r="H123" s="56">
        <f t="shared" ref="H123" si="54">G123*F123/1000</f>
        <v>12.949597499999999</v>
      </c>
      <c r="I123" s="157">
        <v>0</v>
      </c>
      <c r="J123" s="157">
        <v>0</v>
      </c>
      <c r="K123" s="157">
        <v>0</v>
      </c>
      <c r="L123" s="157">
        <v>0</v>
      </c>
      <c r="M123" s="157">
        <v>0</v>
      </c>
      <c r="N123" s="157">
        <v>0</v>
      </c>
      <c r="O123" s="41">
        <v>0</v>
      </c>
      <c r="P123" s="41">
        <v>0</v>
      </c>
      <c r="Q123" s="41">
        <v>0</v>
      </c>
      <c r="R123" s="41">
        <v>0</v>
      </c>
      <c r="S123" s="41">
        <v>0</v>
      </c>
      <c r="T123" s="41">
        <f>G123*F123</f>
        <v>12949.5975</v>
      </c>
      <c r="U123" s="41">
        <f t="shared" ref="U123" si="55">SUM(I123:T123)</f>
        <v>12949.5975</v>
      </c>
      <c r="V123"/>
      <c r="W123"/>
      <c r="X123"/>
      <c r="Y123"/>
      <c r="Z123"/>
    </row>
    <row r="124" spans="1:26" s="23" customFormat="1">
      <c r="A124" s="99"/>
      <c r="B124" s="100" t="s">
        <v>93</v>
      </c>
      <c r="C124" s="99"/>
      <c r="D124" s="99"/>
      <c r="E124" s="95"/>
      <c r="F124" s="95"/>
      <c r="G124" s="95"/>
      <c r="H124" s="48">
        <f>SUM(H91:H123)</f>
        <v>76.581367639999996</v>
      </c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47">
        <f>SUM(U91:U123)</f>
        <v>76581.367639999997</v>
      </c>
      <c r="V124" s="151"/>
      <c r="W124" s="151"/>
      <c r="X124" s="151"/>
      <c r="Y124" s="151"/>
      <c r="Z124" s="151"/>
    </row>
    <row r="125" spans="1:26">
      <c r="A125" s="101"/>
      <c r="B125" s="102"/>
      <c r="C125" s="101"/>
      <c r="D125" s="101"/>
      <c r="E125" s="56"/>
      <c r="F125" s="56"/>
      <c r="G125" s="56"/>
      <c r="H125" s="103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127"/>
    </row>
    <row r="126" spans="1:26" ht="12" customHeight="1">
      <c r="A126" s="31"/>
      <c r="B126" s="22" t="s">
        <v>94</v>
      </c>
      <c r="C126" s="29"/>
      <c r="D126" s="30"/>
      <c r="E126" s="56"/>
      <c r="F126" s="56"/>
      <c r="G126" s="56"/>
      <c r="H126" s="104">
        <f>H124/E127/12*1000</f>
        <v>2.2630427789598109</v>
      </c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127"/>
    </row>
    <row r="127" spans="1:26" s="23" customFormat="1">
      <c r="A127" s="105"/>
      <c r="B127" s="106" t="s">
        <v>95</v>
      </c>
      <c r="C127" s="107"/>
      <c r="D127" s="106"/>
      <c r="E127" s="143">
        <v>2820</v>
      </c>
      <c r="F127" s="108">
        <f>SUM(E127*12)</f>
        <v>33840</v>
      </c>
      <c r="G127" s="109">
        <f>H89+H126</f>
        <v>30.033293525075408</v>
      </c>
      <c r="H127" s="110">
        <f>SUM(F127*G127/1000)</f>
        <v>1016.3266528885518</v>
      </c>
      <c r="I127" s="95">
        <f>SUM(I11:I126)</f>
        <v>85410.822555000006</v>
      </c>
      <c r="J127" s="95">
        <f>SUM(J11:J126)</f>
        <v>61413.389674999999</v>
      </c>
      <c r="K127" s="95">
        <f t="shared" ref="K127:R127" si="56">SUM(K11:K126)</f>
        <v>72883.619869000002</v>
      </c>
      <c r="L127" s="95">
        <f t="shared" si="56"/>
        <v>77093.881689000002</v>
      </c>
      <c r="M127" s="95">
        <f t="shared" si="56"/>
        <v>205350.5363540611</v>
      </c>
      <c r="N127" s="95">
        <f t="shared" si="56"/>
        <v>57316.57287431111</v>
      </c>
      <c r="O127" s="95">
        <f t="shared" si="56"/>
        <v>41129.605754311109</v>
      </c>
      <c r="P127" s="95">
        <f t="shared" si="56"/>
        <v>40782.284474311105</v>
      </c>
      <c r="Q127" s="95">
        <f t="shared" si="56"/>
        <v>77618.605891061103</v>
      </c>
      <c r="R127" s="95">
        <f t="shared" si="56"/>
        <v>71960.357154311088</v>
      </c>
      <c r="S127" s="95">
        <f>SUM(S11:S126)</f>
        <v>95505.570938999983</v>
      </c>
      <c r="T127" s="95">
        <f>SUM(T11:T126)</f>
        <v>73688.131844999996</v>
      </c>
      <c r="U127" s="47">
        <f>U87+U124</f>
        <v>241154.05993831111</v>
      </c>
      <c r="V127" s="151"/>
      <c r="W127" s="151"/>
      <c r="X127" s="151"/>
      <c r="Y127" s="151"/>
      <c r="Z127" s="151"/>
    </row>
    <row r="128" spans="1:26">
      <c r="A128" s="112"/>
      <c r="B128" s="112"/>
      <c r="C128" s="112"/>
      <c r="D128" s="112"/>
      <c r="E128" s="111"/>
      <c r="F128" s="111"/>
      <c r="G128" s="111"/>
      <c r="H128" s="111"/>
      <c r="I128" s="111"/>
      <c r="J128" s="111"/>
      <c r="K128" s="111"/>
      <c r="L128" s="111"/>
      <c r="M128" s="112"/>
      <c r="N128" s="111"/>
      <c r="O128" s="112"/>
      <c r="P128" s="112"/>
      <c r="Q128" s="112"/>
      <c r="R128" s="112"/>
      <c r="S128" s="112"/>
      <c r="T128" s="112"/>
      <c r="U128" s="112"/>
    </row>
    <row r="129" spans="1:21">
      <c r="A129" s="112"/>
      <c r="B129" s="112"/>
      <c r="C129" s="112"/>
      <c r="D129" s="112"/>
      <c r="E129" s="111"/>
      <c r="F129" s="111"/>
      <c r="G129" s="111"/>
      <c r="H129" s="111"/>
      <c r="I129" s="111"/>
      <c r="J129" s="113"/>
      <c r="K129" s="114"/>
      <c r="L129" s="113"/>
      <c r="M129" s="111"/>
      <c r="N129" s="112"/>
      <c r="O129" s="112"/>
      <c r="P129" s="112"/>
      <c r="Q129" s="112"/>
      <c r="R129" s="112"/>
      <c r="S129" s="112"/>
      <c r="T129" s="112"/>
      <c r="U129" s="112"/>
    </row>
    <row r="130" spans="1:21" ht="45">
      <c r="A130" s="112"/>
      <c r="B130" s="119" t="s">
        <v>178</v>
      </c>
      <c r="C130" s="169">
        <v>325012.15999999997</v>
      </c>
      <c r="D130" s="170"/>
      <c r="E130" s="170"/>
      <c r="F130" s="171"/>
      <c r="G130" s="111"/>
      <c r="H130" s="111"/>
      <c r="I130" s="111"/>
      <c r="J130" s="113"/>
      <c r="K130" s="114"/>
      <c r="L130" s="113"/>
      <c r="M130" s="111"/>
      <c r="N130" s="112"/>
      <c r="O130" s="112"/>
      <c r="P130" s="112"/>
      <c r="Q130" s="112"/>
      <c r="R130" s="112"/>
      <c r="S130" s="112"/>
      <c r="T130" s="112"/>
      <c r="U130" s="112"/>
    </row>
    <row r="131" spans="1:21" ht="30">
      <c r="A131" s="112"/>
      <c r="B131" s="119" t="s">
        <v>186</v>
      </c>
      <c r="C131" s="168">
        <f>(58143.96*2)+(58143.02*3)+(58144.38*2)+(58144.24*2)+(80499.99*3)</f>
        <v>764794.19</v>
      </c>
      <c r="D131" s="166"/>
      <c r="E131" s="166"/>
      <c r="F131" s="167"/>
      <c r="G131" s="111"/>
      <c r="H131" s="111"/>
      <c r="I131" s="111"/>
      <c r="J131" s="113"/>
      <c r="K131" s="114"/>
      <c r="L131" s="113"/>
      <c r="M131" s="111"/>
      <c r="N131" s="112"/>
      <c r="O131" s="112"/>
      <c r="P131" s="112"/>
      <c r="Q131" s="112"/>
      <c r="R131" s="112"/>
      <c r="S131" s="112"/>
      <c r="T131" s="112"/>
      <c r="U131" s="112"/>
    </row>
    <row r="132" spans="1:21" ht="30">
      <c r="A132" s="112"/>
      <c r="B132" s="119" t="s">
        <v>187</v>
      </c>
      <c r="C132" s="169">
        <f>SUM(U127-U124)+516296.69</f>
        <v>680869.3822983111</v>
      </c>
      <c r="D132" s="170"/>
      <c r="E132" s="170"/>
      <c r="F132" s="171"/>
      <c r="G132" s="111"/>
      <c r="H132" s="111"/>
      <c r="I132" s="111"/>
      <c r="J132" s="113"/>
      <c r="K132" s="114"/>
      <c r="L132" s="113"/>
      <c r="M132" s="111"/>
      <c r="N132" s="112"/>
      <c r="O132" s="112"/>
      <c r="P132" s="112"/>
      <c r="Q132" s="112"/>
      <c r="R132" s="112"/>
      <c r="S132" s="112"/>
      <c r="T132" s="112"/>
      <c r="U132" s="112"/>
    </row>
    <row r="133" spans="1:21" ht="30">
      <c r="A133" s="112"/>
      <c r="B133" s="119" t="s">
        <v>188</v>
      </c>
      <c r="C133" s="169">
        <f>SUM(U124)+471737.27</f>
        <v>548318.63763999997</v>
      </c>
      <c r="D133" s="170"/>
      <c r="E133" s="170"/>
      <c r="F133" s="171"/>
      <c r="G133" s="111"/>
      <c r="H133" s="111"/>
      <c r="I133" s="111"/>
      <c r="J133" s="113"/>
      <c r="K133" s="114"/>
      <c r="L133" s="113"/>
      <c r="M133" s="111"/>
      <c r="N133" s="112"/>
      <c r="O133" s="112"/>
      <c r="P133" s="112"/>
      <c r="Q133" s="112"/>
      <c r="R133" s="112"/>
      <c r="S133" s="112"/>
      <c r="T133" s="112"/>
      <c r="U133" s="112"/>
    </row>
    <row r="134" spans="1:21" ht="18" customHeight="1">
      <c r="A134" s="112"/>
      <c r="B134" s="120" t="s">
        <v>189</v>
      </c>
      <c r="C134" s="168">
        <f>(57391.38+39302.32+57574.99+42405.44+60359.58+47518.21+65386.34+45799.62+57874.95)+80381.39+59794.71+74231.93</f>
        <v>688020.85999999987</v>
      </c>
      <c r="D134" s="166"/>
      <c r="E134" s="166"/>
      <c r="F134" s="167"/>
      <c r="G134" s="112"/>
      <c r="H134" s="115" t="s">
        <v>105</v>
      </c>
      <c r="J134" s="116"/>
      <c r="K134" s="117"/>
      <c r="L134" s="118"/>
      <c r="M134" s="115"/>
      <c r="N134" s="115"/>
      <c r="O134" s="112"/>
      <c r="P134" s="112"/>
      <c r="Q134" s="112"/>
      <c r="S134" s="112"/>
      <c r="T134" s="112"/>
      <c r="U134" s="112"/>
    </row>
    <row r="135" spans="1:21" ht="78.75">
      <c r="A135" s="112"/>
      <c r="B135" s="131" t="s">
        <v>251</v>
      </c>
      <c r="C135" s="172">
        <v>281423.62</v>
      </c>
      <c r="D135" s="173"/>
      <c r="E135" s="173"/>
      <c r="F135" s="174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</row>
    <row r="136" spans="1:21" ht="45">
      <c r="A136" s="112"/>
      <c r="B136" s="119" t="s">
        <v>252</v>
      </c>
      <c r="C136" s="165">
        <f>SUM(C132+C133-C131)+C130</f>
        <v>789405.98993831105</v>
      </c>
      <c r="D136" s="166"/>
      <c r="E136" s="166"/>
      <c r="F136" s="167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</row>
    <row r="138" spans="1:21">
      <c r="J138" s="7"/>
      <c r="K138" s="8"/>
      <c r="L138" s="8"/>
      <c r="M138" s="6"/>
    </row>
    <row r="139" spans="1:21">
      <c r="G139" s="9"/>
      <c r="H139" s="9"/>
    </row>
    <row r="140" spans="1:21">
      <c r="G140" s="10"/>
    </row>
  </sheetData>
  <mergeCells count="11">
    <mergeCell ref="B3:L3"/>
    <mergeCell ref="B4:L4"/>
    <mergeCell ref="B5:L5"/>
    <mergeCell ref="B6:L6"/>
    <mergeCell ref="C130:F130"/>
    <mergeCell ref="C136:F136"/>
    <mergeCell ref="C131:F131"/>
    <mergeCell ref="C132:F132"/>
    <mergeCell ref="C133:F133"/>
    <mergeCell ref="C134:F134"/>
    <mergeCell ref="C135:F135"/>
  </mergeCells>
  <pageMargins left="0.51181102362204722" right="0.31496062992125984" top="0.15748031496062992" bottom="0.19685039370078741" header="0.15748031496062992" footer="0.15748031496062992"/>
  <pageSetup paperSize="9" scale="5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Сов.,14</vt:lpstr>
      <vt:lpstr>'Сов.,14'!Область_печати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2018-08-22T06:21:35Z</cp:lastPrinted>
  <dcterms:created xsi:type="dcterms:W3CDTF">2014-02-05T12:20:20Z</dcterms:created>
  <dcterms:modified xsi:type="dcterms:W3CDTF">2018-08-22T06:22:09Z</dcterms:modified>
</cp:coreProperties>
</file>