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Мира,5" sheetId="1" r:id="rId1"/>
  </sheets>
  <definedNames>
    <definedName name="_xlnm.Print_Area" localSheetId="0">'Мира,5'!$A$1:$U$127</definedName>
  </definedNames>
  <calcPr calcId="124519"/>
</workbook>
</file>

<file path=xl/calcChain.xml><?xml version="1.0" encoding="utf-8"?>
<calcChain xmlns="http://schemas.openxmlformats.org/spreadsheetml/2006/main">
  <c r="U115" i="1"/>
  <c r="H112"/>
  <c r="S112"/>
  <c r="S113"/>
  <c r="S114"/>
  <c r="H114"/>
  <c r="H113"/>
  <c r="S111"/>
  <c r="H111"/>
  <c r="S110"/>
  <c r="H110"/>
  <c r="S109"/>
  <c r="U109" s="1"/>
  <c r="H109"/>
  <c r="S108"/>
  <c r="H108"/>
  <c r="S107"/>
  <c r="H107"/>
  <c r="H115" s="1"/>
  <c r="U106"/>
  <c r="U107"/>
  <c r="U108"/>
  <c r="U110"/>
  <c r="U111"/>
  <c r="U112"/>
  <c r="U113"/>
  <c r="U114"/>
  <c r="S106"/>
  <c r="H106"/>
  <c r="U71" l="1"/>
  <c r="H71"/>
  <c r="F71"/>
  <c r="C125"/>
  <c r="C122"/>
  <c r="T97"/>
  <c r="T96"/>
  <c r="T88"/>
  <c r="U76"/>
  <c r="U56"/>
  <c r="U59"/>
  <c r="U62"/>
  <c r="U70"/>
  <c r="U72"/>
  <c r="U74"/>
  <c r="T38"/>
  <c r="T33"/>
  <c r="S33"/>
  <c r="U29"/>
  <c r="R87"/>
  <c r="R100"/>
  <c r="U100" s="1"/>
  <c r="H100"/>
  <c r="R99"/>
  <c r="U99" s="1"/>
  <c r="H99"/>
  <c r="S87" l="1"/>
  <c r="Q61"/>
  <c r="S88"/>
  <c r="R88"/>
  <c r="R105"/>
  <c r="U105" s="1"/>
  <c r="H105"/>
  <c r="R91"/>
  <c r="F91"/>
  <c r="R97"/>
  <c r="R104"/>
  <c r="U104" s="1"/>
  <c r="H104"/>
  <c r="R101"/>
  <c r="U101" s="1"/>
  <c r="R61"/>
  <c r="R102"/>
  <c r="U102" s="1"/>
  <c r="R103"/>
  <c r="U103" s="1"/>
  <c r="Q98"/>
  <c r="U98" s="1"/>
  <c r="H98"/>
  <c r="Q88"/>
  <c r="Q97"/>
  <c r="U97" s="1"/>
  <c r="H97"/>
  <c r="Q96" l="1"/>
  <c r="U96" s="1"/>
  <c r="Q95"/>
  <c r="U95" s="1"/>
  <c r="H95"/>
  <c r="Q94"/>
  <c r="U94" s="1"/>
  <c r="H94"/>
  <c r="Q93"/>
  <c r="U93" s="1"/>
  <c r="H93"/>
  <c r="Q87"/>
  <c r="Q68"/>
  <c r="U68" s="1"/>
  <c r="Q50"/>
  <c r="S38"/>
  <c r="L33"/>
  <c r="P88"/>
  <c r="P51"/>
  <c r="O88"/>
  <c r="N87"/>
  <c r="F92" l="1"/>
  <c r="N92" s="1"/>
  <c r="U92" s="1"/>
  <c r="N89"/>
  <c r="N88"/>
  <c r="I51"/>
  <c r="M50"/>
  <c r="U50" s="1"/>
  <c r="M91"/>
  <c r="U91" s="1"/>
  <c r="H91"/>
  <c r="M88"/>
  <c r="M20"/>
  <c r="U20" s="1"/>
  <c r="L88" l="1"/>
  <c r="L61"/>
  <c r="U61" s="1"/>
  <c r="L51"/>
  <c r="U51" s="1"/>
  <c r="L38" l="1"/>
  <c r="K33"/>
  <c r="F90"/>
  <c r="K90" s="1"/>
  <c r="U90" s="1"/>
  <c r="H90" l="1"/>
  <c r="K89"/>
  <c r="K88"/>
  <c r="K87"/>
  <c r="J89"/>
  <c r="J88"/>
  <c r="I88"/>
  <c r="I87"/>
  <c r="U87" s="1"/>
  <c r="H87"/>
  <c r="U88" l="1"/>
  <c r="U89"/>
  <c r="H92" l="1"/>
  <c r="H103"/>
  <c r="F27" l="1"/>
  <c r="H102"/>
  <c r="H76"/>
  <c r="K38"/>
  <c r="H101"/>
  <c r="H89"/>
  <c r="H96"/>
  <c r="F57"/>
  <c r="J38"/>
  <c r="J33"/>
  <c r="F11"/>
  <c r="F51"/>
  <c r="I33"/>
  <c r="I38"/>
  <c r="U38" s="1"/>
  <c r="T11" l="1"/>
  <c r="S11"/>
  <c r="U33"/>
  <c r="S57"/>
  <c r="T57"/>
  <c r="Q57"/>
  <c r="N57"/>
  <c r="R57"/>
  <c r="P57"/>
  <c r="O57"/>
  <c r="M57"/>
  <c r="Q11"/>
  <c r="N11"/>
  <c r="R11"/>
  <c r="P11"/>
  <c r="O11"/>
  <c r="I57"/>
  <c r="I11"/>
  <c r="M11"/>
  <c r="M27"/>
  <c r="Q27"/>
  <c r="O27"/>
  <c r="R27"/>
  <c r="P27"/>
  <c r="N27"/>
  <c r="L57"/>
  <c r="K57"/>
  <c r="L11"/>
  <c r="K11"/>
  <c r="J11"/>
  <c r="H57"/>
  <c r="J57"/>
  <c r="H88"/>
  <c r="F34"/>
  <c r="T34" s="1"/>
  <c r="F19"/>
  <c r="M19" s="1"/>
  <c r="U19" s="1"/>
  <c r="F118"/>
  <c r="E79"/>
  <c r="H83" s="1"/>
  <c r="F77"/>
  <c r="H74"/>
  <c r="F72"/>
  <c r="H72" s="1"/>
  <c r="H70"/>
  <c r="F68"/>
  <c r="F67"/>
  <c r="M67" s="1"/>
  <c r="U67" s="1"/>
  <c r="F66"/>
  <c r="M66" s="1"/>
  <c r="U66" s="1"/>
  <c r="F65"/>
  <c r="M65" s="1"/>
  <c r="U65" s="1"/>
  <c r="F64"/>
  <c r="M64" s="1"/>
  <c r="U64" s="1"/>
  <c r="F63"/>
  <c r="M63" s="1"/>
  <c r="U63" s="1"/>
  <c r="H62"/>
  <c r="H61"/>
  <c r="F59"/>
  <c r="H59" s="1"/>
  <c r="F54"/>
  <c r="H51"/>
  <c r="H50"/>
  <c r="F49"/>
  <c r="F48"/>
  <c r="F47"/>
  <c r="F46"/>
  <c r="F45"/>
  <c r="F44"/>
  <c r="F43"/>
  <c r="F42"/>
  <c r="H39"/>
  <c r="H38"/>
  <c r="F37"/>
  <c r="T37" s="1"/>
  <c r="F36"/>
  <c r="T36" s="1"/>
  <c r="F35"/>
  <c r="T35" s="1"/>
  <c r="H34"/>
  <c r="H33"/>
  <c r="F30"/>
  <c r="H29"/>
  <c r="F28"/>
  <c r="H27"/>
  <c r="F26"/>
  <c r="M26" s="1"/>
  <c r="U26" s="1"/>
  <c r="F25"/>
  <c r="F24"/>
  <c r="F21"/>
  <c r="M21" s="1"/>
  <c r="U21" s="1"/>
  <c r="F18"/>
  <c r="M18" s="1"/>
  <c r="U18" s="1"/>
  <c r="F17"/>
  <c r="M17" s="1"/>
  <c r="U17" s="1"/>
  <c r="F16"/>
  <c r="T16" s="1"/>
  <c r="F15"/>
  <c r="T15" s="1"/>
  <c r="F14"/>
  <c r="M14" s="1"/>
  <c r="U14" s="1"/>
  <c r="E13"/>
  <c r="F12"/>
  <c r="T12" s="1"/>
  <c r="H11"/>
  <c r="S54" l="1"/>
  <c r="T54"/>
  <c r="U57"/>
  <c r="T47"/>
  <c r="Q47"/>
  <c r="S77"/>
  <c r="T77"/>
  <c r="U27"/>
  <c r="U11"/>
  <c r="N12"/>
  <c r="Q12"/>
  <c r="S12"/>
  <c r="O12"/>
  <c r="R12"/>
  <c r="P12"/>
  <c r="N15"/>
  <c r="Q15"/>
  <c r="S15"/>
  <c r="O15"/>
  <c r="R15"/>
  <c r="P15"/>
  <c r="L35"/>
  <c r="S35"/>
  <c r="L37"/>
  <c r="S37"/>
  <c r="M43"/>
  <c r="U43" s="1"/>
  <c r="Q43"/>
  <c r="M45"/>
  <c r="U45" s="1"/>
  <c r="Q45"/>
  <c r="M47"/>
  <c r="M49"/>
  <c r="Q49"/>
  <c r="R77"/>
  <c r="P77"/>
  <c r="O77"/>
  <c r="Q77"/>
  <c r="N77"/>
  <c r="L34"/>
  <c r="S34"/>
  <c r="N16"/>
  <c r="R16"/>
  <c r="P16"/>
  <c r="Q16"/>
  <c r="S16"/>
  <c r="O16"/>
  <c r="L36"/>
  <c r="S36"/>
  <c r="M42"/>
  <c r="U42" s="1"/>
  <c r="Q42"/>
  <c r="M44"/>
  <c r="U44" s="1"/>
  <c r="Q44"/>
  <c r="M46"/>
  <c r="U46" s="1"/>
  <c r="Q46"/>
  <c r="M48"/>
  <c r="U48" s="1"/>
  <c r="Q48"/>
  <c r="L54"/>
  <c r="M24"/>
  <c r="Q24"/>
  <c r="O24"/>
  <c r="R24"/>
  <c r="P24"/>
  <c r="N24"/>
  <c r="T28"/>
  <c r="R28"/>
  <c r="P28"/>
  <c r="N28"/>
  <c r="S28"/>
  <c r="Q28"/>
  <c r="O28"/>
  <c r="S30"/>
  <c r="Q30"/>
  <c r="O30"/>
  <c r="T30"/>
  <c r="R30"/>
  <c r="P30"/>
  <c r="N30"/>
  <c r="M25"/>
  <c r="R25"/>
  <c r="P25"/>
  <c r="N25"/>
  <c r="Q25"/>
  <c r="O25"/>
  <c r="M77"/>
  <c r="L15"/>
  <c r="M15"/>
  <c r="K15"/>
  <c r="M12"/>
  <c r="L12"/>
  <c r="M16"/>
  <c r="L16"/>
  <c r="M28"/>
  <c r="K28"/>
  <c r="L28"/>
  <c r="M30"/>
  <c r="K30"/>
  <c r="L30"/>
  <c r="K54"/>
  <c r="L77"/>
  <c r="K77"/>
  <c r="H12"/>
  <c r="J12"/>
  <c r="K12"/>
  <c r="I12"/>
  <c r="H16"/>
  <c r="K16"/>
  <c r="I16"/>
  <c r="U16" s="1"/>
  <c r="J16"/>
  <c r="H24"/>
  <c r="H28"/>
  <c r="J28"/>
  <c r="I28"/>
  <c r="H15"/>
  <c r="J15"/>
  <c r="I15"/>
  <c r="U15" s="1"/>
  <c r="H17"/>
  <c r="H21"/>
  <c r="H25"/>
  <c r="H35"/>
  <c r="J35"/>
  <c r="I35"/>
  <c r="U35" s="1"/>
  <c r="K35"/>
  <c r="H37"/>
  <c r="J37"/>
  <c r="K37"/>
  <c r="I37"/>
  <c r="H43"/>
  <c r="H45"/>
  <c r="H47"/>
  <c r="J47"/>
  <c r="I47"/>
  <c r="U47" s="1"/>
  <c r="H49"/>
  <c r="H64"/>
  <c r="H66"/>
  <c r="H68"/>
  <c r="H77"/>
  <c r="I77"/>
  <c r="U77" s="1"/>
  <c r="J77"/>
  <c r="K34"/>
  <c r="J34"/>
  <c r="I34"/>
  <c r="U34" s="1"/>
  <c r="H14"/>
  <c r="H18"/>
  <c r="H26"/>
  <c r="H30"/>
  <c r="J30"/>
  <c r="I30"/>
  <c r="U30" s="1"/>
  <c r="H36"/>
  <c r="K36"/>
  <c r="J36"/>
  <c r="I36"/>
  <c r="U36" s="1"/>
  <c r="H42"/>
  <c r="H44"/>
  <c r="H46"/>
  <c r="H48"/>
  <c r="H54"/>
  <c r="I54"/>
  <c r="U54" s="1"/>
  <c r="J54"/>
  <c r="H63"/>
  <c r="H65"/>
  <c r="H67"/>
  <c r="H117"/>
  <c r="C124"/>
  <c r="F13"/>
  <c r="T13" s="1"/>
  <c r="H78"/>
  <c r="F79"/>
  <c r="T79" s="1"/>
  <c r="H19"/>
  <c r="H40"/>
  <c r="U37" l="1"/>
  <c r="U28"/>
  <c r="U12"/>
  <c r="U25"/>
  <c r="U24"/>
  <c r="U49"/>
  <c r="H75"/>
  <c r="H31"/>
  <c r="R79"/>
  <c r="P79"/>
  <c r="N79"/>
  <c r="S79"/>
  <c r="Q79"/>
  <c r="O79"/>
  <c r="N13"/>
  <c r="R13"/>
  <c r="R118" s="1"/>
  <c r="P13"/>
  <c r="Q13"/>
  <c r="Q118" s="1"/>
  <c r="S13"/>
  <c r="O13"/>
  <c r="O118" s="1"/>
  <c r="M79"/>
  <c r="L79"/>
  <c r="K79"/>
  <c r="M13"/>
  <c r="M118" s="1"/>
  <c r="L13"/>
  <c r="H52"/>
  <c r="J79"/>
  <c r="I79"/>
  <c r="U79" s="1"/>
  <c r="T118"/>
  <c r="S118"/>
  <c r="K13"/>
  <c r="K118" s="1"/>
  <c r="P118"/>
  <c r="N118"/>
  <c r="L118"/>
  <c r="J13"/>
  <c r="J118" s="1"/>
  <c r="I13"/>
  <c r="U13" s="1"/>
  <c r="U78"/>
  <c r="U75"/>
  <c r="H79"/>
  <c r="H80" s="1"/>
  <c r="H13"/>
  <c r="H22" s="1"/>
  <c r="U52" l="1"/>
  <c r="U31"/>
  <c r="U40"/>
  <c r="U22"/>
  <c r="U80"/>
  <c r="I118"/>
  <c r="H81"/>
  <c r="H84" s="1"/>
  <c r="G118" s="1"/>
  <c r="H118" s="1"/>
  <c r="U81" l="1"/>
  <c r="U118" s="1"/>
  <c r="C123" s="1"/>
  <c r="C127" l="1"/>
</calcChain>
</file>

<file path=xl/sharedStrings.xml><?xml version="1.0" encoding="utf-8"?>
<sst xmlns="http://schemas.openxmlformats.org/spreadsheetml/2006/main" count="347" uniqueCount="251">
  <si>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</si>
  <si>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</si>
  <si>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</si>
  <si>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</si>
  <si>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</si>
  <si>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</si>
  <si>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</si>
  <si>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</si>
  <si>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</si>
  <si>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</si>
  <si>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</si>
  <si>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</si>
  <si>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</si>
  <si>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</si>
  <si>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</si>
  <si>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</si>
  <si>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</si>
  <si>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</si>
  <si>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</si>
  <si>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</si>
  <si>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</si>
  <si>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</si>
  <si>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</si>
  <si>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</si>
  <si>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</si>
  <si>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</si>
  <si>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</si>
  <si>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</si>
  <si>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</si>
  <si>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1000м2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</si>
  <si>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</si>
  <si>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</si>
  <si>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</si>
  <si>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</si>
  <si>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</si>
  <si>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</si>
  <si>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</si>
  <si>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</si>
  <si>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</si>
  <si>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</si>
  <si>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</si>
  <si>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</si>
  <si>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</si>
  <si>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</si>
  <si>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</si>
  <si>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</si>
  <si>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 xml:space="preserve">Сдвигание снега в дни снегопада </t>
  </si>
  <si>
    <t>1000 м2</t>
  </si>
  <si>
    <t>155 раз за сезон</t>
  </si>
  <si>
    <t>70 раз за сезон</t>
  </si>
  <si>
    <t>45 раз за сезон</t>
  </si>
  <si>
    <t>Очистка отмостки от снега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</si>
  <si>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</si>
  <si>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</si>
  <si>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</si>
  <si>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</si>
  <si>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</si>
  <si>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деревянных конструкций стропил</t>
  </si>
  <si>
    <t>100 м3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</si>
  <si>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</si>
  <si>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</si>
  <si>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</si>
  <si>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</si>
  <si>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</si>
  <si>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</si>
  <si>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</si>
  <si>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</si>
  <si>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</si>
  <si>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</si>
  <si>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</si>
  <si>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</si>
  <si>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</si>
  <si>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</si>
  <si>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12 раз в год</t>
  </si>
  <si>
    <t>Лестничная клетка</t>
  </si>
  <si>
    <t xml:space="preserve"> - установка пружин на входных дверях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</si>
  <si>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</si>
  <si>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</si>
  <si>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</si>
  <si>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</si>
  <si>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</si>
  <si>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</si>
  <si>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</si>
  <si>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</si>
  <si>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</si>
  <si>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</si>
  <si>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</si>
  <si>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</si>
  <si>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</si>
  <si>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</si>
  <si>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</si>
  <si>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</si>
  <si>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</si>
  <si>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</si>
  <si>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</si>
  <si>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</si>
  <si>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</si>
  <si>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</si>
  <si>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</si>
  <si>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</si>
  <si>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</si>
  <si>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</si>
  <si>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</si>
  <si>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</si>
  <si>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</si>
  <si>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</si>
  <si>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>2 раза в неделю 156 раз в год</t>
  </si>
  <si>
    <t xml:space="preserve">1 раз в год     </t>
  </si>
  <si>
    <t>1 раз в месяц</t>
  </si>
  <si>
    <t xml:space="preserve">1 раз в год    </t>
  </si>
  <si>
    <t>Влажная протирка шкафов для щитов и слаботочных устройств</t>
  </si>
  <si>
    <t>1 раз в неделю 52 раза в сезон</t>
  </si>
  <si>
    <t>2 раза в неделю 78 раз за сезон</t>
  </si>
  <si>
    <t>Очистка от мусора</t>
  </si>
  <si>
    <t>Дератизация</t>
  </si>
  <si>
    <t>Вода для промывки СО</t>
  </si>
  <si>
    <t>Сброс воды после промывки СО в канализацию</t>
  </si>
  <si>
    <t>30 раз за сезон</t>
  </si>
  <si>
    <t>Генеральный директор ООО "Жилсервис"_______Ю.Л.Куканов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</si>
  <si>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</si>
  <si>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</si>
  <si>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</si>
  <si>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</si>
  <si>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</si>
  <si>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</si>
  <si>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</si>
  <si>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</si>
  <si>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</si>
  <si>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</si>
  <si>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</si>
  <si>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</si>
  <si>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Снятие показаний эл.счетчика коммунального назначения</t>
  </si>
  <si>
    <t>3 раза в год</t>
  </si>
  <si>
    <t>С учетом показателя инфляции ( К=1,064)</t>
  </si>
  <si>
    <t>Ремонт групповых щитков на лестничной клетке без ремонта автоматов</t>
  </si>
  <si>
    <t>калькуляция</t>
  </si>
  <si>
    <t>Работа автовышки</t>
  </si>
  <si>
    <t>маш/час</t>
  </si>
  <si>
    <t>Смена арматуры - вентилей и клапанов обратных муфтовых диаметром до 20 мм</t>
  </si>
  <si>
    <t>1 шт</t>
  </si>
  <si>
    <t>место</t>
  </si>
  <si>
    <t>5 этажей, 3 подъезда</t>
  </si>
  <si>
    <t>Стоимость (руб.)</t>
  </si>
  <si>
    <t>договор</t>
  </si>
  <si>
    <t>ТО внутридомового газ.оборудования</t>
  </si>
  <si>
    <t>Подключение и отключение сварочного аппарата</t>
  </si>
  <si>
    <t>Ремонт отдельных мест покрытия из асбоцементных листов обыкновенного профиля</t>
  </si>
  <si>
    <t>10 м2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</si>
  <si>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Мира, 5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</si>
  <si>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С учетом показателя инфляции (К=1,094)</t>
  </si>
  <si>
    <t>Баланс выполненных работ на 01.01.2016 г. ( -долг за предприятием, +долг за населением)</t>
  </si>
  <si>
    <t>Начислено за содержание и текущий ремонт за 2016 г.</t>
  </si>
  <si>
    <t>Выполнено работ по содержанию за 2016 г.</t>
  </si>
  <si>
    <t>Выполнено работ по текущему ремонту за 2016 г.</t>
  </si>
  <si>
    <t>Фактически оплачено за 2016 г.</t>
  </si>
  <si>
    <t>100 шт</t>
  </si>
  <si>
    <t>Заделка выбоин площадью до 0,5 м2</t>
  </si>
  <si>
    <t>Осмотр шиферной кровли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</si>
  <si>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</si>
  <si>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</si>
  <si>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</si>
  <si>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</si>
  <si>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</si>
  <si>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</si>
  <si>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</si>
  <si>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</si>
  <si>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100шт</t>
  </si>
  <si>
    <t>Внеплановый осмотр вводных электрических щитков</t>
  </si>
  <si>
    <t>Устройство хомута диаметром до 50 мм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</si>
  <si>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</si>
  <si>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</si>
  <si>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</si>
  <si>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</si>
  <si>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</si>
  <si>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</si>
  <si>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</si>
  <si>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</si>
  <si>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</si>
  <si>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</si>
  <si>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</si>
  <si>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</si>
  <si>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</si>
  <si>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</si>
  <si>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</si>
  <si>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</si>
  <si>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</si>
  <si>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</si>
  <si>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</si>
  <si>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</si>
  <si>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</si>
  <si>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</si>
  <si>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</si>
  <si>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</si>
  <si>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</si>
  <si>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</si>
  <si>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</si>
  <si>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</si>
  <si>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</si>
  <si>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ТЕР 54-041 и 42</t>
  </si>
  <si>
    <t>ТЕР 51-034</t>
  </si>
  <si>
    <t>ТЕР 15-018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</si>
  <si>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</si>
  <si>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</si>
  <si>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</si>
  <si>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</si>
  <si>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</si>
  <si>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</si>
  <si>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</si>
  <si>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</si>
  <si>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пр.ТЕР 32-098</t>
  </si>
  <si>
    <t>ТЕР 33-037</t>
  </si>
  <si>
    <t>пр.ТЕР 57-10-2</t>
  </si>
  <si>
    <t>ТЕР 17-006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</si>
  <si>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</si>
  <si>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</si>
  <si>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2-2-1-2-7</t>
  </si>
  <si>
    <t>заглушка</t>
  </si>
  <si>
    <t>ТЕР 31-012</t>
  </si>
  <si>
    <t>Установка заглушек диаметром трубопроводов до 100 мм (без стоимости материалов)</t>
  </si>
  <si>
    <t>Демонтаж радиаторов весом до 80 кг</t>
  </si>
  <si>
    <t>ТЕР 31-022</t>
  </si>
  <si>
    <t>ТЕР 33-030</t>
  </si>
  <si>
    <t>Внеплановый осмотр электросетей, арматуры и электрооборудования на лестничных клетках</t>
  </si>
  <si>
    <t>ТЕР 2-1-1б</t>
  </si>
  <si>
    <t>ТЕР 33-060</t>
  </si>
  <si>
    <t>ТЕР 32-027</t>
  </si>
  <si>
    <t xml:space="preserve">Смена сгонов у трубопроводов диаметром до 20 мм </t>
  </si>
  <si>
    <t>ТЕР 31-009</t>
  </si>
  <si>
    <t xml:space="preserve">Смена сосков у трубопроводов диаметром до 20 мм </t>
  </si>
  <si>
    <t>Смена розеток</t>
  </si>
  <si>
    <t>ТЕР 33-026</t>
  </si>
  <si>
    <t>Внеплановая проверка вентканалов</t>
  </si>
  <si>
    <t>смета</t>
  </si>
  <si>
    <t>Смена трубопроводов на полипропиленовые трубы PN25 диаметром 20мм</t>
  </si>
  <si>
    <t>1 м</t>
  </si>
  <si>
    <t>Смена трубопроводов на полипропиленовые трубы PN25 диаметром 25мм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</si>
  <si>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</si>
  <si>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</si>
  <si>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ТЕР 33-043</t>
  </si>
  <si>
    <t>Смена плавкой вставки в электрощитке</t>
  </si>
  <si>
    <t>пр.ТЕР 32-082</t>
  </si>
  <si>
    <r>
      <t>Смена полиэтиленовых канализационных труб ПП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>-50 2м</t>
    </r>
  </si>
  <si>
    <r>
      <t>Смена полиэтиленовых канализационных труб ПП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>-50 1м</t>
    </r>
  </si>
  <si>
    <t>счёт</t>
  </si>
  <si>
    <r>
      <t>Отвод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45°</t>
    </r>
  </si>
  <si>
    <r>
      <t>Отвод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90°</t>
    </r>
  </si>
  <si>
    <r>
      <t xml:space="preserve">Манжета </t>
    </r>
    <r>
      <rPr>
        <sz val="10"/>
        <rFont val="Arial"/>
        <family val="2"/>
        <charset val="204"/>
      </rPr>
      <t>50</t>
    </r>
  </si>
  <si>
    <t>Тройник Ду-50*90°</t>
  </si>
  <si>
    <t>Компенсатор Ду-50</t>
  </si>
  <si>
    <t xml:space="preserve">Переход чугун-пластик Ду 50 </t>
  </si>
  <si>
    <t>Заглушка 50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</si>
</sst>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3"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0"/>
      <name val="Cambria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8"/>
      <name val="Arial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Alignment="1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2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4" fontId="2" fillId="8" borderId="8" xfId="0" applyNumberFormat="1" applyFont="1" applyFill="1" applyBorder="1" applyAlignment="1">
      <alignment vertical="center"/>
    </xf>
    <xf numFmtId="0" fontId="2" fillId="8" borderId="3" xfId="0" applyFont="1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11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" fontId="4" fillId="10" borderId="2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9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4" fontId="2" fillId="7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10" borderId="8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4" fontId="2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horizontal="center" vertical="center"/>
    </xf>
    <xf numFmtId="4" fontId="16" fillId="4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16" fillId="2" borderId="9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4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4" fontId="4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2" fillId="12" borderId="3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4" fillId="10" borderId="3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8" borderId="3" xfId="0" applyNumberFormat="1" applyFont="1" applyFill="1" applyBorder="1" applyAlignment="1">
      <alignment horizontal="center" vertical="center"/>
    </xf>
    <xf numFmtId="4" fontId="4" fillId="8" borderId="3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 wrapText="1"/>
    </xf>
    <xf numFmtId="4" fontId="0" fillId="8" borderId="3" xfId="0" applyNumberForma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vertical="center" wrapText="1"/>
    </xf>
    <xf numFmtId="0" fontId="8" fillId="12" borderId="0" xfId="0" applyNumberFormat="1" applyFont="1" applyFill="1" applyBorder="1" applyAlignment="1" applyProtection="1">
      <alignment horizontal="center" vertical="center" wrapText="1"/>
    </xf>
    <xf numFmtId="4" fontId="2" fillId="4" borderId="3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4" fontId="2" fillId="0" borderId="3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0" fontId="0" fillId="0" borderId="0" xfId="0" applyFill="1"/>
    <xf numFmtId="4" fontId="2" fillId="0" borderId="8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4" fontId="2" fillId="2" borderId="21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left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31"/>
  <sheetViews>
    <sheetView tabSelected="1" view="pageBreakPreview" zoomScaleNormal="75" zoomScaleSheetLayoutView="100" workbookViewId="0">
      <pane ySplit="7" topLeftCell="A104" activePane="bottomLeft" state="frozen"/>
      <selection activeCell="B1" sqref="B1"/>
      <selection pane="bottomLeft" activeCell="U116" sqref="U116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/>
    <row r="3" spans="1:21" ht="18">
      <c r="A3" s="1"/>
      <c r="B3" s="162" t="s">
        <v>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21" ht="36" customHeight="1">
      <c r="B4" s="163" t="s">
        <v>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21" ht="18">
      <c r="B5" s="163" t="s">
        <v>148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30"/>
    </row>
    <row r="6" spans="1:21" ht="15">
      <c r="B6" s="164" t="s">
        <v>141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1:21" ht="54.75" customHeight="1">
      <c r="A7" s="142" t="s">
        <v>2</v>
      </c>
      <c r="B7" s="143" t="s">
        <v>3</v>
      </c>
      <c r="C7" s="143" t="s">
        <v>4</v>
      </c>
      <c r="D7" s="143" t="s">
        <v>5</v>
      </c>
      <c r="E7" s="143" t="s">
        <v>6</v>
      </c>
      <c r="F7" s="143" t="s">
        <v>7</v>
      </c>
      <c r="G7" s="143" t="s">
        <v>8</v>
      </c>
      <c r="H7" s="144" t="s">
        <v>9</v>
      </c>
      <c r="I7" s="26" t="s">
        <v>119</v>
      </c>
      <c r="J7" s="26" t="s">
        <v>120</v>
      </c>
      <c r="K7" s="26" t="s">
        <v>121</v>
      </c>
      <c r="L7" s="26" t="s">
        <v>122</v>
      </c>
      <c r="M7" s="26" t="s">
        <v>123</v>
      </c>
      <c r="N7" s="26" t="s">
        <v>124</v>
      </c>
      <c r="O7" s="26" t="s">
        <v>125</v>
      </c>
      <c r="P7" s="26" t="s">
        <v>126</v>
      </c>
      <c r="Q7" s="26" t="s">
        <v>127</v>
      </c>
      <c r="R7" s="26" t="s">
        <v>128</v>
      </c>
      <c r="S7" s="26" t="s">
        <v>129</v>
      </c>
      <c r="T7" s="26" t="s">
        <v>130</v>
      </c>
      <c r="U7" s="26" t="s">
        <v>142</v>
      </c>
    </row>
    <row r="8" spans="1:21">
      <c r="A8" s="145">
        <v>1</v>
      </c>
      <c r="B8" s="9">
        <v>2</v>
      </c>
      <c r="C8" s="27">
        <v>3</v>
      </c>
      <c r="D8" s="9">
        <v>4</v>
      </c>
      <c r="E8" s="9">
        <v>5</v>
      </c>
      <c r="F8" s="27">
        <v>6</v>
      </c>
      <c r="G8" s="27">
        <v>7</v>
      </c>
      <c r="H8" s="28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</row>
    <row r="9" spans="1:21" ht="38.25">
      <c r="A9" s="145"/>
      <c r="B9" s="11" t="s">
        <v>10</v>
      </c>
      <c r="C9" s="27"/>
      <c r="D9" s="12"/>
      <c r="E9" s="12"/>
      <c r="F9" s="27"/>
      <c r="G9" s="27"/>
      <c r="H9" s="30"/>
      <c r="I9" s="31"/>
      <c r="J9" s="31"/>
      <c r="K9" s="31"/>
      <c r="L9" s="31"/>
      <c r="M9" s="32"/>
      <c r="N9" s="33"/>
      <c r="O9" s="33"/>
      <c r="P9" s="33"/>
      <c r="Q9" s="33"/>
      <c r="R9" s="33"/>
      <c r="S9" s="33"/>
      <c r="T9" s="33"/>
      <c r="U9" s="33"/>
    </row>
    <row r="10" spans="1:21">
      <c r="A10" s="145"/>
      <c r="B10" s="11" t="s">
        <v>11</v>
      </c>
      <c r="C10" s="27"/>
      <c r="D10" s="12"/>
      <c r="E10" s="12"/>
      <c r="F10" s="27"/>
      <c r="G10" s="27"/>
      <c r="H10" s="30"/>
      <c r="I10" s="31"/>
      <c r="J10" s="31"/>
      <c r="K10" s="31"/>
      <c r="L10" s="31"/>
      <c r="M10" s="32"/>
      <c r="N10" s="33"/>
      <c r="O10" s="33"/>
      <c r="P10" s="33"/>
      <c r="Q10" s="33"/>
      <c r="R10" s="33"/>
      <c r="S10" s="33"/>
      <c r="T10" s="33"/>
      <c r="U10" s="33"/>
    </row>
    <row r="11" spans="1:21" ht="25.5">
      <c r="A11" s="145" t="s">
        <v>169</v>
      </c>
      <c r="B11" s="12" t="s">
        <v>12</v>
      </c>
      <c r="C11" s="27" t="s">
        <v>13</v>
      </c>
      <c r="D11" s="12" t="s">
        <v>106</v>
      </c>
      <c r="E11" s="34">
        <v>47.52</v>
      </c>
      <c r="F11" s="35">
        <f>SUM(E11*156/100)</f>
        <v>74.131200000000007</v>
      </c>
      <c r="G11" s="35">
        <v>175.38</v>
      </c>
      <c r="H11" s="36">
        <f t="shared" ref="H11:H21" si="0">SUM(F11*G11/1000)</f>
        <v>13.001129856000002</v>
      </c>
      <c r="I11" s="37">
        <f>F11/12*G11</f>
        <v>1083.427488</v>
      </c>
      <c r="J11" s="37">
        <f>F11/12*G11</f>
        <v>1083.427488</v>
      </c>
      <c r="K11" s="37">
        <f>F11/12*G11</f>
        <v>1083.427488</v>
      </c>
      <c r="L11" s="37">
        <f>F11/12*G11</f>
        <v>1083.427488</v>
      </c>
      <c r="M11" s="37">
        <f>F11/12*G11</f>
        <v>1083.427488</v>
      </c>
      <c r="N11" s="37">
        <f>F11/12*G11</f>
        <v>1083.427488</v>
      </c>
      <c r="O11" s="37">
        <f>F11/12*G11</f>
        <v>1083.427488</v>
      </c>
      <c r="P11" s="37">
        <f>F11/12*G11</f>
        <v>1083.427488</v>
      </c>
      <c r="Q11" s="37">
        <f>F11/12*G11</f>
        <v>1083.427488</v>
      </c>
      <c r="R11" s="37">
        <f>F11/12*G11</f>
        <v>1083.427488</v>
      </c>
      <c r="S11" s="37">
        <f>F11/12*G11</f>
        <v>1083.427488</v>
      </c>
      <c r="T11" s="37">
        <f>F11/12*G11</f>
        <v>1083.427488</v>
      </c>
      <c r="U11" s="37">
        <f>SUM(I11:T11)</f>
        <v>13001.129855999998</v>
      </c>
    </row>
    <row r="12" spans="1:21" ht="25.5">
      <c r="A12" s="145" t="s">
        <v>169</v>
      </c>
      <c r="B12" s="12" t="s">
        <v>14</v>
      </c>
      <c r="C12" s="27" t="s">
        <v>13</v>
      </c>
      <c r="D12" s="12" t="s">
        <v>15</v>
      </c>
      <c r="E12" s="34">
        <v>190.08</v>
      </c>
      <c r="F12" s="35">
        <f>SUM(E12*104/100)</f>
        <v>197.6832</v>
      </c>
      <c r="G12" s="35">
        <v>175.38</v>
      </c>
      <c r="H12" s="36">
        <f t="shared" si="0"/>
        <v>34.669679616000003</v>
      </c>
      <c r="I12" s="37">
        <f>F12/12*G12</f>
        <v>2889.139968</v>
      </c>
      <c r="J12" s="37">
        <f>F12/12*G12</f>
        <v>2889.139968</v>
      </c>
      <c r="K12" s="37">
        <f>F12/12*G12</f>
        <v>2889.139968</v>
      </c>
      <c r="L12" s="37">
        <f t="shared" ref="L12:L13" si="1">F12/12*G12</f>
        <v>2889.139968</v>
      </c>
      <c r="M12" s="37">
        <f t="shared" ref="M12:M13" si="2">F12/12*G12</f>
        <v>2889.139968</v>
      </c>
      <c r="N12" s="37">
        <f t="shared" ref="N12:N16" si="3">F12/12*G12</f>
        <v>2889.139968</v>
      </c>
      <c r="O12" s="37">
        <f t="shared" ref="O12:O16" si="4">F12/12*G12</f>
        <v>2889.139968</v>
      </c>
      <c r="P12" s="37">
        <f t="shared" ref="P12:P16" si="5">F12/12*G12</f>
        <v>2889.139968</v>
      </c>
      <c r="Q12" s="37">
        <f t="shared" ref="Q12:Q16" si="6">F12/12*G12</f>
        <v>2889.139968</v>
      </c>
      <c r="R12" s="37">
        <f t="shared" ref="R12:R16" si="7">F12/12*G12</f>
        <v>2889.139968</v>
      </c>
      <c r="S12" s="37">
        <f t="shared" ref="S12:S16" si="8">F12/12*G12</f>
        <v>2889.139968</v>
      </c>
      <c r="T12" s="37">
        <f t="shared" ref="T12:T16" si="9">F12/12*G12</f>
        <v>2889.139968</v>
      </c>
      <c r="U12" s="37">
        <f t="shared" ref="U12:U21" si="10">SUM(I12:T12)</f>
        <v>34669.679616000001</v>
      </c>
    </row>
    <row r="13" spans="1:21" ht="25.5">
      <c r="A13" s="145" t="s">
        <v>170</v>
      </c>
      <c r="B13" s="12" t="s">
        <v>16</v>
      </c>
      <c r="C13" s="27" t="s">
        <v>13</v>
      </c>
      <c r="D13" s="12" t="s">
        <v>17</v>
      </c>
      <c r="E13" s="34">
        <f>SUM(E11+E12)</f>
        <v>237.60000000000002</v>
      </c>
      <c r="F13" s="35">
        <f>SUM(E13*24/100)</f>
        <v>57.024000000000008</v>
      </c>
      <c r="G13" s="35">
        <v>504.5</v>
      </c>
      <c r="H13" s="36">
        <f t="shared" si="0"/>
        <v>28.768608000000004</v>
      </c>
      <c r="I13" s="37">
        <f>F13/12*G13</f>
        <v>2397.3840000000005</v>
      </c>
      <c r="J13" s="37">
        <f>F13/12*G13</f>
        <v>2397.3840000000005</v>
      </c>
      <c r="K13" s="37">
        <f>F13/12*G13</f>
        <v>2397.3840000000005</v>
      </c>
      <c r="L13" s="37">
        <f t="shared" si="1"/>
        <v>2397.3840000000005</v>
      </c>
      <c r="M13" s="37">
        <f t="shared" si="2"/>
        <v>2397.3840000000005</v>
      </c>
      <c r="N13" s="37">
        <f t="shared" si="3"/>
        <v>2397.3840000000005</v>
      </c>
      <c r="O13" s="37">
        <f t="shared" si="4"/>
        <v>2397.3840000000005</v>
      </c>
      <c r="P13" s="37">
        <f t="shared" si="5"/>
        <v>2397.3840000000005</v>
      </c>
      <c r="Q13" s="37">
        <f t="shared" si="6"/>
        <v>2397.3840000000005</v>
      </c>
      <c r="R13" s="37">
        <f t="shared" si="7"/>
        <v>2397.3840000000005</v>
      </c>
      <c r="S13" s="37">
        <f t="shared" si="8"/>
        <v>2397.3840000000005</v>
      </c>
      <c r="T13" s="37">
        <f t="shared" si="9"/>
        <v>2397.3840000000005</v>
      </c>
      <c r="U13" s="37">
        <f t="shared" si="10"/>
        <v>28768.608000000011</v>
      </c>
    </row>
    <row r="14" spans="1:21">
      <c r="A14" s="145" t="s">
        <v>171</v>
      </c>
      <c r="B14" s="12" t="s">
        <v>18</v>
      </c>
      <c r="C14" s="27" t="s">
        <v>19</v>
      </c>
      <c r="D14" s="12" t="s">
        <v>107</v>
      </c>
      <c r="E14" s="34">
        <v>18.48</v>
      </c>
      <c r="F14" s="35">
        <f>SUM(E14/10)</f>
        <v>1.8480000000000001</v>
      </c>
      <c r="G14" s="35">
        <v>170.16</v>
      </c>
      <c r="H14" s="36">
        <f t="shared" si="0"/>
        <v>0.31445568000000002</v>
      </c>
      <c r="I14" s="37">
        <v>0</v>
      </c>
      <c r="J14" s="37">
        <v>0</v>
      </c>
      <c r="K14" s="37">
        <v>0</v>
      </c>
      <c r="L14" s="37">
        <v>0</v>
      </c>
      <c r="M14" s="37">
        <f>G14/2*F14</f>
        <v>157.22784000000001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f t="shared" si="10"/>
        <v>157.22784000000001</v>
      </c>
    </row>
    <row r="15" spans="1:21">
      <c r="A15" s="145" t="s">
        <v>172</v>
      </c>
      <c r="B15" s="12" t="s">
        <v>20</v>
      </c>
      <c r="C15" s="27" t="s">
        <v>13</v>
      </c>
      <c r="D15" s="12" t="s">
        <v>108</v>
      </c>
      <c r="E15" s="34">
        <v>10.5</v>
      </c>
      <c r="F15" s="35">
        <f>SUM(E15*12/100)</f>
        <v>1.26</v>
      </c>
      <c r="G15" s="35">
        <v>217.88</v>
      </c>
      <c r="H15" s="36">
        <f t="shared" si="0"/>
        <v>0.27452880000000002</v>
      </c>
      <c r="I15" s="37">
        <f>F15/12*G15</f>
        <v>22.877399999999998</v>
      </c>
      <c r="J15" s="37">
        <f>F15/12*G15</f>
        <v>22.877399999999998</v>
      </c>
      <c r="K15" s="37">
        <f>F15/12*G15</f>
        <v>22.877399999999998</v>
      </c>
      <c r="L15" s="37">
        <f>F15/12*G15</f>
        <v>22.877399999999998</v>
      </c>
      <c r="M15" s="37">
        <f>F15/12*G15</f>
        <v>22.877399999999998</v>
      </c>
      <c r="N15" s="37">
        <f t="shared" si="3"/>
        <v>22.877399999999998</v>
      </c>
      <c r="O15" s="37">
        <f t="shared" si="4"/>
        <v>22.877399999999998</v>
      </c>
      <c r="P15" s="37">
        <f t="shared" si="5"/>
        <v>22.877399999999998</v>
      </c>
      <c r="Q15" s="37">
        <f t="shared" si="6"/>
        <v>22.877399999999998</v>
      </c>
      <c r="R15" s="37">
        <f t="shared" si="7"/>
        <v>22.877399999999998</v>
      </c>
      <c r="S15" s="37">
        <f t="shared" si="8"/>
        <v>22.877399999999998</v>
      </c>
      <c r="T15" s="37">
        <f t="shared" si="9"/>
        <v>22.877399999999998</v>
      </c>
      <c r="U15" s="37">
        <f t="shared" si="10"/>
        <v>274.52879999999999</v>
      </c>
    </row>
    <row r="16" spans="1:21">
      <c r="A16" s="145" t="s">
        <v>173</v>
      </c>
      <c r="B16" s="12" t="s">
        <v>21</v>
      </c>
      <c r="C16" s="27" t="s">
        <v>13</v>
      </c>
      <c r="D16" s="12" t="s">
        <v>108</v>
      </c>
      <c r="E16" s="34">
        <v>2.7</v>
      </c>
      <c r="F16" s="35">
        <f>SUM(E16*12/100)</f>
        <v>0.32400000000000007</v>
      </c>
      <c r="G16" s="35">
        <v>203.5</v>
      </c>
      <c r="H16" s="36">
        <f t="shared" si="0"/>
        <v>6.5934000000000006E-2</v>
      </c>
      <c r="I16" s="37">
        <f>F16/12*G16</f>
        <v>5.4945000000000013</v>
      </c>
      <c r="J16" s="37">
        <f>F16/12*G16</f>
        <v>5.4945000000000013</v>
      </c>
      <c r="K16" s="37">
        <f>F16/12*G16</f>
        <v>5.4945000000000013</v>
      </c>
      <c r="L16" s="37">
        <f>F16/12*G16</f>
        <v>5.4945000000000013</v>
      </c>
      <c r="M16" s="37">
        <f t="shared" ref="M16" si="11">F16/12*G16</f>
        <v>5.4945000000000013</v>
      </c>
      <c r="N16" s="37">
        <f t="shared" si="3"/>
        <v>5.4945000000000013</v>
      </c>
      <c r="O16" s="37">
        <f t="shared" si="4"/>
        <v>5.4945000000000013</v>
      </c>
      <c r="P16" s="37">
        <f t="shared" si="5"/>
        <v>5.4945000000000013</v>
      </c>
      <c r="Q16" s="37">
        <f t="shared" si="6"/>
        <v>5.4945000000000013</v>
      </c>
      <c r="R16" s="37">
        <f t="shared" si="7"/>
        <v>5.4945000000000013</v>
      </c>
      <c r="S16" s="37">
        <f t="shared" si="8"/>
        <v>5.4945000000000013</v>
      </c>
      <c r="T16" s="37">
        <f t="shared" si="9"/>
        <v>5.4945000000000013</v>
      </c>
      <c r="U16" s="37">
        <f t="shared" si="10"/>
        <v>65.934000000000012</v>
      </c>
    </row>
    <row r="17" spans="1:21">
      <c r="A17" s="145" t="s">
        <v>174</v>
      </c>
      <c r="B17" s="12" t="s">
        <v>22</v>
      </c>
      <c r="C17" s="27" t="s">
        <v>23</v>
      </c>
      <c r="D17" s="12" t="s">
        <v>107</v>
      </c>
      <c r="E17" s="34">
        <v>267.75</v>
      </c>
      <c r="F17" s="35">
        <f>SUM(E17/100)</f>
        <v>2.6775000000000002</v>
      </c>
      <c r="G17" s="35">
        <v>269.26</v>
      </c>
      <c r="H17" s="36">
        <f t="shared" si="0"/>
        <v>0.72094365000000005</v>
      </c>
      <c r="I17" s="37">
        <v>0</v>
      </c>
      <c r="J17" s="37">
        <v>0</v>
      </c>
      <c r="K17" s="37">
        <v>0</v>
      </c>
      <c r="L17" s="37">
        <v>0</v>
      </c>
      <c r="M17" s="37">
        <f>F17*G17</f>
        <v>720.94365000000005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 t="shared" si="10"/>
        <v>720.94365000000005</v>
      </c>
    </row>
    <row r="18" spans="1:21">
      <c r="A18" s="145" t="s">
        <v>175</v>
      </c>
      <c r="B18" s="12" t="s">
        <v>24</v>
      </c>
      <c r="C18" s="27" t="s">
        <v>23</v>
      </c>
      <c r="D18" s="12" t="s">
        <v>107</v>
      </c>
      <c r="E18" s="39">
        <v>21.8</v>
      </c>
      <c r="F18" s="35">
        <f>SUM(E18/100)</f>
        <v>0.218</v>
      </c>
      <c r="G18" s="35">
        <v>44.29</v>
      </c>
      <c r="H18" s="36">
        <f t="shared" si="0"/>
        <v>9.6552199999999991E-3</v>
      </c>
      <c r="I18" s="37">
        <v>0</v>
      </c>
      <c r="J18" s="37">
        <v>0</v>
      </c>
      <c r="K18" s="37">
        <v>0</v>
      </c>
      <c r="L18" s="37">
        <v>0</v>
      </c>
      <c r="M18" s="37">
        <f t="shared" ref="M18:M21" si="12">F18*G18</f>
        <v>9.6552199999999999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f t="shared" si="10"/>
        <v>9.6552199999999999</v>
      </c>
    </row>
    <row r="19" spans="1:21">
      <c r="A19" s="145" t="s">
        <v>176</v>
      </c>
      <c r="B19" s="12" t="s">
        <v>25</v>
      </c>
      <c r="C19" s="27" t="s">
        <v>23</v>
      </c>
      <c r="D19" s="12" t="s">
        <v>109</v>
      </c>
      <c r="E19" s="34">
        <v>15</v>
      </c>
      <c r="F19" s="35">
        <f>E19/100</f>
        <v>0.15</v>
      </c>
      <c r="G19" s="35">
        <v>389.72</v>
      </c>
      <c r="H19" s="36">
        <f t="shared" si="0"/>
        <v>5.8457999999999996E-2</v>
      </c>
      <c r="I19" s="37">
        <v>0</v>
      </c>
      <c r="J19" s="37">
        <v>0</v>
      </c>
      <c r="K19" s="37">
        <v>0</v>
      </c>
      <c r="L19" s="37">
        <v>0</v>
      </c>
      <c r="M19" s="37">
        <f t="shared" si="12"/>
        <v>58.457999999999998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f t="shared" si="10"/>
        <v>58.457999999999998</v>
      </c>
    </row>
    <row r="20" spans="1:21" ht="25.5">
      <c r="A20" s="145" t="s">
        <v>177</v>
      </c>
      <c r="B20" s="12" t="s">
        <v>110</v>
      </c>
      <c r="C20" s="27" t="s">
        <v>13</v>
      </c>
      <c r="D20" s="12" t="s">
        <v>31</v>
      </c>
      <c r="E20" s="34">
        <v>14.25</v>
      </c>
      <c r="F20" s="35">
        <v>0.1</v>
      </c>
      <c r="G20" s="35">
        <v>216.12</v>
      </c>
      <c r="H20" s="36">
        <v>3.1E-2</v>
      </c>
      <c r="I20" s="37">
        <v>0</v>
      </c>
      <c r="J20" s="37">
        <v>0</v>
      </c>
      <c r="K20" s="37">
        <v>0</v>
      </c>
      <c r="L20" s="37">
        <v>0</v>
      </c>
      <c r="M20" s="37">
        <f t="shared" si="12"/>
        <v>21.612000000000002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f t="shared" si="10"/>
        <v>21.612000000000002</v>
      </c>
    </row>
    <row r="21" spans="1:21">
      <c r="A21" s="145" t="s">
        <v>178</v>
      </c>
      <c r="B21" s="12" t="s">
        <v>26</v>
      </c>
      <c r="C21" s="27" t="s">
        <v>23</v>
      </c>
      <c r="D21" s="12" t="s">
        <v>107</v>
      </c>
      <c r="E21" s="34">
        <v>6.38</v>
      </c>
      <c r="F21" s="35">
        <f>SUM(E21/100)</f>
        <v>6.3799999999999996E-2</v>
      </c>
      <c r="G21" s="35">
        <v>520.79999999999995</v>
      </c>
      <c r="H21" s="36">
        <f t="shared" si="0"/>
        <v>3.3227039999999992E-2</v>
      </c>
      <c r="I21" s="37">
        <v>0</v>
      </c>
      <c r="J21" s="37">
        <v>0</v>
      </c>
      <c r="K21" s="37">
        <v>0</v>
      </c>
      <c r="L21" s="37">
        <v>0</v>
      </c>
      <c r="M21" s="37">
        <f t="shared" si="12"/>
        <v>33.227039999999995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f t="shared" si="10"/>
        <v>33.227039999999995</v>
      </c>
    </row>
    <row r="22" spans="1:21" s="21" customFormat="1">
      <c r="A22" s="146"/>
      <c r="B22" s="22" t="s">
        <v>27</v>
      </c>
      <c r="C22" s="40"/>
      <c r="D22" s="22"/>
      <c r="E22" s="41"/>
      <c r="F22" s="42"/>
      <c r="G22" s="42"/>
      <c r="H22" s="43">
        <f>SUM(H11:H21)</f>
        <v>77.947619861999996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>
        <f>SUM(U11:U21)</f>
        <v>77781.004022000008</v>
      </c>
    </row>
    <row r="23" spans="1:21">
      <c r="A23" s="145"/>
      <c r="B23" s="14" t="s">
        <v>28</v>
      </c>
      <c r="C23" s="27"/>
      <c r="D23" s="12"/>
      <c r="E23" s="34"/>
      <c r="F23" s="35"/>
      <c r="G23" s="35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1" ht="25.5" customHeight="1">
      <c r="A24" s="145" t="s">
        <v>179</v>
      </c>
      <c r="B24" s="12" t="s">
        <v>158</v>
      </c>
      <c r="C24" s="27" t="s">
        <v>29</v>
      </c>
      <c r="D24" s="12" t="s">
        <v>111</v>
      </c>
      <c r="E24" s="35">
        <v>1167.4000000000001</v>
      </c>
      <c r="F24" s="35">
        <f>SUM(E24*52/1000)</f>
        <v>60.704800000000006</v>
      </c>
      <c r="G24" s="35">
        <v>155.88999999999999</v>
      </c>
      <c r="H24" s="36">
        <f t="shared" ref="H24:H30" si="13">SUM(F24*G24/1000)</f>
        <v>9.4632712720000001</v>
      </c>
      <c r="I24" s="37">
        <v>0</v>
      </c>
      <c r="J24" s="37">
        <v>0</v>
      </c>
      <c r="K24" s="37">
        <v>0</v>
      </c>
      <c r="L24" s="37">
        <v>0</v>
      </c>
      <c r="M24" s="37">
        <f>F24/6*G24</f>
        <v>1577.2118786666665</v>
      </c>
      <c r="N24" s="37">
        <f>F24/6*G24</f>
        <v>1577.2118786666665</v>
      </c>
      <c r="O24" s="37">
        <f>F24/6*G24</f>
        <v>1577.2118786666665</v>
      </c>
      <c r="P24" s="37">
        <f>F24/6*G24</f>
        <v>1577.2118786666665</v>
      </c>
      <c r="Q24" s="37">
        <f>F24/6*G24</f>
        <v>1577.2118786666665</v>
      </c>
      <c r="R24" s="37">
        <f>F24/6*G24</f>
        <v>1577.2118786666665</v>
      </c>
      <c r="S24" s="37">
        <v>0</v>
      </c>
      <c r="T24" s="37">
        <v>0</v>
      </c>
      <c r="U24" s="37">
        <f>SUM(I24:T24)</f>
        <v>9463.271272</v>
      </c>
    </row>
    <row r="25" spans="1:21" ht="38.25" customHeight="1">
      <c r="A25" s="145" t="s">
        <v>180</v>
      </c>
      <c r="B25" s="12" t="s">
        <v>159</v>
      </c>
      <c r="C25" s="27" t="s">
        <v>29</v>
      </c>
      <c r="D25" s="12" t="s">
        <v>112</v>
      </c>
      <c r="E25" s="35">
        <v>540.04999999999995</v>
      </c>
      <c r="F25" s="35">
        <f>SUM(E25*78/1000)</f>
        <v>42.123899999999992</v>
      </c>
      <c r="G25" s="35">
        <v>258.63</v>
      </c>
      <c r="H25" s="36">
        <f t="shared" si="13"/>
        <v>10.894504256999998</v>
      </c>
      <c r="I25" s="37">
        <v>0</v>
      </c>
      <c r="J25" s="37">
        <v>0</v>
      </c>
      <c r="K25" s="37">
        <v>0</v>
      </c>
      <c r="L25" s="37">
        <v>0</v>
      </c>
      <c r="M25" s="37">
        <f>F25/6*G25</f>
        <v>1815.7507094999996</v>
      </c>
      <c r="N25" s="37">
        <f>F25/6*G25</f>
        <v>1815.7507094999996</v>
      </c>
      <c r="O25" s="37">
        <f>F25/6*G25</f>
        <v>1815.7507094999996</v>
      </c>
      <c r="P25" s="37">
        <f>F25/6*G25</f>
        <v>1815.7507094999996</v>
      </c>
      <c r="Q25" s="37">
        <f>F25/6*G25</f>
        <v>1815.7507094999996</v>
      </c>
      <c r="R25" s="37">
        <f>F25/6*G25</f>
        <v>1815.7507094999996</v>
      </c>
      <c r="S25" s="37">
        <v>0</v>
      </c>
      <c r="T25" s="37">
        <v>0</v>
      </c>
      <c r="U25" s="37">
        <f t="shared" ref="U25:U30" si="14">SUM(I25:T25)</f>
        <v>10894.504256999999</v>
      </c>
    </row>
    <row r="26" spans="1:21">
      <c r="A26" s="145" t="s">
        <v>181</v>
      </c>
      <c r="B26" s="12" t="s">
        <v>30</v>
      </c>
      <c r="C26" s="27" t="s">
        <v>29</v>
      </c>
      <c r="D26" s="12" t="s">
        <v>31</v>
      </c>
      <c r="E26" s="35">
        <v>1167.4000000000001</v>
      </c>
      <c r="F26" s="35">
        <f>SUM(E26/1000)</f>
        <v>1.1674</v>
      </c>
      <c r="G26" s="35">
        <v>3020.33</v>
      </c>
      <c r="H26" s="36">
        <f t="shared" si="13"/>
        <v>3.5259332420000002</v>
      </c>
      <c r="I26" s="37">
        <v>0</v>
      </c>
      <c r="J26" s="37">
        <v>0</v>
      </c>
      <c r="K26" s="37">
        <v>0</v>
      </c>
      <c r="L26" s="37">
        <v>0</v>
      </c>
      <c r="M26" s="37">
        <f>F26*G26</f>
        <v>3525.9332420000001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f t="shared" si="14"/>
        <v>3525.9332420000001</v>
      </c>
    </row>
    <row r="27" spans="1:21">
      <c r="A27" s="145" t="s">
        <v>182</v>
      </c>
      <c r="B27" s="12" t="s">
        <v>32</v>
      </c>
      <c r="C27" s="27" t="s">
        <v>33</v>
      </c>
      <c r="D27" s="12" t="s">
        <v>34</v>
      </c>
      <c r="E27" s="46">
        <v>0.33333333333333331</v>
      </c>
      <c r="F27" s="35">
        <f>155/3</f>
        <v>51.666666666666664</v>
      </c>
      <c r="G27" s="35">
        <v>56.69</v>
      </c>
      <c r="H27" s="36">
        <f>SUM(G27*155/3/1000)</f>
        <v>2.9289833333333331</v>
      </c>
      <c r="I27" s="37">
        <v>0</v>
      </c>
      <c r="J27" s="37">
        <v>0</v>
      </c>
      <c r="K27" s="37">
        <v>0</v>
      </c>
      <c r="L27" s="37">
        <v>0</v>
      </c>
      <c r="M27" s="37">
        <f>F27/6*G27</f>
        <v>488.16388888888883</v>
      </c>
      <c r="N27" s="37">
        <f>F27/6*G27</f>
        <v>488.16388888888883</v>
      </c>
      <c r="O27" s="37">
        <f>F27/6*G27</f>
        <v>488.16388888888883</v>
      </c>
      <c r="P27" s="37">
        <f>F27/6*G27</f>
        <v>488.16388888888883</v>
      </c>
      <c r="Q27" s="37">
        <f>F27/6*G27</f>
        <v>488.16388888888883</v>
      </c>
      <c r="R27" s="37">
        <f>F27/6*G27</f>
        <v>488.16388888888883</v>
      </c>
      <c r="S27" s="37">
        <v>0</v>
      </c>
      <c r="T27" s="37">
        <v>0</v>
      </c>
      <c r="U27" s="37">
        <f t="shared" si="14"/>
        <v>2928.9833333333331</v>
      </c>
    </row>
    <row r="28" spans="1:21" ht="12.75" customHeight="1">
      <c r="A28" s="145" t="s">
        <v>183</v>
      </c>
      <c r="B28" s="12" t="s">
        <v>35</v>
      </c>
      <c r="C28" s="27" t="s">
        <v>36</v>
      </c>
      <c r="D28" s="12" t="s">
        <v>37</v>
      </c>
      <c r="E28" s="47">
        <v>0.1</v>
      </c>
      <c r="F28" s="35">
        <f>SUM(E28*365)</f>
        <v>36.5</v>
      </c>
      <c r="G28" s="35">
        <v>147.03</v>
      </c>
      <c r="H28" s="36">
        <f t="shared" si="13"/>
        <v>5.3665950000000002</v>
      </c>
      <c r="I28" s="37">
        <f>F28/12*G28</f>
        <v>447.21625</v>
      </c>
      <c r="J28" s="37">
        <f>F28/12*G28</f>
        <v>447.21625</v>
      </c>
      <c r="K28" s="37">
        <f>F28/12*G28</f>
        <v>447.21625</v>
      </c>
      <c r="L28" s="37">
        <f>F28/12*G28</f>
        <v>447.21625</v>
      </c>
      <c r="M28" s="37">
        <f>F28/12*G28</f>
        <v>447.21625</v>
      </c>
      <c r="N28" s="37">
        <f>F28/12*G28</f>
        <v>447.21625</v>
      </c>
      <c r="O28" s="37">
        <f>F28/12*G28</f>
        <v>447.21625</v>
      </c>
      <c r="P28" s="37">
        <f>F28/12*G28</f>
        <v>447.21625</v>
      </c>
      <c r="Q28" s="37">
        <f>F28/12*G28</f>
        <v>447.21625</v>
      </c>
      <c r="R28" s="37">
        <f>F28/12*G28</f>
        <v>447.21625</v>
      </c>
      <c r="S28" s="37">
        <f>F28/12*G28</f>
        <v>447.21625</v>
      </c>
      <c r="T28" s="37">
        <f>F28/12*G28</f>
        <v>447.21625</v>
      </c>
      <c r="U28" s="37">
        <f t="shared" si="14"/>
        <v>5366.5950000000012</v>
      </c>
    </row>
    <row r="29" spans="1:21" ht="12.75" customHeight="1">
      <c r="A29" s="145" t="s">
        <v>184</v>
      </c>
      <c r="B29" s="12" t="s">
        <v>160</v>
      </c>
      <c r="C29" s="27" t="s">
        <v>36</v>
      </c>
      <c r="D29" s="12" t="s">
        <v>38</v>
      </c>
      <c r="E29" s="34"/>
      <c r="F29" s="35">
        <v>3</v>
      </c>
      <c r="G29" s="35">
        <v>191.32</v>
      </c>
      <c r="H29" s="36">
        <f t="shared" si="13"/>
        <v>0.57396000000000003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f t="shared" si="14"/>
        <v>0</v>
      </c>
    </row>
    <row r="30" spans="1:21">
      <c r="A30" s="145"/>
      <c r="B30" s="48" t="s">
        <v>40</v>
      </c>
      <c r="C30" s="27" t="s">
        <v>41</v>
      </c>
      <c r="D30" s="48" t="s">
        <v>42</v>
      </c>
      <c r="E30" s="34">
        <v>2581.1999999999998</v>
      </c>
      <c r="F30" s="35">
        <f>SUM(E30*12)</f>
        <v>30974.399999999998</v>
      </c>
      <c r="G30" s="35">
        <v>4.8099999999999996</v>
      </c>
      <c r="H30" s="36">
        <f t="shared" si="13"/>
        <v>148.98686399999997</v>
      </c>
      <c r="I30" s="37">
        <f>F30/12*G30</f>
        <v>12415.571999999998</v>
      </c>
      <c r="J30" s="37">
        <f>F30/12*G30</f>
        <v>12415.571999999998</v>
      </c>
      <c r="K30" s="37">
        <f>F30/12*G30</f>
        <v>12415.571999999998</v>
      </c>
      <c r="L30" s="37">
        <f>F30/12*G30</f>
        <v>12415.571999999998</v>
      </c>
      <c r="M30" s="37">
        <f>F30/12*G30</f>
        <v>12415.571999999998</v>
      </c>
      <c r="N30" s="37">
        <f>F30/12*G30</f>
        <v>12415.571999999998</v>
      </c>
      <c r="O30" s="37">
        <f>F30/12*G30</f>
        <v>12415.571999999998</v>
      </c>
      <c r="P30" s="37">
        <f>F30/12*G30</f>
        <v>12415.571999999998</v>
      </c>
      <c r="Q30" s="37">
        <f>F30/12*G30</f>
        <v>12415.571999999998</v>
      </c>
      <c r="R30" s="37">
        <f>F30/12*G30</f>
        <v>12415.571999999998</v>
      </c>
      <c r="S30" s="37">
        <f>F30/12*G30</f>
        <v>12415.571999999998</v>
      </c>
      <c r="T30" s="37">
        <f>F30/12*G30</f>
        <v>12415.571999999998</v>
      </c>
      <c r="U30" s="37">
        <f t="shared" si="14"/>
        <v>148986.86399999997</v>
      </c>
    </row>
    <row r="31" spans="1:21" s="21" customFormat="1">
      <c r="A31" s="146"/>
      <c r="B31" s="22" t="s">
        <v>27</v>
      </c>
      <c r="C31" s="40"/>
      <c r="D31" s="22"/>
      <c r="E31" s="41"/>
      <c r="F31" s="42"/>
      <c r="G31" s="42"/>
      <c r="H31" s="49">
        <f>SUM(H24:H30)</f>
        <v>181.74011110433329</v>
      </c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>
        <f>SUM(U24:U30)</f>
        <v>181166.15110433332</v>
      </c>
    </row>
    <row r="32" spans="1:21">
      <c r="A32" s="145"/>
      <c r="B32" s="14" t="s">
        <v>43</v>
      </c>
      <c r="C32" s="27"/>
      <c r="D32" s="12"/>
      <c r="E32" s="34"/>
      <c r="F32" s="35"/>
      <c r="G32" s="35"/>
      <c r="H32" s="36" t="s">
        <v>42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ht="12.75" customHeight="1">
      <c r="A33" s="145" t="s">
        <v>135</v>
      </c>
      <c r="B33" s="15" t="s">
        <v>44</v>
      </c>
      <c r="C33" s="27" t="s">
        <v>39</v>
      </c>
      <c r="D33" s="12"/>
      <c r="E33" s="34"/>
      <c r="F33" s="35">
        <v>6</v>
      </c>
      <c r="G33" s="35">
        <v>1527.2</v>
      </c>
      <c r="H33" s="36">
        <f t="shared" ref="H33:H39" si="15">SUM(F33*G33/1000)</f>
        <v>9.1632000000000016</v>
      </c>
      <c r="I33" s="37">
        <f t="shared" ref="I33:I38" si="16">F33/6*G33</f>
        <v>1527.2</v>
      </c>
      <c r="J33" s="37">
        <f t="shared" ref="J33:J38" si="17">F33/6*G33</f>
        <v>1527.2</v>
      </c>
      <c r="K33" s="37">
        <f>F33/6*G33</f>
        <v>1527.2</v>
      </c>
      <c r="L33" s="37">
        <f>F33/6*G33</f>
        <v>1527.2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f>F33/6*G33</f>
        <v>1527.2</v>
      </c>
      <c r="T33" s="37">
        <f>F33/6*G33</f>
        <v>1527.2</v>
      </c>
      <c r="U33" s="37">
        <f>SUM(I33:T33)</f>
        <v>9163.2000000000007</v>
      </c>
    </row>
    <row r="34" spans="1:21" s="2" customFormat="1">
      <c r="A34" s="147" t="s">
        <v>185</v>
      </c>
      <c r="B34" s="15" t="s">
        <v>46</v>
      </c>
      <c r="C34" s="50" t="s">
        <v>47</v>
      </c>
      <c r="D34" s="15" t="s">
        <v>117</v>
      </c>
      <c r="E34" s="51">
        <v>1080.0999999999999</v>
      </c>
      <c r="F34" s="51">
        <f>SUM(E34*30/1000)</f>
        <v>32.402999999999999</v>
      </c>
      <c r="G34" s="51">
        <v>2102.6999999999998</v>
      </c>
      <c r="H34" s="36">
        <f t="shared" si="15"/>
        <v>68.13378809999999</v>
      </c>
      <c r="I34" s="52">
        <f t="shared" si="16"/>
        <v>11355.63135</v>
      </c>
      <c r="J34" s="52">
        <f t="shared" si="17"/>
        <v>11355.63135</v>
      </c>
      <c r="K34" s="52">
        <f t="shared" ref="K34:K38" si="18">F34/6*G34</f>
        <v>11355.63135</v>
      </c>
      <c r="L34" s="37">
        <f t="shared" ref="L34:L38" si="19">F34/6*G34</f>
        <v>11355.63135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f t="shared" ref="S34:S38" si="20">F34/6*G34</f>
        <v>11355.63135</v>
      </c>
      <c r="T34" s="37">
        <f t="shared" ref="T34:T38" si="21">F34/6*G34</f>
        <v>11355.63135</v>
      </c>
      <c r="U34" s="37">
        <f t="shared" ref="U34:U38" si="22">SUM(I34:T34)</f>
        <v>68133.788099999991</v>
      </c>
    </row>
    <row r="35" spans="1:21" ht="24.75" customHeight="1">
      <c r="A35" s="145" t="s">
        <v>186</v>
      </c>
      <c r="B35" s="12" t="s">
        <v>161</v>
      </c>
      <c r="C35" s="27" t="s">
        <v>47</v>
      </c>
      <c r="D35" s="12" t="s">
        <v>48</v>
      </c>
      <c r="E35" s="35">
        <v>45</v>
      </c>
      <c r="F35" s="51">
        <f>SUM(E35*155/1000)</f>
        <v>6.9749999999999996</v>
      </c>
      <c r="G35" s="35">
        <v>350.75</v>
      </c>
      <c r="H35" s="36">
        <f t="shared" si="15"/>
        <v>2.4464812499999997</v>
      </c>
      <c r="I35" s="37">
        <f t="shared" si="16"/>
        <v>407.74687499999993</v>
      </c>
      <c r="J35" s="37">
        <f t="shared" si="17"/>
        <v>407.74687499999993</v>
      </c>
      <c r="K35" s="37">
        <f t="shared" si="18"/>
        <v>407.74687499999993</v>
      </c>
      <c r="L35" s="37">
        <f t="shared" si="19"/>
        <v>407.74687499999993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f t="shared" si="20"/>
        <v>407.74687499999993</v>
      </c>
      <c r="T35" s="37">
        <f t="shared" si="21"/>
        <v>407.74687499999993</v>
      </c>
      <c r="U35" s="37">
        <f t="shared" si="22"/>
        <v>2446.4812499999994</v>
      </c>
    </row>
    <row r="36" spans="1:21" ht="51" customHeight="1">
      <c r="A36" s="145" t="s">
        <v>187</v>
      </c>
      <c r="B36" s="12" t="s">
        <v>162</v>
      </c>
      <c r="C36" s="27" t="s">
        <v>29</v>
      </c>
      <c r="D36" s="12" t="s">
        <v>49</v>
      </c>
      <c r="E36" s="35">
        <v>45</v>
      </c>
      <c r="F36" s="51">
        <f>SUM(E36*70/1000)</f>
        <v>3.15</v>
      </c>
      <c r="G36" s="35">
        <v>5803.28</v>
      </c>
      <c r="H36" s="36">
        <f t="shared" si="15"/>
        <v>18.280331999999998</v>
      </c>
      <c r="I36" s="37">
        <f t="shared" si="16"/>
        <v>3046.7220000000002</v>
      </c>
      <c r="J36" s="37">
        <f t="shared" si="17"/>
        <v>3046.7220000000002</v>
      </c>
      <c r="K36" s="37">
        <f t="shared" si="18"/>
        <v>3046.7220000000002</v>
      </c>
      <c r="L36" s="37">
        <f t="shared" si="19"/>
        <v>3046.7220000000002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f t="shared" si="20"/>
        <v>3046.7220000000002</v>
      </c>
      <c r="T36" s="37">
        <f t="shared" si="21"/>
        <v>3046.7220000000002</v>
      </c>
      <c r="U36" s="37">
        <f t="shared" si="22"/>
        <v>18280.332000000002</v>
      </c>
    </row>
    <row r="37" spans="1:21" ht="12.75" customHeight="1">
      <c r="A37" s="145" t="s">
        <v>188</v>
      </c>
      <c r="B37" s="12" t="s">
        <v>163</v>
      </c>
      <c r="C37" s="27" t="s">
        <v>29</v>
      </c>
      <c r="D37" s="12" t="s">
        <v>50</v>
      </c>
      <c r="E37" s="35">
        <v>45</v>
      </c>
      <c r="F37" s="51">
        <f>SUM(E37*45/1000)</f>
        <v>2.0249999999999999</v>
      </c>
      <c r="G37" s="35">
        <v>428.7</v>
      </c>
      <c r="H37" s="36">
        <f t="shared" si="15"/>
        <v>0.86811749999999999</v>
      </c>
      <c r="I37" s="37">
        <f t="shared" si="16"/>
        <v>144.68624999999997</v>
      </c>
      <c r="J37" s="37">
        <f t="shared" si="17"/>
        <v>144.68624999999997</v>
      </c>
      <c r="K37" s="37">
        <f t="shared" si="18"/>
        <v>144.68624999999997</v>
      </c>
      <c r="L37" s="37">
        <f t="shared" si="19"/>
        <v>144.68624999999997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f t="shared" si="20"/>
        <v>144.68624999999997</v>
      </c>
      <c r="T37" s="37">
        <f t="shared" si="21"/>
        <v>144.68624999999997</v>
      </c>
      <c r="U37" s="37">
        <f t="shared" si="22"/>
        <v>868.11749999999984</v>
      </c>
    </row>
    <row r="38" spans="1:21" s="3" customFormat="1">
      <c r="A38" s="147"/>
      <c r="B38" s="15" t="s">
        <v>164</v>
      </c>
      <c r="C38" s="50" t="s">
        <v>36</v>
      </c>
      <c r="D38" s="15"/>
      <c r="E38" s="47"/>
      <c r="F38" s="51">
        <v>0.6</v>
      </c>
      <c r="G38" s="51">
        <v>798</v>
      </c>
      <c r="H38" s="36">
        <f t="shared" si="15"/>
        <v>0.47879999999999995</v>
      </c>
      <c r="I38" s="52">
        <f t="shared" si="16"/>
        <v>79.8</v>
      </c>
      <c r="J38" s="52">
        <f t="shared" si="17"/>
        <v>79.8</v>
      </c>
      <c r="K38" s="52">
        <f t="shared" si="18"/>
        <v>79.8</v>
      </c>
      <c r="L38" s="37">
        <f t="shared" si="19"/>
        <v>79.8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f t="shared" si="20"/>
        <v>79.8</v>
      </c>
      <c r="T38" s="37">
        <f t="shared" si="21"/>
        <v>79.8</v>
      </c>
      <c r="U38" s="37">
        <f t="shared" si="22"/>
        <v>478.8</v>
      </c>
    </row>
    <row r="39" spans="1:21" hidden="1">
      <c r="A39" s="145" t="s">
        <v>45</v>
      </c>
      <c r="B39" s="12" t="s">
        <v>51</v>
      </c>
      <c r="C39" s="27" t="s">
        <v>29</v>
      </c>
      <c r="D39" s="12"/>
      <c r="E39" s="34"/>
      <c r="F39" s="35"/>
      <c r="G39" s="35">
        <v>1481.29</v>
      </c>
      <c r="H39" s="36">
        <f t="shared" si="15"/>
        <v>0</v>
      </c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</row>
    <row r="40" spans="1:21" s="21" customFormat="1">
      <c r="A40" s="146"/>
      <c r="B40" s="22" t="s">
        <v>27</v>
      </c>
      <c r="C40" s="40"/>
      <c r="D40" s="22"/>
      <c r="E40" s="41"/>
      <c r="F40" s="42" t="s">
        <v>42</v>
      </c>
      <c r="G40" s="42"/>
      <c r="H40" s="49">
        <f>SUM(H33:H39)</f>
        <v>99.370718850000003</v>
      </c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>
        <f>SUM(U33:U38)</f>
        <v>99370.71884999999</v>
      </c>
    </row>
    <row r="41" spans="1:21">
      <c r="A41" s="145"/>
      <c r="B41" s="16" t="s">
        <v>52</v>
      </c>
      <c r="C41" s="27"/>
      <c r="D41" s="12"/>
      <c r="E41" s="34"/>
      <c r="F41" s="35"/>
      <c r="G41" s="35"/>
      <c r="H41" s="36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</row>
    <row r="42" spans="1:21">
      <c r="A42" s="145" t="s">
        <v>189</v>
      </c>
      <c r="B42" s="12" t="s">
        <v>157</v>
      </c>
      <c r="C42" s="27" t="s">
        <v>29</v>
      </c>
      <c r="D42" s="12" t="s">
        <v>53</v>
      </c>
      <c r="E42" s="34">
        <v>965.8</v>
      </c>
      <c r="F42" s="35">
        <f>SUM(E42*2/1000)</f>
        <v>1.9316</v>
      </c>
      <c r="G42" s="53">
        <v>849.49</v>
      </c>
      <c r="H42" s="36">
        <f t="shared" ref="H42:H51" si="23">SUM(F42*G42/1000)</f>
        <v>1.640874884</v>
      </c>
      <c r="I42" s="37">
        <v>0</v>
      </c>
      <c r="J42" s="37">
        <v>0</v>
      </c>
      <c r="K42" s="37">
        <v>0</v>
      </c>
      <c r="L42" s="37">
        <v>0</v>
      </c>
      <c r="M42" s="37">
        <f>F42/2*G42</f>
        <v>820.43744200000003</v>
      </c>
      <c r="N42" s="37">
        <v>0</v>
      </c>
      <c r="O42" s="37">
        <v>0</v>
      </c>
      <c r="P42" s="37">
        <v>0</v>
      </c>
      <c r="Q42" s="37">
        <f>F42/2*G42</f>
        <v>820.43744200000003</v>
      </c>
      <c r="R42" s="37">
        <v>0</v>
      </c>
      <c r="S42" s="37">
        <v>0</v>
      </c>
      <c r="T42" s="37">
        <v>0</v>
      </c>
      <c r="U42" s="37">
        <f>SUM(I42:T42)</f>
        <v>1640.8748840000001</v>
      </c>
    </row>
    <row r="43" spans="1:21">
      <c r="A43" s="145" t="s">
        <v>190</v>
      </c>
      <c r="B43" s="12" t="s">
        <v>54</v>
      </c>
      <c r="C43" s="27" t="s">
        <v>29</v>
      </c>
      <c r="D43" s="12" t="s">
        <v>53</v>
      </c>
      <c r="E43" s="34">
        <v>36</v>
      </c>
      <c r="F43" s="35">
        <f>SUM(E43*2/1000)</f>
        <v>7.1999999999999995E-2</v>
      </c>
      <c r="G43" s="53">
        <v>579.48</v>
      </c>
      <c r="H43" s="36">
        <f t="shared" si="23"/>
        <v>4.1722559999999999E-2</v>
      </c>
      <c r="I43" s="37">
        <v>0</v>
      </c>
      <c r="J43" s="37">
        <v>0</v>
      </c>
      <c r="K43" s="37">
        <v>0</v>
      </c>
      <c r="L43" s="37">
        <v>0</v>
      </c>
      <c r="M43" s="37">
        <f>F43/2*G43</f>
        <v>20.861280000000001</v>
      </c>
      <c r="N43" s="37">
        <v>0</v>
      </c>
      <c r="O43" s="37">
        <v>0</v>
      </c>
      <c r="P43" s="37">
        <v>0</v>
      </c>
      <c r="Q43" s="37">
        <f t="shared" ref="Q43:Q46" si="24">F43/2*G43</f>
        <v>20.861280000000001</v>
      </c>
      <c r="R43" s="37">
        <v>0</v>
      </c>
      <c r="S43" s="37">
        <v>0</v>
      </c>
      <c r="T43" s="37">
        <v>0</v>
      </c>
      <c r="U43" s="37">
        <f t="shared" ref="U43:U51" si="25">SUM(I43:T43)</f>
        <v>41.722560000000001</v>
      </c>
    </row>
    <row r="44" spans="1:21" ht="12.75" customHeight="1">
      <c r="A44" s="145" t="s">
        <v>191</v>
      </c>
      <c r="B44" s="12" t="s">
        <v>55</v>
      </c>
      <c r="C44" s="27" t="s">
        <v>29</v>
      </c>
      <c r="D44" s="12" t="s">
        <v>53</v>
      </c>
      <c r="E44" s="34">
        <v>1197.7</v>
      </c>
      <c r="F44" s="35">
        <f>SUM(E44*2/1000)</f>
        <v>2.3954</v>
      </c>
      <c r="G44" s="53">
        <v>579.48</v>
      </c>
      <c r="H44" s="36">
        <f t="shared" si="23"/>
        <v>1.3880863919999999</v>
      </c>
      <c r="I44" s="37">
        <v>0</v>
      </c>
      <c r="J44" s="37">
        <v>0</v>
      </c>
      <c r="K44" s="37">
        <v>0</v>
      </c>
      <c r="L44" s="37">
        <v>0</v>
      </c>
      <c r="M44" s="37">
        <f t="shared" ref="M44:M46" si="26">F44/2*G44</f>
        <v>694.04319599999997</v>
      </c>
      <c r="N44" s="37">
        <v>0</v>
      </c>
      <c r="O44" s="37">
        <v>0</v>
      </c>
      <c r="P44" s="37">
        <v>0</v>
      </c>
      <c r="Q44" s="37">
        <f t="shared" si="24"/>
        <v>694.04319599999997</v>
      </c>
      <c r="R44" s="37">
        <v>0</v>
      </c>
      <c r="S44" s="37">
        <v>0</v>
      </c>
      <c r="T44" s="37">
        <v>0</v>
      </c>
      <c r="U44" s="37">
        <f t="shared" si="25"/>
        <v>1388.0863919999999</v>
      </c>
    </row>
    <row r="45" spans="1:21">
      <c r="A45" s="145" t="s">
        <v>192</v>
      </c>
      <c r="B45" s="12" t="s">
        <v>56</v>
      </c>
      <c r="C45" s="27" t="s">
        <v>29</v>
      </c>
      <c r="D45" s="12" t="s">
        <v>53</v>
      </c>
      <c r="E45" s="34">
        <v>2275.92</v>
      </c>
      <c r="F45" s="35">
        <f>SUM(E45*2/1000)</f>
        <v>4.5518400000000003</v>
      </c>
      <c r="G45" s="53">
        <v>606.77</v>
      </c>
      <c r="H45" s="36">
        <f t="shared" si="23"/>
        <v>2.7619199567999999</v>
      </c>
      <c r="I45" s="37">
        <v>0</v>
      </c>
      <c r="J45" s="37">
        <v>0</v>
      </c>
      <c r="K45" s="37">
        <v>0</v>
      </c>
      <c r="L45" s="37">
        <v>0</v>
      </c>
      <c r="M45" s="37">
        <f t="shared" si="26"/>
        <v>1380.9599784</v>
      </c>
      <c r="N45" s="37">
        <v>0</v>
      </c>
      <c r="O45" s="37">
        <v>0</v>
      </c>
      <c r="P45" s="37">
        <v>0</v>
      </c>
      <c r="Q45" s="37">
        <f t="shared" si="24"/>
        <v>1380.9599784</v>
      </c>
      <c r="R45" s="37">
        <v>0</v>
      </c>
      <c r="S45" s="37">
        <v>0</v>
      </c>
      <c r="T45" s="37">
        <v>0</v>
      </c>
      <c r="U45" s="37">
        <f t="shared" si="25"/>
        <v>2761.9199567999999</v>
      </c>
    </row>
    <row r="46" spans="1:21">
      <c r="A46" s="145" t="s">
        <v>193</v>
      </c>
      <c r="B46" s="12" t="s">
        <v>57</v>
      </c>
      <c r="C46" s="27" t="s">
        <v>58</v>
      </c>
      <c r="D46" s="12" t="s">
        <v>53</v>
      </c>
      <c r="E46" s="34">
        <v>81.709999999999994</v>
      </c>
      <c r="F46" s="35">
        <f>SUM(E46*2/100)</f>
        <v>1.6341999999999999</v>
      </c>
      <c r="G46" s="53">
        <v>68.56</v>
      </c>
      <c r="H46" s="36">
        <f t="shared" si="23"/>
        <v>0.11204075199999999</v>
      </c>
      <c r="I46" s="37">
        <v>0</v>
      </c>
      <c r="J46" s="37">
        <v>0</v>
      </c>
      <c r="K46" s="37">
        <v>0</v>
      </c>
      <c r="L46" s="37">
        <v>0</v>
      </c>
      <c r="M46" s="37">
        <f t="shared" si="26"/>
        <v>56.020375999999999</v>
      </c>
      <c r="N46" s="37">
        <v>0</v>
      </c>
      <c r="O46" s="37">
        <v>0</v>
      </c>
      <c r="P46" s="37">
        <v>0</v>
      </c>
      <c r="Q46" s="37">
        <f t="shared" si="24"/>
        <v>56.020375999999999</v>
      </c>
      <c r="R46" s="37">
        <v>0</v>
      </c>
      <c r="S46" s="37">
        <v>0</v>
      </c>
      <c r="T46" s="37">
        <v>0</v>
      </c>
      <c r="U46" s="37">
        <f t="shared" si="25"/>
        <v>112.040752</v>
      </c>
    </row>
    <row r="47" spans="1:21" ht="25.5">
      <c r="A47" s="145" t="s">
        <v>194</v>
      </c>
      <c r="B47" s="12" t="s">
        <v>59</v>
      </c>
      <c r="C47" s="27" t="s">
        <v>29</v>
      </c>
      <c r="D47" s="12" t="s">
        <v>60</v>
      </c>
      <c r="E47" s="34">
        <v>1711.8</v>
      </c>
      <c r="F47" s="35">
        <f>SUM(E47*5/1000)</f>
        <v>8.5589999999999993</v>
      </c>
      <c r="G47" s="53">
        <v>1213.55</v>
      </c>
      <c r="H47" s="36">
        <f t="shared" si="23"/>
        <v>10.386774449999999</v>
      </c>
      <c r="I47" s="37">
        <f>F47/5*G47</f>
        <v>2077.3548899999996</v>
      </c>
      <c r="J47" s="37">
        <f>F47/5*G47</f>
        <v>2077.3548899999996</v>
      </c>
      <c r="K47" s="37">
        <v>0</v>
      </c>
      <c r="L47" s="37">
        <v>0</v>
      </c>
      <c r="M47" s="37">
        <f>F47/5*G47</f>
        <v>2077.3548899999996</v>
      </c>
      <c r="N47" s="37">
        <v>0</v>
      </c>
      <c r="O47" s="37">
        <v>0</v>
      </c>
      <c r="P47" s="37">
        <v>0</v>
      </c>
      <c r="Q47" s="37">
        <f>F47/5*G47</f>
        <v>2077.3548899999996</v>
      </c>
      <c r="R47" s="37">
        <v>0</v>
      </c>
      <c r="S47" s="37">
        <v>0</v>
      </c>
      <c r="T47" s="37">
        <f>F47/5*G47</f>
        <v>2077.3548899999996</v>
      </c>
      <c r="U47" s="37">
        <f t="shared" si="25"/>
        <v>10386.774449999997</v>
      </c>
    </row>
    <row r="48" spans="1:21" ht="38.25" customHeight="1">
      <c r="A48" s="145" t="s">
        <v>195</v>
      </c>
      <c r="B48" s="12" t="s">
        <v>61</v>
      </c>
      <c r="C48" s="27" t="s">
        <v>29</v>
      </c>
      <c r="D48" s="12" t="s">
        <v>53</v>
      </c>
      <c r="E48" s="34">
        <v>1711.8</v>
      </c>
      <c r="F48" s="35">
        <f>SUM(E48*2/1000)</f>
        <v>3.4236</v>
      </c>
      <c r="G48" s="53">
        <v>1213.55</v>
      </c>
      <c r="H48" s="36">
        <f t="shared" si="23"/>
        <v>4.1547097800000001</v>
      </c>
      <c r="I48" s="37">
        <v>0</v>
      </c>
      <c r="J48" s="37">
        <v>0</v>
      </c>
      <c r="K48" s="37">
        <v>0</v>
      </c>
      <c r="L48" s="37">
        <v>0</v>
      </c>
      <c r="M48" s="37">
        <f>F48/2*G48</f>
        <v>2077.3548900000001</v>
      </c>
      <c r="N48" s="37">
        <v>0</v>
      </c>
      <c r="O48" s="37">
        <v>0</v>
      </c>
      <c r="P48" s="37">
        <v>0</v>
      </c>
      <c r="Q48" s="37">
        <f>F48/2*G48</f>
        <v>2077.3548900000001</v>
      </c>
      <c r="R48" s="37">
        <v>0</v>
      </c>
      <c r="S48" s="37">
        <v>0</v>
      </c>
      <c r="T48" s="37">
        <v>0</v>
      </c>
      <c r="U48" s="37">
        <f t="shared" si="25"/>
        <v>4154.7097800000001</v>
      </c>
    </row>
    <row r="49" spans="1:21" ht="25.5" customHeight="1">
      <c r="A49" s="145" t="s">
        <v>196</v>
      </c>
      <c r="B49" s="12" t="s">
        <v>62</v>
      </c>
      <c r="C49" s="27" t="s">
        <v>63</v>
      </c>
      <c r="D49" s="12" t="s">
        <v>53</v>
      </c>
      <c r="E49" s="34">
        <v>15</v>
      </c>
      <c r="F49" s="35">
        <f>SUM(E49*2/100)</f>
        <v>0.3</v>
      </c>
      <c r="G49" s="53">
        <v>2730.49</v>
      </c>
      <c r="H49" s="36">
        <f t="shared" si="23"/>
        <v>0.81914699999999996</v>
      </c>
      <c r="I49" s="37">
        <v>0</v>
      </c>
      <c r="J49" s="37">
        <v>0</v>
      </c>
      <c r="K49" s="37">
        <v>0</v>
      </c>
      <c r="L49" s="37">
        <v>0</v>
      </c>
      <c r="M49" s="37">
        <f t="shared" ref="M49:M50" si="27">F49/2*G49</f>
        <v>409.57349999999997</v>
      </c>
      <c r="N49" s="37">
        <v>0</v>
      </c>
      <c r="O49" s="37">
        <v>0</v>
      </c>
      <c r="P49" s="37">
        <v>0</v>
      </c>
      <c r="Q49" s="37">
        <f>F49/2*G49</f>
        <v>409.57349999999997</v>
      </c>
      <c r="R49" s="37">
        <v>0</v>
      </c>
      <c r="S49" s="37">
        <v>0</v>
      </c>
      <c r="T49" s="37">
        <v>0</v>
      </c>
      <c r="U49" s="37">
        <f t="shared" si="25"/>
        <v>819.14699999999993</v>
      </c>
    </row>
    <row r="50" spans="1:21">
      <c r="A50" s="145" t="s">
        <v>197</v>
      </c>
      <c r="B50" s="12" t="s">
        <v>64</v>
      </c>
      <c r="C50" s="27" t="s">
        <v>65</v>
      </c>
      <c r="D50" s="12" t="s">
        <v>53</v>
      </c>
      <c r="E50" s="34">
        <v>1</v>
      </c>
      <c r="F50" s="35">
        <v>0.02</v>
      </c>
      <c r="G50" s="53">
        <v>5322.15</v>
      </c>
      <c r="H50" s="36">
        <f t="shared" si="23"/>
        <v>0.106443</v>
      </c>
      <c r="I50" s="37">
        <v>0</v>
      </c>
      <c r="J50" s="37">
        <v>0</v>
      </c>
      <c r="K50" s="37">
        <v>0</v>
      </c>
      <c r="L50" s="37">
        <v>0</v>
      </c>
      <c r="M50" s="37">
        <f t="shared" si="27"/>
        <v>53.221499999999999</v>
      </c>
      <c r="N50" s="37">
        <v>0</v>
      </c>
      <c r="O50" s="37">
        <v>0</v>
      </c>
      <c r="P50" s="37">
        <v>0</v>
      </c>
      <c r="Q50" s="37">
        <f>F50/2*G50</f>
        <v>53.221499999999999</v>
      </c>
      <c r="R50" s="37">
        <v>0</v>
      </c>
      <c r="S50" s="37">
        <v>0</v>
      </c>
      <c r="T50" s="37">
        <v>0</v>
      </c>
      <c r="U50" s="37">
        <f t="shared" si="25"/>
        <v>106.443</v>
      </c>
    </row>
    <row r="51" spans="1:21" ht="13.5" customHeight="1">
      <c r="A51" s="145" t="s">
        <v>67</v>
      </c>
      <c r="B51" s="12" t="s">
        <v>68</v>
      </c>
      <c r="C51" s="27" t="s">
        <v>66</v>
      </c>
      <c r="D51" s="12" t="s">
        <v>132</v>
      </c>
      <c r="E51" s="34">
        <v>90</v>
      </c>
      <c r="F51" s="35">
        <f>SUM(E51)*3</f>
        <v>270</v>
      </c>
      <c r="G51" s="54">
        <v>65.67</v>
      </c>
      <c r="H51" s="36">
        <f t="shared" si="23"/>
        <v>17.730900000000002</v>
      </c>
      <c r="I51" s="37">
        <f>E51*G51</f>
        <v>5910.3</v>
      </c>
      <c r="J51" s="37">
        <v>0</v>
      </c>
      <c r="K51" s="37">
        <v>0</v>
      </c>
      <c r="L51" s="37">
        <f>E51*G51</f>
        <v>5910.3</v>
      </c>
      <c r="M51" s="37">
        <v>0</v>
      </c>
      <c r="N51" s="37">
        <v>0</v>
      </c>
      <c r="O51" s="37">
        <v>0</v>
      </c>
      <c r="P51" s="37">
        <f>E51*G51</f>
        <v>5910.3</v>
      </c>
      <c r="Q51" s="37">
        <v>0</v>
      </c>
      <c r="R51" s="37">
        <v>0</v>
      </c>
      <c r="S51" s="37">
        <v>0</v>
      </c>
      <c r="T51" s="37">
        <v>0</v>
      </c>
      <c r="U51" s="37">
        <f t="shared" si="25"/>
        <v>17730.900000000001</v>
      </c>
    </row>
    <row r="52" spans="1:21" s="23" customFormat="1">
      <c r="A52" s="148"/>
      <c r="B52" s="22" t="s">
        <v>27</v>
      </c>
      <c r="C52" s="55"/>
      <c r="D52" s="22"/>
      <c r="E52" s="56"/>
      <c r="F52" s="57"/>
      <c r="G52" s="57"/>
      <c r="H52" s="49">
        <f>SUM(H42:H51)</f>
        <v>39.142618774799999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>
        <f>SUM(U42:U51)</f>
        <v>39142.618774800001</v>
      </c>
    </row>
    <row r="53" spans="1:21">
      <c r="A53" s="145"/>
      <c r="B53" s="14" t="s">
        <v>69</v>
      </c>
      <c r="C53" s="27"/>
      <c r="D53" s="12"/>
      <c r="E53" s="34"/>
      <c r="F53" s="35"/>
      <c r="G53" s="35"/>
      <c r="H53" s="36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21" ht="38.25" customHeight="1">
      <c r="A54" s="149" t="s">
        <v>198</v>
      </c>
      <c r="B54" s="12" t="s">
        <v>165</v>
      </c>
      <c r="C54" s="27" t="s">
        <v>13</v>
      </c>
      <c r="D54" s="12" t="s">
        <v>70</v>
      </c>
      <c r="E54" s="34">
        <v>96.58</v>
      </c>
      <c r="F54" s="35">
        <f>SUM(E54*6/100)</f>
        <v>5.7948000000000004</v>
      </c>
      <c r="G54" s="53">
        <v>1547.28</v>
      </c>
      <c r="H54" s="36">
        <f>SUM(F54*G54/1000)</f>
        <v>8.9661781440000006</v>
      </c>
      <c r="I54" s="37">
        <f>F54/6*G54</f>
        <v>1494.3630240000002</v>
      </c>
      <c r="J54" s="37">
        <f>F54/6*G54</f>
        <v>1494.3630240000002</v>
      </c>
      <c r="K54" s="37">
        <f>F54/6*G54</f>
        <v>1494.3630240000002</v>
      </c>
      <c r="L54" s="37">
        <f>F54/6*G54</f>
        <v>1494.3630240000002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f>F54/6*G54</f>
        <v>1494.3630240000002</v>
      </c>
      <c r="T54" s="37">
        <f>F54/6*G54</f>
        <v>1494.3630240000002</v>
      </c>
      <c r="U54" s="37">
        <f>SUM(I54:T54)</f>
        <v>8966.1781440000013</v>
      </c>
    </row>
    <row r="55" spans="1:21">
      <c r="A55" s="145"/>
      <c r="B55" s="13" t="s">
        <v>71</v>
      </c>
      <c r="C55" s="27"/>
      <c r="D55" s="12"/>
      <c r="E55" s="34"/>
      <c r="F55" s="35"/>
      <c r="G55" s="59"/>
      <c r="H55" s="36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</row>
    <row r="56" spans="1:21">
      <c r="A56" s="145" t="s">
        <v>199</v>
      </c>
      <c r="B56" s="12" t="s">
        <v>113</v>
      </c>
      <c r="C56" s="27" t="s">
        <v>13</v>
      </c>
      <c r="D56" s="12" t="s">
        <v>31</v>
      </c>
      <c r="E56" s="34">
        <v>855.9</v>
      </c>
      <c r="F56" s="36">
        <v>8.6</v>
      </c>
      <c r="G56" s="53">
        <v>747.3</v>
      </c>
      <c r="H56" s="60">
        <v>6.4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f t="shared" ref="U56:U74" si="28">SUM(I56:T56)</f>
        <v>0</v>
      </c>
    </row>
    <row r="57" spans="1:21">
      <c r="A57" s="145"/>
      <c r="B57" s="12" t="s">
        <v>114</v>
      </c>
      <c r="C57" s="27" t="s">
        <v>72</v>
      </c>
      <c r="D57" s="12" t="s">
        <v>73</v>
      </c>
      <c r="E57" s="34">
        <v>256</v>
      </c>
      <c r="F57" s="35">
        <f>E57*12</f>
        <v>3072</v>
      </c>
      <c r="G57" s="59">
        <v>2.5958999999999999</v>
      </c>
      <c r="H57" s="36">
        <f>F57*G57/1000</f>
        <v>7.9746047999999989</v>
      </c>
      <c r="I57" s="37">
        <f>F57/12*G57</f>
        <v>664.55039999999997</v>
      </c>
      <c r="J57" s="37">
        <f>F57/12*G57</f>
        <v>664.55039999999997</v>
      </c>
      <c r="K57" s="37">
        <f>F57/12*G57</f>
        <v>664.55039999999997</v>
      </c>
      <c r="L57" s="37">
        <f>F57/12*G57</f>
        <v>664.55039999999997</v>
      </c>
      <c r="M57" s="37">
        <f>F57/12*G57</f>
        <v>664.55039999999997</v>
      </c>
      <c r="N57" s="37">
        <f>F57/12*G57</f>
        <v>664.55039999999997</v>
      </c>
      <c r="O57" s="37">
        <f>F57/12*G57</f>
        <v>664.55039999999997</v>
      </c>
      <c r="P57" s="37">
        <f>F57/12*G57</f>
        <v>664.55039999999997</v>
      </c>
      <c r="Q57" s="37">
        <f>F57/12*G57</f>
        <v>664.55039999999997</v>
      </c>
      <c r="R57" s="37">
        <f>F57/12*G57</f>
        <v>664.55039999999997</v>
      </c>
      <c r="S57" s="37">
        <f>F57/12*G57</f>
        <v>664.55039999999997</v>
      </c>
      <c r="T57" s="37">
        <f>F57/12*G57</f>
        <v>664.55039999999997</v>
      </c>
      <c r="U57" s="37">
        <f t="shared" si="28"/>
        <v>7974.6048000000001</v>
      </c>
    </row>
    <row r="58" spans="1:21">
      <c r="A58" s="145"/>
      <c r="B58" s="14" t="s">
        <v>74</v>
      </c>
      <c r="C58" s="27"/>
      <c r="D58" s="12"/>
      <c r="E58" s="34"/>
      <c r="F58" s="35"/>
      <c r="G58" s="35"/>
      <c r="H58" s="36" t="s">
        <v>42</v>
      </c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21" ht="12.75" customHeight="1">
      <c r="A59" s="145" t="s">
        <v>200</v>
      </c>
      <c r="B59" s="12" t="s">
        <v>75</v>
      </c>
      <c r="C59" s="27" t="s">
        <v>66</v>
      </c>
      <c r="D59" s="12" t="s">
        <v>38</v>
      </c>
      <c r="E59" s="34">
        <v>2</v>
      </c>
      <c r="F59" s="35">
        <f>SUM(E59)</f>
        <v>2</v>
      </c>
      <c r="G59" s="61">
        <v>237.75</v>
      </c>
      <c r="H59" s="36">
        <f t="shared" ref="H59:H74" si="29">SUM(F59*G59/1000)</f>
        <v>0.47549999999999998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f t="shared" si="28"/>
        <v>0</v>
      </c>
    </row>
    <row r="60" spans="1:21">
      <c r="A60" s="150"/>
      <c r="B60" s="17" t="s">
        <v>76</v>
      </c>
      <c r="C60" s="62"/>
      <c r="D60" s="63"/>
      <c r="E60" s="64"/>
      <c r="F60" s="65"/>
      <c r="G60" s="65"/>
      <c r="H60" s="66" t="s">
        <v>42</v>
      </c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1" ht="12.75" customHeight="1">
      <c r="A61" s="25" t="s">
        <v>201</v>
      </c>
      <c r="B61" s="18" t="s">
        <v>77</v>
      </c>
      <c r="C61" s="25" t="s">
        <v>66</v>
      </c>
      <c r="D61" s="10" t="s">
        <v>38</v>
      </c>
      <c r="E61" s="67">
        <v>10</v>
      </c>
      <c r="F61" s="35">
        <v>10</v>
      </c>
      <c r="G61" s="53">
        <v>222.4</v>
      </c>
      <c r="H61" s="141">
        <f t="shared" si="29"/>
        <v>2.2240000000000002</v>
      </c>
      <c r="I61" s="37">
        <v>0</v>
      </c>
      <c r="J61" s="37">
        <v>0</v>
      </c>
      <c r="K61" s="37">
        <v>0</v>
      </c>
      <c r="L61" s="37">
        <f>G61</f>
        <v>222.4</v>
      </c>
      <c r="M61" s="37">
        <v>0</v>
      </c>
      <c r="N61" s="37">
        <v>0</v>
      </c>
      <c r="O61" s="37">
        <v>0</v>
      </c>
      <c r="P61" s="37">
        <v>0</v>
      </c>
      <c r="Q61" s="37">
        <f>G61*4</f>
        <v>889.6</v>
      </c>
      <c r="R61" s="37">
        <f>G61*8</f>
        <v>1779.2</v>
      </c>
      <c r="S61" s="37">
        <v>0</v>
      </c>
      <c r="T61" s="37">
        <v>0</v>
      </c>
      <c r="U61" s="37">
        <f t="shared" si="28"/>
        <v>2891.2</v>
      </c>
    </row>
    <row r="62" spans="1:21" ht="12.75" customHeight="1">
      <c r="A62" s="25" t="s">
        <v>202</v>
      </c>
      <c r="B62" s="18" t="s">
        <v>78</v>
      </c>
      <c r="C62" s="25" t="s">
        <v>66</v>
      </c>
      <c r="D62" s="10" t="s">
        <v>38</v>
      </c>
      <c r="E62" s="67">
        <v>5</v>
      </c>
      <c r="F62" s="35">
        <v>5</v>
      </c>
      <c r="G62" s="53">
        <v>75.25</v>
      </c>
      <c r="H62" s="141">
        <f t="shared" si="29"/>
        <v>0.37624999999999997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f t="shared" si="28"/>
        <v>0</v>
      </c>
    </row>
    <row r="63" spans="1:21" s="3" customFormat="1">
      <c r="A63" s="68" t="s">
        <v>203</v>
      </c>
      <c r="B63" s="18" t="s">
        <v>79</v>
      </c>
      <c r="C63" s="68" t="s">
        <v>80</v>
      </c>
      <c r="D63" s="10" t="s">
        <v>31</v>
      </c>
      <c r="E63" s="34">
        <v>13018</v>
      </c>
      <c r="F63" s="54">
        <f>SUM(E63/100)</f>
        <v>130.18</v>
      </c>
      <c r="G63" s="53">
        <v>212.15</v>
      </c>
      <c r="H63" s="141">
        <f t="shared" si="29"/>
        <v>27.617687</v>
      </c>
      <c r="I63" s="52">
        <v>0</v>
      </c>
      <c r="J63" s="52">
        <v>0</v>
      </c>
      <c r="K63" s="52">
        <v>0</v>
      </c>
      <c r="L63" s="52">
        <v>0</v>
      </c>
      <c r="M63" s="37">
        <f>F63*G63</f>
        <v>27617.687000000002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2">
        <v>0</v>
      </c>
      <c r="T63" s="52">
        <v>0</v>
      </c>
      <c r="U63" s="37">
        <f t="shared" si="28"/>
        <v>27617.687000000002</v>
      </c>
    </row>
    <row r="64" spans="1:21" ht="12.75" customHeight="1">
      <c r="A64" s="25" t="s">
        <v>204</v>
      </c>
      <c r="B64" s="18" t="s">
        <v>81</v>
      </c>
      <c r="C64" s="25" t="s">
        <v>82</v>
      </c>
      <c r="D64" s="10"/>
      <c r="E64" s="34">
        <v>13018</v>
      </c>
      <c r="F64" s="53">
        <f>SUM(E64/1000)</f>
        <v>13.018000000000001</v>
      </c>
      <c r="G64" s="53">
        <v>165.21</v>
      </c>
      <c r="H64" s="141">
        <f t="shared" si="29"/>
        <v>2.1507037800000002</v>
      </c>
      <c r="I64" s="37">
        <v>0</v>
      </c>
      <c r="J64" s="37">
        <v>0</v>
      </c>
      <c r="K64" s="37">
        <v>0</v>
      </c>
      <c r="L64" s="37">
        <v>0</v>
      </c>
      <c r="M64" s="37">
        <f t="shared" ref="M64:M67" si="30">F64*G64</f>
        <v>2150.7037800000003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f t="shared" si="28"/>
        <v>2150.7037800000003</v>
      </c>
    </row>
    <row r="65" spans="1:26">
      <c r="A65" s="25" t="s">
        <v>205</v>
      </c>
      <c r="B65" s="18" t="s">
        <v>83</v>
      </c>
      <c r="C65" s="25" t="s">
        <v>84</v>
      </c>
      <c r="D65" s="10" t="s">
        <v>31</v>
      </c>
      <c r="E65" s="34">
        <v>1279</v>
      </c>
      <c r="F65" s="53">
        <f>SUM(E65/100)</f>
        <v>12.79</v>
      </c>
      <c r="G65" s="53">
        <v>2074.63</v>
      </c>
      <c r="H65" s="141">
        <f t="shared" si="29"/>
        <v>26.534517700000002</v>
      </c>
      <c r="I65" s="37">
        <v>0</v>
      </c>
      <c r="J65" s="37">
        <v>0</v>
      </c>
      <c r="K65" s="37">
        <v>0</v>
      </c>
      <c r="L65" s="37">
        <v>0</v>
      </c>
      <c r="M65" s="37">
        <f>F65*G65</f>
        <v>26534.5177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f t="shared" si="28"/>
        <v>26534.5177</v>
      </c>
    </row>
    <row r="66" spans="1:26">
      <c r="A66" s="25"/>
      <c r="B66" s="19" t="s">
        <v>115</v>
      </c>
      <c r="C66" s="25" t="s">
        <v>36</v>
      </c>
      <c r="D66" s="10"/>
      <c r="E66" s="34">
        <v>12</v>
      </c>
      <c r="F66" s="53">
        <f>SUM(E66)</f>
        <v>12</v>
      </c>
      <c r="G66" s="53">
        <v>45.32</v>
      </c>
      <c r="H66" s="141">
        <f t="shared" si="29"/>
        <v>0.54383999999999999</v>
      </c>
      <c r="I66" s="37">
        <v>0</v>
      </c>
      <c r="J66" s="37">
        <v>0</v>
      </c>
      <c r="K66" s="37">
        <v>0</v>
      </c>
      <c r="L66" s="37">
        <v>0</v>
      </c>
      <c r="M66" s="37">
        <f t="shared" si="30"/>
        <v>543.84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f t="shared" si="28"/>
        <v>543.84</v>
      </c>
    </row>
    <row r="67" spans="1:26" ht="12.75" customHeight="1">
      <c r="A67" s="25"/>
      <c r="B67" s="19" t="s">
        <v>116</v>
      </c>
      <c r="C67" s="25" t="s">
        <v>36</v>
      </c>
      <c r="D67" s="10"/>
      <c r="E67" s="34">
        <v>12</v>
      </c>
      <c r="F67" s="53">
        <f>SUM(E67)</f>
        <v>12</v>
      </c>
      <c r="G67" s="53">
        <v>42.28</v>
      </c>
      <c r="H67" s="141">
        <f t="shared" si="29"/>
        <v>0.50736000000000003</v>
      </c>
      <c r="I67" s="37">
        <v>0</v>
      </c>
      <c r="J67" s="37">
        <v>0</v>
      </c>
      <c r="K67" s="37">
        <v>0</v>
      </c>
      <c r="L67" s="37">
        <v>0</v>
      </c>
      <c r="M67" s="37">
        <f t="shared" si="30"/>
        <v>507.36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f t="shared" si="28"/>
        <v>507.36</v>
      </c>
    </row>
    <row r="68" spans="1:26">
      <c r="A68" s="25" t="s">
        <v>206</v>
      </c>
      <c r="B68" s="10" t="s">
        <v>85</v>
      </c>
      <c r="C68" s="25" t="s">
        <v>86</v>
      </c>
      <c r="D68" s="10" t="s">
        <v>31</v>
      </c>
      <c r="E68" s="67">
        <v>1</v>
      </c>
      <c r="F68" s="35">
        <f>SUM(E68)</f>
        <v>1</v>
      </c>
      <c r="G68" s="53">
        <v>49.88</v>
      </c>
      <c r="H68" s="141">
        <f t="shared" si="29"/>
        <v>4.9880000000000001E-2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f>G68</f>
        <v>49.88</v>
      </c>
      <c r="R68" s="37">
        <v>0</v>
      </c>
      <c r="S68" s="37">
        <v>0</v>
      </c>
      <c r="T68" s="37">
        <v>0</v>
      </c>
      <c r="U68" s="37">
        <f t="shared" si="28"/>
        <v>49.88</v>
      </c>
    </row>
    <row r="69" spans="1:26">
      <c r="A69" s="25"/>
      <c r="B69" s="20" t="s">
        <v>87</v>
      </c>
      <c r="C69" s="25"/>
      <c r="D69" s="10"/>
      <c r="E69" s="67"/>
      <c r="F69" s="53"/>
      <c r="G69" s="53"/>
      <c r="H69" s="141" t="s">
        <v>42</v>
      </c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  <row r="70" spans="1:26" ht="12.75" customHeight="1">
      <c r="A70" s="25" t="s">
        <v>207</v>
      </c>
      <c r="B70" s="10" t="s">
        <v>88</v>
      </c>
      <c r="C70" s="25" t="s">
        <v>89</v>
      </c>
      <c r="D70" s="10" t="s">
        <v>38</v>
      </c>
      <c r="E70" s="67">
        <v>5</v>
      </c>
      <c r="F70" s="53">
        <v>0.5</v>
      </c>
      <c r="G70" s="53">
        <v>501.62</v>
      </c>
      <c r="H70" s="141">
        <f t="shared" si="29"/>
        <v>0.25080999999999998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f t="shared" si="28"/>
        <v>0</v>
      </c>
    </row>
    <row r="71" spans="1:26" ht="12.75" customHeight="1">
      <c r="A71" s="25" t="s">
        <v>238</v>
      </c>
      <c r="B71" s="10" t="s">
        <v>239</v>
      </c>
      <c r="C71" s="25" t="s">
        <v>66</v>
      </c>
      <c r="D71" s="10"/>
      <c r="E71" s="67">
        <v>1</v>
      </c>
      <c r="F71" s="59">
        <f>E71</f>
        <v>1</v>
      </c>
      <c r="G71" s="53">
        <v>852.99</v>
      </c>
      <c r="H71" s="160">
        <f t="shared" si="29"/>
        <v>0.85299000000000003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f t="shared" si="28"/>
        <v>0</v>
      </c>
    </row>
    <row r="72" spans="1:26">
      <c r="A72" s="25" t="s">
        <v>208</v>
      </c>
      <c r="B72" s="10" t="s">
        <v>90</v>
      </c>
      <c r="C72" s="25" t="s">
        <v>66</v>
      </c>
      <c r="D72" s="10"/>
      <c r="E72" s="67">
        <v>1</v>
      </c>
      <c r="F72" s="35">
        <f>SUM(E72)</f>
        <v>1</v>
      </c>
      <c r="G72" s="53">
        <v>358.51</v>
      </c>
      <c r="H72" s="141">
        <f t="shared" si="29"/>
        <v>0.35851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f t="shared" si="28"/>
        <v>0</v>
      </c>
    </row>
    <row r="73" spans="1:26">
      <c r="A73" s="25"/>
      <c r="B73" s="69" t="s">
        <v>91</v>
      </c>
      <c r="C73" s="25"/>
      <c r="D73" s="10"/>
      <c r="E73" s="67"/>
      <c r="F73" s="53"/>
      <c r="G73" s="53" t="s">
        <v>42</v>
      </c>
      <c r="H73" s="141" t="s">
        <v>42</v>
      </c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</row>
    <row r="74" spans="1:26" s="3" customFormat="1">
      <c r="A74" s="68" t="s">
        <v>92</v>
      </c>
      <c r="B74" s="70" t="s">
        <v>93</v>
      </c>
      <c r="C74" s="68" t="s">
        <v>84</v>
      </c>
      <c r="D74" s="18"/>
      <c r="E74" s="71"/>
      <c r="F74" s="54">
        <v>0.3</v>
      </c>
      <c r="G74" s="54">
        <v>2759.44</v>
      </c>
      <c r="H74" s="141">
        <f t="shared" si="29"/>
        <v>0.82783200000000001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37">
        <f t="shared" si="28"/>
        <v>0</v>
      </c>
    </row>
    <row r="75" spans="1:26" s="23" customFormat="1">
      <c r="A75" s="72"/>
      <c r="B75" s="22" t="s">
        <v>27</v>
      </c>
      <c r="C75" s="73"/>
      <c r="D75" s="74"/>
      <c r="E75" s="75"/>
      <c r="F75" s="58"/>
      <c r="G75" s="58"/>
      <c r="H75" s="76">
        <f>SUM(H54:H74)</f>
        <v>86.110663424000009</v>
      </c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>
        <f>SUM(U54:U74)</f>
        <v>77235.971424000018</v>
      </c>
    </row>
    <row r="76" spans="1:26">
      <c r="A76" s="151" t="s">
        <v>143</v>
      </c>
      <c r="B76" s="12" t="s">
        <v>144</v>
      </c>
      <c r="C76" s="77"/>
      <c r="D76" s="78"/>
      <c r="E76" s="127"/>
      <c r="F76" s="79">
        <v>1</v>
      </c>
      <c r="G76" s="80">
        <v>9223.7000000000007</v>
      </c>
      <c r="H76" s="141">
        <f>G76*F76/1000</f>
        <v>9.2237000000000009</v>
      </c>
      <c r="I76" s="37">
        <v>0</v>
      </c>
      <c r="J76" s="37">
        <v>0</v>
      </c>
      <c r="K76" s="37">
        <v>0</v>
      </c>
      <c r="L76" s="37">
        <v>9223.7000000000007</v>
      </c>
      <c r="M76" s="38">
        <v>0</v>
      </c>
      <c r="N76" s="38">
        <v>0</v>
      </c>
      <c r="O76" s="37">
        <v>0</v>
      </c>
      <c r="P76" s="128">
        <v>0</v>
      </c>
      <c r="Q76" s="128">
        <v>0</v>
      </c>
      <c r="R76" s="128">
        <v>0</v>
      </c>
      <c r="S76" s="128">
        <v>0</v>
      </c>
      <c r="T76" s="128">
        <v>0</v>
      </c>
      <c r="U76" s="37">
        <f>SUM(I76:T76)</f>
        <v>9223.7000000000007</v>
      </c>
    </row>
    <row r="77" spans="1:26" ht="12.75" customHeight="1">
      <c r="A77" s="152"/>
      <c r="B77" s="13" t="s">
        <v>94</v>
      </c>
      <c r="C77" s="25" t="s">
        <v>95</v>
      </c>
      <c r="D77" s="81"/>
      <c r="E77" s="53">
        <v>2581.1999999999998</v>
      </c>
      <c r="F77" s="53">
        <f>SUM(E77*12)</f>
        <v>30974.399999999998</v>
      </c>
      <c r="G77" s="82">
        <v>2.1</v>
      </c>
      <c r="H77" s="141">
        <f>SUM(F77*G77/1000)</f>
        <v>65.046239999999997</v>
      </c>
      <c r="I77" s="37">
        <f>F77/12*G77</f>
        <v>5420.5199999999995</v>
      </c>
      <c r="J77" s="37">
        <f>F77/12*G77</f>
        <v>5420.5199999999995</v>
      </c>
      <c r="K77" s="37">
        <f>F77/12*G77</f>
        <v>5420.5199999999995</v>
      </c>
      <c r="L77" s="37">
        <f>F77/12*G77</f>
        <v>5420.5199999999995</v>
      </c>
      <c r="M77" s="38">
        <f>F77/12*G77</f>
        <v>5420.5199999999995</v>
      </c>
      <c r="N77" s="38">
        <f>F77/12*G77</f>
        <v>5420.5199999999995</v>
      </c>
      <c r="O77" s="37">
        <f>F77/12*G77</f>
        <v>5420.5199999999995</v>
      </c>
      <c r="P77" s="128">
        <f>F77/12*G77</f>
        <v>5420.5199999999995</v>
      </c>
      <c r="Q77" s="128">
        <f>F77/12*G77</f>
        <v>5420.5199999999995</v>
      </c>
      <c r="R77" s="128">
        <f>F77/12*G77</f>
        <v>5420.5199999999995</v>
      </c>
      <c r="S77" s="128">
        <f>F77/12*G77</f>
        <v>5420.5199999999995</v>
      </c>
      <c r="T77" s="128">
        <f>F77/12*G77</f>
        <v>5420.5199999999995</v>
      </c>
      <c r="U77" s="37">
        <f>SUM(I77:T77)</f>
        <v>65046.239999999983</v>
      </c>
    </row>
    <row r="78" spans="1:26" s="21" customFormat="1">
      <c r="A78" s="83"/>
      <c r="B78" s="22" t="s">
        <v>27</v>
      </c>
      <c r="C78" s="84"/>
      <c r="D78" s="85"/>
      <c r="E78" s="86"/>
      <c r="F78" s="44"/>
      <c r="G78" s="87"/>
      <c r="H78" s="45">
        <f>SUM(H76:H77)</f>
        <v>74.269939999999991</v>
      </c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>
        <f>SUM(U76:U77)</f>
        <v>74269.939999999988</v>
      </c>
    </row>
    <row r="79" spans="1:26" ht="25.5" customHeight="1">
      <c r="A79" s="88"/>
      <c r="B79" s="10" t="s">
        <v>96</v>
      </c>
      <c r="C79" s="25"/>
      <c r="D79" s="24"/>
      <c r="E79" s="34">
        <f>E77</f>
        <v>2581.1999999999998</v>
      </c>
      <c r="F79" s="53">
        <f>E79*12</f>
        <v>30974.399999999998</v>
      </c>
      <c r="G79" s="53">
        <v>1.63</v>
      </c>
      <c r="H79" s="141">
        <f>F79*G79/1000</f>
        <v>50.488271999999988</v>
      </c>
      <c r="I79" s="37">
        <f>F79/12*G79</f>
        <v>4207.3559999999998</v>
      </c>
      <c r="J79" s="37">
        <f>F79/12*G79</f>
        <v>4207.3559999999998</v>
      </c>
      <c r="K79" s="37">
        <f>F79/12*G79</f>
        <v>4207.3559999999998</v>
      </c>
      <c r="L79" s="37">
        <f>F79/12*G79</f>
        <v>4207.3559999999998</v>
      </c>
      <c r="M79" s="37">
        <f>F79/12*G79</f>
        <v>4207.3559999999998</v>
      </c>
      <c r="N79" s="37">
        <f>F79/12*G79</f>
        <v>4207.3559999999998</v>
      </c>
      <c r="O79" s="37">
        <f>F79/12*G79</f>
        <v>4207.3559999999998</v>
      </c>
      <c r="P79" s="37">
        <f>F79/12*G79</f>
        <v>4207.3559999999998</v>
      </c>
      <c r="Q79" s="37">
        <f>F79/12*G79</f>
        <v>4207.3559999999998</v>
      </c>
      <c r="R79" s="37">
        <f>F79/12*G79</f>
        <v>4207.3559999999998</v>
      </c>
      <c r="S79" s="37">
        <f>F79/12*G79</f>
        <v>4207.3559999999998</v>
      </c>
      <c r="T79" s="128">
        <f t="shared" ref="T79" si="31">F79/12*G79</f>
        <v>4207.3559999999998</v>
      </c>
      <c r="U79" s="37">
        <f>SUM(I79:T79)</f>
        <v>50488.271999999997</v>
      </c>
      <c r="W79" s="166" t="s">
        <v>133</v>
      </c>
      <c r="X79" s="167"/>
      <c r="Y79" s="167"/>
      <c r="Z79" s="168"/>
    </row>
    <row r="80" spans="1:26" s="21" customFormat="1">
      <c r="A80" s="83"/>
      <c r="B80" s="89" t="s">
        <v>97</v>
      </c>
      <c r="C80" s="90"/>
      <c r="D80" s="89"/>
      <c r="E80" s="44"/>
      <c r="F80" s="44"/>
      <c r="G80" s="44"/>
      <c r="H80" s="76">
        <f>H79</f>
        <v>50.488271999999988</v>
      </c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123">
        <f>U79</f>
        <v>50488.271999999997</v>
      </c>
    </row>
    <row r="81" spans="1:21" s="21" customFormat="1">
      <c r="A81" s="83"/>
      <c r="B81" s="89" t="s">
        <v>98</v>
      </c>
      <c r="C81" s="91"/>
      <c r="D81" s="92"/>
      <c r="E81" s="93"/>
      <c r="F81" s="93"/>
      <c r="G81" s="93"/>
      <c r="H81" s="76">
        <f>SUM(H80+H78+H75+H52+H22+H40+H31)</f>
        <v>609.06994401513327</v>
      </c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123">
        <f>SUM(U80+U78+U75+U52+U40+U31+U22)*1.094</f>
        <v>655803.41573559586</v>
      </c>
    </row>
    <row r="82" spans="1:21" s="120" customFormat="1" ht="51" customHeight="1">
      <c r="A82" s="88"/>
      <c r="B82" s="69"/>
      <c r="C82" s="25"/>
      <c r="D82" s="24"/>
      <c r="E82" s="53"/>
      <c r="F82" s="53"/>
      <c r="G82" s="53"/>
      <c r="H82" s="119"/>
      <c r="I82" s="53"/>
      <c r="J82" s="53"/>
      <c r="K82" s="53"/>
      <c r="L82" s="53"/>
      <c r="M82" s="53"/>
      <c r="N82" s="53"/>
      <c r="O82" s="53"/>
      <c r="P82" s="53"/>
      <c r="Q82" s="53"/>
      <c r="R82" s="131"/>
      <c r="S82" s="131"/>
      <c r="T82" s="131"/>
      <c r="U82" s="129" t="s">
        <v>149</v>
      </c>
    </row>
    <row r="83" spans="1:21">
      <c r="A83" s="88"/>
      <c r="B83" s="24" t="s">
        <v>99</v>
      </c>
      <c r="C83" s="25"/>
      <c r="D83" s="24"/>
      <c r="E83" s="53"/>
      <c r="F83" s="53"/>
      <c r="G83" s="53" t="s">
        <v>100</v>
      </c>
      <c r="H83" s="94">
        <f>E79</f>
        <v>2581.1999999999998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</row>
    <row r="84" spans="1:21" s="21" customFormat="1">
      <c r="A84" s="83"/>
      <c r="B84" s="92" t="s">
        <v>101</v>
      </c>
      <c r="C84" s="91"/>
      <c r="D84" s="92"/>
      <c r="E84" s="93"/>
      <c r="F84" s="93"/>
      <c r="G84" s="93"/>
      <c r="H84" s="95">
        <f>SUM(H81/H83/12*1000)</f>
        <v>19.663655922798615</v>
      </c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124"/>
    </row>
    <row r="85" spans="1:21">
      <c r="A85" s="88"/>
      <c r="B85" s="24"/>
      <c r="C85" s="25"/>
      <c r="D85" s="24"/>
      <c r="E85" s="53"/>
      <c r="F85" s="53"/>
      <c r="G85" s="53"/>
      <c r="H85" s="96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125"/>
    </row>
    <row r="86" spans="1:21">
      <c r="A86" s="88"/>
      <c r="B86" s="69" t="s">
        <v>102</v>
      </c>
      <c r="C86" s="25"/>
      <c r="D86" s="24"/>
      <c r="E86" s="53"/>
      <c r="F86" s="53"/>
      <c r="G86" s="53"/>
      <c r="H86" s="53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</row>
    <row r="87" spans="1:21" s="137" customFormat="1">
      <c r="A87" s="132" t="s">
        <v>209</v>
      </c>
      <c r="B87" s="133" t="s">
        <v>168</v>
      </c>
      <c r="C87" s="132" t="s">
        <v>140</v>
      </c>
      <c r="D87" s="134"/>
      <c r="E87" s="135"/>
      <c r="F87" s="135">
        <v>10</v>
      </c>
      <c r="G87" s="135">
        <v>185.81</v>
      </c>
      <c r="H87" s="136">
        <f t="shared" ref="H87" si="32">F87*G87/1000</f>
        <v>1.8580999999999999</v>
      </c>
      <c r="I87" s="37">
        <f>G87*1</f>
        <v>185.81</v>
      </c>
      <c r="J87" s="37">
        <v>0</v>
      </c>
      <c r="K87" s="37">
        <f>G87</f>
        <v>185.81</v>
      </c>
      <c r="L87" s="37">
        <v>0</v>
      </c>
      <c r="M87" s="37">
        <v>0</v>
      </c>
      <c r="N87" s="37">
        <f>G87</f>
        <v>185.81</v>
      </c>
      <c r="O87" s="37">
        <v>0</v>
      </c>
      <c r="P87" s="37">
        <v>0</v>
      </c>
      <c r="Q87" s="37">
        <f>G87</f>
        <v>185.81</v>
      </c>
      <c r="R87" s="37">
        <f>G87*4</f>
        <v>743.24</v>
      </c>
      <c r="S87" s="37">
        <f>G87*2</f>
        <v>371.62</v>
      </c>
      <c r="T87" s="37">
        <v>0</v>
      </c>
      <c r="U87" s="37">
        <f>SUM(I87:T87)</f>
        <v>1858.1</v>
      </c>
    </row>
    <row r="88" spans="1:21" s="137" customFormat="1" ht="25.5">
      <c r="A88" s="132" t="s">
        <v>210</v>
      </c>
      <c r="B88" s="133" t="s">
        <v>131</v>
      </c>
      <c r="C88" s="132" t="s">
        <v>66</v>
      </c>
      <c r="D88" s="134"/>
      <c r="E88" s="135"/>
      <c r="F88" s="135">
        <v>552</v>
      </c>
      <c r="G88" s="135">
        <v>50.68</v>
      </c>
      <c r="H88" s="138">
        <f t="shared" ref="H88" si="33">G88*F88/1000</f>
        <v>27.975360000000002</v>
      </c>
      <c r="I88" s="37">
        <f>G88*46</f>
        <v>2331.2800000000002</v>
      </c>
      <c r="J88" s="37">
        <f>G88*46</f>
        <v>2331.2800000000002</v>
      </c>
      <c r="K88" s="37">
        <f>G88*46</f>
        <v>2331.2800000000002</v>
      </c>
      <c r="L88" s="37">
        <f>G88*46</f>
        <v>2331.2800000000002</v>
      </c>
      <c r="M88" s="37">
        <f>G88*46</f>
        <v>2331.2800000000002</v>
      </c>
      <c r="N88" s="37">
        <f>G88*46</f>
        <v>2331.2800000000002</v>
      </c>
      <c r="O88" s="37">
        <f>G88*46</f>
        <v>2331.2800000000002</v>
      </c>
      <c r="P88" s="37">
        <f>G88*46</f>
        <v>2331.2800000000002</v>
      </c>
      <c r="Q88" s="37">
        <f>G88*46</f>
        <v>2331.2800000000002</v>
      </c>
      <c r="R88" s="37">
        <f>G88*46</f>
        <v>2331.2800000000002</v>
      </c>
      <c r="S88" s="37">
        <f>G88*46</f>
        <v>2331.2800000000002</v>
      </c>
      <c r="T88" s="37">
        <f>G88*46</f>
        <v>2331.2800000000002</v>
      </c>
      <c r="U88" s="37">
        <f t="shared" ref="U88:U114" si="34">SUM(I88:T88)</f>
        <v>27975.359999999997</v>
      </c>
    </row>
    <row r="89" spans="1:21" s="137" customFormat="1">
      <c r="A89" s="132" t="s">
        <v>135</v>
      </c>
      <c r="B89" s="133" t="s">
        <v>136</v>
      </c>
      <c r="C89" s="132" t="s">
        <v>137</v>
      </c>
      <c r="D89" s="134"/>
      <c r="E89" s="135"/>
      <c r="F89" s="135">
        <v>17</v>
      </c>
      <c r="G89" s="135">
        <v>1501</v>
      </c>
      <c r="H89" s="138">
        <f t="shared" ref="H89:H95" si="35">G89*F89/1000</f>
        <v>25.516999999999999</v>
      </c>
      <c r="I89" s="37">
        <v>0</v>
      </c>
      <c r="J89" s="37">
        <f>G89*7</f>
        <v>10507</v>
      </c>
      <c r="K89" s="37">
        <f>G89*2</f>
        <v>3002</v>
      </c>
      <c r="L89" s="37">
        <v>0</v>
      </c>
      <c r="M89" s="37">
        <v>0</v>
      </c>
      <c r="N89" s="37">
        <f>G89*8</f>
        <v>12008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f t="shared" si="34"/>
        <v>25517</v>
      </c>
    </row>
    <row r="90" spans="1:21" s="137" customFormat="1" ht="12.75" customHeight="1">
      <c r="A90" s="118" t="s">
        <v>211</v>
      </c>
      <c r="B90" s="140" t="s">
        <v>156</v>
      </c>
      <c r="C90" s="118" t="s">
        <v>155</v>
      </c>
      <c r="D90" s="134"/>
      <c r="E90" s="135"/>
      <c r="F90" s="135">
        <f>1/100</f>
        <v>0.01</v>
      </c>
      <c r="G90" s="135">
        <v>29435.35</v>
      </c>
      <c r="H90" s="138">
        <f t="shared" si="35"/>
        <v>0.29435349999999999</v>
      </c>
      <c r="I90" s="37">
        <v>0</v>
      </c>
      <c r="J90" s="37">
        <v>0</v>
      </c>
      <c r="K90" s="37">
        <f>G90*F90</f>
        <v>294.3535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f t="shared" si="34"/>
        <v>294.3535</v>
      </c>
    </row>
    <row r="91" spans="1:21" s="137" customFormat="1" ht="25.5" customHeight="1">
      <c r="A91" s="118" t="s">
        <v>197</v>
      </c>
      <c r="B91" s="140" t="s">
        <v>167</v>
      </c>
      <c r="C91" s="118" t="s">
        <v>166</v>
      </c>
      <c r="D91" s="134"/>
      <c r="E91" s="135"/>
      <c r="F91" s="135">
        <f>2/100</f>
        <v>0.02</v>
      </c>
      <c r="G91" s="135">
        <v>7033.13</v>
      </c>
      <c r="H91" s="138">
        <f t="shared" si="35"/>
        <v>0.1406626</v>
      </c>
      <c r="I91" s="37">
        <v>0</v>
      </c>
      <c r="J91" s="37">
        <v>0</v>
      </c>
      <c r="K91" s="37">
        <v>0</v>
      </c>
      <c r="L91" s="37">
        <v>0</v>
      </c>
      <c r="M91" s="37">
        <f>G91*0.01</f>
        <v>70.331299999999999</v>
      </c>
      <c r="N91" s="37">
        <v>0</v>
      </c>
      <c r="O91" s="37">
        <v>0</v>
      </c>
      <c r="P91" s="37">
        <v>0</v>
      </c>
      <c r="Q91" s="37">
        <v>0</v>
      </c>
      <c r="R91" s="37">
        <f>G91*0.01</f>
        <v>70.331299999999999</v>
      </c>
      <c r="S91" s="37">
        <v>0</v>
      </c>
      <c r="T91" s="37">
        <v>0</v>
      </c>
      <c r="U91" s="37">
        <f t="shared" si="34"/>
        <v>140.6626</v>
      </c>
    </row>
    <row r="92" spans="1:21" ht="25.5" customHeight="1">
      <c r="A92" s="132" t="s">
        <v>212</v>
      </c>
      <c r="B92" s="133" t="s">
        <v>146</v>
      </c>
      <c r="C92" s="118" t="s">
        <v>147</v>
      </c>
      <c r="D92" s="24"/>
      <c r="E92" s="53"/>
      <c r="F92" s="53">
        <f>32.97/10</f>
        <v>3.2969999999999997</v>
      </c>
      <c r="G92" s="53">
        <v>5641.28</v>
      </c>
      <c r="H92" s="141">
        <f t="shared" si="35"/>
        <v>18.599300159999999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f>G92*F92</f>
        <v>18599.300159999999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f t="shared" si="34"/>
        <v>18599.300159999999</v>
      </c>
    </row>
    <row r="93" spans="1:21" ht="38.25" customHeight="1">
      <c r="A93" s="132" t="s">
        <v>215</v>
      </c>
      <c r="B93" s="133" t="s">
        <v>213</v>
      </c>
      <c r="C93" s="132" t="s">
        <v>214</v>
      </c>
      <c r="D93" s="24"/>
      <c r="E93" s="53"/>
      <c r="F93" s="53">
        <v>1</v>
      </c>
      <c r="G93" s="53">
        <v>51.39</v>
      </c>
      <c r="H93" s="154">
        <f t="shared" si="35"/>
        <v>5.1389999999999998E-2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f>G93</f>
        <v>51.39</v>
      </c>
      <c r="R93" s="37">
        <v>0</v>
      </c>
      <c r="S93" s="37">
        <v>0</v>
      </c>
      <c r="T93" s="37">
        <v>0</v>
      </c>
      <c r="U93" s="37">
        <f t="shared" si="34"/>
        <v>51.39</v>
      </c>
    </row>
    <row r="94" spans="1:21" ht="25.5" customHeight="1">
      <c r="A94" s="118" t="s">
        <v>217</v>
      </c>
      <c r="B94" s="140" t="s">
        <v>218</v>
      </c>
      <c r="C94" s="118" t="s">
        <v>216</v>
      </c>
      <c r="D94" s="24"/>
      <c r="E94" s="53"/>
      <c r="F94" s="53">
        <v>2</v>
      </c>
      <c r="G94" s="53">
        <v>574.22</v>
      </c>
      <c r="H94" s="154">
        <f t="shared" si="35"/>
        <v>1.1484400000000001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f>G94*2</f>
        <v>1148.44</v>
      </c>
      <c r="R94" s="37">
        <v>0</v>
      </c>
      <c r="S94" s="37">
        <v>0</v>
      </c>
      <c r="T94" s="37">
        <v>0</v>
      </c>
      <c r="U94" s="37">
        <f t="shared" si="34"/>
        <v>1148.44</v>
      </c>
    </row>
    <row r="95" spans="1:21" ht="12.75" customHeight="1">
      <c r="A95" s="118" t="s">
        <v>220</v>
      </c>
      <c r="B95" s="140" t="s">
        <v>219</v>
      </c>
      <c r="C95" s="118" t="s">
        <v>139</v>
      </c>
      <c r="D95" s="24"/>
      <c r="E95" s="53"/>
      <c r="F95" s="53">
        <v>1</v>
      </c>
      <c r="G95" s="53">
        <v>418.21</v>
      </c>
      <c r="H95" s="154">
        <f t="shared" si="35"/>
        <v>0.41820999999999997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f>G95</f>
        <v>418.21</v>
      </c>
      <c r="R95" s="37">
        <v>0</v>
      </c>
      <c r="S95" s="37">
        <v>0</v>
      </c>
      <c r="T95" s="37">
        <v>0</v>
      </c>
      <c r="U95" s="37">
        <f t="shared" si="34"/>
        <v>418.21</v>
      </c>
    </row>
    <row r="96" spans="1:21" ht="25.5">
      <c r="A96" s="155" t="s">
        <v>221</v>
      </c>
      <c r="B96" s="133" t="s">
        <v>134</v>
      </c>
      <c r="C96" s="121" t="s">
        <v>66</v>
      </c>
      <c r="D96" s="24"/>
      <c r="E96" s="53"/>
      <c r="F96" s="53">
        <v>3</v>
      </c>
      <c r="G96" s="53">
        <v>79.09</v>
      </c>
      <c r="H96" s="141">
        <f t="shared" ref="H96:H102" si="36">G96*F96/1000</f>
        <v>0.23727000000000001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f>G96</f>
        <v>79.09</v>
      </c>
      <c r="R96" s="37">
        <v>0</v>
      </c>
      <c r="S96" s="37">
        <v>0</v>
      </c>
      <c r="T96" s="37">
        <f>G96*2</f>
        <v>158.18</v>
      </c>
      <c r="U96" s="37">
        <f t="shared" si="34"/>
        <v>237.27</v>
      </c>
    </row>
    <row r="97" spans="1:21" ht="25.5">
      <c r="A97" s="132" t="s">
        <v>196</v>
      </c>
      <c r="B97" s="133" t="s">
        <v>222</v>
      </c>
      <c r="C97" s="118" t="s">
        <v>63</v>
      </c>
      <c r="D97" s="24"/>
      <c r="E97" s="53"/>
      <c r="F97" s="53">
        <v>0.03</v>
      </c>
      <c r="G97" s="53">
        <v>3397.65</v>
      </c>
      <c r="H97" s="154">
        <f t="shared" si="36"/>
        <v>0.10192950000000001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f>G97*0.01</f>
        <v>33.976500000000001</v>
      </c>
      <c r="R97" s="37">
        <f>G97*0.01</f>
        <v>33.976500000000001</v>
      </c>
      <c r="S97" s="37">
        <v>0</v>
      </c>
      <c r="T97" s="37">
        <f>G97*0.01</f>
        <v>33.976500000000001</v>
      </c>
      <c r="U97" s="37">
        <f t="shared" si="34"/>
        <v>101.9295</v>
      </c>
    </row>
    <row r="98" spans="1:21">
      <c r="A98" s="145" t="s">
        <v>223</v>
      </c>
      <c r="B98" s="12" t="s">
        <v>231</v>
      </c>
      <c r="C98" s="27" t="s">
        <v>66</v>
      </c>
      <c r="D98" s="24"/>
      <c r="E98" s="53"/>
      <c r="F98" s="53">
        <v>1</v>
      </c>
      <c r="G98" s="53">
        <v>81.73</v>
      </c>
      <c r="H98" s="154">
        <f t="shared" si="36"/>
        <v>8.1729999999999997E-2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f>G98</f>
        <v>81.73</v>
      </c>
      <c r="R98" s="37">
        <v>0</v>
      </c>
      <c r="S98" s="37">
        <v>0</v>
      </c>
      <c r="T98" s="37">
        <v>0</v>
      </c>
      <c r="U98" s="37">
        <f t="shared" si="34"/>
        <v>81.73</v>
      </c>
    </row>
    <row r="99" spans="1:21" ht="25.5" customHeight="1">
      <c r="A99" s="158" t="s">
        <v>232</v>
      </c>
      <c r="B99" s="159" t="s">
        <v>235</v>
      </c>
      <c r="C99" s="158" t="s">
        <v>234</v>
      </c>
      <c r="D99" s="24"/>
      <c r="E99" s="53"/>
      <c r="F99" s="53">
        <v>16</v>
      </c>
      <c r="G99" s="53">
        <v>1272</v>
      </c>
      <c r="H99" s="157">
        <f t="shared" si="36"/>
        <v>20.352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f>G99*16</f>
        <v>20352</v>
      </c>
      <c r="S99" s="37">
        <v>0</v>
      </c>
      <c r="T99" s="37">
        <v>0</v>
      </c>
      <c r="U99" s="37">
        <f t="shared" si="34"/>
        <v>20352</v>
      </c>
    </row>
    <row r="100" spans="1:21" ht="25.5" customHeight="1">
      <c r="A100" s="158" t="s">
        <v>232</v>
      </c>
      <c r="B100" s="159" t="s">
        <v>233</v>
      </c>
      <c r="C100" s="158" t="s">
        <v>234</v>
      </c>
      <c r="D100" s="24"/>
      <c r="E100" s="53"/>
      <c r="F100" s="53">
        <v>16</v>
      </c>
      <c r="G100" s="53">
        <v>1187</v>
      </c>
      <c r="H100" s="157">
        <f t="shared" ref="H100" si="37">G100*F100/1000</f>
        <v>18.992000000000001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f>G100*16</f>
        <v>18992</v>
      </c>
      <c r="S100" s="37">
        <v>0</v>
      </c>
      <c r="T100" s="37">
        <v>0</v>
      </c>
      <c r="U100" s="37">
        <f t="shared" si="34"/>
        <v>18992</v>
      </c>
    </row>
    <row r="101" spans="1:21" ht="25.5">
      <c r="A101" s="155" t="s">
        <v>225</v>
      </c>
      <c r="B101" s="133" t="s">
        <v>138</v>
      </c>
      <c r="C101" s="121" t="s">
        <v>139</v>
      </c>
      <c r="D101" s="24"/>
      <c r="E101" s="53"/>
      <c r="F101" s="53">
        <v>4</v>
      </c>
      <c r="G101" s="53">
        <v>559.62</v>
      </c>
      <c r="H101" s="141">
        <f t="shared" si="36"/>
        <v>2.23848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f>G101*(2+2)</f>
        <v>2238.48</v>
      </c>
      <c r="S101" s="37">
        <v>0</v>
      </c>
      <c r="T101" s="37">
        <v>0</v>
      </c>
      <c r="U101" s="37">
        <f t="shared" si="34"/>
        <v>2238.48</v>
      </c>
    </row>
    <row r="102" spans="1:21" ht="25.5">
      <c r="A102" s="132" t="s">
        <v>227</v>
      </c>
      <c r="B102" s="133" t="s">
        <v>228</v>
      </c>
      <c r="C102" s="132" t="s">
        <v>139</v>
      </c>
      <c r="D102" s="24"/>
      <c r="E102" s="53"/>
      <c r="F102" s="53">
        <v>1</v>
      </c>
      <c r="G102" s="53">
        <v>195.95</v>
      </c>
      <c r="H102" s="141">
        <f t="shared" si="36"/>
        <v>0.19594999999999999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f>G102</f>
        <v>195.95</v>
      </c>
      <c r="S102" s="37">
        <v>0</v>
      </c>
      <c r="T102" s="37">
        <v>0</v>
      </c>
      <c r="U102" s="37">
        <f t="shared" si="34"/>
        <v>195.95</v>
      </c>
    </row>
    <row r="103" spans="1:21" ht="25.5">
      <c r="A103" s="132" t="s">
        <v>224</v>
      </c>
      <c r="B103" s="133" t="s">
        <v>145</v>
      </c>
      <c r="C103" s="121" t="s">
        <v>66</v>
      </c>
      <c r="D103" s="24"/>
      <c r="E103" s="53"/>
      <c r="F103" s="53">
        <v>1</v>
      </c>
      <c r="G103" s="53">
        <v>180.15</v>
      </c>
      <c r="H103" s="141">
        <f>G103*F103/1000</f>
        <v>0.18015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f>G103</f>
        <v>180.15</v>
      </c>
      <c r="S103" s="37">
        <v>0</v>
      </c>
      <c r="T103" s="37">
        <v>0</v>
      </c>
      <c r="U103" s="37">
        <f t="shared" si="34"/>
        <v>180.15</v>
      </c>
    </row>
    <row r="104" spans="1:21" ht="25.5">
      <c r="A104" s="132" t="s">
        <v>227</v>
      </c>
      <c r="B104" s="133" t="s">
        <v>226</v>
      </c>
      <c r="C104" s="132" t="s">
        <v>139</v>
      </c>
      <c r="D104" s="24"/>
      <c r="E104" s="53"/>
      <c r="F104" s="53">
        <v>2</v>
      </c>
      <c r="G104" s="53">
        <v>195.95</v>
      </c>
      <c r="H104" s="154">
        <f t="shared" ref="H104:H106" si="38">G104*F104/1000</f>
        <v>0.39189999999999997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f>G104*2</f>
        <v>391.9</v>
      </c>
      <c r="S104" s="37">
        <v>0</v>
      </c>
      <c r="T104" s="37">
        <v>0</v>
      </c>
      <c r="U104" s="37">
        <f t="shared" si="34"/>
        <v>391.9</v>
      </c>
    </row>
    <row r="105" spans="1:21">
      <c r="A105" s="156" t="s">
        <v>230</v>
      </c>
      <c r="B105" s="140" t="s">
        <v>229</v>
      </c>
      <c r="C105" s="118" t="s">
        <v>66</v>
      </c>
      <c r="D105" s="24"/>
      <c r="E105" s="53"/>
      <c r="F105" s="53">
        <v>1</v>
      </c>
      <c r="G105" s="53">
        <v>108.69</v>
      </c>
      <c r="H105" s="154">
        <f t="shared" si="38"/>
        <v>0.10868999999999999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f>G105</f>
        <v>108.69</v>
      </c>
      <c r="S105" s="37">
        <v>0</v>
      </c>
      <c r="T105" s="37">
        <v>0</v>
      </c>
      <c r="U105" s="37">
        <f t="shared" si="34"/>
        <v>108.69</v>
      </c>
    </row>
    <row r="106" spans="1:21" ht="25.5">
      <c r="A106" s="118" t="s">
        <v>240</v>
      </c>
      <c r="B106" s="140" t="s">
        <v>241</v>
      </c>
      <c r="C106" s="118" t="s">
        <v>234</v>
      </c>
      <c r="D106" s="134"/>
      <c r="E106" s="53"/>
      <c r="F106" s="53">
        <v>2</v>
      </c>
      <c r="G106" s="53">
        <v>691.86</v>
      </c>
      <c r="H106" s="161">
        <f t="shared" si="38"/>
        <v>1.3837200000000001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f>G106*2</f>
        <v>1383.72</v>
      </c>
      <c r="T106" s="37">
        <v>0</v>
      </c>
      <c r="U106" s="37">
        <f t="shared" si="34"/>
        <v>1383.72</v>
      </c>
    </row>
    <row r="107" spans="1:21" ht="25.5">
      <c r="A107" s="118" t="s">
        <v>240</v>
      </c>
      <c r="B107" s="140" t="s">
        <v>242</v>
      </c>
      <c r="C107" s="118" t="s">
        <v>234</v>
      </c>
      <c r="D107" s="134"/>
      <c r="E107" s="53"/>
      <c r="F107" s="53">
        <v>1</v>
      </c>
      <c r="G107" s="53">
        <v>635.86</v>
      </c>
      <c r="H107" s="161">
        <f t="shared" ref="H107:H108" si="39">G107*F107/1000</f>
        <v>0.63585999999999998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f>G107</f>
        <v>635.86</v>
      </c>
      <c r="T107" s="37">
        <v>0</v>
      </c>
      <c r="U107" s="37">
        <f t="shared" si="34"/>
        <v>635.86</v>
      </c>
    </row>
    <row r="108" spans="1:21">
      <c r="A108" s="118" t="s">
        <v>243</v>
      </c>
      <c r="B108" s="140" t="s">
        <v>244</v>
      </c>
      <c r="C108" s="118" t="s">
        <v>66</v>
      </c>
      <c r="D108" s="24"/>
      <c r="E108" s="53"/>
      <c r="F108" s="53">
        <v>1</v>
      </c>
      <c r="G108" s="53">
        <v>22</v>
      </c>
      <c r="H108" s="161">
        <f t="shared" si="39"/>
        <v>2.1999999999999999E-2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f>G108</f>
        <v>22</v>
      </c>
      <c r="T108" s="37">
        <v>0</v>
      </c>
      <c r="U108" s="37">
        <f t="shared" si="34"/>
        <v>22</v>
      </c>
    </row>
    <row r="109" spans="1:21">
      <c r="A109" s="118" t="s">
        <v>243</v>
      </c>
      <c r="B109" s="140" t="s">
        <v>245</v>
      </c>
      <c r="C109" s="118" t="s">
        <v>66</v>
      </c>
      <c r="D109" s="24"/>
      <c r="E109" s="53"/>
      <c r="F109" s="53">
        <v>1</v>
      </c>
      <c r="G109" s="53">
        <v>22</v>
      </c>
      <c r="H109" s="161">
        <f t="shared" ref="H109:H110" si="40">G109*F109/1000</f>
        <v>2.1999999999999999E-2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f>G109</f>
        <v>22</v>
      </c>
      <c r="T109" s="37">
        <v>0</v>
      </c>
      <c r="U109" s="37">
        <f t="shared" ref="U109" si="41">SUM(I109:T109)</f>
        <v>22</v>
      </c>
    </row>
    <row r="110" spans="1:21">
      <c r="A110" s="118" t="s">
        <v>243</v>
      </c>
      <c r="B110" s="140" t="s">
        <v>246</v>
      </c>
      <c r="C110" s="118" t="s">
        <v>66</v>
      </c>
      <c r="D110" s="24"/>
      <c r="E110" s="53"/>
      <c r="F110" s="53">
        <v>1</v>
      </c>
      <c r="G110" s="53">
        <v>19.059999999999999</v>
      </c>
      <c r="H110" s="161">
        <f t="shared" si="40"/>
        <v>1.9059999999999997E-2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f>G110</f>
        <v>19.059999999999999</v>
      </c>
      <c r="T110" s="37">
        <v>0</v>
      </c>
      <c r="U110" s="37">
        <f t="shared" si="34"/>
        <v>19.059999999999999</v>
      </c>
    </row>
    <row r="111" spans="1:21">
      <c r="A111" s="118" t="s">
        <v>243</v>
      </c>
      <c r="B111" s="140" t="s">
        <v>247</v>
      </c>
      <c r="C111" s="118" t="s">
        <v>66</v>
      </c>
      <c r="D111" s="24"/>
      <c r="E111" s="53"/>
      <c r="F111" s="53">
        <v>1</v>
      </c>
      <c r="G111" s="53">
        <v>46</v>
      </c>
      <c r="H111" s="161">
        <f>G111*F111/1000</f>
        <v>4.5999999999999999E-2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f>G111</f>
        <v>46</v>
      </c>
      <c r="T111" s="37">
        <v>0</v>
      </c>
      <c r="U111" s="37">
        <f t="shared" si="34"/>
        <v>46</v>
      </c>
    </row>
    <row r="112" spans="1:21">
      <c r="A112" s="118" t="s">
        <v>243</v>
      </c>
      <c r="B112" s="140" t="s">
        <v>250</v>
      </c>
      <c r="C112" s="118" t="s">
        <v>66</v>
      </c>
      <c r="D112" s="24"/>
      <c r="E112" s="53"/>
      <c r="F112" s="53">
        <v>1</v>
      </c>
      <c r="G112" s="53">
        <v>12</v>
      </c>
      <c r="H112" s="161">
        <f>G112*F112/1000</f>
        <v>1.2E-2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f t="shared" ref="S112:S114" si="42">G112</f>
        <v>12</v>
      </c>
      <c r="T112" s="37">
        <v>0</v>
      </c>
      <c r="U112" s="37">
        <f t="shared" si="34"/>
        <v>12</v>
      </c>
    </row>
    <row r="113" spans="1:21">
      <c r="A113" s="118" t="s">
        <v>243</v>
      </c>
      <c r="B113" s="140" t="s">
        <v>248</v>
      </c>
      <c r="C113" s="118" t="s">
        <v>66</v>
      </c>
      <c r="D113" s="134"/>
      <c r="E113" s="53"/>
      <c r="F113" s="53">
        <v>1</v>
      </c>
      <c r="G113" s="53">
        <v>45</v>
      </c>
      <c r="H113" s="161">
        <f t="shared" ref="H113:H114" si="43">G113*F113/1000</f>
        <v>4.4999999999999998E-2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f t="shared" si="42"/>
        <v>45</v>
      </c>
      <c r="T113" s="37">
        <v>0</v>
      </c>
      <c r="U113" s="37">
        <f t="shared" si="34"/>
        <v>45</v>
      </c>
    </row>
    <row r="114" spans="1:21">
      <c r="A114" s="118" t="s">
        <v>243</v>
      </c>
      <c r="B114" s="140" t="s">
        <v>249</v>
      </c>
      <c r="C114" s="118" t="s">
        <v>66</v>
      </c>
      <c r="D114" s="24"/>
      <c r="E114" s="53"/>
      <c r="F114" s="53">
        <v>1</v>
      </c>
      <c r="G114" s="53">
        <v>62</v>
      </c>
      <c r="H114" s="161">
        <f t="shared" si="43"/>
        <v>6.2E-2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f t="shared" si="42"/>
        <v>62</v>
      </c>
      <c r="T114" s="37">
        <v>0</v>
      </c>
      <c r="U114" s="37">
        <f t="shared" si="34"/>
        <v>62</v>
      </c>
    </row>
    <row r="115" spans="1:21" s="21" customFormat="1">
      <c r="A115" s="97"/>
      <c r="B115" s="98" t="s">
        <v>103</v>
      </c>
      <c r="C115" s="97"/>
      <c r="D115" s="97"/>
      <c r="E115" s="93"/>
      <c r="F115" s="93"/>
      <c r="G115" s="93"/>
      <c r="H115" s="45">
        <f>SUM(H87:H114)</f>
        <v>121.13055575999998</v>
      </c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44">
        <f>SUM(U87:U114)</f>
        <v>121130.55575999997</v>
      </c>
    </row>
    <row r="116" spans="1:21">
      <c r="A116" s="99"/>
      <c r="B116" s="100"/>
      <c r="C116" s="99"/>
      <c r="D116" s="99"/>
      <c r="E116" s="53"/>
      <c r="F116" s="53"/>
      <c r="G116" s="53"/>
      <c r="H116" s="101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126"/>
    </row>
    <row r="117" spans="1:21" ht="12" customHeight="1">
      <c r="A117" s="88"/>
      <c r="B117" s="20" t="s">
        <v>104</v>
      </c>
      <c r="C117" s="25"/>
      <c r="D117" s="24"/>
      <c r="E117" s="53"/>
      <c r="F117" s="53"/>
      <c r="G117" s="53"/>
      <c r="H117" s="102">
        <f>H115/E118/12*1000</f>
        <v>3.9106667364016734</v>
      </c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126"/>
    </row>
    <row r="118" spans="1:21" s="21" customFormat="1">
      <c r="A118" s="103"/>
      <c r="B118" s="104" t="s">
        <v>105</v>
      </c>
      <c r="C118" s="105"/>
      <c r="D118" s="104"/>
      <c r="E118" s="153">
        <v>2581.1999999999998</v>
      </c>
      <c r="F118" s="106">
        <f>SUM(E118*12)</f>
        <v>30974.399999999998</v>
      </c>
      <c r="G118" s="107">
        <f>H84+H117</f>
        <v>23.574322659200288</v>
      </c>
      <c r="H118" s="108">
        <f>SUM(F118*G118/1000)</f>
        <v>730.20049977513338</v>
      </c>
      <c r="I118" s="93">
        <f>SUM(I11:I117)</f>
        <v>58114.432394999996</v>
      </c>
      <c r="J118" s="93">
        <f>SUM(J11:J117)</f>
        <v>62525.322394999996</v>
      </c>
      <c r="K118" s="93">
        <f t="shared" ref="K118:R118" si="44">SUM(K11:K117)</f>
        <v>53423.131004999988</v>
      </c>
      <c r="L118" s="93">
        <f t="shared" si="44"/>
        <v>65297.367504999995</v>
      </c>
      <c r="M118" s="93">
        <f t="shared" si="44"/>
        <v>105307.26830745555</v>
      </c>
      <c r="N118" s="93">
        <f t="shared" si="44"/>
        <v>66559.054643055555</v>
      </c>
      <c r="O118" s="93">
        <f t="shared" si="44"/>
        <v>35765.944483055559</v>
      </c>
      <c r="P118" s="93">
        <f t="shared" si="44"/>
        <v>41676.244483055554</v>
      </c>
      <c r="Q118" s="93">
        <f t="shared" si="44"/>
        <v>46293.898035455539</v>
      </c>
      <c r="R118" s="93">
        <f t="shared" si="44"/>
        <v>80851.862283055525</v>
      </c>
      <c r="S118" s="93">
        <f>SUM(S11:S117)</f>
        <v>52560.227504999995</v>
      </c>
      <c r="T118" s="93">
        <f>SUM(T11:T117)</f>
        <v>52210.478894999993</v>
      </c>
      <c r="U118" s="44">
        <f>U81+U115</f>
        <v>776933.97149559588</v>
      </c>
    </row>
    <row r="119" spans="1:21">
      <c r="A119" s="110"/>
      <c r="B119" s="110"/>
      <c r="C119" s="110"/>
      <c r="D119" s="110"/>
      <c r="E119" s="109"/>
      <c r="F119" s="109"/>
      <c r="G119" s="109"/>
      <c r="H119" s="109"/>
      <c r="I119" s="109"/>
      <c r="J119" s="109"/>
      <c r="K119" s="109"/>
      <c r="L119" s="109"/>
      <c r="M119" s="110"/>
      <c r="N119" s="109"/>
      <c r="O119" s="110"/>
      <c r="P119" s="110"/>
      <c r="Q119" s="110"/>
      <c r="R119" s="110"/>
      <c r="S119" s="110"/>
      <c r="T119" s="110"/>
      <c r="U119" s="110"/>
    </row>
    <row r="120" spans="1:21">
      <c r="A120" s="110"/>
      <c r="B120" s="110"/>
      <c r="C120" s="110"/>
      <c r="D120" s="110"/>
      <c r="E120" s="109"/>
      <c r="F120" s="109"/>
      <c r="G120" s="109"/>
      <c r="H120" s="109"/>
      <c r="I120" s="109"/>
      <c r="J120" s="111"/>
      <c r="K120" s="112"/>
      <c r="L120" s="111"/>
      <c r="M120" s="109"/>
      <c r="N120" s="110"/>
      <c r="O120" s="110"/>
      <c r="P120" s="110"/>
      <c r="Q120" s="110"/>
      <c r="R120" s="110"/>
      <c r="S120" s="110"/>
      <c r="T120" s="110"/>
      <c r="U120" s="110"/>
    </row>
    <row r="121" spans="1:21" ht="51.75" customHeight="1">
      <c r="A121" s="110"/>
      <c r="B121" s="117" t="s">
        <v>150</v>
      </c>
      <c r="C121" s="169">
        <v>-82880.460000000006</v>
      </c>
      <c r="D121" s="170"/>
      <c r="E121" s="170"/>
      <c r="F121" s="171"/>
      <c r="G121" s="109"/>
      <c r="H121" s="109"/>
      <c r="I121" s="109"/>
      <c r="J121" s="111"/>
      <c r="K121" s="112"/>
      <c r="L121" s="111"/>
      <c r="M121" s="109"/>
      <c r="N121" s="110"/>
      <c r="O121" s="110"/>
      <c r="P121" s="110"/>
      <c r="Q121" s="110"/>
      <c r="R121" s="110"/>
      <c r="S121" s="110"/>
      <c r="T121" s="110"/>
      <c r="U121" s="110"/>
    </row>
    <row r="122" spans="1:21" ht="33.75" customHeight="1">
      <c r="A122" s="110"/>
      <c r="B122" s="117" t="s">
        <v>151</v>
      </c>
      <c r="C122" s="173">
        <f>58006.32*12</f>
        <v>696075.84</v>
      </c>
      <c r="D122" s="174"/>
      <c r="E122" s="174"/>
      <c r="F122" s="175"/>
      <c r="G122" s="109"/>
      <c r="H122" s="109"/>
      <c r="I122" s="109"/>
      <c r="J122" s="111"/>
      <c r="K122" s="112"/>
      <c r="L122" s="111"/>
      <c r="M122" s="109"/>
      <c r="N122" s="110"/>
      <c r="O122" s="110"/>
      <c r="P122" s="110"/>
      <c r="Q122" s="110"/>
      <c r="R122" s="110"/>
      <c r="S122" s="110"/>
      <c r="T122" s="110"/>
      <c r="U122" s="110"/>
    </row>
    <row r="123" spans="1:21" ht="33.75" customHeight="1">
      <c r="A123" s="110"/>
      <c r="B123" s="117" t="s">
        <v>152</v>
      </c>
      <c r="C123" s="173">
        <f>SUM(U118-U115)</f>
        <v>655803.41573559586</v>
      </c>
      <c r="D123" s="174"/>
      <c r="E123" s="174"/>
      <c r="F123" s="175"/>
      <c r="G123" s="109"/>
      <c r="H123" s="109"/>
      <c r="I123" s="109"/>
      <c r="J123" s="111"/>
      <c r="K123" s="112"/>
      <c r="L123" s="111"/>
      <c r="M123" s="109"/>
      <c r="N123" s="110"/>
      <c r="O123" s="110"/>
      <c r="P123" s="110"/>
      <c r="Q123" s="110"/>
      <c r="R123" s="110"/>
      <c r="S123" s="110"/>
      <c r="T123" s="110"/>
      <c r="U123" s="110"/>
    </row>
    <row r="124" spans="1:21" ht="33.75" customHeight="1">
      <c r="A124" s="110"/>
      <c r="B124" s="117" t="s">
        <v>153</v>
      </c>
      <c r="C124" s="173">
        <f>SUM(U115)</f>
        <v>121130.55575999997</v>
      </c>
      <c r="D124" s="174"/>
      <c r="E124" s="174"/>
      <c r="F124" s="175"/>
      <c r="G124" s="109"/>
      <c r="H124" s="109"/>
      <c r="I124" s="109"/>
      <c r="J124" s="111"/>
      <c r="K124" s="112"/>
      <c r="L124" s="111"/>
      <c r="M124" s="109"/>
      <c r="N124" s="110"/>
      <c r="O124" s="110"/>
      <c r="P124" s="110"/>
      <c r="Q124" s="110"/>
      <c r="R124" s="110"/>
      <c r="S124" s="110"/>
      <c r="T124" s="110"/>
      <c r="U124" s="110"/>
    </row>
    <row r="125" spans="1:21" ht="23.25" customHeight="1">
      <c r="A125" s="110"/>
      <c r="B125" s="122" t="s">
        <v>154</v>
      </c>
      <c r="C125" s="169">
        <f>56756.81+46799.17+62831.45+49197.12+57241.18+49040.78+56932.33+57084.13+57552.29+50701.08+64427.96+58610.28</f>
        <v>667174.57999999996</v>
      </c>
      <c r="D125" s="170"/>
      <c r="E125" s="170"/>
      <c r="F125" s="171"/>
      <c r="I125" s="113" t="s">
        <v>118</v>
      </c>
      <c r="J125" s="114"/>
      <c r="K125" s="115"/>
      <c r="L125" s="116"/>
      <c r="M125" s="113"/>
      <c r="N125" s="113"/>
      <c r="O125" s="110"/>
      <c r="P125" s="110"/>
      <c r="Q125" s="110"/>
      <c r="R125" s="110"/>
      <c r="S125" s="110"/>
      <c r="T125" s="110"/>
      <c r="U125" s="110"/>
    </row>
    <row r="126" spans="1:21" ht="78.75">
      <c r="A126" s="110"/>
      <c r="B126" s="139" t="s">
        <v>236</v>
      </c>
      <c r="C126" s="176">
        <v>115112.46</v>
      </c>
      <c r="D126" s="177"/>
      <c r="E126" s="177"/>
      <c r="F126" s="178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</row>
    <row r="127" spans="1:21" ht="51.75" customHeight="1">
      <c r="A127" s="110"/>
      <c r="B127" s="117" t="s">
        <v>237</v>
      </c>
      <c r="C127" s="172">
        <f>SUM(U118-C122)+C121</f>
        <v>-2022.3285044040967</v>
      </c>
      <c r="D127" s="170"/>
      <c r="E127" s="170"/>
      <c r="F127" s="171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</row>
    <row r="129" spans="7:13">
      <c r="J129" s="5"/>
      <c r="K129" s="6"/>
      <c r="L129" s="6"/>
      <c r="M129" s="4"/>
    </row>
    <row r="130" spans="7:13">
      <c r="G130" s="7"/>
      <c r="H130" s="7"/>
    </row>
    <row r="131" spans="7:13">
      <c r="G131" s="8"/>
    </row>
  </sheetData>
  <mergeCells count="12">
    <mergeCell ref="C121:F121"/>
    <mergeCell ref="C127:F127"/>
    <mergeCell ref="C122:F122"/>
    <mergeCell ref="C123:F123"/>
    <mergeCell ref="C124:F124"/>
    <mergeCell ref="C125:F125"/>
    <mergeCell ref="C126:F126"/>
    <mergeCell ref="B3:L3"/>
    <mergeCell ref="B4:L4"/>
    <mergeCell ref="B5:L5"/>
    <mergeCell ref="B6:L6"/>
    <mergeCell ref="W79:Z79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Мира,5</vt:lpstr>
      <vt:lpstr>'Мира,5'!Область_печати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2017-03-02T05:45:29Z</dcterms:modified>
</cp:coreProperties>
</file>