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'Шахт.,7'!$A$1:$U$119</definedName>
  </definedNames>
  <calcPr calcId="124519"/>
  <fileRecoveryPr repairLoad="1"/>
</workbook>
</file>

<file path=xl/calcChain.xml><?xml version="1.0" encoding="utf-8"?>
<calcChain xmlns="http://schemas.openxmlformats.org/spreadsheetml/2006/main">
  <c r="U107" i="1"/>
  <c r="U106"/>
  <c r="Q106"/>
  <c r="H106"/>
  <c r="H107" s="1"/>
  <c r="U105"/>
  <c r="R105"/>
  <c r="H105"/>
  <c r="U104"/>
  <c r="P104"/>
  <c r="H104"/>
  <c r="U103"/>
  <c r="T103"/>
  <c r="H103"/>
  <c r="U102"/>
  <c r="N102"/>
  <c r="H102"/>
  <c r="U101"/>
  <c r="T101"/>
  <c r="H101"/>
  <c r="T110"/>
  <c r="S110"/>
  <c r="R110"/>
  <c r="Q110"/>
  <c r="P110"/>
  <c r="O110"/>
  <c r="N110"/>
  <c r="C116" l="1"/>
  <c r="M110"/>
  <c r="L110"/>
  <c r="K110" l="1"/>
  <c r="J110"/>
  <c r="I110"/>
  <c r="F110" l="1"/>
  <c r="H109"/>
  <c r="U100"/>
  <c r="T100"/>
  <c r="H100"/>
  <c r="U99"/>
  <c r="T99"/>
  <c r="H99"/>
  <c r="U98"/>
  <c r="T98"/>
  <c r="H98"/>
  <c r="U97"/>
  <c r="Q97"/>
  <c r="P97"/>
  <c r="O97"/>
  <c r="M97"/>
  <c r="H97"/>
  <c r="U96"/>
  <c r="K96"/>
  <c r="H96"/>
  <c r="U95"/>
  <c r="K95"/>
  <c r="H95"/>
  <c r="U94"/>
  <c r="K94"/>
  <c r="H94"/>
  <c r="U93"/>
  <c r="K93"/>
  <c r="H93"/>
  <c r="U92"/>
  <c r="N92"/>
  <c r="K92"/>
  <c r="H92"/>
  <c r="U91" s="1"/>
  <c r="I91"/>
  <c r="H91"/>
  <c r="U90" s="1"/>
  <c r="I90"/>
  <c r="H90"/>
  <c r="U89"/>
  <c r="T89"/>
  <c r="Q89"/>
  <c r="P89"/>
  <c r="N89"/>
  <c r="K89"/>
  <c r="J89"/>
  <c r="I89"/>
  <c r="H89"/>
  <c r="H86" s="1"/>
  <c r="H85" s="1"/>
  <c r="U81"/>
  <c r="T81"/>
  <c r="S81"/>
  <c r="R81"/>
  <c r="Q81"/>
  <c r="P81"/>
  <c r="O81"/>
  <c r="N81"/>
  <c r="M81"/>
  <c r="L81"/>
  <c r="K81"/>
  <c r="J81"/>
  <c r="I81" l="1"/>
  <c r="H81"/>
  <c r="F81"/>
  <c r="E81"/>
  <c r="U80" s="1"/>
  <c r="H80" s="1"/>
  <c r="U79"/>
  <c r="T79"/>
  <c r="S79"/>
  <c r="R79"/>
  <c r="Q79"/>
  <c r="P79"/>
  <c r="O79"/>
  <c r="N79"/>
  <c r="M79"/>
  <c r="L79"/>
  <c r="K79"/>
  <c r="J79"/>
  <c r="I79"/>
  <c r="H79"/>
  <c r="F79"/>
  <c r="U78"/>
  <c r="N78"/>
  <c r="H78"/>
  <c r="F78"/>
  <c r="H77"/>
  <c r="U76"/>
  <c r="H76"/>
  <c r="U74" s="1"/>
  <c r="T74"/>
  <c r="I74"/>
  <c r="H74"/>
  <c r="U73"/>
  <c r="U77" l="1"/>
  <c r="U83" s="1"/>
  <c r="H83" s="1"/>
  <c r="U82" s="1"/>
  <c r="H82" s="1"/>
  <c r="H73"/>
  <c r="U72"/>
  <c r="R72"/>
  <c r="I72"/>
  <c r="H72"/>
  <c r="U70"/>
  <c r="Q70"/>
  <c r="H70"/>
  <c r="U69"/>
  <c r="M69"/>
  <c r="H69" s="1"/>
  <c r="F69"/>
  <c r="U68"/>
  <c r="M68"/>
  <c r="H68" s="1"/>
  <c r="F68"/>
  <c r="U67"/>
  <c r="M67"/>
  <c r="H67" s="1"/>
  <c r="F67"/>
  <c r="U66"/>
  <c r="M66"/>
  <c r="H66" s="1"/>
  <c r="F66"/>
  <c r="U65"/>
  <c r="M65"/>
  <c r="H65" s="1"/>
  <c r="F65"/>
  <c r="U64"/>
  <c r="H64"/>
  <c r="U63"/>
  <c r="R63"/>
  <c r="H63"/>
  <c r="U61" s="1"/>
  <c r="T61"/>
  <c r="S61"/>
  <c r="R61"/>
  <c r="Q61"/>
  <c r="P61"/>
  <c r="O61"/>
  <c r="N61"/>
  <c r="M61"/>
  <c r="L61"/>
  <c r="K61"/>
  <c r="J61" s="1"/>
  <c r="I61"/>
  <c r="H61"/>
  <c r="F61"/>
  <c r="U60"/>
  <c r="H60"/>
  <c r="U58"/>
  <c r="J58" s="1"/>
  <c r="H58"/>
  <c r="F58"/>
  <c r="U57" s="1"/>
  <c r="I57"/>
  <c r="H57"/>
  <c r="U56" l="1"/>
  <c r="T56"/>
  <c r="S56"/>
  <c r="L56"/>
  <c r="K56"/>
  <c r="J56"/>
  <c r="I56"/>
  <c r="H56"/>
  <c r="F56"/>
  <c r="U55" s="1"/>
  <c r="T55"/>
  <c r="S55"/>
  <c r="L55"/>
  <c r="K55"/>
  <c r="J55" s="1"/>
  <c r="I55"/>
  <c r="H55"/>
  <c r="F55"/>
  <c r="U53" s="1"/>
  <c r="H53" s="1"/>
  <c r="U52"/>
  <c r="Q52"/>
  <c r="M52"/>
  <c r="J52"/>
  <c r="H52"/>
  <c r="F52"/>
  <c r="U51"/>
  <c r="Q51"/>
  <c r="M51"/>
  <c r="J51"/>
  <c r="H51" s="1"/>
  <c r="F51"/>
  <c r="U50" l="1"/>
  <c r="Q50"/>
  <c r="J50"/>
  <c r="H50"/>
  <c r="U49"/>
  <c r="Q49"/>
  <c r="K49"/>
  <c r="H49" s="1"/>
  <c r="F49"/>
  <c r="U48"/>
  <c r="Q48"/>
  <c r="K48"/>
  <c r="H48" s="1"/>
  <c r="F48"/>
  <c r="U47"/>
  <c r="T47"/>
  <c r="Q47"/>
  <c r="M47"/>
  <c r="L47"/>
  <c r="J47"/>
  <c r="I47"/>
  <c r="H47"/>
  <c r="F47"/>
  <c r="U46"/>
  <c r="Q46"/>
  <c r="L46"/>
  <c r="H46" s="1"/>
  <c r="F46"/>
  <c r="U45"/>
  <c r="Q45"/>
  <c r="L45"/>
  <c r="H45" s="1"/>
  <c r="F45"/>
  <c r="U44"/>
  <c r="Q44"/>
  <c r="L44"/>
  <c r="H44"/>
  <c r="F44"/>
  <c r="U43"/>
  <c r="Q43"/>
  <c r="L43"/>
  <c r="H43" s="1"/>
  <c r="F43"/>
  <c r="U41" s="1"/>
  <c r="H41" s="1"/>
  <c r="U40" s="1"/>
  <c r="T40"/>
  <c r="S40"/>
  <c r="L40"/>
  <c r="K40"/>
  <c r="J40"/>
  <c r="I40"/>
  <c r="H40"/>
  <c r="U39"/>
  <c r="T39"/>
  <c r="S39"/>
  <c r="L39"/>
  <c r="K39"/>
  <c r="J39"/>
  <c r="I39"/>
  <c r="H39"/>
  <c r="F39"/>
  <c r="U38"/>
  <c r="T38"/>
  <c r="S38"/>
  <c r="L38"/>
  <c r="K38"/>
  <c r="J38"/>
  <c r="I38"/>
  <c r="H38"/>
  <c r="F38"/>
  <c r="U37" s="1"/>
  <c r="T37"/>
  <c r="S37"/>
  <c r="L37"/>
  <c r="K37"/>
  <c r="J37" s="1"/>
  <c r="I37"/>
  <c r="H37"/>
  <c r="F37"/>
  <c r="U36"/>
  <c r="K36"/>
  <c r="H36"/>
  <c r="U35"/>
  <c r="T35"/>
  <c r="S35"/>
  <c r="L35"/>
  <c r="K35"/>
  <c r="J35"/>
  <c r="I35" l="1"/>
  <c r="H35" l="1"/>
  <c r="F35"/>
  <c r="U34" s="1"/>
  <c r="T34"/>
  <c r="S34"/>
  <c r="L34"/>
  <c r="K34"/>
  <c r="J34" s="1"/>
  <c r="I34"/>
  <c r="H34"/>
  <c r="F34"/>
  <c r="U33" s="1"/>
  <c r="T33"/>
  <c r="S33"/>
  <c r="L33"/>
  <c r="K33"/>
  <c r="J33"/>
  <c r="I33"/>
  <c r="H33"/>
  <c r="U31" s="1"/>
  <c r="H31" s="1"/>
  <c r="U30" s="1"/>
  <c r="T30"/>
  <c r="S30"/>
  <c r="R30"/>
  <c r="Q30"/>
  <c r="P30"/>
  <c r="O30"/>
  <c r="N30"/>
  <c r="M30"/>
  <c r="L30"/>
  <c r="K30"/>
  <c r="J30" s="1"/>
  <c r="I30"/>
  <c r="H30"/>
  <c r="F30"/>
  <c r="U29"/>
  <c r="H29"/>
  <c r="U28"/>
  <c r="H28"/>
  <c r="U27"/>
  <c r="T27"/>
  <c r="S27"/>
  <c r="R27"/>
  <c r="Q27"/>
  <c r="P27"/>
  <c r="O27"/>
  <c r="N27"/>
  <c r="M27"/>
  <c r="L27"/>
  <c r="K27"/>
  <c r="J27"/>
  <c r="I27"/>
  <c r="H27"/>
  <c r="F27"/>
  <c r="U26" s="1"/>
  <c r="R26"/>
  <c r="Q26"/>
  <c r="P26"/>
  <c r="O26"/>
  <c r="N26"/>
  <c r="M26"/>
  <c r="H26"/>
  <c r="F26"/>
  <c r="U25"/>
  <c r="R25"/>
  <c r="Q25"/>
  <c r="P25"/>
  <c r="O25"/>
  <c r="N25"/>
  <c r="M25"/>
  <c r="H25"/>
  <c r="U24"/>
  <c r="M24"/>
  <c r="H24" s="1"/>
  <c r="F24"/>
  <c r="U23"/>
  <c r="R23"/>
  <c r="Q23"/>
  <c r="P23"/>
  <c r="O23"/>
  <c r="N23"/>
  <c r="M23"/>
  <c r="H23" s="1"/>
  <c r="F23"/>
  <c r="U22"/>
  <c r="R22"/>
  <c r="Q22"/>
  <c r="P22"/>
  <c r="O22"/>
  <c r="N22"/>
  <c r="M22"/>
  <c r="H22" s="1"/>
  <c r="F22"/>
  <c r="U20" l="1"/>
  <c r="H20"/>
  <c r="U19"/>
  <c r="N19"/>
  <c r="H19" s="1"/>
  <c r="F19"/>
  <c r="U18"/>
  <c r="N18"/>
  <c r="H18"/>
  <c r="F18"/>
  <c r="U17"/>
  <c r="N17"/>
  <c r="H17"/>
  <c r="F17"/>
  <c r="U16"/>
  <c r="N16"/>
  <c r="H16"/>
  <c r="F16"/>
  <c r="U15"/>
  <c r="N15"/>
  <c r="H15"/>
  <c r="F15"/>
  <c r="U14"/>
  <c r="N14"/>
  <c r="H14"/>
  <c r="F14" l="1"/>
  <c r="U13"/>
  <c r="T13"/>
  <c r="S13"/>
  <c r="R13"/>
  <c r="Q13"/>
  <c r="P13"/>
  <c r="O13"/>
  <c r="N13"/>
  <c r="M13"/>
  <c r="L13"/>
  <c r="K13"/>
  <c r="J13"/>
  <c r="I13"/>
  <c r="H13"/>
  <c r="F13" s="1"/>
  <c r="E13"/>
  <c r="U12"/>
  <c r="T12"/>
  <c r="S12"/>
  <c r="R12"/>
  <c r="Q12"/>
  <c r="P12"/>
  <c r="O12"/>
  <c r="N12"/>
  <c r="M12"/>
  <c r="L12"/>
  <c r="K12"/>
  <c r="J12"/>
  <c r="I12" l="1"/>
  <c r="H12"/>
  <c r="F12"/>
  <c r="U11"/>
  <c r="T11"/>
  <c r="S11"/>
  <c r="R11"/>
  <c r="Q11"/>
  <c r="P11"/>
  <c r="O11"/>
  <c r="N11"/>
  <c r="M11"/>
  <c r="L11"/>
  <c r="K11"/>
  <c r="J11"/>
  <c r="I11"/>
  <c r="H11"/>
  <c r="F11"/>
  <c r="G110"/>
  <c r="H110" s="1"/>
  <c r="U110"/>
  <c r="C115" s="1"/>
  <c r="C119" l="1"/>
</calcChain>
</file>

<file path=xl/sharedStrings.xml><?xml version="1.0" encoding="utf-8"?>
<sst xmlns="http://schemas.openxmlformats.org/spreadsheetml/2006/main" count="327" uniqueCount="239">
  <si>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</si>
  <si>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</si>
  <si>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</si>
  <si>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</si>
  <si>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</si>
  <si>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</si>
  <si>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</si>
  <si>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</si>
  <si>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</si>
  <si>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</si>
  <si>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</si>
  <si>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</si>
  <si>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</si>
  <si>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</si>
  <si>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</si>
  <si>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</si>
  <si>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</si>
  <si>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</si>
  <si>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</si>
  <si>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</si>
  <si>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</si>
  <si>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</si>
  <si>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</si>
  <si>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</si>
  <si>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</si>
  <si>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</si>
  <si>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</si>
  <si>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</si>
  <si>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</si>
  <si>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</si>
  <si>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</si>
  <si>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</si>
  <si>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</si>
  <si>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</si>
  <si>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</si>
  <si>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</si>
  <si>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</si>
  <si>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</si>
  <si>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</si>
  <si>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</si>
  <si>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</si>
  <si>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</si>
  <si>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</si>
  <si>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</si>
  <si>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</si>
  <si>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</si>
  <si>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</si>
  <si>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</si>
  <si>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</si>
  <si>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</si>
  <si>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</si>
  <si>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</si>
  <si>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</si>
  <si>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</si>
  <si>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</si>
  <si>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</si>
  <si>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</si>
  <si>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</si>
  <si>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</si>
  <si>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</si>
  <si>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</si>
  <si>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</si>
  <si>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</si>
  <si>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</si>
  <si>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</si>
  <si>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</si>
  <si>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</si>
  <si>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</si>
  <si>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</si>
  <si>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</si>
  <si>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</si>
  <si>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</si>
  <si>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</si>
  <si>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</si>
  <si>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</si>
  <si>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</si>
  <si>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</si>
  <si>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</si>
  <si>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</si>
  <si>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</si>
  <si>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</si>
  <si>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</si>
  <si>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</si>
  <si>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</si>
  <si>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</si>
  <si>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</si>
  <si>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</si>
  <si>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</si>
  <si>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</si>
  <si>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</si>
  <si>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</si>
  <si>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</si>
  <si>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</si>
  <si>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</si>
  <si>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</si>
  <si>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</si>
  <si>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</si>
  <si>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</si>
  <si>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</si>
  <si>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</si>
  <si>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</si>
  <si>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</si>
  <si>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</si>
  <si>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</si>
  <si>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</si>
  <si>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</si>
  <si>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</si>
  <si>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</si>
  <si>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</si>
  <si>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</si>
  <si>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</si>
  <si>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</si>
  <si>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</si>
  <si>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</si>
  <si>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</si>
  <si>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</si>
  <si>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</si>
  <si>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</si>
  <si>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</si>
  <si>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</si>
  <si>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</si>
  <si>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</si>
  <si>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</si>
  <si>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</si>
  <si>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</si>
  <si>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</si>
  <si>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</si>
  <si>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</si>
  <si>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</si>
  <si>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</si>
  <si>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</si>
  <si>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</si>
  <si>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</si>
  <si>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</si>
  <si>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</si>
  <si>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</si>
  <si>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</si>
  <si>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</si>
  <si>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</si>
  <si>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</si>
  <si>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</si>
  <si>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</si>
  <si>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</si>
  <si>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</si>
  <si>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</si>
  <si>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</si>
  <si>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</si>
  <si>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</si>
  <si>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</si>
  <si>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</si>
  <si>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</si>
  <si>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</si>
  <si>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</si>
  <si>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</si>
  <si>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калькуляция</t>
  </si>
  <si>
    <t>маш/час</t>
  </si>
  <si>
    <t>1 раз в месяц</t>
  </si>
  <si>
    <t>ТЭР 55-003</t>
  </si>
  <si>
    <t>Очистка урн от мусора</t>
  </si>
  <si>
    <t>Дератизация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</si>
  <si>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</si>
  <si>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</si>
  <si>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</si>
  <si>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</si>
  <si>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ТЭР 42-002</t>
  </si>
  <si>
    <t>Осмотр рулонной кровли</t>
  </si>
  <si>
    <t>2-1-1а</t>
  </si>
  <si>
    <t>Проверка дымоходов</t>
  </si>
  <si>
    <t>4 раза в год</t>
  </si>
  <si>
    <t xml:space="preserve"> Очистка оголовков дымоходов и вентканалов от наледи и снега</t>
  </si>
  <si>
    <t xml:space="preserve">2 раза в месяц  </t>
  </si>
  <si>
    <t>ТЭР 31-066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</si>
  <si>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</si>
  <si>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</si>
  <si>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</si>
  <si>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</si>
  <si>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</si>
  <si>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>ТЭР 33-030</t>
  </si>
  <si>
    <t>Работа автовышки</t>
  </si>
  <si>
    <t>Баланс выполненных работ на 01.01.2015 г. ( -долг за предприятием, +долг за населением)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</si>
  <si>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</si>
  <si>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</si>
  <si>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</si>
  <si>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</si>
  <si>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</si>
  <si>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</si>
  <si>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</si>
  <si>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</si>
  <si>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</si>
  <si>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</si>
  <si>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</si>
  <si>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</si>
  <si>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и регулировка доводчика (со стоимостью доводчика)</t>
  </si>
  <si>
    <t>1шт.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</si>
  <si>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 6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</si>
  <si>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6 подъездов</t>
  </si>
  <si>
    <t>Стоимость (руб.)</t>
  </si>
  <si>
    <t>договор</t>
  </si>
  <si>
    <t>ТО внутридомового газ.оборудования</t>
  </si>
  <si>
    <t>10 м</t>
  </si>
  <si>
    <t>Ремонт силового предохранительного шкафа (без стоимости материалов)</t>
  </si>
  <si>
    <t>ТЭР 33-032</t>
  </si>
  <si>
    <t>Подключение и отключение сварочного аппарата</t>
  </si>
  <si>
    <t>ТЭР 33-060</t>
  </si>
  <si>
    <t>Смена арматуры - вентилей и клапанов обратных муфтовых диаметром до 20 мм</t>
  </si>
  <si>
    <t>1 шт</t>
  </si>
  <si>
    <t>ТЭР 32-027</t>
  </si>
  <si>
    <t>Смена дверных приборов /замки навесные)</t>
  </si>
  <si>
    <t>ТЭР 15-051</t>
  </si>
  <si>
    <t>Укрепление оконных и дверных приборов - пружин, ручек, петель, шпингалетов</t>
  </si>
  <si>
    <t>ТЭР 15-046</t>
  </si>
  <si>
    <t>Выполнение        май</t>
  </si>
  <si>
    <t>Внеплановый осмотр электросетей, арматуры и электрооборудования на лестничных клетках</t>
  </si>
  <si>
    <t>С учетом показателя инфляции      ( К=1,064)</t>
  </si>
  <si>
    <t>Начислено за содержание и текущий ремонт за 2015  г.</t>
  </si>
  <si>
    <t>Выполнено работ по содержанию за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</si>
  <si>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</si>
  <si>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</si>
  <si>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</si>
  <si>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 ( -долг за предприятием, +долг за населением)</t>
  </si>
  <si>
    <t>Техническое обслуживание ГРЩ 5-этажных жилых домов</t>
  </si>
  <si>
    <t>ТЭР 33-054</t>
  </si>
  <si>
    <t>Ремонт предохранительных колодок</t>
  </si>
  <si>
    <t>ТЭР 33-038</t>
  </si>
  <si>
    <t>Смена плавкой вставки</t>
  </si>
  <si>
    <t>ТЭР 33-041</t>
  </si>
  <si>
    <t>Q2-2-1-3-3</t>
  </si>
  <si>
    <t>Мелкий ремонт электропроводки</t>
  </si>
  <si>
    <t>1 м</t>
  </si>
  <si>
    <t>Смена дверных приборов - пружины</t>
  </si>
  <si>
    <t>ТЭР 15-018</t>
  </si>
  <si>
    <t>прим. ТЭР 17-061</t>
  </si>
  <si>
    <t>Смена обделок из листовой стали, примыканий к вытяжным трубам (наращивание вент.трубы)</t>
  </si>
  <si>
    <t xml:space="preserve">Смена сгонов у трубопроводов диаметром до 20 мм </t>
  </si>
  <si>
    <t>1 сгон</t>
  </si>
  <si>
    <t>ТЭР 31-009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</si>
  <si>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</si>
  <si>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</si>
  <si>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прим.2-2-1-2-7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</si>
</sst>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4" borderId="16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23"/>
  <sheetViews>
    <sheetView tabSelected="1" view="pageBreakPreview" zoomScaleNormal="75" zoomScaleSheetLayoutView="100" workbookViewId="0">
      <pane ySplit="7" topLeftCell="A97" activePane="bottomLeft" state="frozen"/>
      <selection activeCell="B1" sqref="B1"/>
      <selection pane="bottomLeft" activeCell="P74" sqref="P74"/>
    </sheetView>
  </sheetViews>
  <sheetFormatPr defaultRowHeight="12.75"/>
  <cols>
    <col min="1" max="1" width="12.42578125" customWidth="1"/>
    <col min="2" max="2" width="42.710937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10" width="10.42578125" customWidth="1"/>
    <col min="11" max="11" width="9.5703125" customWidth="1"/>
    <col min="12" max="12" width="9.85546875" customWidth="1"/>
    <col min="13" max="13" width="10.42578125" customWidth="1"/>
    <col min="14" max="15" width="9.85546875" customWidth="1"/>
    <col min="16" max="16" width="10" customWidth="1"/>
    <col min="17" max="17" width="10.140625" customWidth="1"/>
    <col min="18" max="18" width="9.42578125" customWidth="1"/>
    <col min="19" max="19" width="9.5703125" customWidth="1"/>
    <col min="20" max="20" width="10.28515625" customWidth="1"/>
    <col min="21" max="21" width="12.42578125" customWidth="1"/>
  </cols>
  <sheetData>
    <row r="1" spans="1:21" ht="14.25" customHeight="1">
      <c r="A1" s="10"/>
    </row>
    <row r="3" spans="1:21" ht="18">
      <c r="A3" s="140"/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72"/>
      <c r="N3" s="72"/>
      <c r="O3" s="72"/>
      <c r="P3" s="72"/>
      <c r="Q3" s="72"/>
      <c r="R3" s="72"/>
      <c r="S3" s="72"/>
      <c r="T3" s="72"/>
      <c r="U3" s="72"/>
    </row>
    <row r="4" spans="1:21" ht="34.5" customHeight="1">
      <c r="A4" s="72"/>
      <c r="B4" s="156" t="s">
        <v>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72"/>
      <c r="N4" s="72"/>
      <c r="O4" s="72"/>
      <c r="P4" s="72"/>
      <c r="Q4" s="72"/>
      <c r="R4" s="72"/>
      <c r="S4" s="72"/>
      <c r="T4" s="72"/>
      <c r="U4" s="72"/>
    </row>
    <row r="5" spans="1:21" ht="18">
      <c r="A5" s="72"/>
      <c r="B5" s="156" t="s">
        <v>194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72"/>
      <c r="N5" s="72"/>
      <c r="O5" s="72"/>
      <c r="P5" s="72"/>
      <c r="Q5" s="72"/>
      <c r="R5" s="72"/>
      <c r="S5" s="72"/>
      <c r="T5" s="72"/>
      <c r="U5" s="72"/>
    </row>
    <row r="6" spans="1:21" ht="15">
      <c r="A6" s="72"/>
      <c r="B6" s="157" t="s">
        <v>195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72"/>
      <c r="N6" s="72"/>
      <c r="O6" s="72"/>
      <c r="P6" s="72"/>
      <c r="Q6" s="72"/>
      <c r="R6" s="72"/>
      <c r="S6" s="72"/>
      <c r="T6" s="72"/>
      <c r="U6" s="72"/>
    </row>
    <row r="7" spans="1:21" ht="54.75" customHeight="1">
      <c r="A7" s="30" t="s">
        <v>2</v>
      </c>
      <c r="B7" s="30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8</v>
      </c>
      <c r="H7" s="31" t="s">
        <v>9</v>
      </c>
      <c r="I7" s="29" t="s">
        <v>180</v>
      </c>
      <c r="J7" s="29" t="s">
        <v>181</v>
      </c>
      <c r="K7" s="29" t="s">
        <v>182</v>
      </c>
      <c r="L7" s="29" t="s">
        <v>183</v>
      </c>
      <c r="M7" s="29" t="s">
        <v>211</v>
      </c>
      <c r="N7" s="29" t="s">
        <v>184</v>
      </c>
      <c r="O7" s="29" t="s">
        <v>185</v>
      </c>
      <c r="P7" s="29" t="s">
        <v>186</v>
      </c>
      <c r="Q7" s="29" t="s">
        <v>187</v>
      </c>
      <c r="R7" s="29" t="s">
        <v>188</v>
      </c>
      <c r="S7" s="29" t="s">
        <v>189</v>
      </c>
      <c r="T7" s="29" t="s">
        <v>190</v>
      </c>
      <c r="U7" s="29" t="s">
        <v>196</v>
      </c>
    </row>
    <row r="8" spans="1:21">
      <c r="A8" s="32">
        <v>1</v>
      </c>
      <c r="B8" s="7">
        <v>2</v>
      </c>
      <c r="C8" s="32">
        <v>3</v>
      </c>
      <c r="D8" s="7">
        <v>4</v>
      </c>
      <c r="E8" s="7">
        <v>5</v>
      </c>
      <c r="F8" s="32">
        <v>6</v>
      </c>
      <c r="G8" s="32">
        <v>7</v>
      </c>
      <c r="H8" s="141">
        <v>8</v>
      </c>
      <c r="I8" s="142">
        <v>10</v>
      </c>
      <c r="J8" s="142">
        <v>11</v>
      </c>
      <c r="K8" s="142">
        <v>12</v>
      </c>
      <c r="L8" s="142">
        <v>13</v>
      </c>
      <c r="M8" s="143">
        <v>14</v>
      </c>
      <c r="N8" s="142">
        <v>15</v>
      </c>
      <c r="O8" s="142">
        <v>16</v>
      </c>
      <c r="P8" s="142">
        <v>17</v>
      </c>
      <c r="Q8" s="142">
        <v>18</v>
      </c>
      <c r="R8" s="142">
        <v>19</v>
      </c>
      <c r="S8" s="142">
        <v>20</v>
      </c>
      <c r="T8" s="142">
        <v>21</v>
      </c>
      <c r="U8" s="142">
        <v>22</v>
      </c>
    </row>
    <row r="9" spans="1:21" ht="38.25">
      <c r="A9" s="32"/>
      <c r="B9" s="9" t="s">
        <v>10</v>
      </c>
      <c r="C9" s="32"/>
      <c r="D9" s="11"/>
      <c r="E9" s="11"/>
      <c r="F9" s="32"/>
      <c r="G9" s="32"/>
      <c r="H9" s="33"/>
      <c r="I9" s="34"/>
      <c r="J9" s="34"/>
      <c r="K9" s="34"/>
      <c r="L9" s="34"/>
      <c r="M9" s="35"/>
      <c r="N9" s="36"/>
      <c r="O9" s="36"/>
      <c r="P9" s="36"/>
      <c r="Q9" s="36"/>
      <c r="R9" s="36"/>
      <c r="S9" s="36"/>
      <c r="T9" s="36"/>
      <c r="U9" s="36"/>
    </row>
    <row r="10" spans="1:21">
      <c r="A10" s="32"/>
      <c r="B10" s="9" t="s">
        <v>11</v>
      </c>
      <c r="C10" s="32"/>
      <c r="D10" s="11"/>
      <c r="E10" s="11"/>
      <c r="F10" s="32"/>
      <c r="G10" s="32"/>
      <c r="H10" s="33"/>
      <c r="I10" s="34"/>
      <c r="J10" s="34"/>
      <c r="K10" s="34"/>
      <c r="L10" s="34"/>
      <c r="M10" s="35"/>
      <c r="N10" s="36"/>
      <c r="O10" s="36"/>
      <c r="P10" s="36"/>
      <c r="Q10" s="36"/>
      <c r="R10" s="36"/>
      <c r="S10" s="36"/>
      <c r="T10" s="36"/>
      <c r="U10" s="36"/>
    </row>
    <row r="11" spans="1:21" ht="25.5">
      <c r="A11" s="32" t="s">
        <v>12</v>
      </c>
      <c r="B11" s="11" t="s">
        <v>13</v>
      </c>
      <c r="C11" s="32" t="s">
        <v>14</v>
      </c>
      <c r="D11" s="11" t="s">
        <v>15</v>
      </c>
      <c r="E11" s="37">
        <v>95.04</v>
      </c>
      <c r="F11" s="38">
        <f>SUM(E11*156/100)</f>
        <v>148.26240000000001</v>
      </c>
      <c r="G11" s="38">
        <v>187.48</v>
      </c>
      <c r="H11" s="39">
        <f t="shared" ref="H11:H19" si="0">SUM(F11*G11/1000)</f>
        <v>27.796234752</v>
      </c>
      <c r="I11" s="40">
        <f>F11/12*G11</f>
        <v>2316.3528960000003</v>
      </c>
      <c r="J11" s="40">
        <f>F11/12*G11</f>
        <v>2316.3528960000003</v>
      </c>
      <c r="K11" s="40">
        <f>F11/12*G11</f>
        <v>2316.3528960000003</v>
      </c>
      <c r="L11" s="40">
        <f>F11/12*G11</f>
        <v>2316.3528960000003</v>
      </c>
      <c r="M11" s="40">
        <f>F11/12*G11</f>
        <v>2316.3528960000003</v>
      </c>
      <c r="N11" s="40">
        <f>F11/12*G11</f>
        <v>2316.3528960000003</v>
      </c>
      <c r="O11" s="40">
        <f>F11/12*G11</f>
        <v>2316.3528960000003</v>
      </c>
      <c r="P11" s="40">
        <f>F11/12*G11</f>
        <v>2316.3528960000003</v>
      </c>
      <c r="Q11" s="40">
        <f>F11/12*G11</f>
        <v>2316.3528960000003</v>
      </c>
      <c r="R11" s="40">
        <f>F11/12*G11</f>
        <v>2316.3528960000003</v>
      </c>
      <c r="S11" s="40">
        <f>F11/12*G11</f>
        <v>2316.3528960000003</v>
      </c>
      <c r="T11" s="40">
        <f>F11/12*G11</f>
        <v>2316.3528960000003</v>
      </c>
      <c r="U11" s="40">
        <f t="shared" ref="U11:U19" si="1">SUM(I11:T11)</f>
        <v>27796.234752000004</v>
      </c>
    </row>
    <row r="12" spans="1:21" ht="25.5">
      <c r="A12" s="32" t="s">
        <v>12</v>
      </c>
      <c r="B12" s="11" t="s">
        <v>16</v>
      </c>
      <c r="C12" s="32" t="s">
        <v>14</v>
      </c>
      <c r="D12" s="11" t="s">
        <v>17</v>
      </c>
      <c r="E12" s="37">
        <v>380.16</v>
      </c>
      <c r="F12" s="38">
        <f>SUM(E12*104/100)</f>
        <v>395.3664</v>
      </c>
      <c r="G12" s="38">
        <v>187.48</v>
      </c>
      <c r="H12" s="39">
        <f t="shared" si="0"/>
        <v>74.123292671999991</v>
      </c>
      <c r="I12" s="40">
        <f>F12/12*G12</f>
        <v>6176.9410559999997</v>
      </c>
      <c r="J12" s="40">
        <f>F12/12*G12</f>
        <v>6176.9410559999997</v>
      </c>
      <c r="K12" s="40">
        <f>F12/12*G12</f>
        <v>6176.9410559999997</v>
      </c>
      <c r="L12" s="40">
        <f>F12/12*G12</f>
        <v>6176.9410559999997</v>
      </c>
      <c r="M12" s="40">
        <f>F12/12*G12</f>
        <v>6176.9410559999997</v>
      </c>
      <c r="N12" s="40">
        <f>F12/12*G12</f>
        <v>6176.9410559999997</v>
      </c>
      <c r="O12" s="40">
        <f>F12/12*G12</f>
        <v>6176.9410559999997</v>
      </c>
      <c r="P12" s="40">
        <f>F12/12*G12</f>
        <v>6176.9410559999997</v>
      </c>
      <c r="Q12" s="40">
        <f>F12/12*G12</f>
        <v>6176.9410559999997</v>
      </c>
      <c r="R12" s="40">
        <f>F12/12*G12</f>
        <v>6176.9410559999997</v>
      </c>
      <c r="S12" s="40">
        <f>F12/12*G12</f>
        <v>6176.9410559999997</v>
      </c>
      <c r="T12" s="40">
        <f>F12/12*G12</f>
        <v>6176.9410559999997</v>
      </c>
      <c r="U12" s="40">
        <f t="shared" si="1"/>
        <v>74123.292671999981</v>
      </c>
    </row>
    <row r="13" spans="1:21" ht="25.5">
      <c r="A13" s="32" t="s">
        <v>18</v>
      </c>
      <c r="B13" s="11" t="s">
        <v>19</v>
      </c>
      <c r="C13" s="32" t="s">
        <v>14</v>
      </c>
      <c r="D13" s="11" t="s">
        <v>20</v>
      </c>
      <c r="E13" s="37">
        <f>SUM(E11+E12)</f>
        <v>475.20000000000005</v>
      </c>
      <c r="F13" s="38">
        <f>SUM(E13*24/100)</f>
        <v>114.04800000000002</v>
      </c>
      <c r="G13" s="38">
        <v>539.30999999999995</v>
      </c>
      <c r="H13" s="39">
        <f t="shared" si="0"/>
        <v>61.507226880000005</v>
      </c>
      <c r="I13" s="40">
        <f>F13/12*G13</f>
        <v>5125.6022400000002</v>
      </c>
      <c r="J13" s="40">
        <f>F13/12*G13</f>
        <v>5125.6022400000002</v>
      </c>
      <c r="K13" s="40">
        <f>F13/12*G13</f>
        <v>5125.6022400000002</v>
      </c>
      <c r="L13" s="40">
        <f>F13/12*G13</f>
        <v>5125.6022400000002</v>
      </c>
      <c r="M13" s="40">
        <f>F13/12*G13</f>
        <v>5125.6022400000002</v>
      </c>
      <c r="N13" s="40">
        <f>F13/12*G13</f>
        <v>5125.6022400000002</v>
      </c>
      <c r="O13" s="40">
        <f>F13/12*G13</f>
        <v>5125.6022400000002</v>
      </c>
      <c r="P13" s="40">
        <f>F13/12*G13</f>
        <v>5125.6022400000002</v>
      </c>
      <c r="Q13" s="40">
        <f>F13/12*G13</f>
        <v>5125.6022400000002</v>
      </c>
      <c r="R13" s="40">
        <f>F13/12*G13</f>
        <v>5125.6022400000002</v>
      </c>
      <c r="S13" s="40">
        <f>F13/12*G13</f>
        <v>5125.6022400000002</v>
      </c>
      <c r="T13" s="40">
        <f>F13/12*G13</f>
        <v>5125.6022400000002</v>
      </c>
      <c r="U13" s="40">
        <f t="shared" si="1"/>
        <v>61507.226880000002</v>
      </c>
    </row>
    <row r="14" spans="1:21">
      <c r="A14" s="32" t="s">
        <v>21</v>
      </c>
      <c r="B14" s="11" t="s">
        <v>22</v>
      </c>
      <c r="C14" s="32" t="s">
        <v>23</v>
      </c>
      <c r="D14" s="11" t="s">
        <v>144</v>
      </c>
      <c r="E14" s="37">
        <v>93.4</v>
      </c>
      <c r="F14" s="38">
        <f>SUM(E14/10)</f>
        <v>9.34</v>
      </c>
      <c r="G14" s="38">
        <v>181.9</v>
      </c>
      <c r="H14" s="39">
        <f t="shared" si="0"/>
        <v>1.6989460000000001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f t="shared" ref="N14:N19" si="2">F14*G14</f>
        <v>1698.9460000000001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f t="shared" si="1"/>
        <v>1698.9460000000001</v>
      </c>
    </row>
    <row r="15" spans="1:21">
      <c r="A15" s="32" t="s">
        <v>24</v>
      </c>
      <c r="B15" s="11" t="s">
        <v>25</v>
      </c>
      <c r="C15" s="32" t="s">
        <v>14</v>
      </c>
      <c r="D15" s="11" t="s">
        <v>79</v>
      </c>
      <c r="E15" s="37">
        <v>43.2</v>
      </c>
      <c r="F15" s="38">
        <f>SUM(E15*2/100)</f>
        <v>0.8640000000000001</v>
      </c>
      <c r="G15" s="38">
        <v>232.91</v>
      </c>
      <c r="H15" s="39">
        <f t="shared" si="0"/>
        <v>0.20123424000000004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f t="shared" si="2"/>
        <v>201.23424000000003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f t="shared" si="1"/>
        <v>201.23424000000003</v>
      </c>
    </row>
    <row r="16" spans="1:21">
      <c r="A16" s="32" t="s">
        <v>26</v>
      </c>
      <c r="B16" s="11" t="s">
        <v>27</v>
      </c>
      <c r="C16" s="32" t="s">
        <v>14</v>
      </c>
      <c r="D16" s="11" t="s">
        <v>79</v>
      </c>
      <c r="E16" s="37">
        <v>10.08</v>
      </c>
      <c r="F16" s="38">
        <f>SUM(E16*2/100)</f>
        <v>0.2016</v>
      </c>
      <c r="G16" s="38">
        <v>231.03</v>
      </c>
      <c r="H16" s="39">
        <f t="shared" si="0"/>
        <v>4.6575648000000004E-2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f t="shared" si="2"/>
        <v>46.575648000000001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f t="shared" si="1"/>
        <v>46.575648000000001</v>
      </c>
    </row>
    <row r="17" spans="1:21">
      <c r="A17" s="32" t="s">
        <v>28</v>
      </c>
      <c r="B17" s="11" t="s">
        <v>29</v>
      </c>
      <c r="C17" s="32" t="s">
        <v>30</v>
      </c>
      <c r="D17" s="11" t="s">
        <v>144</v>
      </c>
      <c r="E17" s="37">
        <v>642.6</v>
      </c>
      <c r="F17" s="38">
        <f>SUM(E17/100)</f>
        <v>6.4260000000000002</v>
      </c>
      <c r="G17" s="38">
        <v>287.83999999999997</v>
      </c>
      <c r="H17" s="39">
        <f t="shared" si="0"/>
        <v>1.8496598399999997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f t="shared" si="2"/>
        <v>1849.6598399999998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f t="shared" si="1"/>
        <v>1849.6598399999998</v>
      </c>
    </row>
    <row r="18" spans="1:21">
      <c r="A18" s="32" t="s">
        <v>31</v>
      </c>
      <c r="B18" s="11" t="s">
        <v>32</v>
      </c>
      <c r="C18" s="32" t="s">
        <v>30</v>
      </c>
      <c r="D18" s="11" t="s">
        <v>144</v>
      </c>
      <c r="E18" s="42">
        <v>35.28</v>
      </c>
      <c r="F18" s="38">
        <f>SUM(E18/100)</f>
        <v>0.3528</v>
      </c>
      <c r="G18" s="38">
        <v>47.35</v>
      </c>
      <c r="H18" s="39">
        <f t="shared" si="0"/>
        <v>1.6705080000000004E-2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f t="shared" si="2"/>
        <v>16.705080000000002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f t="shared" si="1"/>
        <v>16.705080000000002</v>
      </c>
    </row>
    <row r="19" spans="1:21">
      <c r="A19" s="32" t="s">
        <v>33</v>
      </c>
      <c r="B19" s="11" t="s">
        <v>34</v>
      </c>
      <c r="C19" s="32" t="s">
        <v>30</v>
      </c>
      <c r="D19" s="11" t="s">
        <v>144</v>
      </c>
      <c r="E19" s="37">
        <v>28.8</v>
      </c>
      <c r="F19" s="38">
        <f>SUM(E19/100)</f>
        <v>0.28800000000000003</v>
      </c>
      <c r="G19" s="38">
        <v>556.74</v>
      </c>
      <c r="H19" s="39">
        <f t="shared" si="0"/>
        <v>0.16034112000000003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f t="shared" si="2"/>
        <v>160.34112000000002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f t="shared" si="1"/>
        <v>160.34112000000002</v>
      </c>
    </row>
    <row r="20" spans="1:21" s="19" customFormat="1">
      <c r="A20" s="43"/>
      <c r="B20" s="20" t="s">
        <v>35</v>
      </c>
      <c r="C20" s="44"/>
      <c r="D20" s="20"/>
      <c r="E20" s="45"/>
      <c r="F20" s="46"/>
      <c r="G20" s="46"/>
      <c r="H20" s="47">
        <f>SUM(H11:H19)</f>
        <v>167.40021623199996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>
        <f>SUM(U11:U19)</f>
        <v>167400.21623200001</v>
      </c>
    </row>
    <row r="21" spans="1:21">
      <c r="A21" s="32"/>
      <c r="B21" s="12" t="s">
        <v>36</v>
      </c>
      <c r="C21" s="32"/>
      <c r="D21" s="11"/>
      <c r="E21" s="37"/>
      <c r="F21" s="38"/>
      <c r="G21" s="38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ht="25.5" customHeight="1">
      <c r="A22" s="32" t="s">
        <v>37</v>
      </c>
      <c r="B22" s="11" t="s">
        <v>38</v>
      </c>
      <c r="C22" s="32" t="s">
        <v>39</v>
      </c>
      <c r="D22" s="11" t="s">
        <v>40</v>
      </c>
      <c r="E22" s="38">
        <v>1044.6500000000001</v>
      </c>
      <c r="F22" s="38">
        <f>SUM(E22*52/1000)</f>
        <v>54.321800000000003</v>
      </c>
      <c r="G22" s="38">
        <v>166.65</v>
      </c>
      <c r="H22" s="39">
        <f t="shared" ref="H22:H30" si="3">SUM(F22*G22/1000)</f>
        <v>9.0527279700000012</v>
      </c>
      <c r="I22" s="40">
        <v>0</v>
      </c>
      <c r="J22" s="40">
        <v>0</v>
      </c>
      <c r="K22" s="40">
        <v>0</v>
      </c>
      <c r="L22" s="40">
        <v>0</v>
      </c>
      <c r="M22" s="40">
        <f>F22/6*G22</f>
        <v>1508.7879950000001</v>
      </c>
      <c r="N22" s="40">
        <f>F22/6*G22</f>
        <v>1508.7879950000001</v>
      </c>
      <c r="O22" s="40">
        <f>F22/6*G22</f>
        <v>1508.7879950000001</v>
      </c>
      <c r="P22" s="40">
        <f>F22/6*G22</f>
        <v>1508.7879950000001</v>
      </c>
      <c r="Q22" s="40">
        <f>F22/6*G22</f>
        <v>1508.7879950000001</v>
      </c>
      <c r="R22" s="40">
        <f>F22/6*G22</f>
        <v>1508.7879950000001</v>
      </c>
      <c r="S22" s="40">
        <v>0</v>
      </c>
      <c r="T22" s="40">
        <v>0</v>
      </c>
      <c r="U22" s="40">
        <f t="shared" ref="U22:U30" si="4">SUM(I22:T22)</f>
        <v>9052.7279700000017</v>
      </c>
    </row>
    <row r="23" spans="1:21" ht="38.25" customHeight="1">
      <c r="A23" s="32" t="s">
        <v>41</v>
      </c>
      <c r="B23" s="11" t="s">
        <v>42</v>
      </c>
      <c r="C23" s="32" t="s">
        <v>43</v>
      </c>
      <c r="D23" s="11" t="s">
        <v>44</v>
      </c>
      <c r="E23" s="38">
        <v>116.93</v>
      </c>
      <c r="F23" s="38">
        <f>SUM(E23*78/1000)</f>
        <v>9.1205400000000001</v>
      </c>
      <c r="G23" s="38">
        <v>276.48</v>
      </c>
      <c r="H23" s="39">
        <f t="shared" si="3"/>
        <v>2.5216468991999998</v>
      </c>
      <c r="I23" s="40">
        <v>0</v>
      </c>
      <c r="J23" s="40">
        <v>0</v>
      </c>
      <c r="K23" s="40">
        <v>0</v>
      </c>
      <c r="L23" s="40">
        <v>0</v>
      </c>
      <c r="M23" s="40">
        <f>F23/6*G23</f>
        <v>420.27448320000002</v>
      </c>
      <c r="N23" s="40">
        <f>F23/6*G23</f>
        <v>420.27448320000002</v>
      </c>
      <c r="O23" s="40">
        <f>F23/6*G23</f>
        <v>420.27448320000002</v>
      </c>
      <c r="P23" s="40">
        <f>F23/6*G23</f>
        <v>420.27448320000002</v>
      </c>
      <c r="Q23" s="40">
        <f>F23/6*G23</f>
        <v>420.27448320000002</v>
      </c>
      <c r="R23" s="40">
        <f>F23/6*G23</f>
        <v>420.27448320000002</v>
      </c>
      <c r="S23" s="40">
        <v>0</v>
      </c>
      <c r="T23" s="40">
        <v>0</v>
      </c>
      <c r="U23" s="40">
        <f t="shared" si="4"/>
        <v>2521.6468992</v>
      </c>
    </row>
    <row r="24" spans="1:21">
      <c r="A24" s="32" t="s">
        <v>45</v>
      </c>
      <c r="B24" s="11" t="s">
        <v>46</v>
      </c>
      <c r="C24" s="32" t="s">
        <v>43</v>
      </c>
      <c r="D24" s="11" t="s">
        <v>47</v>
      </c>
      <c r="E24" s="38">
        <v>1044.6500000000001</v>
      </c>
      <c r="F24" s="38">
        <f>SUM(E24/1000)</f>
        <v>1.0446500000000001</v>
      </c>
      <c r="G24" s="38">
        <v>3228.73</v>
      </c>
      <c r="H24" s="39">
        <f t="shared" si="3"/>
        <v>3.3728927945000007</v>
      </c>
      <c r="I24" s="40">
        <v>0</v>
      </c>
      <c r="J24" s="40">
        <v>0</v>
      </c>
      <c r="K24" s="40">
        <v>0</v>
      </c>
      <c r="L24" s="40">
        <v>0</v>
      </c>
      <c r="M24" s="40">
        <f>F24*G24</f>
        <v>3372.8927945000005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f t="shared" si="4"/>
        <v>3372.8927945000005</v>
      </c>
    </row>
    <row r="25" spans="1:21">
      <c r="A25" s="32" t="s">
        <v>157</v>
      </c>
      <c r="B25" s="11" t="s">
        <v>158</v>
      </c>
      <c r="C25" s="32" t="s">
        <v>96</v>
      </c>
      <c r="D25" s="11" t="s">
        <v>51</v>
      </c>
      <c r="E25" s="38">
        <v>6</v>
      </c>
      <c r="F25" s="38">
        <v>9.3000000000000007</v>
      </c>
      <c r="G25" s="38">
        <v>1391.86</v>
      </c>
      <c r="H25" s="39">
        <f>G25*F25/1000</f>
        <v>12.944298</v>
      </c>
      <c r="I25" s="40">
        <v>0</v>
      </c>
      <c r="J25" s="40">
        <v>0</v>
      </c>
      <c r="K25" s="40">
        <v>0</v>
      </c>
      <c r="L25" s="40">
        <v>0</v>
      </c>
      <c r="M25" s="40">
        <f>F25/6*G25</f>
        <v>2157.3829999999998</v>
      </c>
      <c r="N25" s="40">
        <f>F25/6*G25</f>
        <v>2157.3829999999998</v>
      </c>
      <c r="O25" s="40">
        <f>F25/6*G25</f>
        <v>2157.3829999999998</v>
      </c>
      <c r="P25" s="40">
        <f>F25/6*G25</f>
        <v>2157.3829999999998</v>
      </c>
      <c r="Q25" s="40">
        <f>F25/6*G25</f>
        <v>2157.3829999999998</v>
      </c>
      <c r="R25" s="40">
        <f>F25/6*G25</f>
        <v>2157.3829999999998</v>
      </c>
      <c r="S25" s="40">
        <v>0</v>
      </c>
      <c r="T25" s="40">
        <v>0</v>
      </c>
      <c r="U25" s="40">
        <f t="shared" si="4"/>
        <v>12944.297999999999</v>
      </c>
    </row>
    <row r="26" spans="1:21">
      <c r="A26" s="32" t="s">
        <v>48</v>
      </c>
      <c r="B26" s="11" t="s">
        <v>49</v>
      </c>
      <c r="C26" s="32" t="s">
        <v>50</v>
      </c>
      <c r="D26" s="11" t="s">
        <v>51</v>
      </c>
      <c r="E26" s="50">
        <v>0.33333333333333331</v>
      </c>
      <c r="F26" s="38">
        <f>155/3</f>
        <v>51.666666666666664</v>
      </c>
      <c r="G26" s="38">
        <v>60.6</v>
      </c>
      <c r="H26" s="39">
        <f>SUM(G26*155/3/1000)</f>
        <v>3.1309999999999998</v>
      </c>
      <c r="I26" s="40">
        <v>0</v>
      </c>
      <c r="J26" s="40">
        <v>0</v>
      </c>
      <c r="K26" s="40">
        <v>0</v>
      </c>
      <c r="L26" s="40">
        <v>0</v>
      </c>
      <c r="M26" s="40">
        <f>F26/6*G26</f>
        <v>521.83333333333337</v>
      </c>
      <c r="N26" s="40">
        <f>F26/6*G26</f>
        <v>521.83333333333337</v>
      </c>
      <c r="O26" s="40">
        <f>F26/6*G26</f>
        <v>521.83333333333337</v>
      </c>
      <c r="P26" s="40">
        <f>F26/6*G26</f>
        <v>521.83333333333337</v>
      </c>
      <c r="Q26" s="40">
        <f>F26/6*G26</f>
        <v>521.83333333333337</v>
      </c>
      <c r="R26" s="40">
        <f>F26/6*G26</f>
        <v>521.83333333333337</v>
      </c>
      <c r="S26" s="40">
        <v>0</v>
      </c>
      <c r="T26" s="40">
        <v>0</v>
      </c>
      <c r="U26" s="40">
        <f t="shared" si="4"/>
        <v>3131.0000000000005</v>
      </c>
    </row>
    <row r="27" spans="1:21" ht="12.75" customHeight="1">
      <c r="A27" s="32" t="s">
        <v>52</v>
      </c>
      <c r="B27" s="11" t="s">
        <v>53</v>
      </c>
      <c r="C27" s="32" t="s">
        <v>54</v>
      </c>
      <c r="D27" s="11" t="s">
        <v>55</v>
      </c>
      <c r="E27" s="51">
        <v>0.1</v>
      </c>
      <c r="F27" s="38">
        <f>SUM(E27*365)</f>
        <v>36.5</v>
      </c>
      <c r="G27" s="38">
        <v>157.18</v>
      </c>
      <c r="H27" s="39">
        <f t="shared" si="3"/>
        <v>5.737070000000001</v>
      </c>
      <c r="I27" s="40">
        <f>F27/12*G27</f>
        <v>478.08916666666664</v>
      </c>
      <c r="J27" s="40">
        <f>F27/12*G27</f>
        <v>478.08916666666664</v>
      </c>
      <c r="K27" s="40">
        <f>F27/12*G27</f>
        <v>478.08916666666664</v>
      </c>
      <c r="L27" s="40">
        <f>F27/12*G27</f>
        <v>478.08916666666664</v>
      </c>
      <c r="M27" s="40">
        <f>F27/12*G27</f>
        <v>478.08916666666664</v>
      </c>
      <c r="N27" s="40">
        <f>F27/12*G27</f>
        <v>478.08916666666664</v>
      </c>
      <c r="O27" s="40">
        <f>F27/12*G27</f>
        <v>478.08916666666664</v>
      </c>
      <c r="P27" s="40">
        <f>F27/12*G27</f>
        <v>478.08916666666664</v>
      </c>
      <c r="Q27" s="40">
        <f>F27/12*G27</f>
        <v>478.08916666666664</v>
      </c>
      <c r="R27" s="40">
        <f>F27/12*G27</f>
        <v>478.08916666666664</v>
      </c>
      <c r="S27" s="40">
        <f>F27/12*G27</f>
        <v>478.08916666666664</v>
      </c>
      <c r="T27" s="40">
        <f>F27/12*G27</f>
        <v>478.08916666666664</v>
      </c>
      <c r="U27" s="40">
        <f t="shared" si="4"/>
        <v>5737.07</v>
      </c>
    </row>
    <row r="28" spans="1:21" ht="12.75" customHeight="1">
      <c r="A28" s="32" t="s">
        <v>57</v>
      </c>
      <c r="B28" s="11" t="s">
        <v>58</v>
      </c>
      <c r="C28" s="32" t="s">
        <v>54</v>
      </c>
      <c r="D28" s="11" t="s">
        <v>56</v>
      </c>
      <c r="E28" s="37"/>
      <c r="F28" s="38">
        <v>3</v>
      </c>
      <c r="G28" s="38">
        <v>204.52</v>
      </c>
      <c r="H28" s="39">
        <f t="shared" si="3"/>
        <v>0.61356000000000011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f t="shared" si="4"/>
        <v>0</v>
      </c>
    </row>
    <row r="29" spans="1:21" ht="13.5" customHeight="1">
      <c r="A29" s="32" t="s">
        <v>59</v>
      </c>
      <c r="B29" s="11" t="s">
        <v>60</v>
      </c>
      <c r="C29" s="32" t="s">
        <v>61</v>
      </c>
      <c r="D29" s="11" t="s">
        <v>56</v>
      </c>
      <c r="E29" s="37"/>
      <c r="F29" s="38">
        <v>2</v>
      </c>
      <c r="G29" s="38">
        <v>1136.33</v>
      </c>
      <c r="H29" s="39">
        <f t="shared" si="3"/>
        <v>2.2726599999999997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f t="shared" si="4"/>
        <v>0</v>
      </c>
    </row>
    <row r="30" spans="1:21">
      <c r="A30" s="32"/>
      <c r="B30" s="52" t="s">
        <v>62</v>
      </c>
      <c r="C30" s="32" t="s">
        <v>63</v>
      </c>
      <c r="D30" s="52" t="s">
        <v>64</v>
      </c>
      <c r="E30" s="37">
        <v>3945</v>
      </c>
      <c r="F30" s="38">
        <f>SUM(E30*12)</f>
        <v>47340</v>
      </c>
      <c r="G30" s="38">
        <v>5.33</v>
      </c>
      <c r="H30" s="39">
        <f t="shared" si="3"/>
        <v>252.32220000000001</v>
      </c>
      <c r="I30" s="40">
        <f>F30/6*G30</f>
        <v>42053.7</v>
      </c>
      <c r="J30" s="40">
        <f>F30/12*G30</f>
        <v>21026.85</v>
      </c>
      <c r="K30" s="40">
        <f>F30/12*G30</f>
        <v>21026.85</v>
      </c>
      <c r="L30" s="40">
        <f>F30/12*G30</f>
        <v>21026.85</v>
      </c>
      <c r="M30" s="40">
        <f>F30/12*G30</f>
        <v>21026.85</v>
      </c>
      <c r="N30" s="40">
        <f>F30/12*G30</f>
        <v>21026.85</v>
      </c>
      <c r="O30" s="40">
        <f>F30/12*G30</f>
        <v>21026.85</v>
      </c>
      <c r="P30" s="40">
        <f>F30/12*G30</f>
        <v>21026.85</v>
      </c>
      <c r="Q30" s="40">
        <f>F30/12*G30</f>
        <v>21026.85</v>
      </c>
      <c r="R30" s="40">
        <f>F30/12*G30</f>
        <v>21026.85</v>
      </c>
      <c r="S30" s="40">
        <f>F30/12*G30</f>
        <v>21026.85</v>
      </c>
      <c r="T30" s="40">
        <f>F30/12*G30</f>
        <v>21026.85</v>
      </c>
      <c r="U30" s="40">
        <f t="shared" si="4"/>
        <v>273349.05000000005</v>
      </c>
    </row>
    <row r="31" spans="1:21" s="19" customFormat="1">
      <c r="A31" s="43"/>
      <c r="B31" s="20" t="s">
        <v>35</v>
      </c>
      <c r="C31" s="44"/>
      <c r="D31" s="20"/>
      <c r="E31" s="45"/>
      <c r="F31" s="46"/>
      <c r="G31" s="46"/>
      <c r="H31" s="53">
        <f>SUM(H22:H30)</f>
        <v>291.9680556637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>SUM(U22:U30)</f>
        <v>310108.68566370005</v>
      </c>
    </row>
    <row r="32" spans="1:21">
      <c r="A32" s="32"/>
      <c r="B32" s="12" t="s">
        <v>65</v>
      </c>
      <c r="C32" s="32"/>
      <c r="D32" s="11"/>
      <c r="E32" s="37"/>
      <c r="F32" s="38"/>
      <c r="G32" s="38"/>
      <c r="H32" s="39" t="s">
        <v>64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ht="25.5">
      <c r="A33" s="32" t="s">
        <v>59</v>
      </c>
      <c r="B33" s="13" t="s">
        <v>66</v>
      </c>
      <c r="C33" s="32" t="s">
        <v>61</v>
      </c>
      <c r="D33" s="11"/>
      <c r="E33" s="37"/>
      <c r="F33" s="38">
        <v>8</v>
      </c>
      <c r="G33" s="38">
        <v>1632.6</v>
      </c>
      <c r="H33" s="39">
        <f t="shared" ref="H33:H40" si="5">SUM(F33*G33/1000)</f>
        <v>13.060799999999999</v>
      </c>
      <c r="I33" s="40">
        <f>F33/6*G33</f>
        <v>2176.7999999999997</v>
      </c>
      <c r="J33" s="40">
        <f>F33/6*G33</f>
        <v>2176.7999999999997</v>
      </c>
      <c r="K33" s="40">
        <f>F33/6*G33</f>
        <v>2176.7999999999997</v>
      </c>
      <c r="L33" s="40">
        <f>F33/6*G33</f>
        <v>2176.7999999999997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f>F33/6*G33</f>
        <v>2176.7999999999997</v>
      </c>
      <c r="T33" s="40">
        <f>F33/6*G33</f>
        <v>2176.7999999999997</v>
      </c>
      <c r="U33" s="40">
        <f t="shared" ref="U33:U40" si="6">SUM(I33:T33)</f>
        <v>13060.799999999997</v>
      </c>
    </row>
    <row r="34" spans="1:21">
      <c r="A34" s="55" t="s">
        <v>67</v>
      </c>
      <c r="B34" s="13" t="s">
        <v>162</v>
      </c>
      <c r="C34" s="55" t="s">
        <v>68</v>
      </c>
      <c r="D34" s="11" t="s">
        <v>161</v>
      </c>
      <c r="E34" s="37">
        <v>477.19</v>
      </c>
      <c r="F34" s="54">
        <f>E34*12/1000</f>
        <v>5.72628</v>
      </c>
      <c r="G34" s="38">
        <v>2247.8000000000002</v>
      </c>
      <c r="H34" s="39">
        <f>G34*F34/1000</f>
        <v>12.871532184000001</v>
      </c>
      <c r="I34" s="40">
        <f>F34/6*G34</f>
        <v>2145.2553640000001</v>
      </c>
      <c r="J34" s="40">
        <f>F34/6*G34</f>
        <v>2145.2553640000001</v>
      </c>
      <c r="K34" s="40">
        <f>F34/6*G34</f>
        <v>2145.2553640000001</v>
      </c>
      <c r="L34" s="40">
        <f>F34/6*G34</f>
        <v>2145.2553640000001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f>F34/6*G34</f>
        <v>2145.2553640000001</v>
      </c>
      <c r="T34" s="40">
        <f>F34/6*G34</f>
        <v>2145.2553640000001</v>
      </c>
      <c r="U34" s="40">
        <f t="shared" si="6"/>
        <v>12871.532184000002</v>
      </c>
    </row>
    <row r="35" spans="1:21" ht="25.5">
      <c r="A35" s="55" t="s">
        <v>67</v>
      </c>
      <c r="B35" s="13" t="s">
        <v>146</v>
      </c>
      <c r="C35" s="55" t="s">
        <v>68</v>
      </c>
      <c r="D35" s="11" t="s">
        <v>160</v>
      </c>
      <c r="E35" s="37">
        <v>116.93</v>
      </c>
      <c r="F35" s="54">
        <f>E35*30/1000</f>
        <v>3.5079000000000002</v>
      </c>
      <c r="G35" s="38">
        <v>2247.8000000000002</v>
      </c>
      <c r="H35" s="39">
        <f>G35*F35/1000</f>
        <v>7.8850576200000013</v>
      </c>
      <c r="I35" s="40">
        <f>F35/6*G35</f>
        <v>1314.1762700000002</v>
      </c>
      <c r="J35" s="40">
        <f>F35/6*G35</f>
        <v>1314.1762700000002</v>
      </c>
      <c r="K35" s="40">
        <f>F35/6*G35</f>
        <v>1314.1762700000002</v>
      </c>
      <c r="L35" s="40">
        <f>F35/6*G35</f>
        <v>1314.1762700000002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f>F35/6*G35</f>
        <v>1314.1762700000002</v>
      </c>
      <c r="T35" s="40">
        <f>F35/6*G35</f>
        <v>1314.1762700000002</v>
      </c>
      <c r="U35" s="40">
        <f t="shared" si="6"/>
        <v>7885.0576200000005</v>
      </c>
    </row>
    <row r="36" spans="1:21">
      <c r="A36" s="32" t="s">
        <v>59</v>
      </c>
      <c r="B36" s="11" t="s">
        <v>153</v>
      </c>
      <c r="C36" s="32" t="s">
        <v>106</v>
      </c>
      <c r="D36" s="11" t="s">
        <v>56</v>
      </c>
      <c r="E36" s="37"/>
      <c r="F36" s="54">
        <v>135</v>
      </c>
      <c r="G36" s="38">
        <v>213.2</v>
      </c>
      <c r="H36" s="39">
        <f>G36*F36/1000</f>
        <v>28.782</v>
      </c>
      <c r="I36" s="40">
        <v>0</v>
      </c>
      <c r="J36" s="40">
        <v>0</v>
      </c>
      <c r="K36" s="40">
        <f>21*G36</f>
        <v>4477.2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f t="shared" si="6"/>
        <v>4477.2</v>
      </c>
    </row>
    <row r="37" spans="1:21" ht="24.75" customHeight="1">
      <c r="A37" s="32" t="s">
        <v>69</v>
      </c>
      <c r="B37" s="11" t="s">
        <v>70</v>
      </c>
      <c r="C37" s="32" t="s">
        <v>68</v>
      </c>
      <c r="D37" s="11" t="s">
        <v>71</v>
      </c>
      <c r="E37" s="38">
        <v>116.93</v>
      </c>
      <c r="F37" s="54">
        <f>SUM(E37*155/1000)</f>
        <v>18.12415</v>
      </c>
      <c r="G37" s="38">
        <v>374.95</v>
      </c>
      <c r="H37" s="39">
        <f t="shared" si="5"/>
        <v>6.7956500424999993</v>
      </c>
      <c r="I37" s="40">
        <f>F37/6*G37</f>
        <v>1132.6083404166666</v>
      </c>
      <c r="J37" s="40">
        <f>F37/6*G37</f>
        <v>1132.6083404166666</v>
      </c>
      <c r="K37" s="40">
        <f>F37/6*G37</f>
        <v>1132.6083404166666</v>
      </c>
      <c r="L37" s="40">
        <f>F37/6*G37</f>
        <v>1132.6083404166666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f>F37/6*G37</f>
        <v>1132.6083404166666</v>
      </c>
      <c r="T37" s="40">
        <f>F37/6*G37</f>
        <v>1132.6083404166666</v>
      </c>
      <c r="U37" s="40">
        <f t="shared" si="6"/>
        <v>6795.6500424999995</v>
      </c>
    </row>
    <row r="38" spans="1:21" ht="51" customHeight="1">
      <c r="A38" s="32" t="s">
        <v>72</v>
      </c>
      <c r="B38" s="11" t="s">
        <v>73</v>
      </c>
      <c r="C38" s="32" t="s">
        <v>43</v>
      </c>
      <c r="D38" s="11" t="s">
        <v>163</v>
      </c>
      <c r="E38" s="38">
        <v>116.93</v>
      </c>
      <c r="F38" s="54">
        <f>SUM(E38*24/1000)</f>
        <v>2.8063200000000004</v>
      </c>
      <c r="G38" s="38">
        <v>6203.71</v>
      </c>
      <c r="H38" s="39">
        <f t="shared" si="5"/>
        <v>17.409595447200001</v>
      </c>
      <c r="I38" s="40">
        <f>F38/6*G38</f>
        <v>2901.5992412000005</v>
      </c>
      <c r="J38" s="40">
        <f>F38/6*G38</f>
        <v>2901.5992412000005</v>
      </c>
      <c r="K38" s="40">
        <f>F38/6*G38</f>
        <v>2901.5992412000005</v>
      </c>
      <c r="L38" s="40">
        <f>F38/6*G38</f>
        <v>2901.5992412000005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f>F38/6*G38</f>
        <v>2901.5992412000005</v>
      </c>
      <c r="T38" s="40">
        <f>F38/6*G38</f>
        <v>2901.5992412000005</v>
      </c>
      <c r="U38" s="40">
        <f t="shared" si="6"/>
        <v>17409.595447200005</v>
      </c>
    </row>
    <row r="39" spans="1:21" ht="12.75" customHeight="1">
      <c r="A39" s="32" t="s">
        <v>74</v>
      </c>
      <c r="B39" s="11" t="s">
        <v>75</v>
      </c>
      <c r="C39" s="32" t="s">
        <v>43</v>
      </c>
      <c r="D39" s="11" t="s">
        <v>76</v>
      </c>
      <c r="E39" s="38">
        <v>116.93</v>
      </c>
      <c r="F39" s="54">
        <f>SUM(E39*45/1000)</f>
        <v>5.2618500000000008</v>
      </c>
      <c r="G39" s="38">
        <v>458.28</v>
      </c>
      <c r="H39" s="39">
        <f t="shared" si="5"/>
        <v>2.4114006180000001</v>
      </c>
      <c r="I39" s="40">
        <f>F39/6*G39</f>
        <v>401.90010300000006</v>
      </c>
      <c r="J39" s="40">
        <f>F39/6*G39</f>
        <v>401.90010300000006</v>
      </c>
      <c r="K39" s="40">
        <f>F39/6*G39</f>
        <v>401.90010300000006</v>
      </c>
      <c r="L39" s="40">
        <f>F39/6*G39</f>
        <v>401.90010300000006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f>F39/6*G39</f>
        <v>401.90010300000006</v>
      </c>
      <c r="T39" s="40">
        <f>F39/6*G39</f>
        <v>401.90010300000006</v>
      </c>
      <c r="U39" s="40">
        <f t="shared" si="6"/>
        <v>2411.4006180000001</v>
      </c>
    </row>
    <row r="40" spans="1:21" s="1" customFormat="1">
      <c r="A40" s="55"/>
      <c r="B40" s="13" t="s">
        <v>77</v>
      </c>
      <c r="C40" s="55" t="s">
        <v>54</v>
      </c>
      <c r="D40" s="13"/>
      <c r="E40" s="51"/>
      <c r="F40" s="54">
        <v>0.9</v>
      </c>
      <c r="G40" s="54">
        <v>798</v>
      </c>
      <c r="H40" s="39">
        <f t="shared" si="5"/>
        <v>0.71820000000000006</v>
      </c>
      <c r="I40" s="56">
        <f>F40/6*G40</f>
        <v>119.69999999999999</v>
      </c>
      <c r="J40" s="56">
        <f>F40/6*G40</f>
        <v>119.69999999999999</v>
      </c>
      <c r="K40" s="56">
        <f>F40/6*G40</f>
        <v>119.69999999999999</v>
      </c>
      <c r="L40" s="56">
        <f>F40/6*G40</f>
        <v>119.69999999999999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f>F40/6*G40</f>
        <v>119.69999999999999</v>
      </c>
      <c r="T40" s="56">
        <f>F40/6*G40</f>
        <v>119.69999999999999</v>
      </c>
      <c r="U40" s="40">
        <f t="shared" si="6"/>
        <v>718.2</v>
      </c>
    </row>
    <row r="41" spans="1:21" s="19" customFormat="1">
      <c r="A41" s="43"/>
      <c r="B41" s="20" t="s">
        <v>35</v>
      </c>
      <c r="C41" s="44"/>
      <c r="D41" s="20"/>
      <c r="E41" s="45"/>
      <c r="F41" s="46" t="s">
        <v>64</v>
      </c>
      <c r="G41" s="46"/>
      <c r="H41" s="53">
        <f>SUM(H33:H40)</f>
        <v>89.9342359117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>
        <f>SUM(U33:U40)</f>
        <v>65629.435911699999</v>
      </c>
    </row>
    <row r="42" spans="1:21">
      <c r="A42" s="32"/>
      <c r="B42" s="14" t="s">
        <v>78</v>
      </c>
      <c r="C42" s="32"/>
      <c r="D42" s="11"/>
      <c r="E42" s="37"/>
      <c r="F42" s="38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32" t="s">
        <v>164</v>
      </c>
      <c r="B43" s="11" t="s">
        <v>165</v>
      </c>
      <c r="C43" s="32" t="s">
        <v>43</v>
      </c>
      <c r="D43" s="11" t="s">
        <v>79</v>
      </c>
      <c r="E43" s="37">
        <v>1030.4000000000001</v>
      </c>
      <c r="F43" s="38">
        <f>SUM(E43*2/1000)</f>
        <v>2.0608</v>
      </c>
      <c r="G43" s="57">
        <v>908.1</v>
      </c>
      <c r="H43" s="39">
        <f t="shared" ref="H43:H52" si="7">SUM(F43*G43/1000)</f>
        <v>1.87141248</v>
      </c>
      <c r="I43" s="40">
        <v>0</v>
      </c>
      <c r="J43" s="40">
        <v>0</v>
      </c>
      <c r="K43" s="40">
        <v>0</v>
      </c>
      <c r="L43" s="40">
        <f>F43/2*G43</f>
        <v>935.70623999999998</v>
      </c>
      <c r="M43" s="40">
        <v>0</v>
      </c>
      <c r="N43" s="40">
        <v>0</v>
      </c>
      <c r="O43" s="40">
        <v>0</v>
      </c>
      <c r="P43" s="40">
        <v>0</v>
      </c>
      <c r="Q43" s="40">
        <f>F43/2*G43</f>
        <v>935.70623999999998</v>
      </c>
      <c r="R43" s="40">
        <v>0</v>
      </c>
      <c r="S43" s="40">
        <v>0</v>
      </c>
      <c r="T43" s="40">
        <v>0</v>
      </c>
      <c r="U43" s="40">
        <f t="shared" ref="U43:U52" si="8">SUM(I43:L43)</f>
        <v>935.70623999999998</v>
      </c>
    </row>
    <row r="44" spans="1:21">
      <c r="A44" s="32" t="s">
        <v>80</v>
      </c>
      <c r="B44" s="11" t="s">
        <v>81</v>
      </c>
      <c r="C44" s="32" t="s">
        <v>43</v>
      </c>
      <c r="D44" s="11" t="s">
        <v>79</v>
      </c>
      <c r="E44" s="37">
        <v>132</v>
      </c>
      <c r="F44" s="38">
        <f>E44*2/1000</f>
        <v>0.26400000000000001</v>
      </c>
      <c r="G44" s="57">
        <v>619.46</v>
      </c>
      <c r="H44" s="39">
        <f t="shared" si="7"/>
        <v>0.16353744000000001</v>
      </c>
      <c r="I44" s="40">
        <v>0</v>
      </c>
      <c r="J44" s="40">
        <v>0</v>
      </c>
      <c r="K44" s="40">
        <v>0</v>
      </c>
      <c r="L44" s="40">
        <f>F44/2*G44</f>
        <v>81.768720000000002</v>
      </c>
      <c r="M44" s="40">
        <v>0</v>
      </c>
      <c r="N44" s="40">
        <v>0</v>
      </c>
      <c r="O44" s="40">
        <v>0</v>
      </c>
      <c r="P44" s="40">
        <v>0</v>
      </c>
      <c r="Q44" s="40">
        <f>F44/2*G44</f>
        <v>81.768720000000002</v>
      </c>
      <c r="R44" s="40">
        <v>0</v>
      </c>
      <c r="S44" s="40">
        <v>0</v>
      </c>
      <c r="T44" s="40">
        <v>0</v>
      </c>
      <c r="U44" s="40">
        <f t="shared" si="8"/>
        <v>81.768720000000002</v>
      </c>
    </row>
    <row r="45" spans="1:21" ht="25.5">
      <c r="A45" s="32" t="s">
        <v>82</v>
      </c>
      <c r="B45" s="11" t="s">
        <v>83</v>
      </c>
      <c r="C45" s="32" t="s">
        <v>43</v>
      </c>
      <c r="D45" s="11" t="s">
        <v>79</v>
      </c>
      <c r="E45" s="37">
        <v>4248.22</v>
      </c>
      <c r="F45" s="38">
        <f>SUM(E45*2/1000)</f>
        <v>8.4964399999999998</v>
      </c>
      <c r="G45" s="57">
        <v>619.46</v>
      </c>
      <c r="H45" s="39">
        <f t="shared" si="7"/>
        <v>5.2632047223999994</v>
      </c>
      <c r="I45" s="40">
        <v>0</v>
      </c>
      <c r="J45" s="40">
        <v>0</v>
      </c>
      <c r="K45" s="40">
        <v>0</v>
      </c>
      <c r="L45" s="40">
        <f>F45/2*G45</f>
        <v>2631.6023611999999</v>
      </c>
      <c r="M45" s="40">
        <v>0</v>
      </c>
      <c r="N45" s="40">
        <v>0</v>
      </c>
      <c r="O45" s="40">
        <v>0</v>
      </c>
      <c r="P45" s="40">
        <v>0</v>
      </c>
      <c r="Q45" s="40">
        <f>F45/2*G45</f>
        <v>2631.6023611999999</v>
      </c>
      <c r="R45" s="40">
        <v>0</v>
      </c>
      <c r="S45" s="40">
        <v>0</v>
      </c>
      <c r="T45" s="40">
        <v>0</v>
      </c>
      <c r="U45" s="40">
        <f t="shared" si="8"/>
        <v>2631.6023611999999</v>
      </c>
    </row>
    <row r="46" spans="1:21">
      <c r="A46" s="32" t="s">
        <v>84</v>
      </c>
      <c r="B46" s="11" t="s">
        <v>85</v>
      </c>
      <c r="C46" s="32" t="s">
        <v>43</v>
      </c>
      <c r="D46" s="11" t="s">
        <v>79</v>
      </c>
      <c r="E46" s="37">
        <v>2163.66</v>
      </c>
      <c r="F46" s="38">
        <f>SUM(E46*2/1000)</f>
        <v>4.3273199999999994</v>
      </c>
      <c r="G46" s="57">
        <v>648.64</v>
      </c>
      <c r="H46" s="39">
        <f t="shared" si="7"/>
        <v>2.8068728447999995</v>
      </c>
      <c r="I46" s="40">
        <v>0</v>
      </c>
      <c r="J46" s="40">
        <v>0</v>
      </c>
      <c r="K46" s="40">
        <v>0</v>
      </c>
      <c r="L46" s="40">
        <f>F46/2*G46</f>
        <v>1403.4364223999999</v>
      </c>
      <c r="M46" s="40">
        <v>0</v>
      </c>
      <c r="N46" s="40">
        <v>0</v>
      </c>
      <c r="O46" s="40">
        <v>0</v>
      </c>
      <c r="P46" s="40">
        <v>0</v>
      </c>
      <c r="Q46" s="40">
        <f>F46/2*G46</f>
        <v>1403.4364223999999</v>
      </c>
      <c r="R46" s="40">
        <v>0</v>
      </c>
      <c r="S46" s="40">
        <v>0</v>
      </c>
      <c r="T46" s="40">
        <v>0</v>
      </c>
      <c r="U46" s="40">
        <f t="shared" si="8"/>
        <v>1403.4364223999999</v>
      </c>
    </row>
    <row r="47" spans="1:21" ht="25.5">
      <c r="A47" s="32" t="s">
        <v>86</v>
      </c>
      <c r="B47" s="11" t="s">
        <v>87</v>
      </c>
      <c r="C47" s="32" t="s">
        <v>43</v>
      </c>
      <c r="D47" s="11" t="s">
        <v>88</v>
      </c>
      <c r="E47" s="37">
        <v>1015.4</v>
      </c>
      <c r="F47" s="38">
        <f>SUM(E47*5/1000)</f>
        <v>5.077</v>
      </c>
      <c r="G47" s="57">
        <v>1297.28</v>
      </c>
      <c r="H47" s="39">
        <f t="shared" si="7"/>
        <v>6.5862905599999992</v>
      </c>
      <c r="I47" s="40">
        <f>F47/5*G47</f>
        <v>1317.258112</v>
      </c>
      <c r="J47" s="40">
        <f>F47/5*G47</f>
        <v>1317.258112</v>
      </c>
      <c r="K47" s="40">
        <v>0</v>
      </c>
      <c r="L47" s="40">
        <f>0</f>
        <v>0</v>
      </c>
      <c r="M47" s="40">
        <f>F47/5*G47</f>
        <v>1317.258112</v>
      </c>
      <c r="N47" s="40">
        <v>0</v>
      </c>
      <c r="O47" s="40">
        <v>0</v>
      </c>
      <c r="P47" s="40">
        <v>0</v>
      </c>
      <c r="Q47" s="40">
        <f>F47/5*G47</f>
        <v>1317.258112</v>
      </c>
      <c r="R47" s="40">
        <v>0</v>
      </c>
      <c r="S47" s="40">
        <v>0</v>
      </c>
      <c r="T47" s="40">
        <f>F47/5*G47</f>
        <v>1317.258112</v>
      </c>
      <c r="U47" s="40">
        <f t="shared" si="8"/>
        <v>2634.516224</v>
      </c>
    </row>
    <row r="48" spans="1:21" ht="39.6" customHeight="1">
      <c r="A48" s="32" t="s">
        <v>89</v>
      </c>
      <c r="B48" s="11" t="s">
        <v>90</v>
      </c>
      <c r="C48" s="32" t="s">
        <v>43</v>
      </c>
      <c r="D48" s="11" t="s">
        <v>79</v>
      </c>
      <c r="E48" s="37">
        <v>1015.4</v>
      </c>
      <c r="F48" s="38">
        <f>SUM(E48*2/1000)</f>
        <v>2.0308000000000002</v>
      </c>
      <c r="G48" s="57">
        <v>1297.28</v>
      </c>
      <c r="H48" s="39">
        <f t="shared" si="7"/>
        <v>2.634516224</v>
      </c>
      <c r="I48" s="40">
        <v>0</v>
      </c>
      <c r="J48" s="40">
        <v>0</v>
      </c>
      <c r="K48" s="40">
        <f>F48/2*G48</f>
        <v>1317.258112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f>F48/2*G48</f>
        <v>1317.258112</v>
      </c>
      <c r="R48" s="40">
        <v>0</v>
      </c>
      <c r="S48" s="40">
        <v>0</v>
      </c>
      <c r="T48" s="40">
        <v>0</v>
      </c>
      <c r="U48" s="40">
        <f t="shared" si="8"/>
        <v>1317.258112</v>
      </c>
    </row>
    <row r="49" spans="1:21" ht="28.9" customHeight="1">
      <c r="A49" s="32" t="s">
        <v>91</v>
      </c>
      <c r="B49" s="11" t="s">
        <v>92</v>
      </c>
      <c r="C49" s="32" t="s">
        <v>93</v>
      </c>
      <c r="D49" s="11" t="s">
        <v>79</v>
      </c>
      <c r="E49" s="37">
        <v>30</v>
      </c>
      <c r="F49" s="38">
        <f>SUM(E49*2/100)</f>
        <v>0.6</v>
      </c>
      <c r="G49" s="57">
        <v>2918.89</v>
      </c>
      <c r="H49" s="39">
        <f t="shared" si="7"/>
        <v>1.7513339999999997</v>
      </c>
      <c r="I49" s="40">
        <v>0</v>
      </c>
      <c r="J49" s="40">
        <v>0</v>
      </c>
      <c r="K49" s="40">
        <f>F49/2*G49</f>
        <v>875.66699999999992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f>F49/2*G49</f>
        <v>875.66699999999992</v>
      </c>
      <c r="R49" s="40">
        <v>0</v>
      </c>
      <c r="S49" s="40">
        <v>0</v>
      </c>
      <c r="T49" s="40">
        <v>0</v>
      </c>
      <c r="U49" s="40">
        <f t="shared" si="8"/>
        <v>875.66699999999992</v>
      </c>
    </row>
    <row r="50" spans="1:21">
      <c r="A50" s="32" t="s">
        <v>94</v>
      </c>
      <c r="B50" s="11" t="s">
        <v>95</v>
      </c>
      <c r="C50" s="32" t="s">
        <v>96</v>
      </c>
      <c r="D50" s="11" t="s">
        <v>79</v>
      </c>
      <c r="E50" s="37">
        <v>1</v>
      </c>
      <c r="F50" s="38">
        <v>0.02</v>
      </c>
      <c r="G50" s="57">
        <v>6042.13</v>
      </c>
      <c r="H50" s="39">
        <f t="shared" si="7"/>
        <v>0.12084260000000001</v>
      </c>
      <c r="I50" s="40">
        <v>0</v>
      </c>
      <c r="J50" s="40">
        <f>F50/2*G50</f>
        <v>60.421300000000002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f>F50/2*G50</f>
        <v>60.421300000000002</v>
      </c>
      <c r="R50" s="40">
        <v>0</v>
      </c>
      <c r="S50" s="40">
        <v>0</v>
      </c>
      <c r="T50" s="40">
        <v>0</v>
      </c>
      <c r="U50" s="40">
        <f t="shared" si="8"/>
        <v>60.421300000000002</v>
      </c>
    </row>
    <row r="51" spans="1:21">
      <c r="A51" s="32" t="s">
        <v>166</v>
      </c>
      <c r="B51" s="11" t="s">
        <v>167</v>
      </c>
      <c r="C51" s="32" t="s">
        <v>97</v>
      </c>
      <c r="D51" s="11" t="s">
        <v>168</v>
      </c>
      <c r="E51" s="37">
        <v>90</v>
      </c>
      <c r="F51" s="38">
        <f>E51*4</f>
        <v>360</v>
      </c>
      <c r="G51" s="57">
        <v>150.86000000000001</v>
      </c>
      <c r="H51" s="39">
        <f>F51*G51/1000</f>
        <v>54.309600000000003</v>
      </c>
      <c r="I51" s="40">
        <v>0</v>
      </c>
      <c r="J51" s="40">
        <f>E51*G51</f>
        <v>13577.400000000001</v>
      </c>
      <c r="K51" s="40">
        <v>0</v>
      </c>
      <c r="L51" s="40">
        <v>0</v>
      </c>
      <c r="M51" s="40">
        <f>E51*G51</f>
        <v>13577.400000000001</v>
      </c>
      <c r="N51" s="40">
        <v>0</v>
      </c>
      <c r="O51" s="40">
        <v>0</v>
      </c>
      <c r="P51" s="40">
        <v>0</v>
      </c>
      <c r="Q51" s="40">
        <f>E51*G51</f>
        <v>13577.400000000001</v>
      </c>
      <c r="R51" s="40">
        <v>0</v>
      </c>
      <c r="S51" s="40">
        <v>0</v>
      </c>
      <c r="T51" s="40">
        <v>0</v>
      </c>
      <c r="U51" s="40">
        <f t="shared" si="8"/>
        <v>13577.400000000001</v>
      </c>
    </row>
    <row r="52" spans="1:21" ht="13.5" customHeight="1">
      <c r="A52" s="32" t="s">
        <v>98</v>
      </c>
      <c r="B52" s="11" t="s">
        <v>99</v>
      </c>
      <c r="C52" s="32" t="s">
        <v>97</v>
      </c>
      <c r="D52" s="11" t="s">
        <v>191</v>
      </c>
      <c r="E52" s="37">
        <v>180</v>
      </c>
      <c r="F52" s="38">
        <f>SUM(E52)*3</f>
        <v>540</v>
      </c>
      <c r="G52" s="58">
        <v>70.2</v>
      </c>
      <c r="H52" s="39">
        <f t="shared" si="7"/>
        <v>37.908000000000001</v>
      </c>
      <c r="I52" s="40">
        <v>0</v>
      </c>
      <c r="J52" s="40">
        <f>E52*G52</f>
        <v>12636</v>
      </c>
      <c r="K52" s="40">
        <v>0</v>
      </c>
      <c r="L52" s="40">
        <v>0</v>
      </c>
      <c r="M52" s="40">
        <f>E52*G52</f>
        <v>12636</v>
      </c>
      <c r="N52" s="40">
        <v>0</v>
      </c>
      <c r="O52" s="40">
        <v>0</v>
      </c>
      <c r="P52" s="40">
        <v>0</v>
      </c>
      <c r="Q52" s="40">
        <f>E52*G52</f>
        <v>12636</v>
      </c>
      <c r="R52" s="40">
        <v>0</v>
      </c>
      <c r="S52" s="40">
        <v>0</v>
      </c>
      <c r="T52" s="40">
        <v>0</v>
      </c>
      <c r="U52" s="40">
        <f t="shared" si="8"/>
        <v>12636</v>
      </c>
    </row>
    <row r="53" spans="1:21" s="21" customFormat="1">
      <c r="A53" s="43"/>
      <c r="B53" s="20" t="s">
        <v>35</v>
      </c>
      <c r="C53" s="59"/>
      <c r="D53" s="20"/>
      <c r="E53" s="60"/>
      <c r="F53" s="61"/>
      <c r="G53" s="61"/>
      <c r="H53" s="53">
        <f>SUM(H43:H52)</f>
        <v>113.4156108712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>
        <f>SUM(U43:U52)</f>
        <v>36153.7763796</v>
      </c>
    </row>
    <row r="54" spans="1:21">
      <c r="A54" s="32"/>
      <c r="B54" s="12" t="s">
        <v>100</v>
      </c>
      <c r="C54" s="32"/>
      <c r="D54" s="11"/>
      <c r="E54" s="37"/>
      <c r="F54" s="38"/>
      <c r="G54" s="38"/>
      <c r="H54" s="39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ht="38.25" customHeight="1">
      <c r="A55" s="32" t="s">
        <v>102</v>
      </c>
      <c r="B55" s="11" t="s">
        <v>145</v>
      </c>
      <c r="C55" s="32" t="s">
        <v>14</v>
      </c>
      <c r="D55" s="11" t="s">
        <v>101</v>
      </c>
      <c r="E55" s="37">
        <v>148.04</v>
      </c>
      <c r="F55" s="38">
        <f>SUM(E55*6/100)</f>
        <v>8.8824000000000005</v>
      </c>
      <c r="G55" s="57">
        <v>1654.04</v>
      </c>
      <c r="H55" s="39">
        <f>SUM(F55*G55/1000)</f>
        <v>14.691844896000001</v>
      </c>
      <c r="I55" s="40">
        <f>F55/6*G55</f>
        <v>2448.6408160000001</v>
      </c>
      <c r="J55" s="40">
        <f>F55/6*G55</f>
        <v>2448.6408160000001</v>
      </c>
      <c r="K55" s="40">
        <f>F55/6*G55</f>
        <v>2448.6408160000001</v>
      </c>
      <c r="L55" s="40">
        <f>F55/6*G55</f>
        <v>2448.6408160000001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f>F55/6*G55</f>
        <v>2448.6408160000001</v>
      </c>
      <c r="T55" s="40">
        <f>F55/6*G55</f>
        <v>2448.6408160000001</v>
      </c>
      <c r="U55" s="40">
        <f>SUM(I55:T55)</f>
        <v>14691.844895999999</v>
      </c>
    </row>
    <row r="56" spans="1:21" ht="27" customHeight="1">
      <c r="A56" s="32" t="s">
        <v>102</v>
      </c>
      <c r="B56" s="11" t="s">
        <v>169</v>
      </c>
      <c r="C56" s="32" t="s">
        <v>14</v>
      </c>
      <c r="D56" s="11" t="s">
        <v>170</v>
      </c>
      <c r="E56" s="37">
        <v>39.700000000000003</v>
      </c>
      <c r="F56" s="38">
        <f>SUM(E56*12/100)</f>
        <v>4.7640000000000002</v>
      </c>
      <c r="G56" s="57">
        <v>1654.04</v>
      </c>
      <c r="H56" s="39">
        <f>SUM(F56*G56/1000)</f>
        <v>7.8798465599999998</v>
      </c>
      <c r="I56" s="40">
        <f>F56/6*G56</f>
        <v>1313.3077600000001</v>
      </c>
      <c r="J56" s="40">
        <f>F56/6*G56</f>
        <v>1313.3077600000001</v>
      </c>
      <c r="K56" s="40">
        <f>F56/6*G56</f>
        <v>1313.3077600000001</v>
      </c>
      <c r="L56" s="40">
        <f>F56/6*G56</f>
        <v>1313.3077600000001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f>F56/6*G56</f>
        <v>1313.3077600000001</v>
      </c>
      <c r="T56" s="40">
        <f>F56/6*G56</f>
        <v>1313.3077600000001</v>
      </c>
      <c r="U56" s="40">
        <f>SUM(I56:T56)</f>
        <v>7879.84656</v>
      </c>
    </row>
    <row r="57" spans="1:21" ht="12.75" customHeight="1">
      <c r="A57" s="63" t="s">
        <v>171</v>
      </c>
      <c r="B57" s="24" t="s">
        <v>172</v>
      </c>
      <c r="C57" s="63" t="s">
        <v>173</v>
      </c>
      <c r="D57" s="24" t="s">
        <v>79</v>
      </c>
      <c r="E57" s="64">
        <v>8</v>
      </c>
      <c r="F57" s="65">
        <v>16</v>
      </c>
      <c r="G57" s="57">
        <v>193.25</v>
      </c>
      <c r="H57" s="66">
        <f>F57*G57/1000</f>
        <v>3.0920000000000001</v>
      </c>
      <c r="I57" s="40">
        <f>F57/2*G57</f>
        <v>1546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f>SUM(I57:T57)</f>
        <v>1546</v>
      </c>
    </row>
    <row r="58" spans="1:21" ht="12.75" customHeight="1">
      <c r="A58" s="32" t="s">
        <v>102</v>
      </c>
      <c r="B58" s="11" t="s">
        <v>174</v>
      </c>
      <c r="C58" s="32" t="s">
        <v>14</v>
      </c>
      <c r="D58" s="11" t="s">
        <v>101</v>
      </c>
      <c r="E58" s="37">
        <v>41.73</v>
      </c>
      <c r="F58" s="38">
        <f>SUM(E58*6/100)</f>
        <v>2.5038</v>
      </c>
      <c r="G58" s="57">
        <v>1654.04</v>
      </c>
      <c r="H58" s="39">
        <f>SUM(F58*G58/1000)</f>
        <v>4.1413853520000004</v>
      </c>
      <c r="I58" s="40">
        <v>0</v>
      </c>
      <c r="J58" s="40">
        <f>F58/6*G58</f>
        <v>690.23089200000004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f>SUM(I58:T58)</f>
        <v>690.23089200000004</v>
      </c>
    </row>
    <row r="59" spans="1:21" ht="12.75" customHeight="1">
      <c r="A59" s="63"/>
      <c r="B59" s="25" t="s">
        <v>103</v>
      </c>
      <c r="C59" s="63"/>
      <c r="D59" s="24"/>
      <c r="E59" s="64"/>
      <c r="F59" s="65"/>
      <c r="G59" s="57"/>
      <c r="H59" s="66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ht="12.75" customHeight="1">
      <c r="A60" s="63" t="s">
        <v>104</v>
      </c>
      <c r="B60" s="24" t="s">
        <v>175</v>
      </c>
      <c r="C60" s="63" t="s">
        <v>30</v>
      </c>
      <c r="D60" s="24" t="s">
        <v>47</v>
      </c>
      <c r="E60" s="64">
        <v>1015.4</v>
      </c>
      <c r="F60" s="65">
        <v>10.154</v>
      </c>
      <c r="G60" s="57">
        <v>848.37</v>
      </c>
      <c r="H60" s="66">
        <f>F60*G60/1000</f>
        <v>8.6143489800000008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f>SUM(I60:L60)</f>
        <v>0</v>
      </c>
    </row>
    <row r="61" spans="1:21" ht="12.75" customHeight="1">
      <c r="A61" s="63"/>
      <c r="B61" s="24" t="s">
        <v>159</v>
      </c>
      <c r="C61" s="63" t="s">
        <v>105</v>
      </c>
      <c r="D61" s="24" t="s">
        <v>156</v>
      </c>
      <c r="E61" s="64">
        <v>203.1</v>
      </c>
      <c r="F61" s="67">
        <f>E61*12</f>
        <v>2437.1999999999998</v>
      </c>
      <c r="G61" s="68">
        <v>2.6</v>
      </c>
      <c r="H61" s="65">
        <f>F61*G61/1000</f>
        <v>6.3367199999999997</v>
      </c>
      <c r="I61" s="40">
        <f>F61/12*G61</f>
        <v>528.06000000000006</v>
      </c>
      <c r="J61" s="40">
        <f>F61/12*G61</f>
        <v>528.06000000000006</v>
      </c>
      <c r="K61" s="40">
        <f>F61/12*G61</f>
        <v>528.06000000000006</v>
      </c>
      <c r="L61" s="40">
        <f>F61/12*G61</f>
        <v>528.06000000000006</v>
      </c>
      <c r="M61" s="40">
        <f>F61/12*G61</f>
        <v>528.06000000000006</v>
      </c>
      <c r="N61" s="40">
        <f>F61/12*G61</f>
        <v>528.06000000000006</v>
      </c>
      <c r="O61" s="40">
        <f>F61/12*G61</f>
        <v>528.06000000000006</v>
      </c>
      <c r="P61" s="40">
        <f>F61/12*G61</f>
        <v>528.06000000000006</v>
      </c>
      <c r="Q61" s="40">
        <f>F61/12*G61</f>
        <v>528.06000000000006</v>
      </c>
      <c r="R61" s="40">
        <f>F61/12*G61</f>
        <v>528.06000000000006</v>
      </c>
      <c r="S61" s="40">
        <f>F61/12*G61</f>
        <v>528.06000000000006</v>
      </c>
      <c r="T61" s="40">
        <f>F61/12*G61</f>
        <v>528.06000000000006</v>
      </c>
      <c r="U61" s="40">
        <f>SUM(I61:L61)</f>
        <v>2112.2400000000002</v>
      </c>
    </row>
    <row r="62" spans="1:21">
      <c r="A62" s="63"/>
      <c r="B62" s="15" t="s">
        <v>107</v>
      </c>
      <c r="C62" s="63"/>
      <c r="D62" s="24"/>
      <c r="E62" s="64"/>
      <c r="F62" s="67"/>
      <c r="G62" s="67"/>
      <c r="H62" s="65" t="s">
        <v>64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 ht="20.25" customHeight="1">
      <c r="A63" s="69" t="s">
        <v>108</v>
      </c>
      <c r="B63" s="16" t="s">
        <v>109</v>
      </c>
      <c r="C63" s="69" t="s">
        <v>97</v>
      </c>
      <c r="D63" s="8" t="s">
        <v>56</v>
      </c>
      <c r="E63" s="70">
        <v>10</v>
      </c>
      <c r="F63" s="38">
        <v>10</v>
      </c>
      <c r="G63" s="57">
        <v>237.75</v>
      </c>
      <c r="H63" s="134">
        <f t="shared" ref="H63:H76" si="9">SUM(F63*G63/1000)</f>
        <v>2.3774999999999999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f>G63*4</f>
        <v>951</v>
      </c>
      <c r="S63" s="40">
        <v>0</v>
      </c>
      <c r="T63" s="40">
        <v>0</v>
      </c>
      <c r="U63" s="40">
        <f t="shared" ref="U63:U70" si="10">SUM(I63:T63)</f>
        <v>951</v>
      </c>
    </row>
    <row r="64" spans="1:21" ht="12.75" customHeight="1">
      <c r="A64" s="69" t="s">
        <v>110</v>
      </c>
      <c r="B64" s="16" t="s">
        <v>111</v>
      </c>
      <c r="C64" s="69" t="s">
        <v>97</v>
      </c>
      <c r="D64" s="8" t="s">
        <v>56</v>
      </c>
      <c r="E64" s="70">
        <v>5</v>
      </c>
      <c r="F64" s="38">
        <v>5</v>
      </c>
      <c r="G64" s="57">
        <v>81.510000000000005</v>
      </c>
      <c r="H64" s="134">
        <f t="shared" si="9"/>
        <v>0.40755000000000002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f t="shared" si="10"/>
        <v>0</v>
      </c>
    </row>
    <row r="65" spans="1:21" s="1" customFormat="1">
      <c r="A65" s="71" t="s">
        <v>112</v>
      </c>
      <c r="B65" s="16" t="s">
        <v>113</v>
      </c>
      <c r="C65" s="71" t="s">
        <v>114</v>
      </c>
      <c r="D65" s="8" t="s">
        <v>47</v>
      </c>
      <c r="E65" s="37">
        <v>14205</v>
      </c>
      <c r="F65" s="58">
        <f>SUM(E65/100)</f>
        <v>142.05000000000001</v>
      </c>
      <c r="G65" s="57">
        <v>226.79</v>
      </c>
      <c r="H65" s="134">
        <f t="shared" si="9"/>
        <v>32.215519499999999</v>
      </c>
      <c r="I65" s="56">
        <v>0</v>
      </c>
      <c r="J65" s="56">
        <v>0</v>
      </c>
      <c r="K65" s="56">
        <v>0</v>
      </c>
      <c r="L65" s="56">
        <v>0</v>
      </c>
      <c r="M65" s="56">
        <f>F65*G65</f>
        <v>32215.519500000002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40">
        <f t="shared" si="10"/>
        <v>32215.519500000002</v>
      </c>
    </row>
    <row r="66" spans="1:21" ht="25.5">
      <c r="A66" s="69" t="s">
        <v>115</v>
      </c>
      <c r="B66" s="16" t="s">
        <v>116</v>
      </c>
      <c r="C66" s="69" t="s">
        <v>117</v>
      </c>
      <c r="D66" s="8"/>
      <c r="E66" s="37">
        <v>14205</v>
      </c>
      <c r="F66" s="57">
        <f>SUM(E66/1000)</f>
        <v>14.205</v>
      </c>
      <c r="G66" s="57">
        <v>176.61</v>
      </c>
      <c r="H66" s="134">
        <f t="shared" si="9"/>
        <v>2.5087450499999999</v>
      </c>
      <c r="I66" s="40">
        <v>0</v>
      </c>
      <c r="J66" s="40">
        <v>0</v>
      </c>
      <c r="K66" s="40">
        <v>0</v>
      </c>
      <c r="L66" s="40">
        <v>0</v>
      </c>
      <c r="M66" s="40">
        <f>F66*G66</f>
        <v>2508.74505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f t="shared" si="10"/>
        <v>2508.74505</v>
      </c>
    </row>
    <row r="67" spans="1:21">
      <c r="A67" s="69" t="s">
        <v>118</v>
      </c>
      <c r="B67" s="16" t="s">
        <v>119</v>
      </c>
      <c r="C67" s="69" t="s">
        <v>120</v>
      </c>
      <c r="D67" s="8" t="s">
        <v>47</v>
      </c>
      <c r="E67" s="37">
        <v>2131</v>
      </c>
      <c r="F67" s="57">
        <f>SUM(E67/100)</f>
        <v>21.31</v>
      </c>
      <c r="G67" s="57">
        <v>2217.7800000000002</v>
      </c>
      <c r="H67" s="134">
        <f t="shared" si="9"/>
        <v>47.260891800000003</v>
      </c>
      <c r="I67" s="40">
        <v>0</v>
      </c>
      <c r="J67" s="40">
        <v>0</v>
      </c>
      <c r="K67" s="40">
        <v>0</v>
      </c>
      <c r="L67" s="40">
        <v>0</v>
      </c>
      <c r="M67" s="40">
        <f>F67*G67</f>
        <v>47260.891800000005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f t="shared" si="10"/>
        <v>47260.891800000005</v>
      </c>
    </row>
    <row r="68" spans="1:21">
      <c r="A68" s="69"/>
      <c r="B68" s="17" t="s">
        <v>147</v>
      </c>
      <c r="C68" s="69" t="s">
        <v>54</v>
      </c>
      <c r="D68" s="8"/>
      <c r="E68" s="37">
        <v>12.48</v>
      </c>
      <c r="F68" s="57">
        <f>SUM(E68)</f>
        <v>12.48</v>
      </c>
      <c r="G68" s="57">
        <v>42.67</v>
      </c>
      <c r="H68" s="134">
        <f t="shared" si="9"/>
        <v>0.53252160000000004</v>
      </c>
      <c r="I68" s="40">
        <v>0</v>
      </c>
      <c r="J68" s="40">
        <v>0</v>
      </c>
      <c r="K68" s="40">
        <v>0</v>
      </c>
      <c r="L68" s="40">
        <v>0</v>
      </c>
      <c r="M68" s="40">
        <f>F68*G68</f>
        <v>532.52160000000003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f t="shared" si="10"/>
        <v>532.52160000000003</v>
      </c>
    </row>
    <row r="69" spans="1:21" ht="25.5">
      <c r="A69" s="72"/>
      <c r="B69" s="17" t="s">
        <v>148</v>
      </c>
      <c r="C69" s="69" t="s">
        <v>54</v>
      </c>
      <c r="D69" s="8"/>
      <c r="E69" s="37">
        <v>12.48</v>
      </c>
      <c r="F69" s="57">
        <f>SUM(E69)</f>
        <v>12.48</v>
      </c>
      <c r="G69" s="57">
        <v>39.81</v>
      </c>
      <c r="H69" s="134">
        <f t="shared" si="9"/>
        <v>0.49682880000000007</v>
      </c>
      <c r="I69" s="40">
        <v>0</v>
      </c>
      <c r="J69" s="40">
        <v>0</v>
      </c>
      <c r="K69" s="40">
        <v>0</v>
      </c>
      <c r="L69" s="40">
        <v>0</v>
      </c>
      <c r="M69" s="40">
        <f>F69*G69</f>
        <v>496.82880000000006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f t="shared" si="10"/>
        <v>496.82880000000006</v>
      </c>
    </row>
    <row r="70" spans="1:21">
      <c r="A70" s="69" t="s">
        <v>121</v>
      </c>
      <c r="B70" s="8" t="s">
        <v>122</v>
      </c>
      <c r="C70" s="69" t="s">
        <v>123</v>
      </c>
      <c r="D70" s="8" t="s">
        <v>47</v>
      </c>
      <c r="E70" s="70">
        <v>5</v>
      </c>
      <c r="F70" s="38">
        <v>5</v>
      </c>
      <c r="G70" s="57">
        <v>53.32</v>
      </c>
      <c r="H70" s="134">
        <f t="shared" si="9"/>
        <v>0.2666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f>F70*G70</f>
        <v>266.60000000000002</v>
      </c>
      <c r="R70" s="40">
        <v>0</v>
      </c>
      <c r="S70" s="40">
        <v>0</v>
      </c>
      <c r="T70" s="40">
        <v>0</v>
      </c>
      <c r="U70" s="40">
        <f t="shared" si="10"/>
        <v>266.60000000000002</v>
      </c>
    </row>
    <row r="71" spans="1:21">
      <c r="A71" s="72"/>
      <c r="B71" s="18" t="s">
        <v>124</v>
      </c>
      <c r="C71" s="69"/>
      <c r="D71" s="8"/>
      <c r="E71" s="70"/>
      <c r="F71" s="57"/>
      <c r="G71" s="57"/>
      <c r="H71" s="134" t="s">
        <v>64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>
      <c r="A72" s="69" t="s">
        <v>125</v>
      </c>
      <c r="B72" s="8" t="s">
        <v>126</v>
      </c>
      <c r="C72" s="69" t="s">
        <v>127</v>
      </c>
      <c r="D72" s="8"/>
      <c r="E72" s="70">
        <v>2</v>
      </c>
      <c r="F72" s="57">
        <v>0.2</v>
      </c>
      <c r="G72" s="57">
        <v>536.23</v>
      </c>
      <c r="H72" s="134">
        <f t="shared" si="9"/>
        <v>0.10724600000000001</v>
      </c>
      <c r="I72" s="40">
        <f>G72*0.1</f>
        <v>53.623000000000005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f>G72*0.1</f>
        <v>53.623000000000005</v>
      </c>
      <c r="S72" s="40">
        <v>0</v>
      </c>
      <c r="T72" s="40">
        <v>0</v>
      </c>
      <c r="U72" s="40">
        <f>SUM(I72:T72)</f>
        <v>107.24600000000001</v>
      </c>
    </row>
    <row r="73" spans="1:21">
      <c r="A73" s="69" t="s">
        <v>149</v>
      </c>
      <c r="B73" s="8" t="s">
        <v>150</v>
      </c>
      <c r="C73" s="69" t="s">
        <v>50</v>
      </c>
      <c r="D73" s="8"/>
      <c r="E73" s="70">
        <v>1</v>
      </c>
      <c r="F73" s="68">
        <v>1</v>
      </c>
      <c r="G73" s="57">
        <v>911.85</v>
      </c>
      <c r="H73" s="134">
        <f>F73*G73/1000</f>
        <v>0.91185000000000005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f>SUM(I73:T73)</f>
        <v>0</v>
      </c>
    </row>
    <row r="74" spans="1:21">
      <c r="A74" s="69" t="s">
        <v>128</v>
      </c>
      <c r="B74" s="8" t="s">
        <v>152</v>
      </c>
      <c r="C74" s="69" t="s">
        <v>50</v>
      </c>
      <c r="D74" s="8"/>
      <c r="E74" s="70">
        <v>1</v>
      </c>
      <c r="F74" s="57">
        <v>1</v>
      </c>
      <c r="G74" s="57">
        <v>383.25</v>
      </c>
      <c r="H74" s="134">
        <f>G74*F74/1000</f>
        <v>0.38324999999999998</v>
      </c>
      <c r="I74" s="40">
        <f>G74*2</f>
        <v>766.5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f>G74</f>
        <v>383.25</v>
      </c>
      <c r="U74" s="40">
        <f>SUM(I74:T74)</f>
        <v>1149.75</v>
      </c>
    </row>
    <row r="75" spans="1:21">
      <c r="A75" s="72"/>
      <c r="B75" s="73" t="s">
        <v>129</v>
      </c>
      <c r="C75" s="69"/>
      <c r="D75" s="8"/>
      <c r="E75" s="70"/>
      <c r="F75" s="57"/>
      <c r="G75" s="57" t="s">
        <v>64</v>
      </c>
      <c r="H75" s="134" t="s">
        <v>64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spans="1:21" s="1" customFormat="1">
      <c r="A76" s="71" t="s">
        <v>130</v>
      </c>
      <c r="B76" s="74" t="s">
        <v>131</v>
      </c>
      <c r="C76" s="71" t="s">
        <v>120</v>
      </c>
      <c r="D76" s="16"/>
      <c r="E76" s="75"/>
      <c r="F76" s="58">
        <v>0.9</v>
      </c>
      <c r="G76" s="58">
        <v>2757.42</v>
      </c>
      <c r="H76" s="134">
        <f t="shared" si="9"/>
        <v>2.4816780000000005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40">
        <f>SUM(I76:T76)</f>
        <v>0</v>
      </c>
    </row>
    <row r="77" spans="1:21" s="21" customFormat="1">
      <c r="A77" s="76"/>
      <c r="B77" s="20" t="s">
        <v>35</v>
      </c>
      <c r="C77" s="77"/>
      <c r="D77" s="78"/>
      <c r="E77" s="79"/>
      <c r="F77" s="62"/>
      <c r="G77" s="62"/>
      <c r="H77" s="80">
        <f>SUM(H55:H76)</f>
        <v>134.70632653799998</v>
      </c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>
        <f>SUM(U55:U76)</f>
        <v>112409.26509800003</v>
      </c>
    </row>
    <row r="78" spans="1:21">
      <c r="A78" s="146" t="s">
        <v>197</v>
      </c>
      <c r="B78" s="11" t="s">
        <v>198</v>
      </c>
      <c r="C78" s="82" t="s">
        <v>199</v>
      </c>
      <c r="D78" s="83"/>
      <c r="E78" s="144"/>
      <c r="F78" s="84">
        <f>102/10</f>
        <v>10.199999999999999</v>
      </c>
      <c r="G78" s="85">
        <v>9</v>
      </c>
      <c r="H78" s="134">
        <f>G78*F78/1000</f>
        <v>9.1799999999999993E-2</v>
      </c>
      <c r="I78" s="40">
        <v>0</v>
      </c>
      <c r="J78" s="40">
        <v>0</v>
      </c>
      <c r="K78" s="40">
        <v>0</v>
      </c>
      <c r="L78" s="40">
        <v>0</v>
      </c>
      <c r="M78" s="41">
        <v>0</v>
      </c>
      <c r="N78" s="40">
        <f>F78*G78</f>
        <v>91.8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f>SUM(I78:T78)</f>
        <v>91.8</v>
      </c>
    </row>
    <row r="79" spans="1:21" ht="12.75" customHeight="1">
      <c r="A79" s="69"/>
      <c r="B79" s="81" t="s">
        <v>132</v>
      </c>
      <c r="C79" s="69" t="s">
        <v>133</v>
      </c>
      <c r="D79" s="86"/>
      <c r="E79" s="57">
        <v>3945</v>
      </c>
      <c r="F79" s="57">
        <f>SUM(E79*12)</f>
        <v>47340</v>
      </c>
      <c r="G79" s="87">
        <v>2.2400000000000002</v>
      </c>
      <c r="H79" s="134">
        <f>SUM(F79*G79/1000)</f>
        <v>106.0416</v>
      </c>
      <c r="I79" s="40">
        <f>F79/12*G79</f>
        <v>8836.8000000000011</v>
      </c>
      <c r="J79" s="40">
        <f>F79/12*G79</f>
        <v>8836.8000000000011</v>
      </c>
      <c r="K79" s="40">
        <f>F79/12*G79</f>
        <v>8836.8000000000011</v>
      </c>
      <c r="L79" s="40">
        <f>F79/12*G79</f>
        <v>8836.8000000000011</v>
      </c>
      <c r="M79" s="40">
        <f>F79/12*G79</f>
        <v>8836.8000000000011</v>
      </c>
      <c r="N79" s="40">
        <f>F79/12*G79</f>
        <v>8836.8000000000011</v>
      </c>
      <c r="O79" s="40">
        <f>F79/12*G79</f>
        <v>8836.8000000000011</v>
      </c>
      <c r="P79" s="40">
        <f>F79/12*G79</f>
        <v>8836.8000000000011</v>
      </c>
      <c r="Q79" s="40">
        <f>F79/12*G79</f>
        <v>8836.8000000000011</v>
      </c>
      <c r="R79" s="40">
        <f>F79/12*G79</f>
        <v>8836.8000000000011</v>
      </c>
      <c r="S79" s="40">
        <f>F79/12*G79</f>
        <v>8836.8000000000011</v>
      </c>
      <c r="T79" s="40">
        <f>F79/12*G79</f>
        <v>8836.8000000000011</v>
      </c>
      <c r="U79" s="40">
        <f>SUM(I79:T79)</f>
        <v>106041.60000000002</v>
      </c>
    </row>
    <row r="80" spans="1:21" s="19" customFormat="1">
      <c r="A80" s="88"/>
      <c r="B80" s="20" t="s">
        <v>35</v>
      </c>
      <c r="C80" s="89"/>
      <c r="D80" s="90"/>
      <c r="E80" s="91"/>
      <c r="F80" s="48"/>
      <c r="G80" s="92"/>
      <c r="H80" s="49">
        <f>SUM(H78:H79)</f>
        <v>106.13340000000001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>
        <f>SUM(U78:U79)</f>
        <v>106133.40000000002</v>
      </c>
    </row>
    <row r="81" spans="1:27" ht="33.75" customHeight="1">
      <c r="A81" s="72"/>
      <c r="B81" s="8" t="s">
        <v>134</v>
      </c>
      <c r="C81" s="69"/>
      <c r="D81" s="93"/>
      <c r="E81" s="37">
        <f>E79</f>
        <v>3945</v>
      </c>
      <c r="F81" s="57">
        <f>E81*12</f>
        <v>47340</v>
      </c>
      <c r="G81" s="57">
        <v>1.74</v>
      </c>
      <c r="H81" s="134">
        <f>F81*G81/1000</f>
        <v>82.371600000000001</v>
      </c>
      <c r="I81" s="40">
        <f>F81/12*G81</f>
        <v>6864.3</v>
      </c>
      <c r="J81" s="40">
        <f>F81/12*G81</f>
        <v>6864.3</v>
      </c>
      <c r="K81" s="40">
        <f>F81/12*G81</f>
        <v>6864.3</v>
      </c>
      <c r="L81" s="40">
        <f>F81/12*G81</f>
        <v>6864.3</v>
      </c>
      <c r="M81" s="40">
        <f>F81/12*G81</f>
        <v>6864.3</v>
      </c>
      <c r="N81" s="40">
        <f>F81/12*G81</f>
        <v>6864.3</v>
      </c>
      <c r="O81" s="40">
        <f>F81/12*G81</f>
        <v>6864.3</v>
      </c>
      <c r="P81" s="40">
        <f>F81/12*G81</f>
        <v>6864.3</v>
      </c>
      <c r="Q81" s="40">
        <f>F81/12*G81</f>
        <v>6864.3</v>
      </c>
      <c r="R81" s="40">
        <f>F81/12*G81</f>
        <v>6864.3</v>
      </c>
      <c r="S81" s="40">
        <f>F81/12*G81</f>
        <v>6864.3</v>
      </c>
      <c r="T81" s="40">
        <f>F81/12*G81</f>
        <v>6864.3</v>
      </c>
      <c r="U81" s="40">
        <f>SUM(I81:T81)</f>
        <v>82371.60000000002</v>
      </c>
      <c r="X81" s="154"/>
      <c r="Y81" s="154"/>
      <c r="Z81" s="154"/>
      <c r="AA81" s="154"/>
    </row>
    <row r="82" spans="1:27" s="19" customFormat="1">
      <c r="A82" s="88"/>
      <c r="B82" s="94" t="s">
        <v>135</v>
      </c>
      <c r="C82" s="95"/>
      <c r="D82" s="94"/>
      <c r="E82" s="48"/>
      <c r="F82" s="48"/>
      <c r="G82" s="48"/>
      <c r="H82" s="80">
        <f>H81</f>
        <v>82.371600000000001</v>
      </c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136">
        <f>U81</f>
        <v>82371.60000000002</v>
      </c>
    </row>
    <row r="83" spans="1:27" s="19" customFormat="1">
      <c r="A83" s="88"/>
      <c r="B83" s="94" t="s">
        <v>136</v>
      </c>
      <c r="C83" s="96"/>
      <c r="D83" s="97"/>
      <c r="E83" s="98"/>
      <c r="F83" s="98"/>
      <c r="G83" s="98"/>
      <c r="H83" s="80">
        <f>SUM(H82+H80+H77+H53+H41+H31+H20)</f>
        <v>985.9294452165999</v>
      </c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136">
        <f>SUM(U82+U80+U77+U53+U41+U31+U20)*1.064</f>
        <v>936539.58755924017</v>
      </c>
    </row>
    <row r="84" spans="1:27" s="133" customFormat="1" ht="51.75" customHeight="1">
      <c r="A84" s="131"/>
      <c r="B84" s="73"/>
      <c r="C84" s="69"/>
      <c r="D84" s="93"/>
      <c r="E84" s="57"/>
      <c r="F84" s="57"/>
      <c r="G84" s="57"/>
      <c r="H84" s="132"/>
      <c r="I84" s="57"/>
      <c r="J84" s="57"/>
      <c r="K84" s="57"/>
      <c r="L84" s="57"/>
      <c r="M84" s="57"/>
      <c r="N84" s="57"/>
      <c r="O84" s="57"/>
      <c r="P84" s="57"/>
      <c r="Q84" s="57"/>
      <c r="R84" s="152"/>
      <c r="S84" s="152"/>
      <c r="T84" s="152"/>
      <c r="U84" s="153" t="s">
        <v>213</v>
      </c>
    </row>
    <row r="85" spans="1:27">
      <c r="A85" s="145"/>
      <c r="B85" s="93" t="s">
        <v>137</v>
      </c>
      <c r="C85" s="69"/>
      <c r="D85" s="93"/>
      <c r="E85" s="57"/>
      <c r="F85" s="57"/>
      <c r="G85" s="57" t="s">
        <v>138</v>
      </c>
      <c r="H85" s="99">
        <f>E81</f>
        <v>3945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1:27" s="19" customFormat="1">
      <c r="A86" s="88"/>
      <c r="B86" s="97" t="s">
        <v>139</v>
      </c>
      <c r="C86" s="96"/>
      <c r="D86" s="97"/>
      <c r="E86" s="98"/>
      <c r="F86" s="98"/>
      <c r="G86" s="98"/>
      <c r="H86" s="100">
        <f>SUM(H83/H85/12*1000)</f>
        <v>20.826562002885506</v>
      </c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137"/>
    </row>
    <row r="87" spans="1:27">
      <c r="A87" s="101"/>
      <c r="B87" s="93"/>
      <c r="C87" s="69"/>
      <c r="D87" s="93"/>
      <c r="E87" s="57"/>
      <c r="F87" s="57"/>
      <c r="G87" s="57"/>
      <c r="H87" s="102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138"/>
    </row>
    <row r="88" spans="1:27">
      <c r="A88" s="72"/>
      <c r="B88" s="73" t="s">
        <v>140</v>
      </c>
      <c r="C88" s="69"/>
      <c r="D88" s="93"/>
      <c r="E88" s="57"/>
      <c r="F88" s="57"/>
      <c r="G88" s="57"/>
      <c r="H88" s="57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1:27" ht="25.5">
      <c r="A89" s="26" t="s">
        <v>177</v>
      </c>
      <c r="B89" s="27" t="s">
        <v>176</v>
      </c>
      <c r="C89" s="28" t="s">
        <v>97</v>
      </c>
      <c r="D89" s="104"/>
      <c r="E89" s="42"/>
      <c r="F89" s="105">
        <v>15</v>
      </c>
      <c r="G89" s="106">
        <v>67.94</v>
      </c>
      <c r="H89" s="57">
        <f>G89*F89/1000</f>
        <v>1.0190999999999999</v>
      </c>
      <c r="I89" s="103">
        <f>G89*1</f>
        <v>67.94</v>
      </c>
      <c r="J89" s="103">
        <f>G89*3</f>
        <v>203.82</v>
      </c>
      <c r="K89" s="103">
        <f>G89</f>
        <v>67.94</v>
      </c>
      <c r="L89" s="103">
        <v>0</v>
      </c>
      <c r="M89" s="103">
        <v>0</v>
      </c>
      <c r="N89" s="103">
        <f>G89*4</f>
        <v>271.76</v>
      </c>
      <c r="O89" s="103">
        <v>0</v>
      </c>
      <c r="P89" s="103">
        <f>G89*2</f>
        <v>135.88</v>
      </c>
      <c r="Q89" s="103">
        <f>G89*2</f>
        <v>135.88</v>
      </c>
      <c r="R89" s="103">
        <v>0</v>
      </c>
      <c r="S89" s="103">
        <v>0</v>
      </c>
      <c r="T89" s="103">
        <f>G89*2</f>
        <v>135.88</v>
      </c>
      <c r="U89" s="103">
        <f>SUM(I89:T89)</f>
        <v>1019.1</v>
      </c>
    </row>
    <row r="90" spans="1:27">
      <c r="A90" s="69" t="s">
        <v>154</v>
      </c>
      <c r="B90" s="8" t="s">
        <v>178</v>
      </c>
      <c r="C90" s="69" t="s">
        <v>155</v>
      </c>
      <c r="D90" s="8"/>
      <c r="E90" s="70"/>
      <c r="F90" s="57">
        <v>0.25</v>
      </c>
      <c r="G90" s="57">
        <v>1372</v>
      </c>
      <c r="H90" s="68">
        <f t="shared" ref="H90:H106" si="11">G90*F90/1000</f>
        <v>0.34300000000000003</v>
      </c>
      <c r="I90" s="40">
        <f>G90*0.25</f>
        <v>343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f t="shared" ref="U90:U96" si="12">SUM(I90:T90)</f>
        <v>343</v>
      </c>
    </row>
    <row r="91" spans="1:27" ht="25.5">
      <c r="A91" s="128" t="s">
        <v>154</v>
      </c>
      <c r="B91" s="129" t="s">
        <v>192</v>
      </c>
      <c r="C91" s="130" t="s">
        <v>193</v>
      </c>
      <c r="D91" s="8"/>
      <c r="E91" s="70"/>
      <c r="F91" s="57">
        <v>1</v>
      </c>
      <c r="G91" s="57">
        <v>1676.06</v>
      </c>
      <c r="H91" s="57">
        <f t="shared" si="11"/>
        <v>1.6760599999999999</v>
      </c>
      <c r="I91" s="40">
        <f>G91</f>
        <v>1676.06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f t="shared" si="12"/>
        <v>1676.06</v>
      </c>
    </row>
    <row r="92" spans="1:27" ht="25.5">
      <c r="A92" s="26" t="s">
        <v>201</v>
      </c>
      <c r="B92" s="27" t="s">
        <v>200</v>
      </c>
      <c r="C92" s="28" t="s">
        <v>97</v>
      </c>
      <c r="D92" s="8"/>
      <c r="E92" s="70"/>
      <c r="F92" s="57">
        <v>2</v>
      </c>
      <c r="G92" s="57">
        <v>1992.08</v>
      </c>
      <c r="H92" s="134">
        <f t="shared" si="11"/>
        <v>3.9841599999999997</v>
      </c>
      <c r="I92" s="40">
        <v>0</v>
      </c>
      <c r="J92" s="40">
        <v>0</v>
      </c>
      <c r="K92" s="40">
        <f>G92</f>
        <v>1992.08</v>
      </c>
      <c r="L92" s="40">
        <v>0</v>
      </c>
      <c r="M92" s="40">
        <v>0</v>
      </c>
      <c r="N92" s="40">
        <f>G92</f>
        <v>1992.08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f t="shared" si="12"/>
        <v>3984.16</v>
      </c>
    </row>
    <row r="93" spans="1:27" ht="25.5">
      <c r="A93" s="28" t="s">
        <v>203</v>
      </c>
      <c r="B93" s="27" t="s">
        <v>202</v>
      </c>
      <c r="C93" s="28" t="s">
        <v>97</v>
      </c>
      <c r="D93" s="8"/>
      <c r="E93" s="70"/>
      <c r="F93" s="57">
        <v>1</v>
      </c>
      <c r="G93" s="57">
        <v>164.67</v>
      </c>
      <c r="H93" s="134">
        <f t="shared" si="11"/>
        <v>0.16466999999999998</v>
      </c>
      <c r="I93" s="40">
        <v>0</v>
      </c>
      <c r="J93" s="40">
        <v>0</v>
      </c>
      <c r="K93" s="40">
        <f>G93</f>
        <v>164.67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f t="shared" si="12"/>
        <v>164.67</v>
      </c>
    </row>
    <row r="94" spans="1:27" ht="25.5">
      <c r="A94" s="26" t="s">
        <v>206</v>
      </c>
      <c r="B94" s="27" t="s">
        <v>204</v>
      </c>
      <c r="C94" s="28" t="s">
        <v>205</v>
      </c>
      <c r="D94" s="8"/>
      <c r="E94" s="70"/>
      <c r="F94" s="57">
        <v>1</v>
      </c>
      <c r="G94" s="57">
        <v>511.54</v>
      </c>
      <c r="H94" s="134">
        <f t="shared" si="11"/>
        <v>0.51153999999999999</v>
      </c>
      <c r="I94" s="40">
        <v>0</v>
      </c>
      <c r="J94" s="40">
        <v>0</v>
      </c>
      <c r="K94" s="40">
        <f>G94</f>
        <v>511.54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f t="shared" si="12"/>
        <v>511.54</v>
      </c>
    </row>
    <row r="95" spans="1:27">
      <c r="A95" s="147" t="s">
        <v>208</v>
      </c>
      <c r="B95" s="148" t="s">
        <v>207</v>
      </c>
      <c r="C95" s="28" t="s">
        <v>97</v>
      </c>
      <c r="D95" s="8"/>
      <c r="E95" s="70"/>
      <c r="F95" s="57">
        <v>1</v>
      </c>
      <c r="G95" s="57">
        <v>277.95</v>
      </c>
      <c r="H95" s="134">
        <f t="shared" si="11"/>
        <v>0.27794999999999997</v>
      </c>
      <c r="I95" s="40">
        <v>0</v>
      </c>
      <c r="J95" s="40">
        <v>0</v>
      </c>
      <c r="K95" s="40">
        <f>G95</f>
        <v>277.95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f t="shared" si="12"/>
        <v>277.95</v>
      </c>
    </row>
    <row r="96" spans="1:27" ht="25.5">
      <c r="A96" s="147" t="s">
        <v>210</v>
      </c>
      <c r="B96" s="27" t="s">
        <v>209</v>
      </c>
      <c r="C96" s="28" t="s">
        <v>97</v>
      </c>
      <c r="D96" s="8"/>
      <c r="E96" s="70"/>
      <c r="F96" s="57">
        <v>1</v>
      </c>
      <c r="G96" s="57">
        <v>167.61</v>
      </c>
      <c r="H96" s="134">
        <f t="shared" si="11"/>
        <v>0.16761000000000001</v>
      </c>
      <c r="I96" s="40">
        <v>0</v>
      </c>
      <c r="J96" s="40">
        <v>0</v>
      </c>
      <c r="K96" s="40">
        <f>G96</f>
        <v>167.61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f t="shared" si="12"/>
        <v>167.61</v>
      </c>
    </row>
    <row r="97" spans="1:21" ht="25.5">
      <c r="A97" s="150" t="s">
        <v>91</v>
      </c>
      <c r="B97" s="151" t="s">
        <v>212</v>
      </c>
      <c r="C97" s="150" t="s">
        <v>93</v>
      </c>
      <c r="D97" s="93"/>
      <c r="E97" s="57"/>
      <c r="F97" s="57">
        <v>0.04</v>
      </c>
      <c r="G97" s="57">
        <v>3105.72</v>
      </c>
      <c r="H97" s="149">
        <f t="shared" si="11"/>
        <v>0.12422879999999999</v>
      </c>
      <c r="I97" s="40">
        <v>0</v>
      </c>
      <c r="J97" s="40">
        <v>0</v>
      </c>
      <c r="K97" s="40">
        <v>0</v>
      </c>
      <c r="L97" s="40">
        <v>0</v>
      </c>
      <c r="M97" s="40">
        <f>G97*0.01</f>
        <v>31.057199999999998</v>
      </c>
      <c r="N97" s="40">
        <v>0</v>
      </c>
      <c r="O97" s="40">
        <f>G97*0.01</f>
        <v>31.057199999999998</v>
      </c>
      <c r="P97" s="40">
        <f>G97*0.01</f>
        <v>31.057199999999998</v>
      </c>
      <c r="Q97" s="40">
        <f>G97*0.01</f>
        <v>31.057199999999998</v>
      </c>
      <c r="R97" s="40">
        <v>0</v>
      </c>
      <c r="S97" s="40">
        <v>0</v>
      </c>
      <c r="T97" s="40">
        <v>0</v>
      </c>
      <c r="U97" s="40">
        <f>SUM(I97:T97)</f>
        <v>124.22879999999999</v>
      </c>
    </row>
    <row r="98" spans="1:21" ht="25.5">
      <c r="A98" s="28" t="s">
        <v>221</v>
      </c>
      <c r="B98" s="27" t="s">
        <v>220</v>
      </c>
      <c r="C98" s="28" t="s">
        <v>97</v>
      </c>
      <c r="D98" s="93"/>
      <c r="E98" s="57"/>
      <c r="F98" s="57">
        <v>1</v>
      </c>
      <c r="G98" s="57">
        <v>751.6</v>
      </c>
      <c r="H98" s="149">
        <f t="shared" si="11"/>
        <v>0.75160000000000005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f>G98</f>
        <v>751.6</v>
      </c>
      <c r="U98" s="40">
        <f>SUM(I98:T98)</f>
        <v>751.6</v>
      </c>
    </row>
    <row r="99" spans="1:21">
      <c r="A99" s="28" t="s">
        <v>223</v>
      </c>
      <c r="B99" s="27" t="s">
        <v>222</v>
      </c>
      <c r="C99" s="28" t="s">
        <v>97</v>
      </c>
      <c r="D99" s="93"/>
      <c r="E99" s="57"/>
      <c r="F99" s="57">
        <v>1</v>
      </c>
      <c r="G99" s="57">
        <v>115.26</v>
      </c>
      <c r="H99" s="149">
        <f t="shared" si="11"/>
        <v>0.11526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f>G99</f>
        <v>115.26</v>
      </c>
      <c r="U99" s="40">
        <f>SUM(I99:T99)</f>
        <v>115.26</v>
      </c>
    </row>
    <row r="100" spans="1:21">
      <c r="A100" s="28" t="s">
        <v>225</v>
      </c>
      <c r="B100" s="27" t="s">
        <v>224</v>
      </c>
      <c r="C100" s="28" t="s">
        <v>97</v>
      </c>
      <c r="D100" s="93"/>
      <c r="E100" s="57"/>
      <c r="F100" s="57">
        <v>6</v>
      </c>
      <c r="G100" s="57">
        <v>165.52</v>
      </c>
      <c r="H100" s="149">
        <f t="shared" si="11"/>
        <v>0.99312000000000011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f>G100*6</f>
        <v>993.12000000000012</v>
      </c>
      <c r="U100" s="40">
        <f>SUM(I100:T100)</f>
        <v>993.12000000000012</v>
      </c>
    </row>
    <row r="101" spans="1:21">
      <c r="A101" s="150" t="s">
        <v>226</v>
      </c>
      <c r="B101" s="151" t="s">
        <v>227</v>
      </c>
      <c r="C101" s="169" t="s">
        <v>228</v>
      </c>
      <c r="D101" s="93"/>
      <c r="E101" s="57"/>
      <c r="F101" s="57">
        <v>1</v>
      </c>
      <c r="G101" s="57">
        <v>16.45</v>
      </c>
      <c r="H101" s="149">
        <f t="shared" si="11"/>
        <v>1.6449999999999999E-2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f>G101</f>
        <v>16.45</v>
      </c>
      <c r="U101" s="40">
        <f>SUM(I101:T101)</f>
        <v>16.45</v>
      </c>
    </row>
    <row r="102" spans="1:21">
      <c r="A102" s="170" t="s">
        <v>230</v>
      </c>
      <c r="B102" s="171" t="s">
        <v>229</v>
      </c>
      <c r="C102" s="169" t="s">
        <v>97</v>
      </c>
      <c r="D102" s="93"/>
      <c r="E102" s="57"/>
      <c r="F102" s="57">
        <v>1</v>
      </c>
      <c r="G102" s="57">
        <v>270.19</v>
      </c>
      <c r="H102" s="149">
        <f t="shared" si="11"/>
        <v>0.27018999999999999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f>G102</f>
        <v>270.19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f>SUM(I102:T102)</f>
        <v>270.19</v>
      </c>
    </row>
    <row r="103" spans="1:21" ht="33.75" customHeight="1">
      <c r="A103" s="147" t="s">
        <v>231</v>
      </c>
      <c r="B103" s="27" t="s">
        <v>232</v>
      </c>
      <c r="C103" s="26" t="s">
        <v>199</v>
      </c>
      <c r="D103" s="93"/>
      <c r="E103" s="57"/>
      <c r="F103" s="57">
        <v>0.05</v>
      </c>
      <c r="G103" s="57">
        <v>12505.55</v>
      </c>
      <c r="H103" s="149">
        <f t="shared" si="11"/>
        <v>0.62527750000000004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f>G103*0.05</f>
        <v>625.27750000000003</v>
      </c>
      <c r="U103" s="40">
        <f>SUM(I103:T103)</f>
        <v>625.27750000000003</v>
      </c>
    </row>
    <row r="104" spans="1:21" ht="33.75" customHeight="1">
      <c r="A104" s="26" t="s">
        <v>206</v>
      </c>
      <c r="B104" s="27" t="s">
        <v>204</v>
      </c>
      <c r="C104" s="28" t="s">
        <v>205</v>
      </c>
      <c r="D104" s="93"/>
      <c r="E104" s="57"/>
      <c r="F104" s="57">
        <v>2</v>
      </c>
      <c r="G104" s="57">
        <v>511.54</v>
      </c>
      <c r="H104" s="149">
        <f t="shared" si="11"/>
        <v>1.02308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f>G104*2</f>
        <v>1023.08</v>
      </c>
      <c r="Q104" s="40">
        <v>0</v>
      </c>
      <c r="R104" s="40">
        <v>0</v>
      </c>
      <c r="S104" s="40">
        <v>0</v>
      </c>
      <c r="T104" s="40">
        <v>0</v>
      </c>
      <c r="U104" s="40">
        <f>SUM(I104:T104)</f>
        <v>1023.08</v>
      </c>
    </row>
    <row r="105" spans="1:21" ht="28.5" customHeight="1">
      <c r="A105" s="28" t="s">
        <v>235</v>
      </c>
      <c r="B105" s="27" t="s">
        <v>233</v>
      </c>
      <c r="C105" s="28" t="s">
        <v>234</v>
      </c>
      <c r="D105" s="93"/>
      <c r="E105" s="57"/>
      <c r="F105" s="57">
        <v>2</v>
      </c>
      <c r="G105" s="57">
        <v>179.12</v>
      </c>
      <c r="H105" s="149">
        <f t="shared" si="11"/>
        <v>0.35824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f>G105*2</f>
        <v>358.24</v>
      </c>
      <c r="S105" s="40">
        <v>0</v>
      </c>
      <c r="T105" s="40">
        <v>0</v>
      </c>
      <c r="U105" s="40">
        <f>SUM(I105:T105)</f>
        <v>358.24</v>
      </c>
    </row>
    <row r="106" spans="1:21" ht="41.25" customHeight="1">
      <c r="A106" s="28" t="s">
        <v>238</v>
      </c>
      <c r="B106" s="27" t="s">
        <v>236</v>
      </c>
      <c r="C106" s="28" t="s">
        <v>237</v>
      </c>
      <c r="D106" s="93"/>
      <c r="E106" s="57"/>
      <c r="F106" s="57">
        <v>1</v>
      </c>
      <c r="G106" s="57">
        <v>46.98</v>
      </c>
      <c r="H106" s="149">
        <f t="shared" si="11"/>
        <v>4.6979999999999994E-2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f>G106</f>
        <v>46.98</v>
      </c>
      <c r="R106" s="40">
        <v>0</v>
      </c>
      <c r="S106" s="40">
        <v>0</v>
      </c>
      <c r="T106" s="40">
        <v>0</v>
      </c>
      <c r="U106" s="40">
        <f>SUM(I106:T106)</f>
        <v>46.98</v>
      </c>
    </row>
    <row r="107" spans="1:21" s="19" customFormat="1">
      <c r="A107" s="107"/>
      <c r="B107" s="108" t="s">
        <v>141</v>
      </c>
      <c r="C107" s="107"/>
      <c r="D107" s="107"/>
      <c r="E107" s="98"/>
      <c r="F107" s="98"/>
      <c r="G107" s="98"/>
      <c r="H107" s="49">
        <f>SUM(H89:H106)</f>
        <v>12.468516299999996</v>
      </c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48">
        <f>SUM(U89:U106)</f>
        <v>12468.516300000001</v>
      </c>
    </row>
    <row r="108" spans="1:21">
      <c r="A108" s="101"/>
      <c r="B108" s="109"/>
      <c r="C108" s="110"/>
      <c r="D108" s="110"/>
      <c r="E108" s="57"/>
      <c r="F108" s="57"/>
      <c r="G108" s="57"/>
      <c r="H108" s="111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139"/>
    </row>
    <row r="109" spans="1:21" ht="12" customHeight="1">
      <c r="A109" s="72"/>
      <c r="B109" s="18" t="s">
        <v>142</v>
      </c>
      <c r="C109" s="69"/>
      <c r="D109" s="93"/>
      <c r="E109" s="57"/>
      <c r="F109" s="57"/>
      <c r="G109" s="57"/>
      <c r="H109" s="112">
        <f>H107/E110/12*1000</f>
        <v>0.2633822623574143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139"/>
    </row>
    <row r="110" spans="1:21" s="19" customFormat="1">
      <c r="A110" s="88"/>
      <c r="B110" s="113" t="s">
        <v>143</v>
      </c>
      <c r="C110" s="114"/>
      <c r="D110" s="113"/>
      <c r="E110" s="115">
        <v>3945</v>
      </c>
      <c r="F110" s="116">
        <f>SUM(E110*12)</f>
        <v>47340</v>
      </c>
      <c r="G110" s="117">
        <f>H86+H109</f>
        <v>21.08994426524292</v>
      </c>
      <c r="H110" s="118">
        <f>SUM(F110*G110/1000)</f>
        <v>998.39796151659982</v>
      </c>
      <c r="I110" s="98">
        <f t="shared" ref="I110:R110" si="13">SUM(I11:I109)</f>
        <v>92104.214365283333</v>
      </c>
      <c r="J110" s="98">
        <f t="shared" si="13"/>
        <v>93792.113557283345</v>
      </c>
      <c r="K110" s="98">
        <f t="shared" si="13"/>
        <v>75158.898365283327</v>
      </c>
      <c r="L110" s="98">
        <f t="shared" si="13"/>
        <v>70359.496996883332</v>
      </c>
      <c r="M110" s="98">
        <f t="shared" si="13"/>
        <v>169910.3890267</v>
      </c>
      <c r="N110" s="98">
        <f t="shared" si="13"/>
        <v>62560.566098200012</v>
      </c>
      <c r="O110" s="98">
        <f t="shared" si="13"/>
        <v>55992.331370200009</v>
      </c>
      <c r="P110" s="98">
        <f t="shared" si="13"/>
        <v>57151.291370200008</v>
      </c>
      <c r="Q110" s="98">
        <f t="shared" si="13"/>
        <v>91278.309637800019</v>
      </c>
      <c r="R110" s="98">
        <f t="shared" si="13"/>
        <v>57324.137170200003</v>
      </c>
      <c r="S110" s="98">
        <f>SUM(S11:S109)</f>
        <v>65306.983253283332</v>
      </c>
      <c r="T110" s="98">
        <f>SUM(T11:T109)</f>
        <v>69645.078865283329</v>
      </c>
      <c r="U110" s="48">
        <f>U83+U107</f>
        <v>949008.10385924019</v>
      </c>
    </row>
    <row r="111" spans="1:21">
      <c r="A111" s="72"/>
      <c r="B111" s="72"/>
      <c r="C111" s="72"/>
      <c r="D111" s="72"/>
      <c r="E111" s="119"/>
      <c r="F111" s="119"/>
      <c r="G111" s="119"/>
      <c r="H111" s="119"/>
      <c r="I111" s="119"/>
      <c r="J111" s="119"/>
      <c r="K111" s="119"/>
      <c r="L111" s="119"/>
      <c r="M111" s="72"/>
      <c r="N111" s="119"/>
      <c r="O111" s="72"/>
      <c r="P111" s="72"/>
      <c r="Q111" s="72"/>
      <c r="R111" s="72"/>
      <c r="S111" s="72"/>
      <c r="T111" s="72"/>
      <c r="U111" s="72"/>
    </row>
    <row r="112" spans="1:21">
      <c r="A112" s="72"/>
      <c r="B112" s="72"/>
      <c r="C112" s="72"/>
      <c r="D112" s="72"/>
      <c r="E112" s="119"/>
      <c r="F112" s="119"/>
      <c r="G112" s="119"/>
      <c r="H112" s="119"/>
      <c r="I112" s="119"/>
      <c r="J112" s="120"/>
      <c r="K112" s="121"/>
      <c r="L112" s="120"/>
      <c r="M112" s="119"/>
      <c r="N112" s="72"/>
      <c r="O112" s="72"/>
      <c r="P112" s="72"/>
      <c r="Q112" s="72"/>
      <c r="R112" s="72"/>
      <c r="S112" s="72"/>
      <c r="T112" s="72"/>
      <c r="U112" s="72"/>
    </row>
    <row r="113" spans="1:21" ht="45">
      <c r="A113" s="72"/>
      <c r="B113" s="122" t="s">
        <v>179</v>
      </c>
      <c r="C113" s="159">
        <v>794161.06</v>
      </c>
      <c r="D113" s="160"/>
      <c r="E113" s="160"/>
      <c r="F113" s="161"/>
      <c r="G113" s="119"/>
      <c r="H113" s="119"/>
      <c r="I113" s="119"/>
      <c r="J113" s="120"/>
      <c r="K113" s="121"/>
      <c r="L113" s="120"/>
      <c r="M113" s="119"/>
      <c r="N113" s="72"/>
      <c r="O113" s="72"/>
      <c r="P113" s="72"/>
      <c r="Q113" s="72"/>
      <c r="R113" s="72"/>
      <c r="S113" s="72"/>
      <c r="T113" s="72"/>
      <c r="U113" s="72"/>
    </row>
    <row r="114" spans="1:21" ht="30">
      <c r="A114" s="72"/>
      <c r="B114" s="22" t="s">
        <v>214</v>
      </c>
      <c r="C114" s="163">
        <v>1140004.8</v>
      </c>
      <c r="D114" s="164"/>
      <c r="E114" s="164"/>
      <c r="F114" s="165"/>
      <c r="G114" s="119"/>
      <c r="H114" s="119"/>
      <c r="I114" s="119"/>
      <c r="J114" s="120"/>
      <c r="K114" s="121"/>
      <c r="L114" s="120"/>
      <c r="M114" s="119"/>
      <c r="N114" s="72"/>
      <c r="O114" s="72"/>
      <c r="P114" s="72"/>
      <c r="Q114" s="72"/>
      <c r="R114" s="72"/>
      <c r="S114" s="72"/>
      <c r="T114" s="72"/>
      <c r="U114" s="72"/>
    </row>
    <row r="115" spans="1:21" ht="34.5" customHeight="1">
      <c r="A115" s="72"/>
      <c r="B115" s="22" t="s">
        <v>215</v>
      </c>
      <c r="C115" s="163">
        <f>SUM(U110-U107)</f>
        <v>936539.58755924017</v>
      </c>
      <c r="D115" s="164"/>
      <c r="E115" s="164"/>
      <c r="F115" s="165"/>
      <c r="G115" s="119"/>
      <c r="H115" s="119"/>
      <c r="I115" s="119"/>
      <c r="J115" s="120"/>
      <c r="K115" s="121"/>
      <c r="L115" s="120"/>
      <c r="M115" s="119"/>
      <c r="N115" s="72"/>
      <c r="O115" s="72"/>
      <c r="P115" s="72"/>
      <c r="Q115" s="72"/>
      <c r="R115" s="72"/>
      <c r="S115" s="72"/>
      <c r="T115" s="72"/>
      <c r="U115" s="72"/>
    </row>
    <row r="116" spans="1:21" ht="37.5" customHeight="1">
      <c r="A116" s="72"/>
      <c r="B116" s="22" t="s">
        <v>216</v>
      </c>
      <c r="C116" s="163">
        <f>SUM(U107)</f>
        <v>12468.516300000001</v>
      </c>
      <c r="D116" s="164"/>
      <c r="E116" s="164"/>
      <c r="F116" s="165"/>
      <c r="G116" s="119"/>
      <c r="H116" s="119"/>
      <c r="I116" s="119"/>
      <c r="J116" s="120"/>
      <c r="K116" s="121"/>
      <c r="L116" s="120"/>
      <c r="M116" s="119"/>
      <c r="N116" s="72"/>
      <c r="O116" s="72"/>
      <c r="P116" s="72"/>
      <c r="Q116" s="72"/>
      <c r="R116" s="72"/>
      <c r="S116" s="72"/>
      <c r="T116" s="72"/>
      <c r="U116" s="72"/>
    </row>
    <row r="117" spans="1:21" ht="18">
      <c r="A117" s="72"/>
      <c r="B117" s="135" t="s">
        <v>217</v>
      </c>
      <c r="C117" s="159">
        <v>1043809.27</v>
      </c>
      <c r="D117" s="160"/>
      <c r="E117" s="160"/>
      <c r="F117" s="161"/>
      <c r="G117" s="72"/>
      <c r="H117" s="123" t="s">
        <v>151</v>
      </c>
      <c r="I117" s="124"/>
      <c r="J117" s="124"/>
      <c r="K117" s="125"/>
      <c r="L117" s="126"/>
      <c r="M117" s="123"/>
      <c r="N117" s="123"/>
      <c r="O117" s="72"/>
      <c r="P117" s="72"/>
      <c r="Q117" s="72"/>
      <c r="R117" s="72"/>
      <c r="S117" s="72"/>
      <c r="T117" s="72"/>
      <c r="U117" s="72"/>
    </row>
    <row r="118" spans="1:21" ht="78.75">
      <c r="A118" s="72"/>
      <c r="B118" s="23" t="s">
        <v>218</v>
      </c>
      <c r="C118" s="166">
        <v>581153.98</v>
      </c>
      <c r="D118" s="167"/>
      <c r="E118" s="167"/>
      <c r="F118" s="168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</row>
    <row r="119" spans="1:21" ht="45">
      <c r="A119" s="72"/>
      <c r="B119" s="127" t="s">
        <v>219</v>
      </c>
      <c r="C119" s="162">
        <f>SUM(U110-C114)+C113</f>
        <v>603164.3638592402</v>
      </c>
      <c r="D119" s="160"/>
      <c r="E119" s="160"/>
      <c r="F119" s="161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</row>
    <row r="121" spans="1:21">
      <c r="J121" s="3"/>
      <c r="K121" s="4"/>
      <c r="L121" s="4"/>
      <c r="M121" s="2"/>
    </row>
    <row r="122" spans="1:21">
      <c r="G122" s="5"/>
      <c r="H122" s="5"/>
    </row>
    <row r="123" spans="1:21">
      <c r="G123" s="6"/>
    </row>
  </sheetData>
  <mergeCells count="12">
    <mergeCell ref="C113:F113"/>
    <mergeCell ref="C119:F119"/>
    <mergeCell ref="C114:F114"/>
    <mergeCell ref="C115:F115"/>
    <mergeCell ref="C116:F116"/>
    <mergeCell ref="C117:F117"/>
    <mergeCell ref="C118:F118"/>
    <mergeCell ref="X81:AA81"/>
    <mergeCell ref="B3:L3"/>
    <mergeCell ref="B4:L4"/>
    <mergeCell ref="B5:L5"/>
    <mergeCell ref="B6:L6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2016-03-11T08:42:58Z</dcterms:modified>
</cp:coreProperties>
</file>