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" yWindow="45" windowWidth="15480" windowHeight="8145"/>
  </bookViews>
  <sheets>
    <sheet name="01.16" sheetId="17" r:id="rId1"/>
    <sheet name="02.16" sheetId="18" r:id="rId2"/>
    <sheet name="03.16" sheetId="19" r:id="rId3"/>
    <sheet name="04.16" sheetId="20" r:id="rId4"/>
    <sheet name="05.16" sheetId="21" r:id="rId5"/>
    <sheet name="06.16" sheetId="22" r:id="rId6"/>
    <sheet name="07.16" sheetId="23" r:id="rId7"/>
    <sheet name="08.16" sheetId="24" r:id="rId8"/>
    <sheet name="09.16" sheetId="25" r:id="rId9"/>
    <sheet name="10.16" sheetId="26" r:id="rId10"/>
    <sheet name="11.16" sheetId="14" r:id="rId11"/>
    <sheet name="12.16" sheetId="8" r:id="rId12"/>
    <sheet name="Лист1" sheetId="16" r:id="rId13"/>
  </sheets>
  <definedNames>
    <definedName name="_xlnm._FilterDatabase" localSheetId="0" hidden="1">'01.16'!$I$12:$I$58</definedName>
    <definedName name="_xlnm._FilterDatabase" localSheetId="1" hidden="1">'02.16'!$I$12:$I$58</definedName>
    <definedName name="_xlnm._FilterDatabase" localSheetId="2" hidden="1">'03.16'!$I$12:$I$58</definedName>
    <definedName name="_xlnm._FilterDatabase" localSheetId="3" hidden="1">'04.16'!$I$12:$I$58</definedName>
    <definedName name="_xlnm._FilterDatabase" localSheetId="4" hidden="1">'05.16'!$I$12:$I$58</definedName>
    <definedName name="_xlnm._FilterDatabase" localSheetId="5" hidden="1">'06.16'!$I$12:$I$58</definedName>
    <definedName name="_xlnm._FilterDatabase" localSheetId="6" hidden="1">'07.16'!$I$12:$I$58</definedName>
    <definedName name="_xlnm._FilterDatabase" localSheetId="7" hidden="1">'08.16'!$I$12:$I$58</definedName>
    <definedName name="_xlnm._FilterDatabase" localSheetId="8" hidden="1">'09.16'!$I$12:$I$58</definedName>
    <definedName name="_xlnm._FilterDatabase" localSheetId="9" hidden="1">'10.16'!$I$12:$I$58</definedName>
    <definedName name="_xlnm._FilterDatabase" localSheetId="10" hidden="1">'11.16'!$G$12:$G$67</definedName>
    <definedName name="_xlnm._FilterDatabase" localSheetId="11" hidden="1">'12.16'!$G$12:$G$63</definedName>
    <definedName name="_xlnm.Print_Titles" localSheetId="8">'09.16'!$12:$13</definedName>
    <definedName name="_xlnm.Print_Area" localSheetId="0">'01.16'!$A$1:$I$132</definedName>
    <definedName name="_xlnm.Print_Area" localSheetId="1">'02.16'!$A$1:$I$107</definedName>
    <definedName name="_xlnm.Print_Area" localSheetId="2">'03.16'!$A$1:$I$129</definedName>
    <definedName name="_xlnm.Print_Area" localSheetId="3">'04.16'!$A$1:$I$110</definedName>
    <definedName name="_xlnm.Print_Area" localSheetId="4">'05.16'!$A$1:$I$107</definedName>
    <definedName name="_xlnm.Print_Area" localSheetId="5">'06.16'!$A$1:$I$108</definedName>
    <definedName name="_xlnm.Print_Area" localSheetId="6">'07.16'!$A$1:$I$112</definedName>
    <definedName name="_xlnm.Print_Area" localSheetId="7">'08.16'!$A$1:$I$108</definedName>
    <definedName name="_xlnm.Print_Area" localSheetId="8">'09.16'!$A$1:$I$113</definedName>
    <definedName name="_xlnm.Print_Area" localSheetId="9">'10.16'!$A$1:$I$117</definedName>
    <definedName name="_xlnm.Print_Area" localSheetId="10">'11.16'!$A$1:$G$89</definedName>
    <definedName name="_xlnm.Print_Area" localSheetId="11">'12.16'!$A$1:$G$110</definedName>
  </definedNames>
  <calcPr calcId="124519"/>
</workbook>
</file>

<file path=xl/calcChain.xml><?xml version="1.0" encoding="utf-8"?>
<calcChain xmlns="http://schemas.openxmlformats.org/spreadsheetml/2006/main">
  <c r="I91" i="26"/>
  <c r="H91"/>
  <c r="I85" i="25"/>
  <c r="H85"/>
  <c r="I92" i="26" l="1"/>
  <c r="H92"/>
  <c r="I81" i="25"/>
  <c r="G58" i="14" l="1"/>
  <c r="G68" s="1"/>
  <c r="G66"/>
  <c r="I93" i="26" l="1"/>
  <c r="I90"/>
  <c r="I89"/>
  <c r="I88"/>
  <c r="I87"/>
  <c r="I86"/>
  <c r="I85"/>
  <c r="I84"/>
  <c r="I71"/>
  <c r="I61"/>
  <c r="H93"/>
  <c r="H90"/>
  <c r="H89"/>
  <c r="H88"/>
  <c r="H87"/>
  <c r="H86"/>
  <c r="F85"/>
  <c r="H85" s="1"/>
  <c r="H84"/>
  <c r="I83"/>
  <c r="H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H58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I42" s="1"/>
  <c r="F41"/>
  <c r="I41" s="1"/>
  <c r="F40"/>
  <c r="I40" s="1"/>
  <c r="H39"/>
  <c r="F38"/>
  <c r="I38" s="1"/>
  <c r="I37"/>
  <c r="H37"/>
  <c r="H35"/>
  <c r="H34"/>
  <c r="H33"/>
  <c r="F33"/>
  <c r="I33" s="1"/>
  <c r="I32"/>
  <c r="H32"/>
  <c r="F31"/>
  <c r="I31" s="1"/>
  <c r="F30"/>
  <c r="H30" s="1"/>
  <c r="F29"/>
  <c r="I29" s="1"/>
  <c r="F26"/>
  <c r="I26" s="1"/>
  <c r="F25"/>
  <c r="I25" s="1"/>
  <c r="F24"/>
  <c r="H24" s="1"/>
  <c r="F23"/>
  <c r="H23" s="1"/>
  <c r="F22"/>
  <c r="H22" s="1"/>
  <c r="F21"/>
  <c r="H21" s="1"/>
  <c r="F20"/>
  <c r="H20" s="1"/>
  <c r="F19"/>
  <c r="H19" s="1"/>
  <c r="E18"/>
  <c r="F18" s="1"/>
  <c r="I18" s="1"/>
  <c r="F17"/>
  <c r="I17" s="1"/>
  <c r="F16"/>
  <c r="I16" s="1"/>
  <c r="I89" i="25"/>
  <c r="I88"/>
  <c r="I87"/>
  <c r="I86"/>
  <c r="I90" s="1"/>
  <c r="I84"/>
  <c r="I83"/>
  <c r="I71"/>
  <c r="I61"/>
  <c r="I68"/>
  <c r="I52"/>
  <c r="H89"/>
  <c r="F88"/>
  <c r="H88" s="1"/>
  <c r="H87"/>
  <c r="H86"/>
  <c r="F84"/>
  <c r="H84" s="1"/>
  <c r="H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4" i="24"/>
  <c r="I83"/>
  <c r="I71"/>
  <c r="H84"/>
  <c r="F83"/>
  <c r="H83" s="1"/>
  <c r="I85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7" i="23"/>
  <c r="I89"/>
  <c r="I81"/>
  <c r="I88"/>
  <c r="I86"/>
  <c r="I85"/>
  <c r="I84"/>
  <c r="I71"/>
  <c r="H88"/>
  <c r="F87"/>
  <c r="H87" s="1"/>
  <c r="H86"/>
  <c r="F85"/>
  <c r="H85" s="1"/>
  <c r="H84"/>
  <c r="I83"/>
  <c r="H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2"/>
  <c r="I84"/>
  <c r="I83"/>
  <c r="I71"/>
  <c r="H84"/>
  <c r="F83"/>
  <c r="H83" s="1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1" i="21"/>
  <c r="I86" s="1"/>
  <c r="I84"/>
  <c r="I71"/>
  <c r="I83"/>
  <c r="H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I59" s="1"/>
  <c r="H58"/>
  <c r="F56"/>
  <c r="I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H25" i="26" l="1"/>
  <c r="H40"/>
  <c r="H16"/>
  <c r="I94"/>
  <c r="H59"/>
  <c r="H56"/>
  <c r="H76" s="1"/>
  <c r="H38"/>
  <c r="H42"/>
  <c r="H29"/>
  <c r="H31"/>
  <c r="I30"/>
  <c r="I81" s="1"/>
  <c r="I49"/>
  <c r="H17"/>
  <c r="H18"/>
  <c r="H26"/>
  <c r="H41"/>
  <c r="H79"/>
  <c r="H80"/>
  <c r="H81" s="1"/>
  <c r="H82" s="1"/>
  <c r="H17" i="25"/>
  <c r="I20"/>
  <c r="I48"/>
  <c r="I46"/>
  <c r="I50"/>
  <c r="I51"/>
  <c r="I19"/>
  <c r="I21"/>
  <c r="I47"/>
  <c r="I45"/>
  <c r="I18"/>
  <c r="H18"/>
  <c r="I16"/>
  <c r="I25"/>
  <c r="H26"/>
  <c r="I29"/>
  <c r="H30"/>
  <c r="I31"/>
  <c r="I38"/>
  <c r="I40"/>
  <c r="H41"/>
  <c r="I42"/>
  <c r="H49"/>
  <c r="I56"/>
  <c r="I59"/>
  <c r="H79"/>
  <c r="H80"/>
  <c r="H81" s="1"/>
  <c r="H82" s="1"/>
  <c r="I18" i="24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H82" s="1"/>
  <c r="I18" i="23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H82" s="1"/>
  <c r="I85" i="22"/>
  <c r="I18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H82" s="1"/>
  <c r="I21" i="21"/>
  <c r="I24"/>
  <c r="I19"/>
  <c r="I47"/>
  <c r="I45"/>
  <c r="I63"/>
  <c r="I66"/>
  <c r="I64"/>
  <c r="I20"/>
  <c r="I22"/>
  <c r="I23"/>
  <c r="I48"/>
  <c r="I46"/>
  <c r="I67"/>
  <c r="I65"/>
  <c r="H59"/>
  <c r="H56"/>
  <c r="I18"/>
  <c r="H18"/>
  <c r="I16"/>
  <c r="H17"/>
  <c r="I25"/>
  <c r="H26"/>
  <c r="I29"/>
  <c r="H30"/>
  <c r="I31"/>
  <c r="I38"/>
  <c r="I40"/>
  <c r="H41"/>
  <c r="I42"/>
  <c r="H49"/>
  <c r="H79"/>
  <c r="H80"/>
  <c r="H81" s="1"/>
  <c r="I84" i="20"/>
  <c r="I85"/>
  <c r="I86"/>
  <c r="I83"/>
  <c r="I71"/>
  <c r="H86"/>
  <c r="H85"/>
  <c r="H84"/>
  <c r="H83"/>
  <c r="I87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19"/>
  <c r="I106" s="1"/>
  <c r="I81"/>
  <c r="I71"/>
  <c r="I52"/>
  <c r="H105"/>
  <c r="H104"/>
  <c r="H103"/>
  <c r="H102"/>
  <c r="H101"/>
  <c r="H100"/>
  <c r="F99"/>
  <c r="H99" s="1"/>
  <c r="H98"/>
  <c r="H97"/>
  <c r="H96"/>
  <c r="H95"/>
  <c r="F94"/>
  <c r="H94" s="1"/>
  <c r="H93"/>
  <c r="F92"/>
  <c r="H92" s="1"/>
  <c r="H91"/>
  <c r="H90"/>
  <c r="F89"/>
  <c r="H89" s="1"/>
  <c r="H88"/>
  <c r="H87"/>
  <c r="H86"/>
  <c r="H85"/>
  <c r="H84"/>
  <c r="H83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H7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83" i="18"/>
  <c r="I71"/>
  <c r="I62"/>
  <c r="H83"/>
  <c r="I84"/>
  <c r="E80"/>
  <c r="F80" s="1"/>
  <c r="I80" s="1"/>
  <c r="F79"/>
  <c r="I79" s="1"/>
  <c r="H77"/>
  <c r="H75"/>
  <c r="H73"/>
  <c r="H72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H35"/>
  <c r="H34"/>
  <c r="H33"/>
  <c r="F33"/>
  <c r="I33" s="1"/>
  <c r="I32"/>
  <c r="H32"/>
  <c r="F31"/>
  <c r="H31" s="1"/>
  <c r="F30"/>
  <c r="I30" s="1"/>
  <c r="F29"/>
  <c r="H29" s="1"/>
  <c r="F26"/>
  <c r="I26" s="1"/>
  <c r="F25"/>
  <c r="H25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H16" s="1"/>
  <c r="I96" i="26" l="1"/>
  <c r="I92" i="25"/>
  <c r="I81" i="24"/>
  <c r="I87"/>
  <c r="I91" i="23"/>
  <c r="I87" i="22"/>
  <c r="H76" i="21"/>
  <c r="H82" s="1"/>
  <c r="I51" i="20"/>
  <c r="H76"/>
  <c r="I50"/>
  <c r="I18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I18" i="19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H82" s="1"/>
  <c r="H76" i="18"/>
  <c r="I18"/>
  <c r="H18"/>
  <c r="I16"/>
  <c r="H17"/>
  <c r="I25"/>
  <c r="H26"/>
  <c r="I29"/>
  <c r="H30"/>
  <c r="I31"/>
  <c r="I38"/>
  <c r="I40"/>
  <c r="H41"/>
  <c r="I42"/>
  <c r="H49"/>
  <c r="I56"/>
  <c r="I59"/>
  <c r="H79"/>
  <c r="H80"/>
  <c r="H81" s="1"/>
  <c r="H82" s="1"/>
  <c r="I32" i="17"/>
  <c r="H108"/>
  <c r="H107"/>
  <c r="H106"/>
  <c r="H105"/>
  <c r="H104"/>
  <c r="H103"/>
  <c r="F102"/>
  <c r="H102" s="1"/>
  <c r="H101"/>
  <c r="H100"/>
  <c r="H99"/>
  <c r="H98"/>
  <c r="F97"/>
  <c r="H97" s="1"/>
  <c r="H96"/>
  <c r="F95"/>
  <c r="H95" s="1"/>
  <c r="H94"/>
  <c r="H93"/>
  <c r="F92"/>
  <c r="H92" s="1"/>
  <c r="H91"/>
  <c r="H90"/>
  <c r="H89"/>
  <c r="H88"/>
  <c r="H87"/>
  <c r="I86"/>
  <c r="H86"/>
  <c r="I85"/>
  <c r="H85"/>
  <c r="I84"/>
  <c r="H84"/>
  <c r="I83"/>
  <c r="I109" s="1"/>
  <c r="H83"/>
  <c r="E80"/>
  <c r="F79"/>
  <c r="I79" s="1"/>
  <c r="H77"/>
  <c r="H75"/>
  <c r="H73"/>
  <c r="H72"/>
  <c r="I71"/>
  <c r="H71"/>
  <c r="F70"/>
  <c r="H70" s="1"/>
  <c r="H68"/>
  <c r="F67"/>
  <c r="H67" s="1"/>
  <c r="F66"/>
  <c r="H66" s="1"/>
  <c r="F65"/>
  <c r="H65" s="1"/>
  <c r="F64"/>
  <c r="H64" s="1"/>
  <c r="F63"/>
  <c r="H63" s="1"/>
  <c r="H62"/>
  <c r="H61"/>
  <c r="F59"/>
  <c r="H59" s="1"/>
  <c r="H58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I43"/>
  <c r="H43"/>
  <c r="F42"/>
  <c r="H42" s="1"/>
  <c r="F41"/>
  <c r="I41" s="1"/>
  <c r="F40"/>
  <c r="H40" s="1"/>
  <c r="H39"/>
  <c r="F38"/>
  <c r="H38" s="1"/>
  <c r="I37"/>
  <c r="H37"/>
  <c r="F26"/>
  <c r="H26" s="1"/>
  <c r="H35"/>
  <c r="H34"/>
  <c r="F25"/>
  <c r="I25" s="1"/>
  <c r="H33"/>
  <c r="F33"/>
  <c r="I33" s="1"/>
  <c r="H32"/>
  <c r="F31"/>
  <c r="H31" s="1"/>
  <c r="F30"/>
  <c r="H30" s="1"/>
  <c r="F29"/>
  <c r="H29" s="1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82" i="20" l="1"/>
  <c r="I81"/>
  <c r="I89" s="1"/>
  <c r="I108" i="19"/>
  <c r="I81" i="18"/>
  <c r="I86" s="1"/>
  <c r="I29" i="17"/>
  <c r="I30"/>
  <c r="I31"/>
  <c r="H76"/>
  <c r="H79"/>
  <c r="F80"/>
  <c r="H80" s="1"/>
  <c r="H81" s="1"/>
  <c r="H17"/>
  <c r="H18"/>
  <c r="I18"/>
  <c r="H16"/>
  <c r="H25"/>
  <c r="I26"/>
  <c r="I38"/>
  <c r="I40"/>
  <c r="H41"/>
  <c r="I42"/>
  <c r="I49"/>
  <c r="I56"/>
  <c r="I59"/>
  <c r="I80"/>
  <c r="I81" l="1"/>
  <c r="I111" s="1"/>
  <c r="H82"/>
  <c r="G87" i="8" l="1"/>
  <c r="G82" l="1"/>
  <c r="G89" s="1"/>
  <c r="G59" l="1"/>
  <c r="E30"/>
  <c r="E18" i="14" l="1"/>
  <c r="G53" l="1"/>
  <c r="G39"/>
  <c r="G38"/>
  <c r="G36"/>
  <c r="G35"/>
  <c r="E35"/>
  <c r="E36"/>
  <c r="E37"/>
  <c r="G34"/>
  <c r="G33"/>
  <c r="G32"/>
  <c r="E22" l="1"/>
  <c r="E24"/>
  <c r="E30"/>
  <c r="E31"/>
  <c r="E32"/>
  <c r="E33"/>
  <c r="E34"/>
  <c r="E42"/>
  <c r="E45"/>
  <c r="E48"/>
  <c r="E49"/>
  <c r="E50"/>
  <c r="E52"/>
  <c r="E54"/>
  <c r="E56"/>
  <c r="G30" l="1"/>
  <c r="G31"/>
  <c r="E29" l="1"/>
  <c r="J56"/>
  <c r="E23" l="1"/>
  <c r="G29" l="1"/>
  <c r="G37"/>
  <c r="G54"/>
  <c r="E26"/>
  <c r="E25" l="1"/>
  <c r="E27"/>
  <c r="G45" l="1"/>
  <c r="H56" l="1"/>
  <c r="H57" s="1"/>
</calcChain>
</file>

<file path=xl/sharedStrings.xml><?xml version="1.0" encoding="utf-8"?>
<sst xmlns="http://schemas.openxmlformats.org/spreadsheetml/2006/main" count="2581" uniqueCount="283">
  <si>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</si>
  <si>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</si>
  <si>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</si>
  <si>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</si>
  <si>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</si>
  <si>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</si>
  <si>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</si>
  <si>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</si>
  <si>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</si>
  <si>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</si>
  <si>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Настоящий Акт составлен в 2 экземплярах, имеющих одинаковую юридическую силу, по одному для каждой из Сторон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</si>
  <si>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</si>
  <si>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</si>
  <si>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</si>
  <si>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</si>
  <si>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</si>
  <si>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</si>
  <si>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</si>
  <si>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</si>
  <si>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</si>
  <si>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</si>
  <si>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</si>
  <si>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</si>
  <si>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</si>
  <si>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</si>
  <si>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</si>
  <si>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</si>
  <si>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</si>
  <si>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</si>
  <si>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</si>
  <si>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</si>
  <si>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</si>
  <si>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 xml:space="preserve">Стоимость песка 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</si>
  <si>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</si>
  <si>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</si>
  <si>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</si>
  <si>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</si>
  <si>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</si>
  <si>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10 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</si>
  <si>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</si>
  <si>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</si>
  <si>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</si>
  <si>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</si>
  <si>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</si>
  <si>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</si>
  <si>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</si>
  <si>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</si>
  <si>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</si>
  <si>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</si>
  <si>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</si>
  <si>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</si>
  <si>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</si>
  <si>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</si>
  <si>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4 раза в год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</si>
  <si>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</si>
  <si>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</si>
  <si>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</si>
  <si>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</si>
  <si>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</si>
  <si>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</si>
  <si>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</si>
  <si>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</si>
  <si>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</si>
  <si>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</si>
  <si>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</si>
  <si>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</si>
  <si>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</si>
  <si>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</si>
  <si>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</si>
  <si>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</si>
  <si>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</si>
  <si>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Техническое обслуживание  наружных газопроводов</t>
  </si>
  <si>
    <t>10 м</t>
  </si>
  <si>
    <t>1 м2</t>
  </si>
  <si>
    <t>ежемесячно</t>
  </si>
  <si>
    <t>за период с 01.06.2016 г. по 30.06.2016 г.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</si>
  <si>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</si>
  <si>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</si>
  <si>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</si>
  <si>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</si>
  <si>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</si>
  <si>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весенне-осенний осмотр, 2 раза</t>
  </si>
  <si>
    <t>5. Настоящий Акт составлен в 2 экземплярах, имеющих одинаковую юридическую силу, по одному для каждой из Сторон</t>
  </si>
  <si>
    <t>за период с 01.08.2016 г. по 31.08.2016 г.</t>
  </si>
  <si>
    <t>за период с 01.10.2016 г. по 31.10.2016 г.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</si>
  <si>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</si>
  <si>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</si>
  <si>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</si>
  <si>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</si>
  <si>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</si>
  <si>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</si>
  <si>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</si>
  <si>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</si>
  <si>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</si>
  <si>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</si>
  <si>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</si>
  <si>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</si>
  <si>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</si>
  <si>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</si>
  <si>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</si>
  <si>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</si>
  <si>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</si>
  <si>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</si>
  <si>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</si>
  <si>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за период с 01.01.2016 г. по 31.01.2016 г.</t>
  </si>
  <si>
    <t>2 раза в месяц</t>
  </si>
  <si>
    <t>Ремонт групповых щитков на лестничной клетке без ремонта автоматов</t>
  </si>
  <si>
    <t>Итого:</t>
  </si>
  <si>
    <t>за период с 01.02.2016 г. по 29.02.2016 г.</t>
  </si>
  <si>
    <t>1 м</t>
  </si>
  <si>
    <t>за период с 01.03.2016 г. по 31.03.2016 г.</t>
  </si>
  <si>
    <t>за период с 01.04.2016 г. по 30.04.2016 г.</t>
  </si>
  <si>
    <t>Подключение и отключение сварочного аппарата</t>
  </si>
  <si>
    <t>за период с 01.05.2016 г. по 31.05.2016 г.</t>
  </si>
  <si>
    <t>за период с 01.09.2016 г. по 30.09.2016 г.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</si>
  <si>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</si>
  <si>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</si>
  <si>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Смена дверных приборов - петли</t>
  </si>
  <si>
    <t>Смена дверных приборов (замки навесные)</t>
  </si>
  <si>
    <t>7 раз в месяц</t>
  </si>
  <si>
    <t xml:space="preserve">ежедневно </t>
  </si>
  <si>
    <t xml:space="preserve">II. Уборка земельного участка </t>
  </si>
  <si>
    <t>26 раз в месяц</t>
  </si>
  <si>
    <r>
      <t>Наименование вида работы (услуги)</t>
    </r>
    <r>
      <rPr>
        <vertAlign val="superscript"/>
        <sz val="12"/>
        <rFont val="Times New Roman"/>
        <family val="1"/>
        <charset val="204"/>
      </rPr>
      <t>2</t>
    </r>
  </si>
  <si>
    <t>ООО «Жилсервис»</t>
  </si>
  <si>
    <t>за период с 01.11.2016 г. по 30.11.2016 г.</t>
  </si>
  <si>
    <t>Влажное подметание лестничных клеток 1 этажа</t>
  </si>
  <si>
    <t>13 раз в месяц</t>
  </si>
  <si>
    <t>8 - 9 раз в месяц</t>
  </si>
  <si>
    <t>III. Плановые осмотры  и мелкий ремонт</t>
  </si>
  <si>
    <t>III. Содержание общего имущества</t>
  </si>
  <si>
    <t>Работа автовышки</t>
  </si>
  <si>
    <t>ТО внутренних сетей водопровода и канализации</t>
  </si>
  <si>
    <t>Замена ламп ДРЛ</t>
  </si>
  <si>
    <t xml:space="preserve"> IV. Прочие услуги</t>
  </si>
  <si>
    <t>Подметание снега - с входных площадок, контейнерных площадок</t>
  </si>
  <si>
    <t>Пескопосыпка территории: входн. площадки</t>
  </si>
  <si>
    <t xml:space="preserve">Очистка края кровли  от слежавшегося снега со сбрасы- ванием сосулек (10% от S кровли, козырьки над подъездами) </t>
  </si>
  <si>
    <t>Смена арматуры - вентилей и клапанов обратных муфтовых диаметром до 20 мм</t>
  </si>
  <si>
    <t>Смена трубопроводов на полипропиленовые трубы PN20 диаметром 20мм</t>
  </si>
  <si>
    <t>генеральный директор Куканов Ю.Л.</t>
  </si>
  <si>
    <t>4 раза в месяц</t>
  </si>
  <si>
    <t xml:space="preserve">приемки оказанных услуг и выполненных работ по содержанию и текущему ремонту
общего имущества в многоквартирном доме № 10 по  ул. Космонавтов  пгт. 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</si>
  <si>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 Ярега,  ул. Космонавтов, д. 10</t>
    </r>
  </si>
  <si>
    <t>Дератизация</t>
  </si>
  <si>
    <t>маш/час</t>
  </si>
  <si>
    <t>Смена патронов</t>
  </si>
  <si>
    <t>Влажное подметание лестничных клеток 2-5 этажа</t>
  </si>
  <si>
    <t>Мытье лестничных  площадок и маршей 1-5 этаж.</t>
  </si>
  <si>
    <t>5 раз в месяц</t>
  </si>
  <si>
    <t>Аварийно - диспетчерское обслуживание</t>
  </si>
  <si>
    <t>АКТ №12</t>
  </si>
  <si>
    <t>за период с 01.12.2016 г. по 31.12.2016 г.</t>
  </si>
  <si>
    <t>100м2</t>
  </si>
  <si>
    <t>3 раза в неделю 156 раз в год</t>
  </si>
  <si>
    <t>2 раза в неделю 104 раза в год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</si>
  <si>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</si>
  <si>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</si>
  <si>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</si>
  <si>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</si>
  <si>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</si>
  <si>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</si>
  <si>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</si>
  <si>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отопительных приборов</t>
  </si>
  <si>
    <t>Уборка газонов</t>
  </si>
  <si>
    <t>1000м2</t>
  </si>
  <si>
    <t>52 раза в сезон</t>
  </si>
  <si>
    <t>Подметание территории с усовершенствованным покрытием асф.: крыльца, контейнерн. пл., проезд, тротуар</t>
  </si>
  <si>
    <t>78 раз за сезон</t>
  </si>
  <si>
    <t>Очистка урн от мусора</t>
  </si>
  <si>
    <t>Уборка контейнерной площадки (16 кв.м.)</t>
  </si>
  <si>
    <t>Сдвигание снега в дни снегопада (проезд)</t>
  </si>
  <si>
    <t>12 раз за сезон</t>
  </si>
  <si>
    <t>Вывоз снега с придомовой территории</t>
  </si>
  <si>
    <t>1м3</t>
  </si>
  <si>
    <t>155 раз за сезон</t>
  </si>
  <si>
    <t>24 раза за сезон</t>
  </si>
  <si>
    <t xml:space="preserve">Пескопосыпка территории: крыльца и тротуары </t>
  </si>
  <si>
    <t>Осмотр рулонной кровли</t>
  </si>
  <si>
    <t>5 раз в году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</si>
  <si>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</si>
  <si>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</si>
  <si>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Проверка дымоходов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</si>
  <si>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</si>
  <si>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</si>
  <si>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</si>
  <si>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</si>
  <si>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</si>
  <si>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</si>
  <si>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</si>
  <si>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</si>
  <si>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</si>
  <si>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>Прочистка каналов</t>
  </si>
  <si>
    <t>Аварийно-диспетчерское обслуживание</t>
  </si>
  <si>
    <t>генеральный директор  Куканов Ю.Л.</t>
  </si>
  <si>
    <t xml:space="preserve">приемки оказанных услуг и выполненных работ по содержанию и текущему ремонту
общего имущества в многоквартирном доме №10 по ул.Космонавтов пгт.Ярега
</t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</si>
  <si>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ул.Космонавтов, д.10</t>
    </r>
  </si>
  <si>
    <t xml:space="preserve">2 раза в месяц 24 раза в год </t>
  </si>
  <si>
    <t>Смена выключателей</t>
  </si>
  <si>
    <t>1 шт</t>
  </si>
  <si>
    <t>Заготовка вручную и установка планки в притвор гладкий</t>
  </si>
  <si>
    <t>1 полотно</t>
  </si>
  <si>
    <t>Прочистка засоров ГВС, XВC</t>
  </si>
  <si>
    <t>3м</t>
  </si>
  <si>
    <t>2. Всего за период с 01.12.2016 по 31.12.2016 выполнено работ (оказано услуг) на общую сумму: 64148,61 руб.</t>
  </si>
  <si>
    <t>(шестьдесят четыре тысячи сто сорок восемь рублей 61 копейка)</t>
  </si>
  <si>
    <t>АКТ №1</t>
  </si>
  <si>
    <t>1000-м2</t>
  </si>
  <si>
    <t>2 раза в неделю 52 раза в сезон</t>
  </si>
  <si>
    <t>3 раза в неделю 78 раз за сезон</t>
  </si>
  <si>
    <t>ежедневно 365 раз</t>
  </si>
  <si>
    <t>по мере необходимости</t>
  </si>
  <si>
    <t xml:space="preserve"> </t>
  </si>
  <si>
    <t>30 раз за сезон</t>
  </si>
  <si>
    <t>Очистка  от мусора</t>
  </si>
  <si>
    <t>Смена дверных приборов - пружины</t>
  </si>
  <si>
    <t>Мелкий ремонт электропроводки</t>
  </si>
  <si>
    <t>Ремонт силового предохранительного шкафа (без стоимости материалов)</t>
  </si>
  <si>
    <t>Устройство хомута диаметром до 50 мм</t>
  </si>
  <si>
    <t>Ремонт и регулировка доводчика (без стоимости доводчика)</t>
  </si>
  <si>
    <t>1шт.</t>
  </si>
  <si>
    <t>Смена полиэтиленовых канализационных труб диаметром до 100 мм</t>
  </si>
  <si>
    <t xml:space="preserve">Смена манжетов Dy-110 </t>
  </si>
  <si>
    <t>Внеплановый осмотр электросетей, армазуры и электрооборудования на лестничных клетках</t>
  </si>
  <si>
    <t>Ремонт этажных групповых эл.щитов. и вводного распределительного эл.щита</t>
  </si>
  <si>
    <t>Устройство хомута диаметром 51-75 мм</t>
  </si>
  <si>
    <t>Установка заглушек диаметром трубопроводов до 100 мм</t>
  </si>
  <si>
    <t>заглушка</t>
  </si>
  <si>
    <t>Ремонт смесителя без душа (набивка сальника) без снятия с места</t>
  </si>
  <si>
    <t>Ремонт отдельными местами рулонного покрытия, промазка битумными составами отдельными местами рулонного покрытия, замена 1 слоя</t>
  </si>
  <si>
    <t>10 м2</t>
  </si>
  <si>
    <t>Смена трубопроводов на полипропиленовые трубы PN25 диаметром до 20 мм</t>
  </si>
  <si>
    <t>1м</t>
  </si>
  <si>
    <t xml:space="preserve">Смена сгонов у трубопроводов диаметром до 20 мм </t>
  </si>
  <si>
    <t>1 сгон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</si>
  <si>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</si>
  <si>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</si>
  <si>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Снятие и навеска полотна (без снятия петель)</t>
  </si>
  <si>
    <t>Мытье лестничных площадок и маршей 1-5 этаж.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</si>
  <si>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</si>
  <si>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</si>
  <si>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</si>
  <si>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</si>
  <si>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1 раз в месяц (5 раз в год)</t>
  </si>
  <si>
    <t>2. Всего за период с 01.01.2016 по 31.01.2016 выполнено работ (оказано услуг) на общую сумму: 58934,63 руб.</t>
  </si>
  <si>
    <t>АКТ №2</t>
  </si>
  <si>
    <t>2. Всего за период с 01.02.2016 по 29.02.2016 выполнено работ (оказано услуг) на общую сумму: 43651,86 руб.</t>
  </si>
  <si>
    <t>(сорок три тысячи шестьсот пятьдесят один рубль 86 копеек)</t>
  </si>
  <si>
    <t>АКТ №3</t>
  </si>
  <si>
    <t>2. Всего за период с 01.03.2016 по 31.03.2016 выполнено работ (оказано услуг) на общую сумму: 42906,79 руб.</t>
  </si>
  <si>
    <t>(сорок две тысячи девятьсот шесть рублей 79 копеек)</t>
  </si>
  <si>
    <t>АКТ №4</t>
  </si>
  <si>
    <t>2. Всего за период с 01.04.2016 по 30.04.2016 выполнено работ (оказано услуг) на общую сумму: 59116,51 руб.</t>
  </si>
  <si>
    <t>(пятьдесят девять тысяч сто шестнадцать рублей 51 копейка)</t>
  </si>
  <si>
    <t>(пятьдесят восемь тысяч девятьсот тридцать четыре рубля 63 копейки)</t>
  </si>
  <si>
    <t>АКТ №5</t>
  </si>
  <si>
    <t>2. Всего за период с 01.05.2016 по 31.05.2016 выполнено работ (оказано услуг) на общую сумму: 105518,00 руб.</t>
  </si>
  <si>
    <t>АКТ №6</t>
  </si>
  <si>
    <t>III. Содержание общего имущества МКД</t>
  </si>
  <si>
    <t>IV. Прочие услуги</t>
  </si>
  <si>
    <t>2. Всего за период с 01.06.2016 по 30.06.2016 выполнено работ (оказано услуг) на общую сумму: 45822,43 руб.</t>
  </si>
  <si>
    <t>(сорок пять тысяч восемьсот двадцать два рубля 43 копейки)</t>
  </si>
  <si>
    <t>АКТ №7</t>
  </si>
  <si>
    <t>за период с 01.07.2016 г. по 30.07.2016 г.</t>
  </si>
  <si>
    <t>2. Всего за период с 01.07.2016 по 31.07.2016 выполнено работ (оказано услуг) на общую сумму: 45545,80 руб.</t>
  </si>
  <si>
    <t>(сорок пять тысяч пятьсот сорок пять рублей 80 копеек)</t>
  </si>
  <si>
    <t>АКТ №8</t>
  </si>
  <si>
    <t>2. Всего за период с 01.08.2016 по 31.08.2016 выполнено работ (оказано услуг) на общую сумму: 58774,38 руб.</t>
  </si>
  <si>
    <t>(пятьдесят восемь тысяч семьсот семьдесят четыре рубля 38 копеек)</t>
  </si>
  <si>
    <t>АКТ №9</t>
  </si>
  <si>
    <t>АКТ №10</t>
  </si>
  <si>
    <t>(сто пять тысяч пятьсот восемнадцать рублей 00 копеек)</t>
  </si>
  <si>
    <t>2. Всего за период с  01.11.2016 г. по 30.11.2016 г. выполнено работ (оказано услуг) на общую сумму: 43136,97 руб.</t>
  </si>
  <si>
    <t>сорок три тысячи сто тридцать шесть рублей 97 копеек)</t>
  </si>
  <si>
    <t>АКТ №11</t>
  </si>
  <si>
    <r>
      <t xml:space="preserve">    Собственники   помещений   в многоквартирном доме, расположенном по адресу: пгт.Ярега, ул.Космонавтов, д.10,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30.12.2014г.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</si>
  <si>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    Собственники   помещений   в многоквартирном доме, расположенном по адресу: пгт. Ярега, ул. Космонавтов, д 10,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30.12.2014г.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</si>
  <si>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Ремонт входной площадки под.№2</t>
  </si>
  <si>
    <t>2. Всего за период с 01.09.2016 по 30.09.2016 выполнено работ (оказано услуг) на общую сумму: 70301,79 руб.</t>
  </si>
  <si>
    <t>(семьдесят тысяч триста один рубль 79 копеек)</t>
  </si>
  <si>
    <t>Установка заглушек диаметром трубопроводов до 100 мм (без учёта материала)</t>
  </si>
  <si>
    <t>2. Всего за период с 01.10.2016 по 31.10.2016 выполнено работ (оказано услуг) на общую сумму: 89171,38 руб.</t>
  </si>
  <si>
    <t>(восемьдесят девять тысяч сто семьдесят один рубль 38 копеек)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</si>
</sst>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"/>
    <numFmt numFmtId="166" formatCode="0.00000"/>
    <numFmt numFmtId="167" formatCode="0.0000000"/>
  </numFmts>
  <fonts count="2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.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63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0" fillId="0" borderId="0" xfId="0" applyFont="1"/>
    <xf numFmtId="0" fontId="12" fillId="0" borderId="3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4" fontId="12" fillId="0" borderId="3" xfId="0" applyNumberFormat="1" applyFont="1" applyFill="1" applyBorder="1" applyAlignment="1">
      <alignment horizontal="center" wrapText="1"/>
    </xf>
    <xf numFmtId="4" fontId="12" fillId="0" borderId="3" xfId="0" applyNumberFormat="1" applyFont="1" applyFill="1" applyBorder="1" applyAlignment="1">
      <alignment horizontal="center" vertical="center"/>
    </xf>
    <xf numFmtId="4" fontId="12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164" fontId="12" fillId="0" borderId="3" xfId="0" applyNumberFormat="1" applyFont="1" applyFill="1" applyBorder="1" applyAlignment="1">
      <alignment horizontal="center" vertical="center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3" xfId="0" applyFont="1" applyBorder="1"/>
    <xf numFmtId="2" fontId="0" fillId="0" borderId="0" xfId="0" applyNumberFormat="1"/>
    <xf numFmtId="4" fontId="0" fillId="0" borderId="0" xfId="0" applyNumberFormat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4" fontId="0" fillId="0" borderId="0" xfId="0" applyNumberFormat="1" applyFill="1"/>
    <xf numFmtId="166" fontId="0" fillId="0" borderId="0" xfId="0" applyNumberFormat="1" applyFill="1"/>
    <xf numFmtId="0" fontId="5" fillId="0" borderId="5" xfId="0" applyFont="1" applyFill="1" applyBorder="1" applyAlignment="1">
      <alignment horizontal="center" vertical="center" wrapText="1"/>
    </xf>
    <xf numFmtId="167" fontId="0" fillId="0" borderId="0" xfId="0" applyNumberFormat="1" applyFill="1"/>
    <xf numFmtId="0" fontId="12" fillId="0" borderId="3" xfId="0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5" fillId="0" borderId="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right" vertical="top"/>
    </xf>
    <xf numFmtId="0" fontId="17" fillId="0" borderId="0" xfId="0" applyFont="1" applyAlignment="1"/>
    <xf numFmtId="14" fontId="1" fillId="0" borderId="0" xfId="0" applyNumberFormat="1" applyFont="1" applyAlignment="1">
      <alignment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4" fontId="12" fillId="3" borderId="9" xfId="0" applyNumberFormat="1" applyFont="1" applyFill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2" fillId="2" borderId="3" xfId="0" applyNumberFormat="1" applyFont="1" applyFill="1" applyBorder="1" applyAlignment="1">
      <alignment horizontal="center" vertical="center"/>
    </xf>
    <xf numFmtId="4" fontId="12" fillId="3" borderId="3" xfId="0" applyNumberFormat="1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1" fontId="12" fillId="0" borderId="3" xfId="0" applyNumberFormat="1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7" fillId="0" borderId="3" xfId="0" applyFont="1" applyBorder="1"/>
    <xf numFmtId="4" fontId="2" fillId="0" borderId="3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left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3" xfId="3" applyFont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center"/>
    </xf>
    <xf numFmtId="0" fontId="21" fillId="0" borderId="3" xfId="0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2" fillId="0" borderId="3" xfId="0" applyFont="1" applyBorder="1"/>
    <xf numFmtId="0" fontId="2" fillId="0" borderId="3" xfId="1" applyFont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3" xfId="0" applyFont="1" applyFill="1" applyBorder="1"/>
    <xf numFmtId="0" fontId="2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25" fillId="0" borderId="0" xfId="0" applyFont="1" applyAlignment="1">
      <alignment horizontal="right" wrapText="1"/>
    </xf>
    <xf numFmtId="0" fontId="25" fillId="0" borderId="0" xfId="0" applyFont="1" applyBorder="1" applyAlignment="1">
      <alignment wrapText="1"/>
    </xf>
    <xf numFmtId="0" fontId="2" fillId="0" borderId="3" xfId="0" applyFont="1" applyFill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4" fontId="12" fillId="0" borderId="7" xfId="0" applyNumberFormat="1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1" fontId="12" fillId="2" borderId="3" xfId="0" applyNumberFormat="1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3" fontId="12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left" wrapText="1"/>
    </xf>
    <xf numFmtId="0" fontId="12" fillId="0" borderId="15" xfId="0" applyNumberFormat="1" applyFont="1" applyFill="1" applyBorder="1" applyAlignment="1" applyProtection="1">
      <alignment horizontal="left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2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center" vertical="center"/>
    </xf>
    <xf numFmtId="4" fontId="12" fillId="0" borderId="9" xfId="0" applyNumberFormat="1" applyFont="1" applyFill="1" applyBorder="1" applyAlignment="1">
      <alignment horizontal="center" vertical="center" wrapText="1"/>
    </xf>
    <xf numFmtId="4" fontId="12" fillId="0" borderId="9" xfId="0" applyNumberFormat="1" applyFont="1" applyFill="1" applyBorder="1" applyAlignment="1">
      <alignment horizontal="center" vertical="center"/>
    </xf>
    <xf numFmtId="4" fontId="12" fillId="0" borderId="16" xfId="0" applyNumberFormat="1" applyFont="1" applyFill="1" applyBorder="1" applyAlignment="1">
      <alignment horizontal="center" vertical="center"/>
    </xf>
    <xf numFmtId="4" fontId="12" fillId="0" borderId="17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/>
    </xf>
    <xf numFmtId="4" fontId="2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 wrapText="1"/>
    </xf>
    <xf numFmtId="4" fontId="12" fillId="0" borderId="12" xfId="0" applyNumberFormat="1" applyFont="1" applyFill="1" applyBorder="1" applyAlignment="1">
      <alignment horizontal="center" vertical="center" wrapText="1"/>
    </xf>
    <xf numFmtId="4" fontId="12" fillId="0" borderId="18" xfId="0" applyNumberFormat="1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center" vertical="center"/>
    </xf>
    <xf numFmtId="4" fontId="12" fillId="0" borderId="12" xfId="0" applyNumberFormat="1" applyFont="1" applyFill="1" applyBorder="1" applyAlignment="1">
      <alignment horizontal="center"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4" fontId="15" fillId="0" borderId="5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4" fontId="12" fillId="0" borderId="15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" fontId="12" fillId="2" borderId="5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32"/>
  <sheetViews>
    <sheetView tabSelected="1"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206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104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42400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hidden="1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hidden="1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hidden="1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hidden="1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hidden="1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15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16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G71*1.9</f>
        <v>1084.0259999999998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17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18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I16+I17+I18+I25+I26+I37+I38+I40+I41+I42+I43+I49+I53+I56+I59+I71+I79+I80</f>
        <v>55908.84597288334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15.75" customHeight="1">
      <c r="A83" s="49">
        <v>19</v>
      </c>
      <c r="B83" s="194" t="s">
        <v>215</v>
      </c>
      <c r="C83" s="217" t="s">
        <v>183</v>
      </c>
      <c r="D83" s="87"/>
      <c r="E83" s="18"/>
      <c r="F83" s="18">
        <v>2</v>
      </c>
      <c r="G83" s="18">
        <v>295.58999999999997</v>
      </c>
      <c r="H83" s="18">
        <f>SUM(F83*G83/1000)</f>
        <v>0.59117999999999993</v>
      </c>
      <c r="I83" s="218">
        <f>G83*2</f>
        <v>591.17999999999995</v>
      </c>
    </row>
    <row r="84" spans="1:9" ht="31.5" customHeight="1">
      <c r="A84" s="49">
        <v>20</v>
      </c>
      <c r="B84" s="146" t="s">
        <v>106</v>
      </c>
      <c r="C84" s="193" t="s">
        <v>183</v>
      </c>
      <c r="D84" s="20"/>
      <c r="E84" s="25"/>
      <c r="F84" s="18">
        <v>15</v>
      </c>
      <c r="G84" s="18">
        <v>79.09</v>
      </c>
      <c r="H84" s="18">
        <f>SUM(F84*G84/1000)</f>
        <v>1.1863500000000002</v>
      </c>
      <c r="I84" s="218">
        <f>G84*3</f>
        <v>237.27</v>
      </c>
    </row>
    <row r="85" spans="1:9" ht="15.75" customHeight="1">
      <c r="A85" s="49">
        <v>21</v>
      </c>
      <c r="B85" s="146" t="s">
        <v>216</v>
      </c>
      <c r="C85" s="217" t="s">
        <v>109</v>
      </c>
      <c r="D85" s="87"/>
      <c r="E85" s="18"/>
      <c r="F85" s="18">
        <v>1</v>
      </c>
      <c r="G85" s="18">
        <v>18</v>
      </c>
      <c r="H85" s="211">
        <f t="shared" ref="H85:H101" si="6">G85*F85/1000</f>
        <v>1.7999999999999999E-2</v>
      </c>
      <c r="I85" s="218">
        <f>G85</f>
        <v>18</v>
      </c>
    </row>
    <row r="86" spans="1:9" ht="31.5" customHeight="1">
      <c r="A86" s="49">
        <v>22</v>
      </c>
      <c r="B86" s="146" t="s">
        <v>217</v>
      </c>
      <c r="C86" s="193" t="s">
        <v>183</v>
      </c>
      <c r="D86" s="20"/>
      <c r="E86" s="25"/>
      <c r="F86" s="18">
        <v>1</v>
      </c>
      <c r="G86" s="18">
        <v>2179.33</v>
      </c>
      <c r="H86" s="18">
        <f t="shared" si="6"/>
        <v>2.1793299999999998</v>
      </c>
      <c r="I86" s="218">
        <f>G86</f>
        <v>2179.33</v>
      </c>
    </row>
    <row r="87" spans="1:9" ht="15.75" hidden="1" customHeight="1">
      <c r="A87" s="49"/>
      <c r="B87" s="146" t="s">
        <v>218</v>
      </c>
      <c r="C87" s="193" t="s">
        <v>116</v>
      </c>
      <c r="D87" s="87"/>
      <c r="E87" s="18"/>
      <c r="F87" s="18">
        <v>1</v>
      </c>
      <c r="G87" s="18">
        <v>185.81</v>
      </c>
      <c r="H87" s="211">
        <f t="shared" si="6"/>
        <v>0.18581</v>
      </c>
      <c r="I87" s="218">
        <v>0</v>
      </c>
    </row>
    <row r="88" spans="1:9" ht="15.75" hidden="1" customHeight="1">
      <c r="A88" s="49"/>
      <c r="B88" s="219" t="s">
        <v>219</v>
      </c>
      <c r="C88" s="49" t="s">
        <v>220</v>
      </c>
      <c r="D88" s="87"/>
      <c r="E88" s="18"/>
      <c r="F88" s="18">
        <v>1</v>
      </c>
      <c r="G88" s="18">
        <v>383.01</v>
      </c>
      <c r="H88" s="211">
        <f t="shared" si="6"/>
        <v>0.38301000000000002</v>
      </c>
      <c r="I88" s="218">
        <v>0</v>
      </c>
    </row>
    <row r="89" spans="1:9" ht="15.75" hidden="1" customHeight="1">
      <c r="A89" s="49"/>
      <c r="B89" s="146" t="s">
        <v>221</v>
      </c>
      <c r="C89" s="193" t="s">
        <v>109</v>
      </c>
      <c r="D89" s="87"/>
      <c r="E89" s="18"/>
      <c r="F89" s="18">
        <v>3</v>
      </c>
      <c r="G89" s="18">
        <v>778.86</v>
      </c>
      <c r="H89" s="211">
        <f t="shared" si="6"/>
        <v>2.3365800000000001</v>
      </c>
      <c r="I89" s="218">
        <v>0</v>
      </c>
    </row>
    <row r="90" spans="1:9" ht="15.75" hidden="1" customHeight="1">
      <c r="A90" s="49"/>
      <c r="B90" s="146" t="s">
        <v>222</v>
      </c>
      <c r="C90" s="193" t="s">
        <v>199</v>
      </c>
      <c r="D90" s="87"/>
      <c r="E90" s="18"/>
      <c r="F90" s="18">
        <v>1</v>
      </c>
      <c r="G90" s="18">
        <v>398.96</v>
      </c>
      <c r="H90" s="211">
        <f t="shared" si="6"/>
        <v>0.39895999999999998</v>
      </c>
      <c r="I90" s="218">
        <v>0</v>
      </c>
    </row>
    <row r="91" spans="1:9" ht="15.75" hidden="1" customHeight="1">
      <c r="A91" s="49"/>
      <c r="B91" s="146" t="s">
        <v>112</v>
      </c>
      <c r="C91" s="193" t="s">
        <v>183</v>
      </c>
      <c r="D91" s="87"/>
      <c r="E91" s="18"/>
      <c r="F91" s="18">
        <v>3</v>
      </c>
      <c r="G91" s="18">
        <v>180.15</v>
      </c>
      <c r="H91" s="211">
        <f t="shared" si="6"/>
        <v>0.5404500000000001</v>
      </c>
      <c r="I91" s="218">
        <v>0</v>
      </c>
    </row>
    <row r="92" spans="1:9" ht="15.75" hidden="1" customHeight="1">
      <c r="A92" s="49"/>
      <c r="B92" s="146" t="s">
        <v>223</v>
      </c>
      <c r="C92" s="193" t="s">
        <v>49</v>
      </c>
      <c r="D92" s="87"/>
      <c r="E92" s="18"/>
      <c r="F92" s="18">
        <f>5/100</f>
        <v>0.05</v>
      </c>
      <c r="G92" s="18">
        <v>3397.65</v>
      </c>
      <c r="H92" s="211">
        <f t="shared" si="6"/>
        <v>0.16988250000000002</v>
      </c>
      <c r="I92" s="218">
        <v>0</v>
      </c>
    </row>
    <row r="93" spans="1:9" ht="15.75" hidden="1" customHeight="1">
      <c r="A93" s="49"/>
      <c r="B93" s="146" t="s">
        <v>146</v>
      </c>
      <c r="C93" s="193" t="s">
        <v>183</v>
      </c>
      <c r="D93" s="87"/>
      <c r="E93" s="18"/>
      <c r="F93" s="18">
        <v>3</v>
      </c>
      <c r="G93" s="18">
        <v>149.63999999999999</v>
      </c>
      <c r="H93" s="211">
        <f t="shared" si="6"/>
        <v>0.44891999999999999</v>
      </c>
      <c r="I93" s="218">
        <v>0</v>
      </c>
    </row>
    <row r="94" spans="1:9" ht="15.75" hidden="1" customHeight="1">
      <c r="A94" s="49"/>
      <c r="B94" s="146" t="s">
        <v>224</v>
      </c>
      <c r="C94" s="193" t="s">
        <v>183</v>
      </c>
      <c r="D94" s="20"/>
      <c r="E94" s="25"/>
      <c r="F94" s="18">
        <v>1</v>
      </c>
      <c r="G94" s="18">
        <v>178.79</v>
      </c>
      <c r="H94" s="211">
        <f t="shared" si="6"/>
        <v>0.17879</v>
      </c>
      <c r="I94" s="218">
        <v>0</v>
      </c>
    </row>
    <row r="95" spans="1:9" ht="15.75" hidden="1" customHeight="1">
      <c r="A95" s="49"/>
      <c r="B95" s="194" t="s">
        <v>117</v>
      </c>
      <c r="C95" s="217" t="s">
        <v>99</v>
      </c>
      <c r="D95" s="20"/>
      <c r="E95" s="25"/>
      <c r="F95" s="18">
        <f>2/10</f>
        <v>0.2</v>
      </c>
      <c r="G95" s="18">
        <v>3800</v>
      </c>
      <c r="H95" s="211">
        <f t="shared" si="6"/>
        <v>0.76</v>
      </c>
      <c r="I95" s="218">
        <v>0</v>
      </c>
    </row>
    <row r="96" spans="1:9" ht="15.75" hidden="1" customHeight="1">
      <c r="A96" s="49"/>
      <c r="B96" s="194" t="s">
        <v>118</v>
      </c>
      <c r="C96" s="193" t="s">
        <v>183</v>
      </c>
      <c r="D96" s="20"/>
      <c r="E96" s="25"/>
      <c r="F96" s="18">
        <v>3</v>
      </c>
      <c r="G96" s="18">
        <v>179.96</v>
      </c>
      <c r="H96" s="211">
        <f t="shared" si="6"/>
        <v>0.53988000000000003</v>
      </c>
      <c r="I96" s="218">
        <v>0</v>
      </c>
    </row>
    <row r="97" spans="1:9" ht="15.75" hidden="1" customHeight="1">
      <c r="A97" s="49"/>
      <c r="B97" s="179" t="s">
        <v>202</v>
      </c>
      <c r="C97" s="180" t="s">
        <v>203</v>
      </c>
      <c r="D97" s="87"/>
      <c r="E97" s="18"/>
      <c r="F97" s="18">
        <f>18/3</f>
        <v>6</v>
      </c>
      <c r="G97" s="18">
        <v>1063.47</v>
      </c>
      <c r="H97" s="211">
        <f>G97*F97/1000</f>
        <v>6.3808199999999999</v>
      </c>
      <c r="I97" s="218">
        <v>0</v>
      </c>
    </row>
    <row r="98" spans="1:9" ht="15.75" hidden="1" customHeight="1">
      <c r="A98" s="49"/>
      <c r="B98" s="146" t="s">
        <v>225</v>
      </c>
      <c r="C98" s="193" t="s">
        <v>116</v>
      </c>
      <c r="D98" s="20"/>
      <c r="E98" s="25"/>
      <c r="F98" s="18">
        <v>1</v>
      </c>
      <c r="G98" s="18">
        <v>225.27</v>
      </c>
      <c r="H98" s="211">
        <f t="shared" si="6"/>
        <v>0.22527</v>
      </c>
      <c r="I98" s="218">
        <v>0</v>
      </c>
    </row>
    <row r="99" spans="1:9" ht="15.75" hidden="1" customHeight="1">
      <c r="A99" s="49"/>
      <c r="B99" s="146" t="s">
        <v>226</v>
      </c>
      <c r="C99" s="193" t="s">
        <v>227</v>
      </c>
      <c r="D99" s="20"/>
      <c r="E99" s="25"/>
      <c r="F99" s="18">
        <v>1</v>
      </c>
      <c r="G99" s="18">
        <v>629.39</v>
      </c>
      <c r="H99" s="211">
        <f t="shared" si="6"/>
        <v>0.62939000000000001</v>
      </c>
      <c r="I99" s="218">
        <v>0</v>
      </c>
    </row>
    <row r="100" spans="1:9" ht="15.75" hidden="1" customHeight="1">
      <c r="A100" s="49"/>
      <c r="B100" s="146" t="s">
        <v>228</v>
      </c>
      <c r="C100" s="193" t="s">
        <v>199</v>
      </c>
      <c r="D100" s="87"/>
      <c r="E100" s="18"/>
      <c r="F100" s="18">
        <v>1</v>
      </c>
      <c r="G100" s="18">
        <v>171.48</v>
      </c>
      <c r="H100" s="211">
        <f t="shared" si="6"/>
        <v>0.17147999999999999</v>
      </c>
      <c r="I100" s="218">
        <v>0</v>
      </c>
    </row>
    <row r="101" spans="1:9" ht="15.75" hidden="1" customHeight="1">
      <c r="A101" s="49"/>
      <c r="B101" s="146" t="s">
        <v>138</v>
      </c>
      <c r="C101" s="193" t="s">
        <v>199</v>
      </c>
      <c r="D101" s="87"/>
      <c r="E101" s="18"/>
      <c r="F101" s="18">
        <v>4</v>
      </c>
      <c r="G101" s="18">
        <v>559.62</v>
      </c>
      <c r="H101" s="211">
        <f t="shared" si="6"/>
        <v>2.23848</v>
      </c>
      <c r="I101" s="218">
        <v>0</v>
      </c>
    </row>
    <row r="102" spans="1:9" ht="15.75" hidden="1" customHeight="1">
      <c r="A102" s="49"/>
      <c r="B102" s="146" t="s">
        <v>229</v>
      </c>
      <c r="C102" s="193" t="s">
        <v>230</v>
      </c>
      <c r="D102" s="87"/>
      <c r="E102" s="18"/>
      <c r="F102" s="18">
        <f>40/10</f>
        <v>4</v>
      </c>
      <c r="G102" s="18">
        <v>2055.5300000000002</v>
      </c>
      <c r="H102" s="211">
        <f>G102*F102/1000</f>
        <v>8.2221200000000003</v>
      </c>
      <c r="I102" s="218">
        <v>0</v>
      </c>
    </row>
    <row r="103" spans="1:9" ht="15.75" hidden="1" customHeight="1">
      <c r="A103" s="49"/>
      <c r="B103" s="146" t="s">
        <v>131</v>
      </c>
      <c r="C103" s="193" t="s">
        <v>145</v>
      </c>
      <c r="D103" s="87"/>
      <c r="E103" s="18"/>
      <c r="F103" s="18">
        <v>3.5</v>
      </c>
      <c r="G103" s="18">
        <v>1501</v>
      </c>
      <c r="H103" s="18">
        <f t="shared" ref="H103:H108" si="7">G103*F103/1000</f>
        <v>5.2534999999999998</v>
      </c>
      <c r="I103" s="218">
        <v>0</v>
      </c>
    </row>
    <row r="104" spans="1:9" ht="15.75" hidden="1" customHeight="1">
      <c r="A104" s="49"/>
      <c r="B104" s="146" t="s">
        <v>231</v>
      </c>
      <c r="C104" s="193" t="s">
        <v>232</v>
      </c>
      <c r="D104" s="87"/>
      <c r="E104" s="18"/>
      <c r="F104" s="18">
        <v>8</v>
      </c>
      <c r="G104" s="18">
        <v>1187</v>
      </c>
      <c r="H104" s="18">
        <f t="shared" si="7"/>
        <v>9.4960000000000004</v>
      </c>
      <c r="I104" s="218">
        <v>0</v>
      </c>
    </row>
    <row r="105" spans="1:9" ht="15.75" hidden="1" customHeight="1">
      <c r="A105" s="49"/>
      <c r="B105" s="146" t="s">
        <v>233</v>
      </c>
      <c r="C105" s="193" t="s">
        <v>234</v>
      </c>
      <c r="D105" s="87"/>
      <c r="E105" s="18"/>
      <c r="F105" s="18">
        <v>2</v>
      </c>
      <c r="G105" s="18">
        <v>195.95</v>
      </c>
      <c r="H105" s="18">
        <f t="shared" si="7"/>
        <v>0.39189999999999997</v>
      </c>
      <c r="I105" s="218">
        <v>0</v>
      </c>
    </row>
    <row r="106" spans="1:9" ht="15.75" hidden="1" customHeight="1">
      <c r="A106" s="49"/>
      <c r="B106" s="146" t="s">
        <v>235</v>
      </c>
      <c r="C106" s="193" t="s">
        <v>236</v>
      </c>
      <c r="D106" s="87"/>
      <c r="E106" s="18"/>
      <c r="F106" s="18">
        <v>1</v>
      </c>
      <c r="G106" s="18">
        <v>51.39</v>
      </c>
      <c r="H106" s="211">
        <f t="shared" si="7"/>
        <v>5.1389999999999998E-2</v>
      </c>
      <c r="I106" s="218">
        <v>0</v>
      </c>
    </row>
    <row r="107" spans="1:9" ht="15.75" hidden="1" customHeight="1">
      <c r="A107" s="49"/>
      <c r="B107" s="146" t="s">
        <v>217</v>
      </c>
      <c r="C107" s="193" t="s">
        <v>183</v>
      </c>
      <c r="D107" s="87"/>
      <c r="E107" s="18"/>
      <c r="F107" s="18">
        <v>1</v>
      </c>
      <c r="G107" s="18">
        <v>2179.33</v>
      </c>
      <c r="H107" s="211">
        <f t="shared" si="7"/>
        <v>2.1793299999999998</v>
      </c>
      <c r="I107" s="218">
        <v>0</v>
      </c>
    </row>
    <row r="108" spans="1:9" ht="15.75" hidden="1" customHeight="1">
      <c r="A108" s="49"/>
      <c r="B108" s="146" t="s">
        <v>237</v>
      </c>
      <c r="C108" s="193" t="s">
        <v>201</v>
      </c>
      <c r="D108" s="87"/>
      <c r="E108" s="18"/>
      <c r="F108" s="18">
        <v>1</v>
      </c>
      <c r="G108" s="18">
        <v>92.24</v>
      </c>
      <c r="H108" s="211">
        <f t="shared" si="7"/>
        <v>9.2239999999999989E-2</v>
      </c>
      <c r="I108" s="218">
        <v>0</v>
      </c>
    </row>
    <row r="109" spans="1:9" ht="15.75" customHeight="1">
      <c r="A109" s="49"/>
      <c r="B109" s="81" t="s">
        <v>66</v>
      </c>
      <c r="C109" s="77"/>
      <c r="D109" s="131"/>
      <c r="E109" s="77">
        <v>1</v>
      </c>
      <c r="F109" s="77"/>
      <c r="G109" s="77"/>
      <c r="H109" s="77"/>
      <c r="I109" s="59">
        <f>SUM(I83:I108)</f>
        <v>3025.7799999999997</v>
      </c>
    </row>
    <row r="110" spans="1:9" ht="15.75" customHeight="1">
      <c r="A110" s="49"/>
      <c r="B110" s="87" t="s">
        <v>103</v>
      </c>
      <c r="C110" s="21"/>
      <c r="D110" s="21"/>
      <c r="E110" s="78"/>
      <c r="F110" s="78"/>
      <c r="G110" s="79"/>
      <c r="H110" s="79"/>
      <c r="I110" s="24">
        <v>0</v>
      </c>
    </row>
    <row r="111" spans="1:9" ht="15.75" customHeight="1">
      <c r="A111" s="132"/>
      <c r="B111" s="82" t="s">
        <v>67</v>
      </c>
      <c r="C111" s="65"/>
      <c r="D111" s="65"/>
      <c r="E111" s="65"/>
      <c r="F111" s="65"/>
      <c r="G111" s="65"/>
      <c r="H111" s="65"/>
      <c r="I111" s="80">
        <f>I81+I109</f>
        <v>58934.625972883339</v>
      </c>
    </row>
    <row r="112" spans="1:9" ht="15.75">
      <c r="A112" s="239" t="s">
        <v>244</v>
      </c>
      <c r="B112" s="239"/>
      <c r="C112" s="239"/>
      <c r="D112" s="239"/>
      <c r="E112" s="239"/>
      <c r="F112" s="239"/>
      <c r="G112" s="239"/>
      <c r="H112" s="239"/>
      <c r="I112" s="239"/>
    </row>
    <row r="113" spans="1:9" ht="15.75">
      <c r="A113" s="187"/>
      <c r="B113" s="234" t="s">
        <v>254</v>
      </c>
      <c r="C113" s="234"/>
      <c r="D113" s="234"/>
      <c r="E113" s="234"/>
      <c r="F113" s="234"/>
      <c r="G113" s="234"/>
      <c r="H113" s="192"/>
      <c r="I113" s="3"/>
    </row>
    <row r="114" spans="1:9">
      <c r="A114" s="184"/>
      <c r="B114" s="230" t="s">
        <v>7</v>
      </c>
      <c r="C114" s="230"/>
      <c r="D114" s="230"/>
      <c r="E114" s="230"/>
      <c r="F114" s="230"/>
      <c r="G114" s="230"/>
      <c r="H114" s="38"/>
      <c r="I114" s="5"/>
    </row>
    <row r="115" spans="1:9">
      <c r="A115" s="11"/>
      <c r="B115" s="11"/>
      <c r="C115" s="11"/>
      <c r="D115" s="11"/>
      <c r="E115" s="11"/>
      <c r="F115" s="11"/>
      <c r="G115" s="11"/>
      <c r="H115" s="11"/>
      <c r="I115" s="11"/>
    </row>
    <row r="116" spans="1:9" ht="15.75">
      <c r="A116" s="235" t="s">
        <v>8</v>
      </c>
      <c r="B116" s="235"/>
      <c r="C116" s="235"/>
      <c r="D116" s="235"/>
      <c r="E116" s="235"/>
      <c r="F116" s="235"/>
      <c r="G116" s="235"/>
      <c r="H116" s="235"/>
      <c r="I116" s="235"/>
    </row>
    <row r="117" spans="1:9" ht="15.75">
      <c r="A117" s="235" t="s">
        <v>9</v>
      </c>
      <c r="B117" s="235"/>
      <c r="C117" s="235"/>
      <c r="D117" s="235"/>
      <c r="E117" s="235"/>
      <c r="F117" s="235"/>
      <c r="G117" s="235"/>
      <c r="H117" s="235"/>
      <c r="I117" s="235"/>
    </row>
    <row r="118" spans="1:9" ht="15.75">
      <c r="A118" s="236" t="s">
        <v>82</v>
      </c>
      <c r="B118" s="236"/>
      <c r="C118" s="236"/>
      <c r="D118" s="236"/>
      <c r="E118" s="236"/>
      <c r="F118" s="236"/>
      <c r="G118" s="236"/>
      <c r="H118" s="236"/>
      <c r="I118" s="236"/>
    </row>
    <row r="119" spans="1:9" ht="15.75">
      <c r="A119" s="12"/>
    </row>
    <row r="120" spans="1:9" ht="15.75">
      <c r="A120" s="237" t="s">
        <v>11</v>
      </c>
      <c r="B120" s="237"/>
      <c r="C120" s="237"/>
      <c r="D120" s="237"/>
      <c r="E120" s="237"/>
      <c r="F120" s="237"/>
      <c r="G120" s="237"/>
      <c r="H120" s="237"/>
      <c r="I120" s="237"/>
    </row>
    <row r="121" spans="1:9" ht="15.75">
      <c r="A121" s="4"/>
    </row>
    <row r="122" spans="1:9" ht="15.75">
      <c r="B122" s="182" t="s">
        <v>12</v>
      </c>
      <c r="C122" s="229" t="s">
        <v>194</v>
      </c>
      <c r="D122" s="229"/>
      <c r="E122" s="229"/>
      <c r="F122" s="190"/>
      <c r="I122" s="183"/>
    </row>
    <row r="123" spans="1:9">
      <c r="A123" s="184"/>
      <c r="C123" s="230" t="s">
        <v>13</v>
      </c>
      <c r="D123" s="230"/>
      <c r="E123" s="230"/>
      <c r="F123" s="38"/>
      <c r="I123" s="181" t="s">
        <v>14</v>
      </c>
    </row>
    <row r="124" spans="1:9" ht="15.75">
      <c r="A124" s="39"/>
      <c r="C124" s="13"/>
      <c r="D124" s="13"/>
      <c r="G124" s="13"/>
      <c r="H124" s="13"/>
    </row>
    <row r="125" spans="1:9" ht="15.75">
      <c r="B125" s="182" t="s">
        <v>15</v>
      </c>
      <c r="C125" s="231"/>
      <c r="D125" s="231"/>
      <c r="E125" s="231"/>
      <c r="F125" s="191"/>
      <c r="I125" s="183"/>
    </row>
    <row r="126" spans="1:9">
      <c r="A126" s="184"/>
      <c r="C126" s="232" t="s">
        <v>13</v>
      </c>
      <c r="D126" s="232"/>
      <c r="E126" s="232"/>
      <c r="F126" s="184"/>
      <c r="I126" s="181" t="s">
        <v>14</v>
      </c>
    </row>
    <row r="127" spans="1:9" ht="15.75">
      <c r="A127" s="4" t="s">
        <v>16</v>
      </c>
    </row>
    <row r="128" spans="1:9">
      <c r="A128" s="233" t="s">
        <v>17</v>
      </c>
      <c r="B128" s="233"/>
      <c r="C128" s="233"/>
      <c r="D128" s="233"/>
      <c r="E128" s="233"/>
      <c r="F128" s="233"/>
      <c r="G128" s="233"/>
      <c r="H128" s="233"/>
      <c r="I128" s="233"/>
    </row>
    <row r="129" spans="1:9" ht="47.25" customHeight="1">
      <c r="A129" s="225" t="s">
        <v>18</v>
      </c>
      <c r="B129" s="225"/>
      <c r="C129" s="225"/>
      <c r="D129" s="225"/>
      <c r="E129" s="225"/>
      <c r="F129" s="225"/>
      <c r="G129" s="225"/>
      <c r="H129" s="225"/>
      <c r="I129" s="225"/>
    </row>
    <row r="130" spans="1:9" ht="31.5" customHeight="1">
      <c r="A130" s="225" t="s">
        <v>19</v>
      </c>
      <c r="B130" s="225"/>
      <c r="C130" s="225"/>
      <c r="D130" s="225"/>
      <c r="E130" s="225"/>
      <c r="F130" s="225"/>
      <c r="G130" s="225"/>
      <c r="H130" s="225"/>
      <c r="I130" s="225"/>
    </row>
    <row r="131" spans="1:9" ht="31.5" customHeight="1">
      <c r="A131" s="225" t="s">
        <v>24</v>
      </c>
      <c r="B131" s="225"/>
      <c r="C131" s="225"/>
      <c r="D131" s="225"/>
      <c r="E131" s="225"/>
      <c r="F131" s="225"/>
      <c r="G131" s="225"/>
      <c r="H131" s="225"/>
      <c r="I131" s="225"/>
    </row>
    <row r="132" spans="1:9" ht="15.75" customHeight="1">
      <c r="A132" s="225" t="s">
        <v>23</v>
      </c>
      <c r="B132" s="225"/>
      <c r="C132" s="225"/>
      <c r="D132" s="225"/>
      <c r="E132" s="225"/>
      <c r="F132" s="225"/>
      <c r="G132" s="225"/>
      <c r="H132" s="225"/>
      <c r="I132" s="225"/>
    </row>
  </sheetData>
  <autoFilter ref="I12:I58"/>
  <mergeCells count="28">
    <mergeCell ref="A14:I14"/>
    <mergeCell ref="A3:I3"/>
    <mergeCell ref="A4:I4"/>
    <mergeCell ref="A5:I5"/>
    <mergeCell ref="A8:I8"/>
    <mergeCell ref="A10:I10"/>
    <mergeCell ref="A118:I118"/>
    <mergeCell ref="A120:I120"/>
    <mergeCell ref="A15:I15"/>
    <mergeCell ref="R63:U63"/>
    <mergeCell ref="A112:I112"/>
    <mergeCell ref="A78:I78"/>
    <mergeCell ref="A130:I130"/>
    <mergeCell ref="A131:I131"/>
    <mergeCell ref="A132:I132"/>
    <mergeCell ref="A27:I27"/>
    <mergeCell ref="A44:I44"/>
    <mergeCell ref="A54:I54"/>
    <mergeCell ref="C122:E122"/>
    <mergeCell ref="C123:E123"/>
    <mergeCell ref="C125:E125"/>
    <mergeCell ref="C126:E126"/>
    <mergeCell ref="A128:I128"/>
    <mergeCell ref="A129:I129"/>
    <mergeCell ref="B113:G113"/>
    <mergeCell ref="B114:G114"/>
    <mergeCell ref="A116:I116"/>
    <mergeCell ref="A117:I11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270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84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42674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hidden="1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258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10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customHeight="1">
      <c r="A61" s="49">
        <v>11</v>
      </c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f>G61</f>
        <v>252.96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12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G71*1.8</f>
        <v>1026.972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259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13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14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I16+I17+I18+I25+I26+I29+I30+I32+I33+I59+I61+I71+I79+I80</f>
        <v>43538.55037014444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15</v>
      </c>
      <c r="B83" s="146" t="s">
        <v>106</v>
      </c>
      <c r="C83" s="193" t="s">
        <v>183</v>
      </c>
      <c r="D83" s="20"/>
      <c r="E83" s="25"/>
      <c r="F83" s="18">
        <v>15</v>
      </c>
      <c r="G83" s="18">
        <v>79.09</v>
      </c>
      <c r="H83" s="18">
        <f>SUM(F83*G83/1000)</f>
        <v>1.1863500000000002</v>
      </c>
      <c r="I83" s="218">
        <f>G83*3</f>
        <v>237.27</v>
      </c>
    </row>
    <row r="84" spans="1:9" ht="15.75" customHeight="1">
      <c r="A84" s="49">
        <v>16</v>
      </c>
      <c r="B84" s="146" t="s">
        <v>112</v>
      </c>
      <c r="C84" s="193" t="s">
        <v>183</v>
      </c>
      <c r="D84" s="87"/>
      <c r="E84" s="18"/>
      <c r="F84" s="18">
        <v>3</v>
      </c>
      <c r="G84" s="18">
        <v>180.15</v>
      </c>
      <c r="H84" s="211">
        <f t="shared" ref="H84:H86" si="6">G84*F84/1000</f>
        <v>0.5404500000000001</v>
      </c>
      <c r="I84" s="218">
        <f>G84</f>
        <v>180.15</v>
      </c>
    </row>
    <row r="85" spans="1:9" ht="15.75" customHeight="1">
      <c r="A85" s="49">
        <v>17</v>
      </c>
      <c r="B85" s="179" t="s">
        <v>202</v>
      </c>
      <c r="C85" s="180" t="s">
        <v>203</v>
      </c>
      <c r="D85" s="87"/>
      <c r="E85" s="18"/>
      <c r="F85" s="18">
        <f>18/3</f>
        <v>6</v>
      </c>
      <c r="G85" s="18">
        <v>1063.47</v>
      </c>
      <c r="H85" s="211">
        <f>G85*F85/1000</f>
        <v>6.3808199999999999</v>
      </c>
      <c r="I85" s="218">
        <f>G85</f>
        <v>1063.47</v>
      </c>
    </row>
    <row r="86" spans="1:9" ht="31.5" customHeight="1">
      <c r="A86" s="49">
        <v>18</v>
      </c>
      <c r="B86" s="146" t="s">
        <v>138</v>
      </c>
      <c r="C86" s="193" t="s">
        <v>199</v>
      </c>
      <c r="D86" s="87"/>
      <c r="E86" s="18"/>
      <c r="F86" s="18">
        <v>4</v>
      </c>
      <c r="G86" s="18">
        <v>559.62</v>
      </c>
      <c r="H86" s="211">
        <f t="shared" si="6"/>
        <v>2.23848</v>
      </c>
      <c r="I86" s="218">
        <f>G86*3</f>
        <v>1678.8600000000001</v>
      </c>
    </row>
    <row r="87" spans="1:9" ht="31.5" customHeight="1">
      <c r="A87" s="49">
        <v>19</v>
      </c>
      <c r="B87" s="146" t="s">
        <v>231</v>
      </c>
      <c r="C87" s="193" t="s">
        <v>232</v>
      </c>
      <c r="D87" s="87"/>
      <c r="E87" s="18"/>
      <c r="F87" s="18">
        <v>8</v>
      </c>
      <c r="G87" s="18">
        <v>1187</v>
      </c>
      <c r="H87" s="18">
        <f t="shared" ref="H87:H93" si="7">G87*F87/1000</f>
        <v>9.4960000000000004</v>
      </c>
      <c r="I87" s="218">
        <f>G87*8</f>
        <v>9496</v>
      </c>
    </row>
    <row r="88" spans="1:9" ht="15.75" customHeight="1">
      <c r="A88" s="49">
        <v>20</v>
      </c>
      <c r="B88" s="146" t="s">
        <v>233</v>
      </c>
      <c r="C88" s="193" t="s">
        <v>234</v>
      </c>
      <c r="D88" s="87"/>
      <c r="E88" s="18"/>
      <c r="F88" s="18">
        <v>2</v>
      </c>
      <c r="G88" s="18">
        <v>195.95</v>
      </c>
      <c r="H88" s="18">
        <f t="shared" si="7"/>
        <v>0.39189999999999997</v>
      </c>
      <c r="I88" s="218">
        <f>G88*2</f>
        <v>391.9</v>
      </c>
    </row>
    <row r="89" spans="1:9" ht="31.5" customHeight="1">
      <c r="A89" s="49">
        <v>21</v>
      </c>
      <c r="B89" s="146" t="s">
        <v>235</v>
      </c>
      <c r="C89" s="193" t="s">
        <v>236</v>
      </c>
      <c r="D89" s="87"/>
      <c r="E89" s="18"/>
      <c r="F89" s="18">
        <v>1</v>
      </c>
      <c r="G89" s="18">
        <v>51.39</v>
      </c>
      <c r="H89" s="211">
        <f t="shared" si="7"/>
        <v>5.1389999999999998E-2</v>
      </c>
      <c r="I89" s="218">
        <f>G89</f>
        <v>51.39</v>
      </c>
    </row>
    <row r="90" spans="1:9" ht="31.5" customHeight="1">
      <c r="A90" s="49">
        <v>22</v>
      </c>
      <c r="B90" s="146" t="s">
        <v>217</v>
      </c>
      <c r="C90" s="193" t="s">
        <v>183</v>
      </c>
      <c r="D90" s="87"/>
      <c r="E90" s="18"/>
      <c r="F90" s="18">
        <v>1</v>
      </c>
      <c r="G90" s="18">
        <v>2179.33</v>
      </c>
      <c r="H90" s="211">
        <f t="shared" si="7"/>
        <v>2.1793299999999998</v>
      </c>
      <c r="I90" s="218">
        <f>G90</f>
        <v>2179.33</v>
      </c>
    </row>
    <row r="91" spans="1:9" ht="31.5" customHeight="1">
      <c r="A91" s="49">
        <v>23</v>
      </c>
      <c r="B91" s="146" t="s">
        <v>280</v>
      </c>
      <c r="C91" s="177" t="s">
        <v>227</v>
      </c>
      <c r="D91" s="70"/>
      <c r="E91" s="24"/>
      <c r="F91" s="67">
        <v>1</v>
      </c>
      <c r="G91" s="67">
        <v>574.22</v>
      </c>
      <c r="H91" s="260">
        <f>G91*F91/1000</f>
        <v>0.57422000000000006</v>
      </c>
      <c r="I91" s="218">
        <f>G91</f>
        <v>574.22</v>
      </c>
    </row>
    <row r="92" spans="1:9" ht="15.75" customHeight="1">
      <c r="A92" s="49">
        <v>24</v>
      </c>
      <c r="B92" s="146" t="s">
        <v>277</v>
      </c>
      <c r="C92" s="174" t="s">
        <v>29</v>
      </c>
      <c r="D92" s="173"/>
      <c r="E92" s="67"/>
      <c r="F92" s="67">
        <v>12</v>
      </c>
      <c r="G92" s="67">
        <v>2474</v>
      </c>
      <c r="H92" s="260">
        <f>G92*F92/1000</f>
        <v>29.687999999999999</v>
      </c>
      <c r="I92" s="218">
        <f>G92*12</f>
        <v>29688</v>
      </c>
    </row>
    <row r="93" spans="1:9" ht="15.75" customHeight="1">
      <c r="A93" s="261">
        <v>25</v>
      </c>
      <c r="B93" s="146" t="s">
        <v>237</v>
      </c>
      <c r="C93" s="193" t="s">
        <v>201</v>
      </c>
      <c r="D93" s="87"/>
      <c r="E93" s="18"/>
      <c r="F93" s="18">
        <v>1</v>
      </c>
      <c r="G93" s="18">
        <v>92.24</v>
      </c>
      <c r="H93" s="211">
        <f t="shared" si="7"/>
        <v>9.2239999999999989E-2</v>
      </c>
      <c r="I93" s="218">
        <f>G93</f>
        <v>92.24</v>
      </c>
    </row>
    <row r="94" spans="1:9" ht="15.75" customHeight="1">
      <c r="A94" s="49"/>
      <c r="B94" s="81" t="s">
        <v>66</v>
      </c>
      <c r="C94" s="77"/>
      <c r="D94" s="131"/>
      <c r="E94" s="77">
        <v>1</v>
      </c>
      <c r="F94" s="77"/>
      <c r="G94" s="77"/>
      <c r="H94" s="77"/>
      <c r="I94" s="59">
        <f>SUM(I83:I93)</f>
        <v>45632.829999999994</v>
      </c>
    </row>
    <row r="95" spans="1:9" ht="15.75" customHeight="1">
      <c r="A95" s="49"/>
      <c r="B95" s="87" t="s">
        <v>103</v>
      </c>
      <c r="C95" s="21"/>
      <c r="D95" s="21"/>
      <c r="E95" s="78"/>
      <c r="F95" s="78"/>
      <c r="G95" s="79"/>
      <c r="H95" s="79"/>
      <c r="I95" s="24">
        <v>0</v>
      </c>
    </row>
    <row r="96" spans="1:9" ht="15.75" customHeight="1">
      <c r="A96" s="132"/>
      <c r="B96" s="82" t="s">
        <v>67</v>
      </c>
      <c r="C96" s="65"/>
      <c r="D96" s="65"/>
      <c r="E96" s="65"/>
      <c r="F96" s="65"/>
      <c r="G96" s="65"/>
      <c r="H96" s="65"/>
      <c r="I96" s="80">
        <f>I81+I94</f>
        <v>89171.380370144441</v>
      </c>
    </row>
    <row r="97" spans="1:9" ht="15.75">
      <c r="A97" s="239" t="s">
        <v>281</v>
      </c>
      <c r="B97" s="239"/>
      <c r="C97" s="239"/>
      <c r="D97" s="239"/>
      <c r="E97" s="239"/>
      <c r="F97" s="239"/>
      <c r="G97" s="239"/>
      <c r="H97" s="239"/>
      <c r="I97" s="239"/>
    </row>
    <row r="98" spans="1:9" ht="15.75">
      <c r="A98" s="187"/>
      <c r="B98" s="234" t="s">
        <v>282</v>
      </c>
      <c r="C98" s="234"/>
      <c r="D98" s="234"/>
      <c r="E98" s="234"/>
      <c r="F98" s="234"/>
      <c r="G98" s="234"/>
      <c r="H98" s="192"/>
      <c r="I98" s="3"/>
    </row>
    <row r="99" spans="1:9">
      <c r="A99" s="184"/>
      <c r="B99" s="230" t="s">
        <v>7</v>
      </c>
      <c r="C99" s="230"/>
      <c r="D99" s="230"/>
      <c r="E99" s="230"/>
      <c r="F99" s="230"/>
      <c r="G99" s="230"/>
      <c r="H99" s="38"/>
      <c r="I99" s="5"/>
    </row>
    <row r="100" spans="1:9">
      <c r="A100" s="11"/>
      <c r="B100" s="11"/>
      <c r="C100" s="11"/>
      <c r="D100" s="11"/>
      <c r="E100" s="11"/>
      <c r="F100" s="11"/>
      <c r="G100" s="11"/>
      <c r="H100" s="11"/>
      <c r="I100" s="11"/>
    </row>
    <row r="101" spans="1:9" ht="15.75">
      <c r="A101" s="235" t="s">
        <v>8</v>
      </c>
      <c r="B101" s="235"/>
      <c r="C101" s="235"/>
      <c r="D101" s="235"/>
      <c r="E101" s="235"/>
      <c r="F101" s="235"/>
      <c r="G101" s="235"/>
      <c r="H101" s="235"/>
      <c r="I101" s="235"/>
    </row>
    <row r="102" spans="1:9" ht="15.75">
      <c r="A102" s="235" t="s">
        <v>9</v>
      </c>
      <c r="B102" s="235"/>
      <c r="C102" s="235"/>
      <c r="D102" s="235"/>
      <c r="E102" s="235"/>
      <c r="F102" s="235"/>
      <c r="G102" s="235"/>
      <c r="H102" s="235"/>
      <c r="I102" s="235"/>
    </row>
    <row r="103" spans="1:9" ht="15.75">
      <c r="A103" s="236" t="s">
        <v>82</v>
      </c>
      <c r="B103" s="236"/>
      <c r="C103" s="236"/>
      <c r="D103" s="236"/>
      <c r="E103" s="236"/>
      <c r="F103" s="236"/>
      <c r="G103" s="236"/>
      <c r="H103" s="236"/>
      <c r="I103" s="236"/>
    </row>
    <row r="104" spans="1:9" ht="15.75">
      <c r="A104" s="12"/>
    </row>
    <row r="105" spans="1:9" ht="15.75">
      <c r="A105" s="237" t="s">
        <v>11</v>
      </c>
      <c r="B105" s="237"/>
      <c r="C105" s="237"/>
      <c r="D105" s="237"/>
      <c r="E105" s="237"/>
      <c r="F105" s="237"/>
      <c r="G105" s="237"/>
      <c r="H105" s="237"/>
      <c r="I105" s="237"/>
    </row>
    <row r="106" spans="1:9" ht="15.75">
      <c r="A106" s="4"/>
    </row>
    <row r="107" spans="1:9" ht="15.75">
      <c r="B107" s="182" t="s">
        <v>12</v>
      </c>
      <c r="C107" s="229" t="s">
        <v>194</v>
      </c>
      <c r="D107" s="229"/>
      <c r="E107" s="229"/>
      <c r="F107" s="190"/>
      <c r="I107" s="183"/>
    </row>
    <row r="108" spans="1:9">
      <c r="A108" s="184"/>
      <c r="C108" s="230" t="s">
        <v>13</v>
      </c>
      <c r="D108" s="230"/>
      <c r="E108" s="230"/>
      <c r="F108" s="38"/>
      <c r="I108" s="181" t="s">
        <v>14</v>
      </c>
    </row>
    <row r="109" spans="1:9" ht="15.75">
      <c r="A109" s="39"/>
      <c r="C109" s="13"/>
      <c r="D109" s="13"/>
      <c r="G109" s="13"/>
      <c r="H109" s="13"/>
    </row>
    <row r="110" spans="1:9" ht="15.75">
      <c r="B110" s="182" t="s">
        <v>15</v>
      </c>
      <c r="C110" s="231"/>
      <c r="D110" s="231"/>
      <c r="E110" s="231"/>
      <c r="F110" s="191"/>
      <c r="I110" s="183"/>
    </row>
    <row r="111" spans="1:9">
      <c r="A111" s="184"/>
      <c r="C111" s="232" t="s">
        <v>13</v>
      </c>
      <c r="D111" s="232"/>
      <c r="E111" s="232"/>
      <c r="F111" s="184"/>
      <c r="I111" s="181" t="s">
        <v>14</v>
      </c>
    </row>
    <row r="112" spans="1:9" ht="15.75">
      <c r="A112" s="4" t="s">
        <v>16</v>
      </c>
    </row>
    <row r="113" spans="1:9">
      <c r="A113" s="233" t="s">
        <v>17</v>
      </c>
      <c r="B113" s="233"/>
      <c r="C113" s="233"/>
      <c r="D113" s="233"/>
      <c r="E113" s="233"/>
      <c r="F113" s="233"/>
      <c r="G113" s="233"/>
      <c r="H113" s="233"/>
      <c r="I113" s="233"/>
    </row>
    <row r="114" spans="1:9" ht="47.25" customHeight="1">
      <c r="A114" s="225" t="s">
        <v>18</v>
      </c>
      <c r="B114" s="225"/>
      <c r="C114" s="225"/>
      <c r="D114" s="225"/>
      <c r="E114" s="225"/>
      <c r="F114" s="225"/>
      <c r="G114" s="225"/>
      <c r="H114" s="225"/>
      <c r="I114" s="225"/>
    </row>
    <row r="115" spans="1:9" ht="31.5" customHeight="1">
      <c r="A115" s="225" t="s">
        <v>19</v>
      </c>
      <c r="B115" s="225"/>
      <c r="C115" s="225"/>
      <c r="D115" s="225"/>
      <c r="E115" s="225"/>
      <c r="F115" s="225"/>
      <c r="G115" s="225"/>
      <c r="H115" s="225"/>
      <c r="I115" s="225"/>
    </row>
    <row r="116" spans="1:9" ht="31.5" customHeight="1">
      <c r="A116" s="225" t="s">
        <v>24</v>
      </c>
      <c r="B116" s="225"/>
      <c r="C116" s="225"/>
      <c r="D116" s="225"/>
      <c r="E116" s="225"/>
      <c r="F116" s="225"/>
      <c r="G116" s="225"/>
      <c r="H116" s="225"/>
      <c r="I116" s="225"/>
    </row>
    <row r="117" spans="1:9" ht="15.75" customHeight="1">
      <c r="A117" s="225" t="s">
        <v>23</v>
      </c>
      <c r="B117" s="225"/>
      <c r="C117" s="225"/>
      <c r="D117" s="225"/>
      <c r="E117" s="225"/>
      <c r="F117" s="225"/>
      <c r="G117" s="225"/>
      <c r="H117" s="225"/>
      <c r="I117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103:I103"/>
    <mergeCell ref="A15:I15"/>
    <mergeCell ref="A27:I27"/>
    <mergeCell ref="A44:I44"/>
    <mergeCell ref="A54:I54"/>
    <mergeCell ref="A97:I97"/>
    <mergeCell ref="B98:G98"/>
    <mergeCell ref="B99:G99"/>
    <mergeCell ref="A101:I101"/>
    <mergeCell ref="A102:I102"/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T91"/>
  <sheetViews>
    <sheetView view="pageLayout" zoomScale="77" zoomScaleNormal="77" zoomScalePageLayoutView="77" workbookViewId="0">
      <selection activeCell="A8" sqref="A8:G8"/>
    </sheetView>
  </sheetViews>
  <sheetFormatPr defaultRowHeight="15"/>
  <cols>
    <col min="1" max="1" width="6" customWidth="1"/>
    <col min="2" max="2" width="45.5703125" customWidth="1"/>
    <col min="3" max="3" width="17.28515625" customWidth="1"/>
    <col min="4" max="4" width="16.85546875" customWidth="1"/>
    <col min="5" max="5" width="18.85546875" hidden="1" customWidth="1"/>
    <col min="6" max="7" width="21" customWidth="1"/>
    <col min="8" max="8" width="11.140625" customWidth="1"/>
    <col min="9" max="9" width="14.5703125" customWidth="1"/>
    <col min="10" max="10" width="12.5703125" customWidth="1"/>
  </cols>
  <sheetData>
    <row r="1" spans="1:11" ht="15.75" customHeight="1">
      <c r="B1" s="57" t="s">
        <v>124</v>
      </c>
      <c r="G1" s="56"/>
      <c r="H1" s="1"/>
      <c r="I1" s="1"/>
      <c r="J1" s="1"/>
      <c r="K1" s="1"/>
    </row>
    <row r="2" spans="1:11" ht="15.75">
      <c r="B2" s="44" t="s">
        <v>85</v>
      </c>
      <c r="H2" s="2"/>
      <c r="I2" s="2"/>
      <c r="J2" s="2"/>
      <c r="K2" s="2"/>
    </row>
    <row r="3" spans="1:11" ht="15.75" customHeight="1">
      <c r="A3" s="253" t="s">
        <v>274</v>
      </c>
      <c r="B3" s="253"/>
      <c r="C3" s="253"/>
      <c r="D3" s="253"/>
      <c r="E3" s="253"/>
      <c r="F3" s="253"/>
      <c r="G3" s="253"/>
      <c r="H3" s="3"/>
      <c r="I3" s="3"/>
      <c r="J3" s="3"/>
    </row>
    <row r="4" spans="1:11" ht="33.75" customHeight="1">
      <c r="A4" s="242" t="s">
        <v>142</v>
      </c>
      <c r="B4" s="242"/>
      <c r="C4" s="242"/>
      <c r="D4" s="242"/>
      <c r="E4" s="242"/>
      <c r="F4" s="242"/>
      <c r="G4" s="242"/>
    </row>
    <row r="5" spans="1:11" ht="15.75">
      <c r="A5" s="2"/>
      <c r="B5" s="241" t="s">
        <v>125</v>
      </c>
      <c r="C5" s="241"/>
      <c r="D5" s="241"/>
      <c r="E5" s="241"/>
      <c r="F5" s="241"/>
      <c r="H5" s="2"/>
      <c r="I5" s="2"/>
      <c r="J5" s="2"/>
      <c r="K5" s="2"/>
    </row>
    <row r="6" spans="1:11" ht="15.75">
      <c r="A6" s="2"/>
      <c r="B6" s="35"/>
      <c r="C6" s="35"/>
      <c r="D6" s="35"/>
      <c r="E6" s="35"/>
      <c r="F6" s="35"/>
      <c r="G6" s="58">
        <v>42704</v>
      </c>
      <c r="H6" s="2"/>
      <c r="I6" s="2"/>
      <c r="J6" s="2"/>
      <c r="K6" s="2"/>
    </row>
    <row r="7" spans="1:11" ht="16.5" customHeight="1">
      <c r="B7" s="40"/>
      <c r="C7" s="40"/>
      <c r="D7" s="40"/>
      <c r="E7" s="3"/>
      <c r="F7" s="3"/>
      <c r="H7" s="3"/>
      <c r="I7" s="3"/>
      <c r="J7" s="3"/>
      <c r="K7" s="3"/>
    </row>
    <row r="8" spans="1:11" ht="84.75" customHeight="1">
      <c r="A8" s="244" t="s">
        <v>276</v>
      </c>
      <c r="B8" s="244"/>
      <c r="C8" s="244"/>
      <c r="D8" s="244"/>
      <c r="E8" s="244"/>
      <c r="F8" s="244"/>
      <c r="G8" s="244"/>
      <c r="H8" s="5"/>
      <c r="I8" s="5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36" t="s">
        <v>143</v>
      </c>
      <c r="B10" s="236"/>
      <c r="C10" s="236"/>
      <c r="D10" s="236"/>
      <c r="E10" s="236"/>
      <c r="F10" s="236"/>
      <c r="G10" s="236"/>
      <c r="H10" s="2"/>
      <c r="I10" s="2"/>
      <c r="J10" s="2"/>
      <c r="K10" s="2"/>
    </row>
    <row r="11" spans="1:11" ht="13.5" customHeight="1">
      <c r="A11" s="4"/>
    </row>
    <row r="12" spans="1:11" ht="66.75" customHeight="1">
      <c r="A12" s="95" t="s">
        <v>0</v>
      </c>
      <c r="B12" s="95" t="s">
        <v>123</v>
      </c>
      <c r="C12" s="95" t="s">
        <v>2</v>
      </c>
      <c r="D12" s="95" t="s">
        <v>20</v>
      </c>
      <c r="E12" s="95" t="s">
        <v>21</v>
      </c>
      <c r="F12" s="95" t="s">
        <v>25</v>
      </c>
      <c r="G12" s="95" t="s">
        <v>3</v>
      </c>
    </row>
    <row r="13" spans="1:11" ht="15.75">
      <c r="A13" s="133">
        <v>1</v>
      </c>
      <c r="B13" s="133">
        <v>2</v>
      </c>
      <c r="C13" s="133">
        <v>3</v>
      </c>
      <c r="D13" s="160">
        <v>4</v>
      </c>
      <c r="E13" s="133">
        <v>5</v>
      </c>
      <c r="F13" s="133">
        <v>5</v>
      </c>
      <c r="G13" s="133">
        <v>6</v>
      </c>
      <c r="H13" s="8"/>
      <c r="I13" s="8"/>
      <c r="J13" s="8"/>
      <c r="K13" s="8"/>
    </row>
    <row r="14" spans="1:11" ht="18.75" customHeight="1">
      <c r="A14" s="247" t="s">
        <v>4</v>
      </c>
      <c r="B14" s="248"/>
      <c r="C14" s="248"/>
      <c r="D14" s="248"/>
      <c r="E14" s="248"/>
      <c r="F14" s="248"/>
      <c r="G14" s="249"/>
      <c r="H14" s="8"/>
      <c r="I14" s="8"/>
      <c r="J14" s="8"/>
      <c r="K14" s="8"/>
    </row>
    <row r="15" spans="1:11" ht="30.75" customHeight="1">
      <c r="A15" s="91">
        <v>1</v>
      </c>
      <c r="B15" s="100" t="s">
        <v>126</v>
      </c>
      <c r="C15" s="91" t="s">
        <v>68</v>
      </c>
      <c r="D15" s="91" t="s">
        <v>127</v>
      </c>
      <c r="E15" s="91"/>
      <c r="F15" s="91">
        <v>199.46</v>
      </c>
      <c r="G15" s="91">
        <v>2338.35</v>
      </c>
      <c r="H15" s="8"/>
      <c r="I15" s="8"/>
      <c r="J15" s="8"/>
      <c r="K15" s="8"/>
    </row>
    <row r="16" spans="1:11" ht="31.5" customHeight="1">
      <c r="A16" s="91">
        <v>2</v>
      </c>
      <c r="B16" s="100" t="s">
        <v>147</v>
      </c>
      <c r="C16" s="91" t="s">
        <v>68</v>
      </c>
      <c r="D16" s="91" t="s">
        <v>128</v>
      </c>
      <c r="E16" s="91"/>
      <c r="F16" s="91">
        <v>199.46</v>
      </c>
      <c r="G16" s="115">
        <v>6235.6</v>
      </c>
      <c r="H16" s="8"/>
      <c r="I16" s="8"/>
      <c r="J16" s="8"/>
      <c r="K16" s="8"/>
    </row>
    <row r="17" spans="1:11" ht="30.75" customHeight="1">
      <c r="A17" s="91">
        <v>3</v>
      </c>
      <c r="B17" s="100" t="s">
        <v>148</v>
      </c>
      <c r="C17" s="91" t="s">
        <v>68</v>
      </c>
      <c r="D17" s="91" t="s">
        <v>105</v>
      </c>
      <c r="E17" s="91"/>
      <c r="F17" s="91">
        <v>573.83000000000004</v>
      </c>
      <c r="G17" s="115">
        <v>5174.8</v>
      </c>
      <c r="H17" s="8"/>
      <c r="I17" s="8"/>
      <c r="J17" s="8"/>
      <c r="K17" s="8"/>
    </row>
    <row r="18" spans="1:11" ht="15" customHeight="1">
      <c r="A18" s="91">
        <v>4</v>
      </c>
      <c r="B18" s="89" t="s">
        <v>26</v>
      </c>
      <c r="C18" s="90" t="s">
        <v>27</v>
      </c>
      <c r="D18" s="91" t="s">
        <v>28</v>
      </c>
      <c r="E18" s="110" t="e">
        <f>#REF!+#REF!+#REF!+#REF!+#REF!+#REF!+'12.16'!E11+#REF!+#REF!+#REF!+#REF!+#REF!</f>
        <v>#REF!</v>
      </c>
      <c r="F18" s="98">
        <v>5.15</v>
      </c>
      <c r="G18" s="93">
        <v>11212.07</v>
      </c>
      <c r="H18" s="8"/>
      <c r="I18" s="8"/>
      <c r="J18" s="8"/>
      <c r="K18" s="8"/>
    </row>
    <row r="19" spans="1:11" ht="17.25" customHeight="1">
      <c r="A19" s="91">
        <v>5</v>
      </c>
      <c r="B19" s="100" t="s">
        <v>87</v>
      </c>
      <c r="C19" s="101" t="s">
        <v>40</v>
      </c>
      <c r="D19" s="102" t="s">
        <v>120</v>
      </c>
      <c r="E19" s="99">
        <v>0</v>
      </c>
      <c r="F19" s="92">
        <v>66.790000000000006</v>
      </c>
      <c r="G19" s="99">
        <v>203.15</v>
      </c>
      <c r="H19" s="8"/>
      <c r="I19" s="8"/>
      <c r="J19" s="8"/>
      <c r="K19" s="8"/>
    </row>
    <row r="20" spans="1:11" ht="18.75" customHeight="1">
      <c r="A20" s="247" t="s">
        <v>121</v>
      </c>
      <c r="B20" s="248"/>
      <c r="C20" s="248"/>
      <c r="D20" s="248"/>
      <c r="E20" s="248"/>
      <c r="F20" s="248"/>
      <c r="G20" s="249"/>
      <c r="H20" s="50"/>
      <c r="I20" s="8"/>
      <c r="J20" s="8"/>
      <c r="K20" s="8"/>
    </row>
    <row r="21" spans="1:11" ht="18.75" customHeight="1">
      <c r="A21" s="88"/>
      <c r="B21" s="103" t="s">
        <v>5</v>
      </c>
      <c r="C21" s="88"/>
      <c r="D21" s="88"/>
      <c r="E21" s="110"/>
      <c r="F21" s="98"/>
      <c r="G21" s="136"/>
      <c r="H21" s="33"/>
      <c r="I21" s="8"/>
      <c r="J21" s="8"/>
      <c r="K21" s="8"/>
    </row>
    <row r="22" spans="1:11" ht="30" customHeight="1">
      <c r="A22" s="104">
        <v>6</v>
      </c>
      <c r="B22" s="135" t="s">
        <v>31</v>
      </c>
      <c r="C22" s="97" t="s">
        <v>39</v>
      </c>
      <c r="D22" s="91" t="s">
        <v>30</v>
      </c>
      <c r="E22" s="110" t="e">
        <f>#REF!+#REF!+#REF!+#REF!+#REF!+#REF!+'12.16'!E26+#REF!+#REF!+#REF!+#REF!+#REF!</f>
        <v>#REF!</v>
      </c>
      <c r="F22" s="106">
        <v>1737.08</v>
      </c>
      <c r="G22" s="93">
        <v>1737.08</v>
      </c>
      <c r="H22" s="33"/>
      <c r="I22" s="8"/>
      <c r="J22" s="8"/>
      <c r="K22" s="8"/>
    </row>
    <row r="23" spans="1:11" ht="16.5" customHeight="1">
      <c r="A23" s="104">
        <v>7</v>
      </c>
      <c r="B23" s="135" t="s">
        <v>91</v>
      </c>
      <c r="C23" s="97" t="s">
        <v>35</v>
      </c>
      <c r="D23" s="91" t="s">
        <v>149</v>
      </c>
      <c r="E23" s="110" t="e">
        <f>#REF!+#REF!+#REF!+#REF!+#REF!+#REF!+'12.16'!E27+#REF!+#REF!+#REF!+#REF!+#REF!</f>
        <v>#REF!</v>
      </c>
      <c r="F23" s="106">
        <v>2391.67</v>
      </c>
      <c r="G23" s="93">
        <v>578.30999999999995</v>
      </c>
      <c r="H23" s="33"/>
      <c r="I23" s="46"/>
      <c r="J23" s="8"/>
      <c r="K23" s="8"/>
    </row>
    <row r="24" spans="1:11" ht="64.5" customHeight="1">
      <c r="A24" s="104">
        <v>8</v>
      </c>
      <c r="B24" s="100" t="s">
        <v>115</v>
      </c>
      <c r="C24" s="97" t="s">
        <v>35</v>
      </c>
      <c r="D24" s="91" t="s">
        <v>141</v>
      </c>
      <c r="E24" s="110" t="e">
        <f>#REF!+#REF!+#REF!+#REF!+#REF!+#REF!+'12.16'!E28+#REF!+#REF!+#REF!+#REF!+#REF!</f>
        <v>#REF!</v>
      </c>
      <c r="F24" s="106">
        <v>6600.74</v>
      </c>
      <c r="G24" s="93">
        <v>631.82000000000005</v>
      </c>
      <c r="H24" s="33"/>
      <c r="I24" s="8"/>
      <c r="J24" s="8"/>
      <c r="K24" s="8"/>
    </row>
    <row r="25" spans="1:11" ht="31.5">
      <c r="A25" s="104">
        <v>9</v>
      </c>
      <c r="B25" s="135" t="s">
        <v>135</v>
      </c>
      <c r="C25" s="97" t="s">
        <v>35</v>
      </c>
      <c r="D25" s="91" t="s">
        <v>122</v>
      </c>
      <c r="E25" s="110" t="e">
        <f>#REF!+#REF!+#REF!+#REF!+#REF!+#REF!+'12.16'!E29+#REF!+#REF!+#REF!+#REF!+#REF!</f>
        <v>#REF!</v>
      </c>
      <c r="F25" s="106">
        <v>398.95</v>
      </c>
      <c r="G25" s="93">
        <v>553.34</v>
      </c>
      <c r="H25" s="33"/>
      <c r="I25" s="48"/>
      <c r="J25" s="8"/>
      <c r="K25" s="8"/>
    </row>
    <row r="26" spans="1:11" ht="18" customHeight="1">
      <c r="A26" s="104">
        <v>10</v>
      </c>
      <c r="B26" s="135" t="s">
        <v>136</v>
      </c>
      <c r="C26" s="97" t="s">
        <v>35</v>
      </c>
      <c r="D26" s="91" t="s">
        <v>119</v>
      </c>
      <c r="E26" s="93" t="e">
        <f>#REF!+#REF!+#REF!+#REF!+#REF!+#REF!+'12.16'!E30+#REF!+#REF!+#REF!+#REF!+#REF!</f>
        <v>#REF!</v>
      </c>
      <c r="F26" s="106">
        <v>487.61</v>
      </c>
      <c r="G26" s="93">
        <v>176.86</v>
      </c>
      <c r="H26" s="33"/>
      <c r="I26" s="8"/>
      <c r="J26" s="8"/>
      <c r="K26" s="8"/>
    </row>
    <row r="27" spans="1:11" ht="15.75" customHeight="1">
      <c r="A27" s="104">
        <v>11</v>
      </c>
      <c r="B27" s="96" t="s">
        <v>32</v>
      </c>
      <c r="C27" s="90" t="s">
        <v>40</v>
      </c>
      <c r="D27" s="96"/>
      <c r="E27" s="110" t="e">
        <f>#REF!+#REF!+#REF!+#REF!+#REF!+#REF!+'12.16'!E31+#REF!+#REF!+#REF!+#REF!+#REF!</f>
        <v>#REF!</v>
      </c>
      <c r="F27" s="106">
        <v>907.66</v>
      </c>
      <c r="G27" s="93">
        <v>136.15</v>
      </c>
      <c r="H27" s="33"/>
      <c r="I27" s="8"/>
      <c r="J27" s="8"/>
      <c r="K27" s="8"/>
    </row>
    <row r="28" spans="1:11" ht="15" hidden="1" customHeight="1">
      <c r="A28" s="134"/>
      <c r="B28" s="247" t="s">
        <v>129</v>
      </c>
      <c r="C28" s="248"/>
      <c r="D28" s="248"/>
      <c r="E28" s="248"/>
      <c r="F28" s="248"/>
      <c r="G28" s="249"/>
      <c r="H28" s="51"/>
      <c r="I28" s="8"/>
    </row>
    <row r="29" spans="1:11" ht="22.5" hidden="1" customHeight="1">
      <c r="A29" s="88">
        <v>16</v>
      </c>
      <c r="B29" s="135" t="s">
        <v>41</v>
      </c>
      <c r="C29" s="97" t="s">
        <v>35</v>
      </c>
      <c r="D29" s="91" t="s">
        <v>81</v>
      </c>
      <c r="E29" s="93" t="e">
        <f>#REF!+#REF!+#REF!+#REF!+#REF!+#REF!+'12.16'!E35+#REF!+#REF!+#REF!+#REF!+#REF!</f>
        <v>#REF!</v>
      </c>
      <c r="F29" s="106">
        <v>1098.72</v>
      </c>
      <c r="G29" s="136" t="e">
        <f>#REF!+#REF!+#REF!+#REF!+#REF!+#REF!+'12.16'!G35+#REF!+#REF!+#REF!+#REF!+#REF!</f>
        <v>#REF!</v>
      </c>
      <c r="H29" s="34"/>
    </row>
    <row r="30" spans="1:11" ht="24" hidden="1" customHeight="1">
      <c r="A30" s="88">
        <v>17</v>
      </c>
      <c r="B30" s="135" t="s">
        <v>42</v>
      </c>
      <c r="C30" s="97" t="s">
        <v>43</v>
      </c>
      <c r="D30" s="91" t="s">
        <v>81</v>
      </c>
      <c r="E30" s="93" t="e">
        <f>#REF!+#REF!+#REF!+#REF!+#REF!+#REF!+'12.16'!E36+#REF!+#REF!+#REF!+#REF!+#REF!</f>
        <v>#REF!</v>
      </c>
      <c r="F30" s="106">
        <v>94.18</v>
      </c>
      <c r="G30" s="136" t="e">
        <f>#REF!+#REF!+#REF!+#REF!+#REF!+#REF!+'12.16'!G35+#REF!+#REF!+#REF!+#REF!+#REF!</f>
        <v>#REF!</v>
      </c>
      <c r="H30" s="34"/>
    </row>
    <row r="31" spans="1:11" ht="24" hidden="1" customHeight="1">
      <c r="A31" s="88">
        <v>18</v>
      </c>
      <c r="B31" s="135" t="s">
        <v>44</v>
      </c>
      <c r="C31" s="97" t="s">
        <v>35</v>
      </c>
      <c r="D31" s="91" t="s">
        <v>81</v>
      </c>
      <c r="E31" s="93" t="e">
        <f>#REF!+#REF!+#REF!+#REF!+#REF!+#REF!+'12.16'!E37+#REF!+#REF!+#REF!+#REF!+#REF!</f>
        <v>#REF!</v>
      </c>
      <c r="F31" s="106">
        <v>749.49</v>
      </c>
      <c r="G31" s="136" t="e">
        <f>#REF!+#REF!+#REF!+#REF!+#REF!+#REF!+'12.16'!G36+#REF!+#REF!+#REF!+#REF!+#REF!</f>
        <v>#REF!</v>
      </c>
      <c r="H31" s="34"/>
    </row>
    <row r="32" spans="1:11" ht="24" hidden="1" customHeight="1">
      <c r="A32" s="88">
        <v>19</v>
      </c>
      <c r="B32" s="135" t="s">
        <v>45</v>
      </c>
      <c r="C32" s="97" t="s">
        <v>35</v>
      </c>
      <c r="D32" s="91" t="s">
        <v>81</v>
      </c>
      <c r="E32" s="93" t="e">
        <f>#REF!+#REF!+#REF!+#REF!+#REF!+#REF!+'12.16'!E38+#REF!+#REF!+#REF!+#REF!+#REF!</f>
        <v>#REF!</v>
      </c>
      <c r="F32" s="106">
        <v>749.49</v>
      </c>
      <c r="G32" s="136" t="e">
        <f>#REF!+#REF!+#REF!+#REF!+#REF!+#REF!+'12.16'!G38+#REF!+#REF!+#REF!+#REF!+#REF!</f>
        <v>#REF!</v>
      </c>
      <c r="H32" s="34"/>
    </row>
    <row r="33" spans="1:12" ht="23.25" hidden="1" customHeight="1">
      <c r="A33" s="88">
        <v>20</v>
      </c>
      <c r="B33" s="135" t="s">
        <v>46</v>
      </c>
      <c r="C33" s="97" t="s">
        <v>35</v>
      </c>
      <c r="D33" s="91" t="s">
        <v>81</v>
      </c>
      <c r="E33" s="93" t="e">
        <f>#REF!+#REF!+#REF!+#REF!+#REF!+#REF!+'12.16'!#REF!+#REF!+#REF!+#REF!+#REF!+#REF!</f>
        <v>#REF!</v>
      </c>
      <c r="F33" s="106">
        <v>784.8</v>
      </c>
      <c r="G33" s="136" t="e">
        <f>#REF!+#REF!+#REF!+#REF!+#REF!+#REF!+'12.16'!#REF!+#REF!+#REF!+#REF!+#REF!+#REF!</f>
        <v>#REF!</v>
      </c>
      <c r="H33" s="34"/>
    </row>
    <row r="34" spans="1:12" ht="23.25" hidden="1" customHeight="1">
      <c r="A34" s="88">
        <v>21</v>
      </c>
      <c r="B34" s="135" t="s">
        <v>76</v>
      </c>
      <c r="C34" s="97" t="s">
        <v>35</v>
      </c>
      <c r="D34" s="91" t="s">
        <v>81</v>
      </c>
      <c r="E34" s="93" t="e">
        <f>#REF!+#REF!+#REF!+#REF!+#REF!+#REF!+'12.16'!E39+#REF!+#REF!+#REF!+#REF!+#REF!</f>
        <v>#REF!</v>
      </c>
      <c r="F34" s="106">
        <v>1599.61</v>
      </c>
      <c r="G34" s="136" t="e">
        <f>#REF!+#REF!+#REF!+#REF!+#REF!+#REF!+'12.16'!G39+#REF!+#REF!+#REF!+#REF!+#REF!</f>
        <v>#REF!</v>
      </c>
      <c r="H34" s="34"/>
    </row>
    <row r="35" spans="1:12" ht="30.75" hidden="1" customHeight="1">
      <c r="A35" s="88">
        <v>22</v>
      </c>
      <c r="B35" s="135" t="s">
        <v>47</v>
      </c>
      <c r="C35" s="97" t="s">
        <v>35</v>
      </c>
      <c r="D35" s="91" t="s">
        <v>81</v>
      </c>
      <c r="E35" s="93" t="e">
        <f>#REF!+#REF!+#REF!+#REF!+#REF!+#REF!+'12.16'!E40+#REF!+#REF!+#REF!+#REF!+#REF!</f>
        <v>#REF!</v>
      </c>
      <c r="F35" s="106">
        <v>1599.61</v>
      </c>
      <c r="G35" s="136" t="e">
        <f>#REF!+#REF!+#REF!+#REF!+#REF!+#REF!+'12.16'!G40+#REF!+#REF!+#REF!+#REF!+#REF!</f>
        <v>#REF!</v>
      </c>
      <c r="H35" s="34"/>
    </row>
    <row r="36" spans="1:12" ht="30.75" hidden="1" customHeight="1">
      <c r="A36" s="88">
        <v>23</v>
      </c>
      <c r="B36" s="135" t="s">
        <v>48</v>
      </c>
      <c r="C36" s="97" t="s">
        <v>49</v>
      </c>
      <c r="D36" s="91" t="s">
        <v>81</v>
      </c>
      <c r="E36" s="93" t="e">
        <f>#REF!+#REF!+#REF!+#REF!+#REF!+#REF!+'12.16'!E41+#REF!+#REF!+#REF!+#REF!+#REF!</f>
        <v>#REF!</v>
      </c>
      <c r="F36" s="106">
        <v>3599.1</v>
      </c>
      <c r="G36" s="136" t="e">
        <f>#REF!+#REF!+#REF!+#REF!+#REF!+#REF!+'12.16'!G41+#REF!+#REF!+#REF!+#REF!+#REF!</f>
        <v>#REF!</v>
      </c>
      <c r="H36" s="34"/>
      <c r="J36" s="27"/>
      <c r="K36" s="28"/>
      <c r="L36" s="29"/>
    </row>
    <row r="37" spans="1:12" ht="25.5" hidden="1" customHeight="1">
      <c r="A37" s="88">
        <v>24</v>
      </c>
      <c r="B37" s="135" t="s">
        <v>50</v>
      </c>
      <c r="C37" s="97" t="s">
        <v>51</v>
      </c>
      <c r="D37" s="91" t="s">
        <v>81</v>
      </c>
      <c r="E37" s="93" t="e">
        <f>#REF!+#REF!+#REF!+#REF!+#REF!+#REF!+'12.16'!E42+#REF!+#REF!+#REF!+#REF!+#REF!</f>
        <v>#REF!</v>
      </c>
      <c r="F37" s="106">
        <v>7450.14</v>
      </c>
      <c r="G37" s="136" t="e">
        <f>#REF!+#REF!+#REF!+#REF!+#REF!+#REF!+'12.16'!G42+#REF!+#REF!+#REF!+#REF!+#REF!</f>
        <v>#REF!</v>
      </c>
      <c r="H37" s="34"/>
      <c r="J37" s="27"/>
      <c r="K37" s="28"/>
      <c r="L37" s="29"/>
    </row>
    <row r="38" spans="1:12" ht="25.5" hidden="1" customHeight="1">
      <c r="A38" s="88">
        <v>25</v>
      </c>
      <c r="B38" s="137" t="s">
        <v>52</v>
      </c>
      <c r="C38" s="126" t="s">
        <v>37</v>
      </c>
      <c r="D38" s="127" t="s">
        <v>53</v>
      </c>
      <c r="E38" s="93">
        <v>32</v>
      </c>
      <c r="F38" s="106">
        <v>158.66</v>
      </c>
      <c r="G38" s="136">
        <f>E38*F38</f>
        <v>5077.12</v>
      </c>
      <c r="H38" s="34"/>
      <c r="J38" s="27"/>
      <c r="K38" s="28"/>
      <c r="L38" s="29"/>
    </row>
    <row r="39" spans="1:12" ht="16.5" hidden="1" customHeight="1">
      <c r="A39" s="88">
        <v>26</v>
      </c>
      <c r="B39" s="135" t="s">
        <v>54</v>
      </c>
      <c r="C39" s="126" t="s">
        <v>37</v>
      </c>
      <c r="D39" s="91" t="s">
        <v>55</v>
      </c>
      <c r="E39" s="93">
        <v>32</v>
      </c>
      <c r="F39" s="106">
        <v>73.84</v>
      </c>
      <c r="G39" s="136">
        <f>E39*F39</f>
        <v>2362.88</v>
      </c>
      <c r="H39" s="34"/>
      <c r="J39" s="27"/>
      <c r="K39" s="28"/>
      <c r="L39" s="29"/>
    </row>
    <row r="40" spans="1:12" ht="19.5" customHeight="1">
      <c r="A40" s="94"/>
      <c r="B40" s="247" t="s">
        <v>130</v>
      </c>
      <c r="C40" s="248"/>
      <c r="D40" s="248"/>
      <c r="E40" s="248"/>
      <c r="F40" s="248"/>
      <c r="G40" s="249"/>
      <c r="H40" s="52"/>
      <c r="J40" s="27"/>
      <c r="K40" s="28"/>
      <c r="L40" s="29"/>
    </row>
    <row r="41" spans="1:12" ht="18" customHeight="1">
      <c r="A41" s="134"/>
      <c r="B41" s="123" t="s">
        <v>56</v>
      </c>
      <c r="C41" s="97"/>
      <c r="D41" s="138"/>
      <c r="E41" s="110"/>
      <c r="F41" s="108"/>
      <c r="G41" s="136"/>
      <c r="H41" s="34"/>
      <c r="J41" s="27"/>
      <c r="K41" s="28"/>
      <c r="L41" s="29"/>
    </row>
    <row r="42" spans="1:12" ht="45.75" customHeight="1">
      <c r="A42" s="88">
        <v>12</v>
      </c>
      <c r="B42" s="135" t="s">
        <v>137</v>
      </c>
      <c r="C42" s="97" t="s">
        <v>68</v>
      </c>
      <c r="D42" s="95" t="s">
        <v>36</v>
      </c>
      <c r="E42" s="93" t="e">
        <f>#REF!+#REF!+#REF!+#REF!+#REF!+#REF!+'12.16'!E48+#REF!+#REF!+#REF!+#REF!+#REF!</f>
        <v>#REF!</v>
      </c>
      <c r="F42" s="106">
        <v>1759.9</v>
      </c>
      <c r="G42" s="93">
        <v>1109.97</v>
      </c>
      <c r="H42" s="34"/>
      <c r="J42" s="27"/>
      <c r="K42" s="28"/>
      <c r="L42" s="29"/>
    </row>
    <row r="43" spans="1:12" ht="20.25" hidden="1" customHeight="1">
      <c r="A43" s="88">
        <v>13</v>
      </c>
      <c r="B43" s="135" t="s">
        <v>131</v>
      </c>
      <c r="C43" s="97" t="s">
        <v>39</v>
      </c>
      <c r="D43" s="95" t="s">
        <v>30</v>
      </c>
      <c r="E43" s="93"/>
      <c r="F43" s="106">
        <v>1501</v>
      </c>
      <c r="G43" s="93">
        <v>750.5</v>
      </c>
      <c r="H43" s="34"/>
      <c r="J43" s="27"/>
      <c r="K43" s="28"/>
      <c r="L43" s="29"/>
    </row>
    <row r="44" spans="1:12" ht="17.25" customHeight="1">
      <c r="A44" s="88"/>
      <c r="B44" s="107" t="s">
        <v>57</v>
      </c>
      <c r="C44" s="125"/>
      <c r="D44" s="125"/>
      <c r="E44" s="110"/>
      <c r="F44" s="139"/>
      <c r="G44" s="136"/>
      <c r="H44" s="34"/>
      <c r="J44" s="27"/>
      <c r="K44" s="28"/>
      <c r="L44" s="29"/>
    </row>
    <row r="45" spans="1:12" ht="0.75" customHeight="1">
      <c r="A45" s="88">
        <v>29</v>
      </c>
      <c r="B45" s="135" t="s">
        <v>58</v>
      </c>
      <c r="C45" s="97" t="s">
        <v>68</v>
      </c>
      <c r="D45" s="91" t="s">
        <v>69</v>
      </c>
      <c r="E45" s="110" t="e">
        <f>#REF!+#REF!+#REF!+#REF!+#REF!+#REF!+'12.16'!E50+#REF!+#REF!+#REF!+#REF!+#REF!</f>
        <v>#REF!</v>
      </c>
      <c r="F45" s="91">
        <v>1012.74</v>
      </c>
      <c r="G45" s="136" t="e">
        <f>#REF!+#REF!+#REF!+#REF!+#REF!+#REF!+'12.16'!G50+#REF!+#REF!+#REF!+#REF!+#REF!</f>
        <v>#REF!</v>
      </c>
      <c r="H45" s="34"/>
      <c r="J45" s="27"/>
      <c r="K45" s="28"/>
      <c r="L45" s="29"/>
    </row>
    <row r="46" spans="1:12" ht="16.5" customHeight="1">
      <c r="A46" s="88">
        <v>13</v>
      </c>
      <c r="B46" s="149" t="s">
        <v>144</v>
      </c>
      <c r="C46" s="97" t="s">
        <v>29</v>
      </c>
      <c r="D46" s="95" t="s">
        <v>36</v>
      </c>
      <c r="E46" s="110"/>
      <c r="F46" s="91">
        <v>2.83</v>
      </c>
      <c r="G46" s="93">
        <v>283</v>
      </c>
      <c r="H46" s="34"/>
      <c r="J46" s="27"/>
      <c r="K46" s="28"/>
      <c r="L46" s="29"/>
    </row>
    <row r="47" spans="1:12" ht="16.5" hidden="1" customHeight="1">
      <c r="A47" s="88"/>
      <c r="B47" s="107" t="s">
        <v>59</v>
      </c>
      <c r="C47" s="97"/>
      <c r="D47" s="95"/>
      <c r="E47" s="110"/>
      <c r="F47" s="91"/>
      <c r="G47" s="136"/>
      <c r="H47" s="34"/>
      <c r="J47" s="27"/>
      <c r="K47" s="28"/>
      <c r="L47" s="29"/>
    </row>
    <row r="48" spans="1:12" ht="16.5" hidden="1" customHeight="1">
      <c r="A48" s="88">
        <v>14</v>
      </c>
      <c r="B48" s="135" t="s">
        <v>60</v>
      </c>
      <c r="C48" s="126" t="s">
        <v>37</v>
      </c>
      <c r="D48" s="95" t="s">
        <v>30</v>
      </c>
      <c r="E48" s="110" t="e">
        <f>#REF!+#REF!+#REF!+#REF!+#REF!+#REF!+'12.16'!E52+#REF!+#REF!+#REF!+#REF!+#REF!</f>
        <v>#REF!</v>
      </c>
      <c r="F48" s="91">
        <v>252.96</v>
      </c>
      <c r="G48" s="93">
        <v>252.96</v>
      </c>
      <c r="H48" s="34"/>
      <c r="J48" s="27"/>
      <c r="K48" s="28"/>
      <c r="L48" s="29"/>
    </row>
    <row r="49" spans="1:12" ht="0.75" hidden="1" customHeight="1">
      <c r="A49" s="140">
        <v>15</v>
      </c>
      <c r="B49" s="111" t="s">
        <v>132</v>
      </c>
      <c r="C49" s="126" t="s">
        <v>37</v>
      </c>
      <c r="D49" s="95" t="s">
        <v>74</v>
      </c>
      <c r="E49" s="110" t="e">
        <f>#REF!+#REF!+#REF!+#REF!+#REF!+#REF!+'12.16'!E53+#REF!+#REF!+#REF!+#REF!+#REF!</f>
        <v>#REF!</v>
      </c>
      <c r="F49" s="91">
        <v>2.16</v>
      </c>
      <c r="G49" s="93">
        <v>5506.92</v>
      </c>
      <c r="H49" s="34"/>
      <c r="J49" s="27"/>
      <c r="K49" s="28"/>
      <c r="L49" s="29"/>
    </row>
    <row r="50" spans="1:12" ht="21.75" customHeight="1">
      <c r="A50" s="140"/>
      <c r="B50" s="107" t="s">
        <v>96</v>
      </c>
      <c r="C50" s="97"/>
      <c r="D50" s="91"/>
      <c r="E50" s="110" t="e">
        <f>#REF!+#REF!+#REF!+#REF!+#REF!+#REF!+'12.16'!E54+#REF!+#REF!+#REF!+#REF!+#REF!</f>
        <v>#REF!</v>
      </c>
      <c r="F50" s="91"/>
      <c r="G50" s="136"/>
      <c r="H50" s="34"/>
      <c r="J50" s="27"/>
      <c r="K50" s="28"/>
      <c r="L50" s="29"/>
    </row>
    <row r="51" spans="1:12" ht="21.75" customHeight="1">
      <c r="A51" s="140">
        <v>15</v>
      </c>
      <c r="B51" s="149" t="s">
        <v>97</v>
      </c>
      <c r="C51" s="97" t="s">
        <v>38</v>
      </c>
      <c r="D51" s="95" t="s">
        <v>30</v>
      </c>
      <c r="E51" s="110"/>
      <c r="F51" s="91">
        <v>570.54</v>
      </c>
      <c r="G51" s="93">
        <v>684.65</v>
      </c>
      <c r="H51" s="34"/>
      <c r="J51" s="27"/>
      <c r="K51" s="28"/>
      <c r="L51" s="29"/>
    </row>
    <row r="52" spans="1:12" ht="17.25" customHeight="1">
      <c r="A52" s="140">
        <v>16</v>
      </c>
      <c r="B52" s="111" t="s">
        <v>133</v>
      </c>
      <c r="C52" s="97" t="s">
        <v>70</v>
      </c>
      <c r="D52" s="95" t="s">
        <v>30</v>
      </c>
      <c r="E52" s="110" t="e">
        <f>#REF!+#REF!+#REF!+#REF!+#REF!+#REF!+'12.16'!E55+#REF!+#REF!+#REF!+#REF!+#REF!</f>
        <v>#REF!</v>
      </c>
      <c r="F52" s="91">
        <v>407.79</v>
      </c>
      <c r="G52" s="93">
        <v>407.79</v>
      </c>
      <c r="H52" s="34"/>
      <c r="J52" s="27"/>
      <c r="K52" s="28"/>
      <c r="L52" s="29"/>
    </row>
    <row r="53" spans="1:12" ht="17.25" hidden="1" customHeight="1">
      <c r="A53" s="134"/>
      <c r="B53" s="141" t="s">
        <v>71</v>
      </c>
      <c r="C53" s="142"/>
      <c r="D53" s="143"/>
      <c r="E53" s="110"/>
      <c r="F53" s="91"/>
      <c r="G53" s="136" t="e">
        <f>#REF!+#REF!+#REF!+#REF!+#REF!+#REF!+'12.16'!#REF!+#REF!+#REF!+#REF!+#REF!+#REF!</f>
        <v>#REF!</v>
      </c>
      <c r="H53" s="34"/>
      <c r="J53" s="27"/>
      <c r="K53" s="28"/>
      <c r="L53" s="29"/>
    </row>
    <row r="54" spans="1:12" ht="16.5" hidden="1" customHeight="1">
      <c r="A54" s="140">
        <v>36</v>
      </c>
      <c r="B54" s="96" t="s">
        <v>65</v>
      </c>
      <c r="C54" s="97" t="s">
        <v>72</v>
      </c>
      <c r="D54" s="91" t="s">
        <v>69</v>
      </c>
      <c r="E54" s="93" t="e">
        <f>#REF!+#REF!+#REF!+#REF!+#REF!+#REF!+'12.16'!#REF!+#REF!+#REF!+#REF!+#REF!+#REF!</f>
        <v>#REF!</v>
      </c>
      <c r="F54" s="91">
        <v>9.32</v>
      </c>
      <c r="G54" s="136" t="e">
        <f>#REF!+#REF!+#REF!+#REF!+#REF!+#REF!+'12.16'!#REF!+#REF!+#REF!+#REF!+#REF!+#REF!</f>
        <v>#REF!</v>
      </c>
      <c r="H54" s="34"/>
      <c r="J54" s="27"/>
      <c r="K54" s="28"/>
      <c r="L54" s="29"/>
    </row>
    <row r="55" spans="1:12" ht="17.25" customHeight="1">
      <c r="A55" s="140"/>
      <c r="B55" s="247" t="s">
        <v>134</v>
      </c>
      <c r="C55" s="248"/>
      <c r="D55" s="248"/>
      <c r="E55" s="248"/>
      <c r="F55" s="248"/>
      <c r="G55" s="249"/>
      <c r="H55" s="34"/>
      <c r="J55" s="27"/>
      <c r="K55" s="28"/>
      <c r="L55" s="29"/>
    </row>
    <row r="56" spans="1:12" ht="15" customHeight="1">
      <c r="A56" s="140">
        <v>17</v>
      </c>
      <c r="B56" s="152" t="s">
        <v>150</v>
      </c>
      <c r="C56" s="97" t="s">
        <v>73</v>
      </c>
      <c r="D56" s="95" t="s">
        <v>74</v>
      </c>
      <c r="E56" s="110" t="e">
        <f>#REF!+#REF!+#REF!+#REF!+#REF!+#REF!+'12.16'!E60+#REF!+#REF!+#REF!+#REF!+#REF!</f>
        <v>#REF!</v>
      </c>
      <c r="F56" s="150">
        <v>2.7</v>
      </c>
      <c r="G56" s="93">
        <v>5878.17</v>
      </c>
      <c r="H56" s="31" t="e">
        <f>G54+#REF!+#REF!+#REF!+G56</f>
        <v>#REF!</v>
      </c>
      <c r="J56" s="27">
        <f>6846.6/3934.8/12</f>
        <v>0.14500101657009251</v>
      </c>
      <c r="K56" s="28"/>
      <c r="L56" s="29"/>
    </row>
    <row r="57" spans="1:12" ht="47.25">
      <c r="A57" s="91">
        <v>18</v>
      </c>
      <c r="B57" s="111" t="s">
        <v>102</v>
      </c>
      <c r="C57" s="97" t="s">
        <v>73</v>
      </c>
      <c r="D57" s="91" t="s">
        <v>74</v>
      </c>
      <c r="E57" s="95"/>
      <c r="F57" s="105">
        <v>2.1800000000000002</v>
      </c>
      <c r="G57" s="99">
        <v>4746.08</v>
      </c>
      <c r="H57" s="32" t="e">
        <f>H20+H28+H40+#REF!+H56</f>
        <v>#REF!</v>
      </c>
      <c r="J57" s="45"/>
    </row>
    <row r="58" spans="1:12" ht="15.75">
      <c r="A58" s="94"/>
      <c r="B58" s="112" t="s">
        <v>107</v>
      </c>
      <c r="C58" s="88"/>
      <c r="D58" s="95"/>
      <c r="E58" s="95"/>
      <c r="F58" s="93"/>
      <c r="G58" s="113">
        <f>SUM(G15+G16+G17+G18+G19+G22+G23+G24+G25+G26+G27+G42+G46+G51+G52+G56+G57)</f>
        <v>42087.19000000001</v>
      </c>
    </row>
    <row r="59" spans="1:12" ht="15.75">
      <c r="A59" s="47"/>
      <c r="B59" s="145" t="s">
        <v>80</v>
      </c>
      <c r="C59" s="144"/>
      <c r="D59" s="144"/>
      <c r="E59" s="95"/>
      <c r="F59" s="93"/>
      <c r="G59" s="93"/>
    </row>
    <row r="60" spans="1:12" ht="15.75">
      <c r="A60" s="140">
        <v>19</v>
      </c>
      <c r="B60" s="151" t="s">
        <v>131</v>
      </c>
      <c r="C60" s="91" t="s">
        <v>145</v>
      </c>
      <c r="D60" s="144"/>
      <c r="E60" s="95"/>
      <c r="F60" s="93">
        <v>1501</v>
      </c>
      <c r="G60" s="93">
        <v>750.5</v>
      </c>
    </row>
    <row r="61" spans="1:12" ht="15.75">
      <c r="A61" s="140">
        <v>20</v>
      </c>
      <c r="B61" s="151" t="s">
        <v>146</v>
      </c>
      <c r="C61" s="91" t="s">
        <v>37</v>
      </c>
      <c r="D61" s="144"/>
      <c r="E61" s="95"/>
      <c r="F61" s="93">
        <v>149.63999999999999</v>
      </c>
      <c r="G61" s="93">
        <v>299.27999999999997</v>
      </c>
    </row>
    <row r="62" spans="1:12" ht="14.25" hidden="1" customHeight="1">
      <c r="A62" s="140">
        <v>19</v>
      </c>
      <c r="B62" s="114" t="s">
        <v>112</v>
      </c>
      <c r="C62" s="91" t="s">
        <v>37</v>
      </c>
      <c r="D62" s="144"/>
      <c r="E62" s="95"/>
      <c r="F62" s="93">
        <v>180.15</v>
      </c>
      <c r="G62" s="93">
        <v>180.15</v>
      </c>
    </row>
    <row r="63" spans="1:12" ht="31.5" hidden="1">
      <c r="A63" s="140">
        <v>20</v>
      </c>
      <c r="B63" s="114" t="s">
        <v>138</v>
      </c>
      <c r="C63" s="91" t="s">
        <v>37</v>
      </c>
      <c r="D63" s="144"/>
      <c r="E63" s="95"/>
      <c r="F63" s="93">
        <v>559.62</v>
      </c>
      <c r="G63" s="93">
        <v>559.62</v>
      </c>
    </row>
    <row r="64" spans="1:12" ht="47.25" hidden="1">
      <c r="A64" s="140">
        <v>21</v>
      </c>
      <c r="B64" s="114" t="s">
        <v>139</v>
      </c>
      <c r="C64" s="91" t="s">
        <v>109</v>
      </c>
      <c r="D64" s="144"/>
      <c r="E64" s="95"/>
      <c r="F64" s="93">
        <v>1146</v>
      </c>
      <c r="G64" s="93">
        <v>802.2</v>
      </c>
    </row>
    <row r="65" spans="1:20" ht="0.75" customHeight="1">
      <c r="A65" s="140">
        <v>22</v>
      </c>
      <c r="B65" s="114" t="s">
        <v>106</v>
      </c>
      <c r="C65" s="91" t="s">
        <v>37</v>
      </c>
      <c r="D65" s="144"/>
      <c r="E65" s="95"/>
      <c r="F65" s="93">
        <v>79.09</v>
      </c>
      <c r="G65" s="93">
        <v>79.09</v>
      </c>
    </row>
    <row r="66" spans="1:20" ht="15.75">
      <c r="A66" s="53"/>
      <c r="B66" s="178" t="s">
        <v>66</v>
      </c>
      <c r="C66" s="116"/>
      <c r="D66" s="117"/>
      <c r="E66" s="116">
        <v>1</v>
      </c>
      <c r="F66" s="116"/>
      <c r="G66" s="113">
        <f>SUM(G60+G61)</f>
        <v>1049.78</v>
      </c>
    </row>
    <row r="67" spans="1:20" ht="15.75">
      <c r="A67" s="9"/>
      <c r="B67" s="124" t="s">
        <v>103</v>
      </c>
      <c r="C67" s="95"/>
      <c r="D67" s="95"/>
      <c r="E67" s="118"/>
      <c r="F67" s="119"/>
      <c r="G67" s="120">
        <v>0</v>
      </c>
    </row>
    <row r="68" spans="1:20" ht="15.75">
      <c r="A68" s="30"/>
      <c r="B68" s="121" t="s">
        <v>67</v>
      </c>
      <c r="C68" s="109"/>
      <c r="D68" s="109"/>
      <c r="E68" s="109"/>
      <c r="F68" s="109"/>
      <c r="G68" s="122">
        <f>G58+G66</f>
        <v>43136.970000000008</v>
      </c>
    </row>
    <row r="69" spans="1:20" ht="18" customHeight="1">
      <c r="A69" s="246" t="s">
        <v>272</v>
      </c>
      <c r="B69" s="246"/>
      <c r="C69" s="246"/>
      <c r="D69" s="246"/>
      <c r="E69" s="246"/>
      <c r="F69" s="246"/>
      <c r="G69" s="246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10"/>
    </row>
    <row r="70" spans="1:20" ht="15.75" customHeight="1">
      <c r="A70" s="147" t="s">
        <v>6</v>
      </c>
      <c r="B70" s="250" t="s">
        <v>273</v>
      </c>
      <c r="C70" s="250"/>
      <c r="D70" s="250"/>
      <c r="E70" s="250"/>
      <c r="F70" s="250"/>
      <c r="G70" s="148"/>
      <c r="H70" s="39"/>
      <c r="I70" s="39"/>
      <c r="J70" s="3"/>
      <c r="K70" s="3"/>
      <c r="L70" s="3"/>
      <c r="M70" s="3"/>
      <c r="N70" s="3"/>
      <c r="O70" s="3"/>
      <c r="P70" s="3"/>
      <c r="Q70" s="3"/>
      <c r="R70" s="3"/>
      <c r="S70" s="3"/>
    </row>
    <row r="71" spans="1:20" ht="15.75">
      <c r="A71" s="41"/>
      <c r="B71" s="251" t="s">
        <v>7</v>
      </c>
      <c r="C71" s="251"/>
      <c r="D71" s="251"/>
      <c r="E71" s="251"/>
      <c r="F71" s="251"/>
      <c r="G71" s="5"/>
      <c r="H71" s="5"/>
      <c r="I71" s="5"/>
      <c r="J71" s="5"/>
      <c r="K71" s="5"/>
      <c r="L71" s="5"/>
      <c r="M71" s="5"/>
      <c r="N71" s="5"/>
      <c r="O71" s="5"/>
      <c r="P71" s="232"/>
      <c r="Q71" s="232"/>
      <c r="R71" s="232"/>
      <c r="S71" s="232"/>
    </row>
    <row r="72" spans="1:20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20" ht="15.75">
      <c r="A73" s="235" t="s">
        <v>8</v>
      </c>
      <c r="B73" s="235"/>
      <c r="C73" s="235"/>
      <c r="D73" s="235"/>
      <c r="E73" s="235"/>
      <c r="F73" s="235"/>
      <c r="G73" s="235"/>
    </row>
    <row r="74" spans="1:20" ht="15.75">
      <c r="A74" s="235" t="s">
        <v>9</v>
      </c>
      <c r="B74" s="235"/>
      <c r="C74" s="235"/>
      <c r="D74" s="235"/>
      <c r="E74" s="235"/>
      <c r="F74" s="235"/>
      <c r="G74" s="235"/>
    </row>
    <row r="75" spans="1:20" ht="15.75">
      <c r="A75" s="236" t="s">
        <v>10</v>
      </c>
      <c r="B75" s="236"/>
      <c r="C75" s="236"/>
      <c r="D75" s="236"/>
      <c r="E75" s="236"/>
      <c r="F75" s="236"/>
      <c r="G75" s="236"/>
    </row>
    <row r="76" spans="1:20" ht="15.75">
      <c r="A76" s="12"/>
    </row>
    <row r="77" spans="1:20" ht="15.75">
      <c r="A77" s="237" t="s">
        <v>11</v>
      </c>
      <c r="B77" s="237"/>
      <c r="C77" s="237"/>
      <c r="D77" s="237"/>
      <c r="E77" s="237"/>
      <c r="F77" s="237"/>
      <c r="G77" s="237"/>
    </row>
    <row r="78" spans="1:20" ht="15.75">
      <c r="A78" s="4"/>
    </row>
    <row r="79" spans="1:20" ht="15.75">
      <c r="A79" s="236" t="s">
        <v>12</v>
      </c>
      <c r="B79" s="236"/>
      <c r="C79" s="252" t="s">
        <v>140</v>
      </c>
      <c r="D79" s="252"/>
      <c r="E79" s="252"/>
      <c r="G79" s="36"/>
    </row>
    <row r="80" spans="1:20">
      <c r="A80" s="41"/>
      <c r="C80" s="230" t="s">
        <v>13</v>
      </c>
      <c r="D80" s="230"/>
      <c r="E80" s="230"/>
      <c r="G80" s="37" t="s">
        <v>14</v>
      </c>
    </row>
    <row r="81" spans="1:7" ht="15.75">
      <c r="A81" s="39"/>
      <c r="C81" s="13"/>
      <c r="D81" s="13"/>
      <c r="F81" s="13"/>
    </row>
    <row r="82" spans="1:7" ht="15.75">
      <c r="A82" s="236" t="s">
        <v>15</v>
      </c>
      <c r="B82" s="236"/>
      <c r="C82" s="231"/>
      <c r="D82" s="231"/>
      <c r="E82" s="231"/>
      <c r="G82" s="36"/>
    </row>
    <row r="83" spans="1:7">
      <c r="A83" s="41"/>
      <c r="C83" s="232" t="s">
        <v>13</v>
      </c>
      <c r="D83" s="232"/>
      <c r="E83" s="232"/>
      <c r="G83" s="37" t="s">
        <v>14</v>
      </c>
    </row>
    <row r="84" spans="1:7" ht="15.75">
      <c r="A84" s="4" t="s">
        <v>16</v>
      </c>
    </row>
    <row r="85" spans="1:7">
      <c r="A85" s="233" t="s">
        <v>17</v>
      </c>
      <c r="B85" s="233"/>
      <c r="C85" s="233"/>
      <c r="D85" s="233"/>
      <c r="E85" s="233"/>
      <c r="F85" s="233"/>
      <c r="G85" s="233"/>
    </row>
    <row r="86" spans="1:7" ht="45" customHeight="1">
      <c r="A86" s="225" t="s">
        <v>18</v>
      </c>
      <c r="B86" s="225"/>
      <c r="C86" s="225"/>
      <c r="D86" s="225"/>
      <c r="E86" s="225"/>
      <c r="F86" s="225"/>
      <c r="G86" s="225"/>
    </row>
    <row r="87" spans="1:7" ht="28.5" customHeight="1">
      <c r="A87" s="225" t="s">
        <v>19</v>
      </c>
      <c r="B87" s="225"/>
      <c r="C87" s="225"/>
      <c r="D87" s="225"/>
      <c r="E87" s="225"/>
      <c r="F87" s="225"/>
      <c r="G87" s="225"/>
    </row>
    <row r="88" spans="1:7" ht="27" customHeight="1">
      <c r="A88" s="225" t="s">
        <v>24</v>
      </c>
      <c r="B88" s="225"/>
      <c r="C88" s="225"/>
      <c r="D88" s="225"/>
      <c r="E88" s="225"/>
      <c r="F88" s="225"/>
      <c r="G88" s="225"/>
    </row>
    <row r="89" spans="1:7" ht="15" customHeight="1">
      <c r="A89" s="225" t="s">
        <v>23</v>
      </c>
      <c r="B89" s="225"/>
      <c r="C89" s="225"/>
      <c r="D89" s="225"/>
      <c r="E89" s="225"/>
      <c r="F89" s="225"/>
      <c r="G89" s="225"/>
    </row>
    <row r="91" spans="1:7" ht="27.75" customHeight="1">
      <c r="A91" s="14" t="s">
        <v>22</v>
      </c>
      <c r="B91" s="14"/>
      <c r="C91" s="14"/>
      <c r="D91" s="14"/>
      <c r="E91" s="14"/>
      <c r="F91" s="14"/>
    </row>
  </sheetData>
  <autoFilter ref="G12:G67"/>
  <mergeCells count="29">
    <mergeCell ref="A3:G3"/>
    <mergeCell ref="A4:G4"/>
    <mergeCell ref="B5:F5"/>
    <mergeCell ref="A8:G8"/>
    <mergeCell ref="A10:G10"/>
    <mergeCell ref="P71:S71"/>
    <mergeCell ref="A73:G73"/>
    <mergeCell ref="A74:G74"/>
    <mergeCell ref="A75:G75"/>
    <mergeCell ref="A77:G77"/>
    <mergeCell ref="B70:F70"/>
    <mergeCell ref="C80:E80"/>
    <mergeCell ref="A82:B82"/>
    <mergeCell ref="C82:E82"/>
    <mergeCell ref="C83:E83"/>
    <mergeCell ref="B71:F71"/>
    <mergeCell ref="A79:B79"/>
    <mergeCell ref="C79:E79"/>
    <mergeCell ref="A69:G69"/>
    <mergeCell ref="A14:G14"/>
    <mergeCell ref="A20:G20"/>
    <mergeCell ref="B28:G28"/>
    <mergeCell ref="B40:G40"/>
    <mergeCell ref="B55:G55"/>
    <mergeCell ref="A85:G85"/>
    <mergeCell ref="A86:G86"/>
    <mergeCell ref="A87:G87"/>
    <mergeCell ref="A88:G88"/>
    <mergeCell ref="A89:G89"/>
  </mergeCells>
  <pageMargins left="0.70866141732283472" right="0.23622047244094491" top="0.27559055118110237" bottom="0.27559055118110237" header="0.31496062992125984" footer="0.31496062992125984"/>
  <pageSetup paperSize="9" scale="72" orientation="portrait" r:id="rId1"/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T110"/>
  <sheetViews>
    <sheetView workbookViewId="0">
      <selection activeCell="A8" sqref="A8:G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7" width="22.5703125" customWidth="1"/>
    <col min="8" max="8" width="11.140625" customWidth="1"/>
  </cols>
  <sheetData>
    <row r="1" spans="1:11" ht="15.75" customHeight="1">
      <c r="A1" s="43" t="s">
        <v>124</v>
      </c>
      <c r="G1" s="42"/>
      <c r="H1" s="1"/>
      <c r="I1" s="1"/>
      <c r="J1" s="1"/>
      <c r="K1" s="1"/>
    </row>
    <row r="2" spans="1:11" ht="15.75">
      <c r="A2" s="44" t="s">
        <v>85</v>
      </c>
      <c r="H2" s="2"/>
      <c r="I2" s="2"/>
      <c r="J2" s="2"/>
      <c r="K2" s="2"/>
    </row>
    <row r="3" spans="1:11" ht="15.75" customHeight="1">
      <c r="A3" s="241" t="s">
        <v>151</v>
      </c>
      <c r="B3" s="241"/>
      <c r="C3" s="241"/>
      <c r="D3" s="241"/>
      <c r="E3" s="241"/>
      <c r="F3" s="241"/>
      <c r="G3" s="241"/>
      <c r="H3" s="3"/>
      <c r="I3" s="3"/>
      <c r="J3" s="3"/>
    </row>
    <row r="4" spans="1:11" ht="31.5" customHeight="1">
      <c r="A4" s="242" t="s">
        <v>195</v>
      </c>
      <c r="B4" s="242"/>
      <c r="C4" s="242"/>
      <c r="D4" s="242"/>
      <c r="E4" s="242"/>
      <c r="F4" s="242"/>
      <c r="G4" s="242"/>
    </row>
    <row r="5" spans="1:11" ht="15.75">
      <c r="A5" s="241" t="s">
        <v>152</v>
      </c>
      <c r="B5" s="243"/>
      <c r="C5" s="243"/>
      <c r="D5" s="243"/>
      <c r="E5" s="243"/>
      <c r="F5" s="243"/>
      <c r="G5" s="243"/>
      <c r="H5" s="2"/>
      <c r="I5" s="2"/>
      <c r="J5" s="2"/>
      <c r="K5" s="2"/>
    </row>
    <row r="6" spans="1:11" ht="15.75">
      <c r="A6" s="2"/>
      <c r="B6" s="154"/>
      <c r="C6" s="154"/>
      <c r="D6" s="154"/>
      <c r="E6" s="154"/>
      <c r="F6" s="154"/>
      <c r="G6" s="54">
        <v>42735</v>
      </c>
      <c r="H6" s="2"/>
      <c r="I6" s="2"/>
      <c r="J6" s="2"/>
      <c r="K6" s="2"/>
    </row>
    <row r="7" spans="1:11" ht="15.75">
      <c r="B7" s="156"/>
      <c r="C7" s="156"/>
      <c r="D7" s="156"/>
      <c r="E7" s="3"/>
      <c r="F7" s="3"/>
      <c r="H7" s="3"/>
      <c r="I7" s="3"/>
      <c r="J7" s="3"/>
      <c r="K7" s="3"/>
    </row>
    <row r="8" spans="1:11" ht="78.75" customHeight="1">
      <c r="A8" s="244" t="s">
        <v>275</v>
      </c>
      <c r="B8" s="244"/>
      <c r="C8" s="244"/>
      <c r="D8" s="244"/>
      <c r="E8" s="244"/>
      <c r="F8" s="244"/>
      <c r="G8" s="244"/>
      <c r="H8" s="224"/>
      <c r="I8" s="224"/>
      <c r="J8" s="5"/>
      <c r="K8" s="5"/>
    </row>
    <row r="9" spans="1:11" ht="15.75">
      <c r="A9" s="4"/>
      <c r="H9" s="2"/>
      <c r="I9" s="2"/>
      <c r="J9" s="2"/>
      <c r="K9" s="2"/>
    </row>
    <row r="10" spans="1:11" ht="47.25" customHeight="1">
      <c r="A10" s="245" t="s">
        <v>196</v>
      </c>
      <c r="B10" s="245"/>
      <c r="C10" s="245"/>
      <c r="D10" s="245"/>
      <c r="E10" s="245"/>
      <c r="F10" s="245"/>
      <c r="G10" s="245"/>
      <c r="H10" s="2"/>
      <c r="I10" s="2"/>
      <c r="J10" s="2"/>
      <c r="K10" s="2"/>
    </row>
    <row r="11" spans="1:11" ht="15.75">
      <c r="A11" s="4"/>
    </row>
    <row r="12" spans="1:11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 t="s">
        <v>25</v>
      </c>
      <c r="G12" s="6" t="s">
        <v>3</v>
      </c>
    </row>
    <row r="13" spans="1:1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5</v>
      </c>
      <c r="G13" s="7">
        <v>6</v>
      </c>
      <c r="H13" s="8"/>
      <c r="I13" s="8"/>
      <c r="J13" s="8"/>
      <c r="K13" s="8"/>
    </row>
    <row r="14" spans="1:11" ht="15" customHeight="1">
      <c r="A14" s="240" t="s">
        <v>79</v>
      </c>
      <c r="B14" s="240"/>
      <c r="C14" s="240"/>
      <c r="D14" s="240"/>
      <c r="E14" s="240"/>
      <c r="F14" s="240"/>
      <c r="G14" s="240"/>
      <c r="H14" s="8"/>
      <c r="I14" s="8"/>
      <c r="J14" s="8"/>
      <c r="K14" s="8"/>
    </row>
    <row r="15" spans="1:11">
      <c r="A15" s="238" t="s">
        <v>4</v>
      </c>
      <c r="B15" s="238"/>
      <c r="C15" s="238"/>
      <c r="D15" s="238"/>
      <c r="E15" s="238"/>
      <c r="F15" s="238"/>
      <c r="G15" s="238"/>
      <c r="H15" s="8"/>
      <c r="I15" s="8"/>
      <c r="J15" s="8"/>
      <c r="K15" s="8"/>
    </row>
    <row r="16" spans="1:11" ht="31.5" customHeight="1">
      <c r="A16" s="49">
        <v>1</v>
      </c>
      <c r="B16" s="61" t="s">
        <v>126</v>
      </c>
      <c r="C16" s="75" t="s">
        <v>153</v>
      </c>
      <c r="D16" s="61" t="s">
        <v>154</v>
      </c>
      <c r="E16" s="159"/>
      <c r="F16" s="60">
        <v>199.46</v>
      </c>
      <c r="G16" s="161">
        <v>2338.35</v>
      </c>
      <c r="H16" s="8"/>
      <c r="I16" s="8"/>
      <c r="J16" s="8"/>
      <c r="K16" s="8"/>
    </row>
    <row r="17" spans="1:11" ht="31.5" customHeight="1">
      <c r="A17" s="49">
        <v>2</v>
      </c>
      <c r="B17" s="61" t="s">
        <v>147</v>
      </c>
      <c r="C17" s="75" t="s">
        <v>153</v>
      </c>
      <c r="D17" s="61" t="s">
        <v>155</v>
      </c>
      <c r="E17" s="159"/>
      <c r="F17" s="60">
        <v>199.46</v>
      </c>
      <c r="G17" s="161">
        <v>6235.6</v>
      </c>
      <c r="H17" s="33"/>
      <c r="I17" s="8"/>
      <c r="J17" s="8"/>
      <c r="K17" s="8"/>
    </row>
    <row r="18" spans="1:11" ht="31.5" customHeight="1">
      <c r="A18" s="49">
        <v>3</v>
      </c>
      <c r="B18" s="61" t="s">
        <v>148</v>
      </c>
      <c r="C18" s="75" t="s">
        <v>153</v>
      </c>
      <c r="D18" s="61" t="s">
        <v>197</v>
      </c>
      <c r="E18" s="159"/>
      <c r="F18" s="60">
        <v>573.83000000000004</v>
      </c>
      <c r="G18" s="161">
        <v>5174.8</v>
      </c>
      <c r="H18" s="33"/>
      <c r="I18" s="8"/>
      <c r="J18" s="8"/>
      <c r="K18" s="8"/>
    </row>
    <row r="19" spans="1:11" ht="15.75" hidden="1" customHeight="1">
      <c r="A19" s="49"/>
      <c r="B19" s="61" t="s">
        <v>156</v>
      </c>
      <c r="C19" s="75" t="s">
        <v>157</v>
      </c>
      <c r="D19" s="61" t="s">
        <v>158</v>
      </c>
      <c r="E19" s="159"/>
      <c r="F19" s="60">
        <v>193.55</v>
      </c>
      <c r="G19" s="161">
        <v>0</v>
      </c>
      <c r="H19" s="33"/>
      <c r="I19" s="8"/>
      <c r="J19" s="8"/>
      <c r="K19" s="8"/>
    </row>
    <row r="20" spans="1:11" ht="15.75" hidden="1" customHeight="1">
      <c r="A20" s="49">
        <v>4</v>
      </c>
      <c r="B20" s="61" t="s">
        <v>159</v>
      </c>
      <c r="C20" s="75" t="s">
        <v>153</v>
      </c>
      <c r="D20" s="61" t="s">
        <v>55</v>
      </c>
      <c r="E20" s="159"/>
      <c r="F20" s="60">
        <v>247.82</v>
      </c>
      <c r="G20" s="161">
        <v>0</v>
      </c>
      <c r="H20" s="33"/>
      <c r="I20" s="8"/>
      <c r="J20" s="8"/>
      <c r="K20" s="8"/>
    </row>
    <row r="21" spans="1:11" ht="15.75" hidden="1" customHeight="1">
      <c r="A21" s="49">
        <v>5</v>
      </c>
      <c r="B21" s="61" t="s">
        <v>160</v>
      </c>
      <c r="C21" s="75" t="s">
        <v>153</v>
      </c>
      <c r="D21" s="61" t="s">
        <v>55</v>
      </c>
      <c r="E21" s="159"/>
      <c r="F21" s="60">
        <v>245.81</v>
      </c>
      <c r="G21" s="161">
        <v>0</v>
      </c>
      <c r="H21" s="33"/>
      <c r="I21" s="8"/>
      <c r="J21" s="8"/>
      <c r="K21" s="8"/>
    </row>
    <row r="22" spans="1:11" ht="15.75" hidden="1" customHeight="1">
      <c r="A22" s="49"/>
      <c r="B22" s="61" t="s">
        <v>161</v>
      </c>
      <c r="C22" s="75" t="s">
        <v>68</v>
      </c>
      <c r="D22" s="61" t="s">
        <v>158</v>
      </c>
      <c r="E22" s="159"/>
      <c r="F22" s="60">
        <v>306.26</v>
      </c>
      <c r="G22" s="161">
        <v>0</v>
      </c>
      <c r="H22" s="33"/>
      <c r="I22" s="8"/>
      <c r="J22" s="8"/>
      <c r="K22" s="8"/>
    </row>
    <row r="23" spans="1:11" ht="15.75" hidden="1" customHeight="1">
      <c r="A23" s="49"/>
      <c r="B23" s="61" t="s">
        <v>162</v>
      </c>
      <c r="C23" s="75" t="s">
        <v>68</v>
      </c>
      <c r="D23" s="61" t="s">
        <v>158</v>
      </c>
      <c r="E23" s="159"/>
      <c r="F23" s="60">
        <v>50.37</v>
      </c>
      <c r="G23" s="161">
        <v>0</v>
      </c>
      <c r="H23" s="33"/>
      <c r="I23" s="8"/>
      <c r="J23" s="8"/>
      <c r="K23" s="8"/>
    </row>
    <row r="24" spans="1:11" ht="15.75" hidden="1" customHeight="1">
      <c r="A24" s="49"/>
      <c r="B24" s="61" t="s">
        <v>163</v>
      </c>
      <c r="C24" s="75" t="s">
        <v>68</v>
      </c>
      <c r="D24" s="61" t="s">
        <v>158</v>
      </c>
      <c r="E24" s="159"/>
      <c r="F24" s="60">
        <v>592.37</v>
      </c>
      <c r="G24" s="161">
        <v>0</v>
      </c>
      <c r="H24" s="33"/>
      <c r="I24" s="8"/>
      <c r="J24" s="8"/>
      <c r="K24" s="8"/>
    </row>
    <row r="25" spans="1:11" ht="15.75" customHeight="1">
      <c r="A25" s="76">
        <v>4</v>
      </c>
      <c r="B25" s="61" t="s">
        <v>87</v>
      </c>
      <c r="C25" s="75" t="s">
        <v>40</v>
      </c>
      <c r="D25" s="61" t="s">
        <v>120</v>
      </c>
      <c r="E25" s="24"/>
      <c r="F25" s="60">
        <v>66.790000000000006</v>
      </c>
      <c r="G25" s="25">
        <v>203.15</v>
      </c>
      <c r="H25" s="33"/>
      <c r="I25" s="8"/>
      <c r="J25" s="8"/>
      <c r="K25" s="8"/>
    </row>
    <row r="26" spans="1:11" ht="15.75" customHeight="1">
      <c r="A26" s="76">
        <v>5</v>
      </c>
      <c r="B26" s="15" t="s">
        <v>26</v>
      </c>
      <c r="C26" s="16" t="s">
        <v>27</v>
      </c>
      <c r="D26" s="49"/>
      <c r="E26" s="24">
        <v>506.1</v>
      </c>
      <c r="F26" s="60">
        <v>5.15</v>
      </c>
      <c r="G26" s="25">
        <v>11212.07</v>
      </c>
      <c r="H26" s="33"/>
      <c r="I26" s="8"/>
      <c r="J26" s="8"/>
      <c r="K26" s="8"/>
    </row>
    <row r="27" spans="1:11" ht="15.75" customHeight="1">
      <c r="A27" s="238" t="s">
        <v>121</v>
      </c>
      <c r="B27" s="238"/>
      <c r="C27" s="238"/>
      <c r="D27" s="238"/>
      <c r="E27" s="238"/>
      <c r="F27" s="238"/>
      <c r="G27" s="238"/>
      <c r="H27" s="33"/>
      <c r="I27" s="8"/>
      <c r="J27" s="8"/>
      <c r="K27" s="8"/>
    </row>
    <row r="28" spans="1:11" ht="15.75" hidden="1" customHeight="1">
      <c r="A28" s="76"/>
      <c r="B28" s="86" t="s">
        <v>34</v>
      </c>
      <c r="C28" s="86"/>
      <c r="D28" s="86"/>
      <c r="E28" s="86"/>
      <c r="F28" s="86"/>
      <c r="G28" s="25"/>
      <c r="H28" s="33"/>
      <c r="I28" s="8"/>
      <c r="J28" s="8"/>
      <c r="K28" s="8"/>
    </row>
    <row r="29" spans="1:11" ht="15.75" hidden="1" customHeight="1">
      <c r="A29" s="76">
        <v>2</v>
      </c>
      <c r="B29" s="61" t="s">
        <v>164</v>
      </c>
      <c r="C29" s="75" t="s">
        <v>165</v>
      </c>
      <c r="D29" s="61" t="s">
        <v>166</v>
      </c>
      <c r="E29" s="19">
        <v>2.31</v>
      </c>
      <c r="F29" s="60">
        <v>177.3</v>
      </c>
      <c r="G29" s="18">
        <v>0</v>
      </c>
      <c r="H29" s="33"/>
      <c r="I29" s="8"/>
      <c r="J29" s="8"/>
      <c r="K29" s="8"/>
    </row>
    <row r="30" spans="1:11" ht="31.5" hidden="1" customHeight="1">
      <c r="A30" s="76">
        <v>3</v>
      </c>
      <c r="B30" s="61" t="s">
        <v>167</v>
      </c>
      <c r="C30" s="75" t="s">
        <v>165</v>
      </c>
      <c r="D30" s="61" t="s">
        <v>168</v>
      </c>
      <c r="E30" s="18">
        <f>0.0024*3*4.5</f>
        <v>3.2399999999999998E-2</v>
      </c>
      <c r="F30" s="60">
        <v>297.17</v>
      </c>
      <c r="G30" s="25">
        <v>0</v>
      </c>
      <c r="H30" s="33"/>
      <c r="I30" s="8"/>
      <c r="J30" s="8"/>
      <c r="K30" s="8"/>
    </row>
    <row r="31" spans="1:11" ht="15.75" hidden="1" customHeight="1">
      <c r="A31" s="76">
        <v>4</v>
      </c>
      <c r="B31" s="61" t="s">
        <v>33</v>
      </c>
      <c r="C31" s="75" t="s">
        <v>165</v>
      </c>
      <c r="D31" s="61" t="s">
        <v>69</v>
      </c>
      <c r="E31" s="23">
        <v>0</v>
      </c>
      <c r="F31" s="60">
        <v>3435.36</v>
      </c>
      <c r="G31" s="25">
        <v>0</v>
      </c>
      <c r="H31" s="33"/>
      <c r="I31" s="8"/>
      <c r="J31" s="8"/>
      <c r="K31" s="8"/>
    </row>
    <row r="32" spans="1:11" ht="15.75" hidden="1" customHeight="1">
      <c r="A32" s="76"/>
      <c r="B32" s="61" t="s">
        <v>169</v>
      </c>
      <c r="C32" s="75" t="s">
        <v>51</v>
      </c>
      <c r="D32" s="61" t="s">
        <v>86</v>
      </c>
      <c r="E32" s="23"/>
      <c r="F32" s="60">
        <v>1480.94</v>
      </c>
      <c r="G32" s="25">
        <v>0</v>
      </c>
      <c r="H32" s="33"/>
      <c r="I32" s="8"/>
      <c r="J32" s="8"/>
      <c r="K32" s="8"/>
    </row>
    <row r="33" spans="1:12" ht="15.75" hidden="1" customHeight="1">
      <c r="A33" s="76">
        <v>5</v>
      </c>
      <c r="B33" s="61" t="s">
        <v>170</v>
      </c>
      <c r="C33" s="75" t="s">
        <v>37</v>
      </c>
      <c r="D33" s="61" t="s">
        <v>86</v>
      </c>
      <c r="E33" s="23">
        <v>0</v>
      </c>
      <c r="F33" s="60">
        <v>64.48</v>
      </c>
      <c r="G33" s="25">
        <v>0</v>
      </c>
      <c r="H33" s="33"/>
      <c r="I33" s="8"/>
      <c r="J33" s="8"/>
      <c r="K33" s="8"/>
    </row>
    <row r="34" spans="1:12" ht="15.75" hidden="1" customHeight="1">
      <c r="A34" s="76">
        <v>4</v>
      </c>
      <c r="B34" s="61" t="s">
        <v>88</v>
      </c>
      <c r="C34" s="75" t="s">
        <v>40</v>
      </c>
      <c r="D34" s="61" t="s">
        <v>90</v>
      </c>
      <c r="E34" s="18">
        <v>3.75</v>
      </c>
      <c r="F34" s="60">
        <v>217.61</v>
      </c>
      <c r="G34" s="18">
        <v>0</v>
      </c>
      <c r="H34" s="33"/>
      <c r="I34" s="8"/>
    </row>
    <row r="35" spans="1:12" ht="15.75" hidden="1" customHeight="1">
      <c r="A35" s="49">
        <v>8</v>
      </c>
      <c r="B35" s="61" t="s">
        <v>89</v>
      </c>
      <c r="C35" s="75" t="s">
        <v>39</v>
      </c>
      <c r="D35" s="61" t="s">
        <v>90</v>
      </c>
      <c r="E35" s="18"/>
      <c r="F35" s="60">
        <v>1292.47</v>
      </c>
      <c r="G35" s="18">
        <v>0</v>
      </c>
      <c r="H35" s="34"/>
    </row>
    <row r="36" spans="1:12" ht="15.75" customHeight="1">
      <c r="A36" s="76"/>
      <c r="B36" s="84" t="s">
        <v>5</v>
      </c>
      <c r="C36" s="84"/>
      <c r="D36" s="84"/>
      <c r="E36" s="18"/>
      <c r="F36" s="19"/>
      <c r="G36" s="25"/>
      <c r="H36" s="34"/>
    </row>
    <row r="37" spans="1:12" ht="15.75" customHeight="1">
      <c r="A37" s="62">
        <v>6</v>
      </c>
      <c r="B37" s="63" t="s">
        <v>31</v>
      </c>
      <c r="C37" s="75" t="s">
        <v>39</v>
      </c>
      <c r="D37" s="61"/>
      <c r="E37" s="18">
        <v>0</v>
      </c>
      <c r="F37" s="60">
        <v>1737.08</v>
      </c>
      <c r="G37" s="18">
        <v>1737.08</v>
      </c>
      <c r="H37" s="34"/>
    </row>
    <row r="38" spans="1:12" ht="15.75" customHeight="1">
      <c r="A38" s="62">
        <v>7</v>
      </c>
      <c r="B38" s="63" t="s">
        <v>171</v>
      </c>
      <c r="C38" s="162" t="s">
        <v>35</v>
      </c>
      <c r="D38" s="61" t="s">
        <v>172</v>
      </c>
      <c r="E38" s="18">
        <v>0</v>
      </c>
      <c r="F38" s="60">
        <v>2391.67</v>
      </c>
      <c r="G38" s="18">
        <v>578.30999999999995</v>
      </c>
      <c r="H38" s="34"/>
    </row>
    <row r="39" spans="1:12" ht="15.75" hidden="1" customHeight="1">
      <c r="A39" s="62">
        <v>11</v>
      </c>
      <c r="B39" s="61" t="s">
        <v>173</v>
      </c>
      <c r="C39" s="75" t="s">
        <v>174</v>
      </c>
      <c r="D39" s="61" t="s">
        <v>90</v>
      </c>
      <c r="E39" s="18">
        <v>0</v>
      </c>
      <c r="F39" s="60">
        <v>226.85</v>
      </c>
      <c r="G39" s="18">
        <v>0</v>
      </c>
      <c r="H39" s="34"/>
    </row>
    <row r="40" spans="1:12" ht="15.75" customHeight="1">
      <c r="A40" s="62">
        <v>9</v>
      </c>
      <c r="B40" s="61" t="s">
        <v>92</v>
      </c>
      <c r="C40" s="75" t="s">
        <v>35</v>
      </c>
      <c r="D40" s="61" t="s">
        <v>175</v>
      </c>
      <c r="E40" s="18"/>
      <c r="F40" s="60">
        <v>398.95</v>
      </c>
      <c r="G40" s="18">
        <v>553.34</v>
      </c>
      <c r="H40" s="34"/>
    </row>
    <row r="41" spans="1:12" ht="47.25" customHeight="1">
      <c r="A41" s="62">
        <v>10</v>
      </c>
      <c r="B41" s="61" t="s">
        <v>115</v>
      </c>
      <c r="C41" s="75" t="s">
        <v>165</v>
      </c>
      <c r="D41" s="61" t="s">
        <v>176</v>
      </c>
      <c r="E41" s="18"/>
      <c r="F41" s="60">
        <v>6600.74</v>
      </c>
      <c r="G41" s="18">
        <v>631.82000000000005</v>
      </c>
      <c r="H41" s="34"/>
      <c r="J41" s="27"/>
      <c r="K41" s="28"/>
      <c r="L41" s="29"/>
    </row>
    <row r="42" spans="1:12" ht="15.75" customHeight="1">
      <c r="A42" s="62">
        <v>11</v>
      </c>
      <c r="B42" s="61" t="s">
        <v>177</v>
      </c>
      <c r="C42" s="75" t="s">
        <v>165</v>
      </c>
      <c r="D42" s="61" t="s">
        <v>93</v>
      </c>
      <c r="E42" s="18"/>
      <c r="F42" s="60">
        <v>487.61</v>
      </c>
      <c r="G42" s="18">
        <v>176.86</v>
      </c>
      <c r="H42" s="34"/>
      <c r="J42" s="27"/>
      <c r="K42" s="28"/>
      <c r="L42" s="29"/>
    </row>
    <row r="43" spans="1:12" ht="15.75" customHeight="1">
      <c r="A43" s="62">
        <v>12</v>
      </c>
      <c r="B43" s="63" t="s">
        <v>94</v>
      </c>
      <c r="C43" s="162" t="s">
        <v>40</v>
      </c>
      <c r="D43" s="63"/>
      <c r="E43" s="18">
        <v>0</v>
      </c>
      <c r="F43" s="64">
        <v>907.66</v>
      </c>
      <c r="G43" s="18">
        <v>136.15</v>
      </c>
      <c r="H43" s="34"/>
      <c r="J43" s="27"/>
      <c r="K43" s="28"/>
      <c r="L43" s="29"/>
    </row>
    <row r="44" spans="1:12" ht="16.5" customHeight="1">
      <c r="A44" s="254" t="s">
        <v>239</v>
      </c>
      <c r="B44" s="255"/>
      <c r="C44" s="255"/>
      <c r="D44" s="255"/>
      <c r="E44" s="255"/>
      <c r="F44" s="255"/>
      <c r="G44" s="256"/>
      <c r="H44" s="34"/>
      <c r="J44" s="27"/>
      <c r="K44" s="28"/>
      <c r="L44" s="29"/>
    </row>
    <row r="45" spans="1:12" ht="15.75" hidden="1" customHeight="1">
      <c r="A45" s="76">
        <v>15</v>
      </c>
      <c r="B45" s="61" t="s">
        <v>178</v>
      </c>
      <c r="C45" s="75" t="s">
        <v>165</v>
      </c>
      <c r="D45" s="61" t="s">
        <v>55</v>
      </c>
      <c r="E45" s="25">
        <v>0.42</v>
      </c>
      <c r="F45" s="67">
        <v>1094.96</v>
      </c>
      <c r="G45" s="26">
        <v>0</v>
      </c>
      <c r="H45" s="34"/>
      <c r="J45" s="27"/>
      <c r="K45" s="28"/>
      <c r="L45" s="29"/>
    </row>
    <row r="46" spans="1:12" ht="15.75" hidden="1" customHeight="1">
      <c r="A46" s="76">
        <v>16</v>
      </c>
      <c r="B46" s="61" t="s">
        <v>44</v>
      </c>
      <c r="C46" s="75" t="s">
        <v>165</v>
      </c>
      <c r="D46" s="61" t="s">
        <v>55</v>
      </c>
      <c r="E46" s="25">
        <v>1.35</v>
      </c>
      <c r="F46" s="67">
        <v>3832.4</v>
      </c>
      <c r="G46" s="26">
        <v>0</v>
      </c>
      <c r="H46" s="34"/>
      <c r="J46" s="27"/>
      <c r="K46" s="28"/>
      <c r="L46" s="29"/>
    </row>
    <row r="47" spans="1:12" ht="15.75" hidden="1" customHeight="1">
      <c r="A47" s="76">
        <v>17</v>
      </c>
      <c r="B47" s="61" t="s">
        <v>45</v>
      </c>
      <c r="C47" s="75" t="s">
        <v>165</v>
      </c>
      <c r="D47" s="61" t="s">
        <v>55</v>
      </c>
      <c r="E47" s="25">
        <v>0.03</v>
      </c>
      <c r="F47" s="67">
        <v>1564.24</v>
      </c>
      <c r="G47" s="26">
        <v>0</v>
      </c>
      <c r="H47" s="34"/>
      <c r="J47" s="27"/>
      <c r="K47" s="28"/>
      <c r="L47" s="29"/>
    </row>
    <row r="48" spans="1:12" ht="15.75" hidden="1" customHeight="1">
      <c r="A48" s="76">
        <v>18</v>
      </c>
      <c r="B48" s="61" t="s">
        <v>46</v>
      </c>
      <c r="C48" s="75" t="s">
        <v>165</v>
      </c>
      <c r="D48" s="61" t="s">
        <v>55</v>
      </c>
      <c r="E48" s="25">
        <v>0.33</v>
      </c>
      <c r="F48" s="67">
        <v>1078.3599999999999</v>
      </c>
      <c r="G48" s="26">
        <v>0</v>
      </c>
      <c r="H48" s="34"/>
      <c r="J48" s="27"/>
      <c r="K48" s="28"/>
      <c r="L48" s="29"/>
    </row>
    <row r="49" spans="1:12" ht="15.75" customHeight="1">
      <c r="A49" s="76">
        <v>13</v>
      </c>
      <c r="B49" s="61" t="s">
        <v>76</v>
      </c>
      <c r="C49" s="75" t="s">
        <v>165</v>
      </c>
      <c r="D49" s="61" t="s">
        <v>179</v>
      </c>
      <c r="E49" s="25">
        <v>0.22</v>
      </c>
      <c r="F49" s="67">
        <v>1838.49</v>
      </c>
      <c r="G49" s="18">
        <v>1129.3800000000001</v>
      </c>
      <c r="H49" s="34"/>
      <c r="J49" s="27"/>
      <c r="K49" s="28"/>
      <c r="L49" s="29"/>
    </row>
    <row r="50" spans="1:12" ht="31.5" hidden="1" customHeight="1">
      <c r="A50" s="76">
        <v>13</v>
      </c>
      <c r="B50" s="61" t="s">
        <v>180</v>
      </c>
      <c r="C50" s="75" t="s">
        <v>165</v>
      </c>
      <c r="D50" s="61" t="s">
        <v>55</v>
      </c>
      <c r="E50" s="25">
        <v>0.22</v>
      </c>
      <c r="F50" s="67">
        <v>1380.31</v>
      </c>
      <c r="G50" s="26">
        <v>0</v>
      </c>
      <c r="H50" s="34"/>
      <c r="J50" s="27"/>
      <c r="K50" s="28"/>
      <c r="L50" s="29"/>
    </row>
    <row r="51" spans="1:12" ht="31.5" hidden="1" customHeight="1">
      <c r="A51" s="76">
        <v>14</v>
      </c>
      <c r="B51" s="61" t="s">
        <v>181</v>
      </c>
      <c r="C51" s="75" t="s">
        <v>49</v>
      </c>
      <c r="D51" s="61" t="s">
        <v>55</v>
      </c>
      <c r="E51" s="25">
        <v>0.02</v>
      </c>
      <c r="F51" s="67">
        <v>3519.56</v>
      </c>
      <c r="G51" s="26">
        <v>0</v>
      </c>
      <c r="H51" s="34"/>
      <c r="J51" s="27"/>
      <c r="K51" s="28"/>
      <c r="L51" s="29"/>
    </row>
    <row r="52" spans="1:12" ht="15.75" hidden="1" customHeight="1">
      <c r="A52" s="76">
        <v>15</v>
      </c>
      <c r="B52" s="61" t="s">
        <v>50</v>
      </c>
      <c r="C52" s="75" t="s">
        <v>51</v>
      </c>
      <c r="D52" s="61" t="s">
        <v>55</v>
      </c>
      <c r="E52" s="25">
        <v>0.01</v>
      </c>
      <c r="F52" s="67">
        <v>6428.82</v>
      </c>
      <c r="G52" s="26">
        <v>0</v>
      </c>
      <c r="H52" s="34"/>
      <c r="J52" s="27"/>
      <c r="K52" s="28"/>
      <c r="L52" s="29"/>
    </row>
    <row r="53" spans="1:12" ht="15.75" hidden="1" customHeight="1">
      <c r="A53" s="76"/>
      <c r="B53" s="61" t="s">
        <v>182</v>
      </c>
      <c r="C53" s="75" t="s">
        <v>183</v>
      </c>
      <c r="D53" s="61" t="s">
        <v>95</v>
      </c>
      <c r="E53" s="25"/>
      <c r="F53" s="68">
        <v>74.709999999999994</v>
      </c>
      <c r="G53" s="26"/>
      <c r="H53" s="34"/>
      <c r="J53" s="27"/>
      <c r="K53" s="28"/>
      <c r="L53" s="29"/>
    </row>
    <row r="54" spans="1:12" ht="15.75" hidden="1" customHeight="1">
      <c r="A54" s="76">
        <v>23</v>
      </c>
      <c r="B54" s="61" t="s">
        <v>54</v>
      </c>
      <c r="C54" s="75" t="s">
        <v>183</v>
      </c>
      <c r="D54" s="61" t="s">
        <v>95</v>
      </c>
      <c r="E54" s="25">
        <v>8</v>
      </c>
      <c r="F54" s="68">
        <v>70.2</v>
      </c>
      <c r="G54" s="18">
        <v>0</v>
      </c>
      <c r="H54" s="34"/>
      <c r="J54" s="27"/>
      <c r="K54" s="28"/>
      <c r="L54" s="29"/>
    </row>
    <row r="55" spans="1:12" ht="15.75" customHeight="1">
      <c r="A55" s="254" t="s">
        <v>240</v>
      </c>
      <c r="B55" s="255"/>
      <c r="C55" s="255"/>
      <c r="D55" s="255"/>
      <c r="E55" s="255"/>
      <c r="F55" s="255"/>
      <c r="G55" s="256"/>
      <c r="H55" s="34"/>
      <c r="J55" s="27"/>
      <c r="K55" s="28"/>
      <c r="L55" s="29"/>
    </row>
    <row r="56" spans="1:12" ht="15.75" customHeight="1">
      <c r="A56" s="129"/>
      <c r="B56" s="83" t="s">
        <v>56</v>
      </c>
      <c r="C56" s="22"/>
      <c r="D56" s="21"/>
      <c r="E56" s="21"/>
      <c r="F56" s="49"/>
      <c r="G56" s="25"/>
      <c r="H56" s="34"/>
      <c r="J56" s="27"/>
      <c r="K56" s="28"/>
      <c r="L56" s="29"/>
    </row>
    <row r="57" spans="1:12" ht="31.5" customHeight="1">
      <c r="A57" s="76">
        <v>14</v>
      </c>
      <c r="B57" s="61" t="s">
        <v>184</v>
      </c>
      <c r="C57" s="75" t="s">
        <v>153</v>
      </c>
      <c r="D57" s="61" t="s">
        <v>185</v>
      </c>
      <c r="E57" s="25">
        <v>0</v>
      </c>
      <c r="F57" s="67">
        <v>1759.9</v>
      </c>
      <c r="G57" s="26">
        <v>1109.97</v>
      </c>
      <c r="H57" s="34"/>
      <c r="J57" s="27"/>
      <c r="K57" s="28"/>
      <c r="L57" s="29"/>
    </row>
    <row r="58" spans="1:12" ht="15.75" customHeight="1">
      <c r="A58" s="76"/>
      <c r="B58" s="159" t="s">
        <v>57</v>
      </c>
      <c r="C58" s="159"/>
      <c r="D58" s="159"/>
      <c r="E58" s="159"/>
      <c r="F58" s="159"/>
      <c r="G58" s="66"/>
      <c r="H58" s="34"/>
      <c r="J58" s="27"/>
      <c r="K58" s="28"/>
      <c r="L58" s="29"/>
    </row>
    <row r="59" spans="1:12" ht="15.75" hidden="1" customHeight="1">
      <c r="A59" s="76">
        <v>27</v>
      </c>
      <c r="B59" s="164" t="s">
        <v>58</v>
      </c>
      <c r="C59" s="75" t="s">
        <v>153</v>
      </c>
      <c r="D59" s="61" t="s">
        <v>69</v>
      </c>
      <c r="E59" s="165">
        <v>0</v>
      </c>
      <c r="F59" s="67">
        <v>902.66</v>
      </c>
      <c r="G59" s="26">
        <f>E59/2</f>
        <v>0</v>
      </c>
      <c r="H59" s="34"/>
      <c r="J59" s="27"/>
      <c r="K59" s="28"/>
      <c r="L59" s="29"/>
    </row>
    <row r="60" spans="1:12" ht="15.75" customHeight="1">
      <c r="A60" s="76">
        <v>15</v>
      </c>
      <c r="B60" s="163" t="s">
        <v>144</v>
      </c>
      <c r="C60" s="128" t="s">
        <v>29</v>
      </c>
      <c r="D60" s="163" t="s">
        <v>36</v>
      </c>
      <c r="E60" s="165"/>
      <c r="F60" s="166">
        <v>2.83</v>
      </c>
      <c r="G60" s="26">
        <v>283</v>
      </c>
      <c r="H60" s="34"/>
      <c r="J60" s="27"/>
      <c r="K60" s="28"/>
      <c r="L60" s="29"/>
    </row>
    <row r="61" spans="1:12" ht="15.75" hidden="1" customHeight="1">
      <c r="A61" s="76"/>
      <c r="B61" s="159" t="s">
        <v>59</v>
      </c>
      <c r="C61" s="22"/>
      <c r="D61" s="21"/>
      <c r="E61" s="21"/>
      <c r="F61" s="49"/>
      <c r="G61" s="25"/>
      <c r="H61" s="34"/>
      <c r="J61" s="27"/>
    </row>
    <row r="62" spans="1:12" ht="15.75" hidden="1" customHeight="1">
      <c r="A62" s="76">
        <v>17</v>
      </c>
      <c r="B62" s="167" t="s">
        <v>60</v>
      </c>
      <c r="C62" s="71" t="s">
        <v>183</v>
      </c>
      <c r="D62" s="70" t="s">
        <v>90</v>
      </c>
      <c r="E62" s="25">
        <v>0</v>
      </c>
      <c r="F62" s="67">
        <v>252.96</v>
      </c>
      <c r="G62" s="26">
        <v>0</v>
      </c>
    </row>
    <row r="63" spans="1:12" ht="15.75" hidden="1" customHeight="1">
      <c r="A63" s="49">
        <v>29</v>
      </c>
      <c r="B63" s="167" t="s">
        <v>61</v>
      </c>
      <c r="C63" s="71" t="s">
        <v>183</v>
      </c>
      <c r="D63" s="70" t="s">
        <v>90</v>
      </c>
      <c r="E63" s="25">
        <v>0</v>
      </c>
      <c r="F63" s="67">
        <v>86.74</v>
      </c>
      <c r="G63" s="26">
        <v>0</v>
      </c>
    </row>
    <row r="64" spans="1:12" ht="15.75" hidden="1" customHeight="1">
      <c r="A64" s="49">
        <v>8</v>
      </c>
      <c r="B64" s="167" t="s">
        <v>62</v>
      </c>
      <c r="C64" s="73" t="s">
        <v>186</v>
      </c>
      <c r="D64" s="70" t="s">
        <v>69</v>
      </c>
      <c r="E64" s="25">
        <v>13.47</v>
      </c>
      <c r="F64" s="67">
        <v>241.31</v>
      </c>
      <c r="G64" s="25">
        <v>0</v>
      </c>
    </row>
    <row r="65" spans="1:20" ht="15.75" hidden="1" customHeight="1">
      <c r="A65" s="49">
        <v>9</v>
      </c>
      <c r="B65" s="167" t="s">
        <v>63</v>
      </c>
      <c r="C65" s="71" t="s">
        <v>187</v>
      </c>
      <c r="D65" s="70"/>
      <c r="E65" s="25">
        <v>1.35</v>
      </c>
      <c r="F65" s="67">
        <v>187.91</v>
      </c>
      <c r="G65" s="25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10"/>
    </row>
    <row r="66" spans="1:20" ht="15.75" hidden="1" customHeight="1">
      <c r="A66" s="49">
        <v>10</v>
      </c>
      <c r="B66" s="167" t="s">
        <v>64</v>
      </c>
      <c r="C66" s="71" t="s">
        <v>101</v>
      </c>
      <c r="D66" s="70" t="s">
        <v>69</v>
      </c>
      <c r="E66" s="25">
        <v>0</v>
      </c>
      <c r="F66" s="67">
        <v>2359.7199999999998</v>
      </c>
      <c r="G66" s="25">
        <v>0</v>
      </c>
      <c r="H66" s="39"/>
      <c r="I66" s="39"/>
      <c r="J66" s="3"/>
      <c r="K66" s="3"/>
      <c r="L66" s="3"/>
      <c r="M66" s="3"/>
      <c r="N66" s="3"/>
      <c r="O66" s="3"/>
      <c r="P66" s="3"/>
      <c r="Q66" s="3"/>
      <c r="R66" s="3"/>
      <c r="S66" s="3"/>
    </row>
    <row r="67" spans="1:20" ht="15.75" hidden="1" customHeight="1">
      <c r="A67" s="49">
        <v>11</v>
      </c>
      <c r="B67" s="130" t="s">
        <v>188</v>
      </c>
      <c r="C67" s="71" t="s">
        <v>40</v>
      </c>
      <c r="D67" s="70"/>
      <c r="E67" s="17">
        <v>0</v>
      </c>
      <c r="F67" s="67">
        <v>42.67</v>
      </c>
      <c r="G67" s="25">
        <v>0</v>
      </c>
      <c r="H67" s="3"/>
      <c r="I67" s="3"/>
      <c r="J67" s="3"/>
      <c r="K67" s="3"/>
      <c r="L67" s="3"/>
      <c r="M67" s="3"/>
      <c r="N67" s="3"/>
      <c r="O67" s="3"/>
      <c r="Q67" s="3"/>
      <c r="R67" s="3"/>
      <c r="S67" s="3"/>
    </row>
    <row r="68" spans="1:20" ht="15.75" hidden="1" customHeight="1">
      <c r="A68" s="49">
        <v>12</v>
      </c>
      <c r="B68" s="130" t="s">
        <v>189</v>
      </c>
      <c r="C68" s="71" t="s">
        <v>40</v>
      </c>
      <c r="D68" s="70"/>
      <c r="E68" s="17"/>
      <c r="F68" s="67">
        <v>39.81</v>
      </c>
      <c r="G68" s="25">
        <v>0</v>
      </c>
      <c r="H68" s="5"/>
      <c r="I68" s="5"/>
      <c r="J68" s="5"/>
      <c r="K68" s="5"/>
      <c r="L68" s="5"/>
      <c r="M68" s="5"/>
      <c r="N68" s="5"/>
      <c r="O68" s="5"/>
      <c r="P68" s="232"/>
      <c r="Q68" s="232"/>
      <c r="R68" s="232"/>
      <c r="S68" s="232"/>
    </row>
    <row r="69" spans="1:20" ht="15.75" hidden="1" customHeight="1">
      <c r="A69" s="49">
        <v>13</v>
      </c>
      <c r="B69" s="70" t="s">
        <v>77</v>
      </c>
      <c r="C69" s="71" t="s">
        <v>78</v>
      </c>
      <c r="D69" s="70" t="s">
        <v>69</v>
      </c>
      <c r="E69" s="17"/>
      <c r="F69" s="67">
        <v>56.74</v>
      </c>
      <c r="G69" s="25">
        <v>0</v>
      </c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</row>
    <row r="70" spans="1:20" ht="15.75" customHeight="1">
      <c r="A70" s="129"/>
      <c r="B70" s="159" t="s">
        <v>190</v>
      </c>
      <c r="C70" s="159"/>
      <c r="D70" s="159"/>
      <c r="E70" s="159"/>
      <c r="F70" s="159"/>
      <c r="G70" s="25"/>
    </row>
    <row r="71" spans="1:20" ht="15.75" customHeight="1">
      <c r="A71" s="49">
        <v>16</v>
      </c>
      <c r="B71" s="164" t="s">
        <v>191</v>
      </c>
      <c r="C71" s="168"/>
      <c r="D71" s="169" t="s">
        <v>69</v>
      </c>
      <c r="E71" s="165">
        <v>0</v>
      </c>
      <c r="F71" s="69">
        <v>19285</v>
      </c>
      <c r="G71" s="25">
        <v>19285</v>
      </c>
    </row>
    <row r="72" spans="1:20" ht="15.75" customHeight="1">
      <c r="A72" s="49"/>
      <c r="B72" s="84" t="s">
        <v>96</v>
      </c>
      <c r="C72" s="84"/>
      <c r="D72" s="84"/>
      <c r="E72" s="25"/>
      <c r="F72" s="49"/>
      <c r="G72" s="25"/>
    </row>
    <row r="73" spans="1:20" ht="15.75" hidden="1" customHeight="1">
      <c r="A73" s="49"/>
      <c r="B73" s="70" t="s">
        <v>198</v>
      </c>
      <c r="C73" s="71" t="s">
        <v>199</v>
      </c>
      <c r="D73" s="70" t="s">
        <v>90</v>
      </c>
      <c r="E73" s="25"/>
      <c r="F73" s="67">
        <v>113.57</v>
      </c>
      <c r="G73" s="25">
        <v>0</v>
      </c>
    </row>
    <row r="74" spans="1:20" ht="15.75" customHeight="1">
      <c r="A74" s="49">
        <v>17</v>
      </c>
      <c r="B74" s="70" t="s">
        <v>97</v>
      </c>
      <c r="C74" s="71" t="s">
        <v>99</v>
      </c>
      <c r="D74" s="70" t="s">
        <v>90</v>
      </c>
      <c r="E74" s="25"/>
      <c r="F74" s="67">
        <v>570.54</v>
      </c>
      <c r="G74" s="25">
        <v>1483.4</v>
      </c>
    </row>
    <row r="75" spans="1:20" ht="15.75" hidden="1" customHeight="1">
      <c r="A75" s="49"/>
      <c r="B75" s="70" t="s">
        <v>98</v>
      </c>
      <c r="C75" s="71" t="s">
        <v>37</v>
      </c>
      <c r="D75" s="70" t="s">
        <v>90</v>
      </c>
      <c r="E75" s="25"/>
      <c r="F75" s="67">
        <v>970.21</v>
      </c>
      <c r="G75" s="25">
        <v>0</v>
      </c>
    </row>
    <row r="76" spans="1:20" ht="15.75" hidden="1" customHeight="1">
      <c r="A76" s="49"/>
      <c r="B76" s="70" t="s">
        <v>133</v>
      </c>
      <c r="C76" s="71" t="s">
        <v>37</v>
      </c>
      <c r="D76" s="70" t="s">
        <v>90</v>
      </c>
      <c r="E76" s="25"/>
      <c r="F76" s="67">
        <v>407.79</v>
      </c>
      <c r="G76" s="25">
        <v>0</v>
      </c>
    </row>
    <row r="77" spans="1:20" ht="15.75" hidden="1" customHeight="1">
      <c r="A77" s="49"/>
      <c r="B77" s="85" t="s">
        <v>100</v>
      </c>
      <c r="C77" s="71"/>
      <c r="D77" s="49"/>
      <c r="E77" s="25"/>
      <c r="F77" s="67"/>
      <c r="G77" s="25"/>
    </row>
    <row r="78" spans="1:20" ht="15.75" hidden="1" customHeight="1">
      <c r="A78" s="49">
        <v>39</v>
      </c>
      <c r="B78" s="72" t="s">
        <v>192</v>
      </c>
      <c r="C78" s="73" t="s">
        <v>101</v>
      </c>
      <c r="D78" s="167"/>
      <c r="E78" s="25"/>
      <c r="F78" s="68">
        <v>3138.63</v>
      </c>
      <c r="G78" s="25">
        <v>0</v>
      </c>
    </row>
    <row r="79" spans="1:20" ht="15.75" customHeight="1">
      <c r="A79" s="257" t="s">
        <v>241</v>
      </c>
      <c r="B79" s="258"/>
      <c r="C79" s="258"/>
      <c r="D79" s="258"/>
      <c r="E79" s="258"/>
      <c r="F79" s="258"/>
      <c r="G79" s="259"/>
    </row>
    <row r="80" spans="1:20" ht="15.75" customHeight="1">
      <c r="A80" s="49">
        <v>18</v>
      </c>
      <c r="B80" s="170" t="s">
        <v>193</v>
      </c>
      <c r="C80" s="71" t="s">
        <v>73</v>
      </c>
      <c r="D80" s="171"/>
      <c r="E80" s="21">
        <v>327.9</v>
      </c>
      <c r="F80" s="172">
        <v>2.7</v>
      </c>
      <c r="G80" s="18">
        <v>5878.17</v>
      </c>
    </row>
    <row r="81" spans="1:7" ht="31.5" customHeight="1">
      <c r="A81" s="49">
        <v>19</v>
      </c>
      <c r="B81" s="70" t="s">
        <v>102</v>
      </c>
      <c r="C81" s="71"/>
      <c r="D81" s="173"/>
      <c r="E81" s="21"/>
      <c r="F81" s="67">
        <v>2.1800000000000002</v>
      </c>
      <c r="G81" s="18">
        <v>4746.08</v>
      </c>
    </row>
    <row r="82" spans="1:7" ht="15.75" customHeight="1">
      <c r="A82" s="129"/>
      <c r="B82" s="74" t="s">
        <v>107</v>
      </c>
      <c r="C82" s="76"/>
      <c r="D82" s="21"/>
      <c r="E82" s="21"/>
      <c r="F82" s="25"/>
      <c r="G82" s="59">
        <f>SUM(G16+G17+G18+G25+G26+G37+G38+G40+G41+G42+G43+G49+G57+G60+G71+G74+G80+G81)</f>
        <v>62892.530000000006</v>
      </c>
    </row>
    <row r="83" spans="1:7" ht="15.75" customHeight="1">
      <c r="A83" s="129"/>
      <c r="B83" s="145" t="s">
        <v>80</v>
      </c>
      <c r="C83" s="145"/>
      <c r="D83" s="145"/>
      <c r="E83" s="145"/>
      <c r="F83" s="145"/>
      <c r="G83" s="145"/>
    </row>
    <row r="84" spans="1:7" ht="15.75" customHeight="1">
      <c r="A84" s="49">
        <v>20</v>
      </c>
      <c r="B84" s="179" t="s">
        <v>202</v>
      </c>
      <c r="C84" s="180" t="s">
        <v>203</v>
      </c>
      <c r="D84" s="49">
        <v>1</v>
      </c>
      <c r="E84" s="49"/>
      <c r="F84" s="49">
        <v>1063.47</v>
      </c>
      <c r="G84" s="49">
        <v>1063.47</v>
      </c>
    </row>
    <row r="85" spans="1:7" ht="31.5" customHeight="1">
      <c r="A85" s="49">
        <v>21</v>
      </c>
      <c r="B85" s="146" t="s">
        <v>106</v>
      </c>
      <c r="C85" s="174" t="s">
        <v>183</v>
      </c>
      <c r="D85" s="175">
        <v>1</v>
      </c>
      <c r="E85" s="21"/>
      <c r="F85" s="67">
        <v>79.09</v>
      </c>
      <c r="G85" s="18">
        <v>79.09</v>
      </c>
    </row>
    <row r="86" spans="1:7" ht="15.75" customHeight="1">
      <c r="A86" s="49">
        <v>22</v>
      </c>
      <c r="B86" s="176" t="s">
        <v>200</v>
      </c>
      <c r="C86" s="177" t="s">
        <v>201</v>
      </c>
      <c r="D86" s="175">
        <v>1</v>
      </c>
      <c r="E86" s="21"/>
      <c r="F86" s="67">
        <v>113.52</v>
      </c>
      <c r="G86" s="18">
        <v>113.52</v>
      </c>
    </row>
    <row r="87" spans="1:7" ht="15.75" customHeight="1">
      <c r="A87" s="49"/>
      <c r="B87" s="81" t="s">
        <v>66</v>
      </c>
      <c r="C87" s="77"/>
      <c r="D87" s="131"/>
      <c r="E87" s="77">
        <v>1</v>
      </c>
      <c r="F87" s="77"/>
      <c r="G87" s="59">
        <f>SUM(G84:G86)</f>
        <v>1256.08</v>
      </c>
    </row>
    <row r="88" spans="1:7" ht="15.75" customHeight="1">
      <c r="A88" s="49"/>
      <c r="B88" s="87" t="s">
        <v>103</v>
      </c>
      <c r="C88" s="21"/>
      <c r="D88" s="21"/>
      <c r="E88" s="78"/>
      <c r="F88" s="79"/>
      <c r="G88" s="24">
        <v>0</v>
      </c>
    </row>
    <row r="89" spans="1:7" ht="15.75" customHeight="1">
      <c r="A89" s="132"/>
      <c r="B89" s="82" t="s">
        <v>67</v>
      </c>
      <c r="C89" s="65"/>
      <c r="D89" s="65"/>
      <c r="E89" s="65"/>
      <c r="F89" s="65"/>
      <c r="G89" s="80">
        <f>G82+G87</f>
        <v>64148.610000000008</v>
      </c>
    </row>
    <row r="90" spans="1:7" ht="15.75">
      <c r="A90" s="239" t="s">
        <v>204</v>
      </c>
      <c r="B90" s="239"/>
      <c r="C90" s="239"/>
      <c r="D90" s="239"/>
      <c r="E90" s="239"/>
      <c r="F90" s="239"/>
      <c r="G90" s="239"/>
    </row>
    <row r="91" spans="1:7" ht="15.75">
      <c r="A91" s="158"/>
      <c r="B91" s="234" t="s">
        <v>205</v>
      </c>
      <c r="C91" s="234"/>
      <c r="D91" s="234"/>
      <c r="E91" s="234"/>
      <c r="F91" s="234"/>
      <c r="G91" s="3"/>
    </row>
    <row r="92" spans="1:7">
      <c r="A92" s="153"/>
      <c r="B92" s="230" t="s">
        <v>7</v>
      </c>
      <c r="C92" s="230"/>
      <c r="D92" s="230"/>
      <c r="E92" s="230"/>
      <c r="F92" s="230"/>
      <c r="G92" s="5"/>
    </row>
    <row r="93" spans="1:7">
      <c r="A93" s="11"/>
      <c r="B93" s="11"/>
      <c r="C93" s="11"/>
      <c r="D93" s="11"/>
      <c r="E93" s="11"/>
      <c r="F93" s="11"/>
      <c r="G93" s="11"/>
    </row>
    <row r="94" spans="1:7" ht="15.75">
      <c r="A94" s="235" t="s">
        <v>8</v>
      </c>
      <c r="B94" s="235"/>
      <c r="C94" s="235"/>
      <c r="D94" s="235"/>
      <c r="E94" s="235"/>
      <c r="F94" s="235"/>
      <c r="G94" s="235"/>
    </row>
    <row r="95" spans="1:7" ht="15.75">
      <c r="A95" s="235" t="s">
        <v>9</v>
      </c>
      <c r="B95" s="235"/>
      <c r="C95" s="235"/>
      <c r="D95" s="235"/>
      <c r="E95" s="235"/>
      <c r="F95" s="235"/>
      <c r="G95" s="235"/>
    </row>
    <row r="96" spans="1:7" ht="15.75">
      <c r="A96" s="236" t="s">
        <v>82</v>
      </c>
      <c r="B96" s="236"/>
      <c r="C96" s="236"/>
      <c r="D96" s="236"/>
      <c r="E96" s="236"/>
      <c r="F96" s="236"/>
      <c r="G96" s="236"/>
    </row>
    <row r="97" spans="1:7" ht="15.75">
      <c r="A97" s="12"/>
    </row>
    <row r="98" spans="1:7" ht="15.75">
      <c r="A98" s="237" t="s">
        <v>11</v>
      </c>
      <c r="B98" s="237"/>
      <c r="C98" s="237"/>
      <c r="D98" s="237"/>
      <c r="E98" s="237"/>
      <c r="F98" s="237"/>
      <c r="G98" s="237"/>
    </row>
    <row r="99" spans="1:7" ht="15.75">
      <c r="A99" s="4"/>
    </row>
    <row r="100" spans="1:7" ht="15.75">
      <c r="B100" s="156" t="s">
        <v>12</v>
      </c>
      <c r="C100" s="229" t="s">
        <v>194</v>
      </c>
      <c r="D100" s="229"/>
      <c r="E100" s="229"/>
      <c r="G100" s="157"/>
    </row>
    <row r="101" spans="1:7">
      <c r="A101" s="153"/>
      <c r="C101" s="230" t="s">
        <v>13</v>
      </c>
      <c r="D101" s="230"/>
      <c r="E101" s="230"/>
      <c r="G101" s="155" t="s">
        <v>14</v>
      </c>
    </row>
    <row r="102" spans="1:7" ht="15.75">
      <c r="A102" s="39"/>
      <c r="C102" s="13"/>
      <c r="D102" s="13"/>
      <c r="F102" s="13"/>
    </row>
    <row r="103" spans="1:7" ht="15.75">
      <c r="B103" s="156" t="s">
        <v>15</v>
      </c>
      <c r="C103" s="231"/>
      <c r="D103" s="231"/>
      <c r="E103" s="231"/>
      <c r="G103" s="157"/>
    </row>
    <row r="104" spans="1:7">
      <c r="A104" s="153"/>
      <c r="C104" s="232" t="s">
        <v>13</v>
      </c>
      <c r="D104" s="232"/>
      <c r="E104" s="232"/>
      <c r="G104" s="155" t="s">
        <v>14</v>
      </c>
    </row>
    <row r="105" spans="1:7" ht="15.75">
      <c r="A105" s="4" t="s">
        <v>16</v>
      </c>
    </row>
    <row r="106" spans="1:7">
      <c r="A106" s="233" t="s">
        <v>17</v>
      </c>
      <c r="B106" s="233"/>
      <c r="C106" s="233"/>
      <c r="D106" s="233"/>
      <c r="E106" s="233"/>
      <c r="F106" s="233"/>
      <c r="G106" s="233"/>
    </row>
    <row r="107" spans="1:7" ht="47.25" customHeight="1">
      <c r="A107" s="225" t="s">
        <v>18</v>
      </c>
      <c r="B107" s="225"/>
      <c r="C107" s="225"/>
      <c r="D107" s="225"/>
      <c r="E107" s="225"/>
      <c r="F107" s="225"/>
      <c r="G107" s="225"/>
    </row>
    <row r="108" spans="1:7" ht="31.5" customHeight="1">
      <c r="A108" s="225" t="s">
        <v>19</v>
      </c>
      <c r="B108" s="225"/>
      <c r="C108" s="225"/>
      <c r="D108" s="225"/>
      <c r="E108" s="225"/>
      <c r="F108" s="225"/>
      <c r="G108" s="225"/>
    </row>
    <row r="109" spans="1:7" ht="31.5" customHeight="1">
      <c r="A109" s="225" t="s">
        <v>24</v>
      </c>
      <c r="B109" s="225"/>
      <c r="C109" s="225"/>
      <c r="D109" s="225"/>
      <c r="E109" s="225"/>
      <c r="F109" s="225"/>
      <c r="G109" s="225"/>
    </row>
    <row r="110" spans="1:7" ht="15.75" customHeight="1">
      <c r="A110" s="225" t="s">
        <v>23</v>
      </c>
      <c r="B110" s="225"/>
      <c r="C110" s="225"/>
      <c r="D110" s="225"/>
      <c r="E110" s="225"/>
      <c r="F110" s="225"/>
      <c r="G110" s="225"/>
    </row>
  </sheetData>
  <autoFilter ref="G12:G63"/>
  <mergeCells count="28">
    <mergeCell ref="A79:G79"/>
    <mergeCell ref="A90:G90"/>
    <mergeCell ref="B91:F91"/>
    <mergeCell ref="B92:F92"/>
    <mergeCell ref="P68:S68"/>
    <mergeCell ref="A3:G3"/>
    <mergeCell ref="A4:G4"/>
    <mergeCell ref="A8:G8"/>
    <mergeCell ref="A10:G10"/>
    <mergeCell ref="A5:G5"/>
    <mergeCell ref="A14:G14"/>
    <mergeCell ref="A15:G15"/>
    <mergeCell ref="A27:G27"/>
    <mergeCell ref="A44:G44"/>
    <mergeCell ref="A55:G55"/>
    <mergeCell ref="A109:G109"/>
    <mergeCell ref="A110:G110"/>
    <mergeCell ref="C103:E103"/>
    <mergeCell ref="C104:E104"/>
    <mergeCell ref="A106:G106"/>
    <mergeCell ref="A107:G107"/>
    <mergeCell ref="A108:G108"/>
    <mergeCell ref="A94:G94"/>
    <mergeCell ref="A96:G96"/>
    <mergeCell ref="A98:G98"/>
    <mergeCell ref="C100:E100"/>
    <mergeCell ref="C101:E101"/>
    <mergeCell ref="A95:G9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245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108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42429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hidden="1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hidden="1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hidden="1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hidden="1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hidden="1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customHeight="1">
      <c r="A56" s="49">
        <v>13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14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49">
        <v>15</v>
      </c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f>G62</f>
        <v>86.74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16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G71*2.2</f>
        <v>1255.1880000000001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17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18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I16+I17+I18+I25+I26+I37+I38+I40+I41+I42+I43+I49+I56+I59+I62+I71+I79+I80</f>
        <v>43466.047972883338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15.75" customHeight="1">
      <c r="A83" s="49">
        <v>19</v>
      </c>
      <c r="B83" s="146" t="s">
        <v>218</v>
      </c>
      <c r="C83" s="193" t="s">
        <v>116</v>
      </c>
      <c r="D83" s="87"/>
      <c r="E83" s="18"/>
      <c r="F83" s="18">
        <v>1</v>
      </c>
      <c r="G83" s="18">
        <v>185.81</v>
      </c>
      <c r="H83" s="211">
        <f t="shared" ref="H83" si="6">G83*F83/1000</f>
        <v>0.18581</v>
      </c>
      <c r="I83" s="218">
        <f>G83</f>
        <v>185.81</v>
      </c>
    </row>
    <row r="84" spans="1:9" ht="15.75" customHeight="1">
      <c r="A84" s="49"/>
      <c r="B84" s="81" t="s">
        <v>66</v>
      </c>
      <c r="C84" s="77"/>
      <c r="D84" s="131"/>
      <c r="E84" s="77">
        <v>1</v>
      </c>
      <c r="F84" s="77"/>
      <c r="G84" s="77"/>
      <c r="H84" s="77"/>
      <c r="I84" s="59">
        <f>SUM(I83:I83)</f>
        <v>185.81</v>
      </c>
    </row>
    <row r="85" spans="1:9" ht="15.75" customHeight="1">
      <c r="A85" s="49"/>
      <c r="B85" s="87" t="s">
        <v>103</v>
      </c>
      <c r="C85" s="21"/>
      <c r="D85" s="21"/>
      <c r="E85" s="78"/>
      <c r="F85" s="78"/>
      <c r="G85" s="79"/>
      <c r="H85" s="79"/>
      <c r="I85" s="24">
        <v>0</v>
      </c>
    </row>
    <row r="86" spans="1:9" ht="15.75" customHeight="1">
      <c r="A86" s="132"/>
      <c r="B86" s="82" t="s">
        <v>67</v>
      </c>
      <c r="C86" s="65"/>
      <c r="D86" s="65"/>
      <c r="E86" s="65"/>
      <c r="F86" s="65"/>
      <c r="G86" s="65"/>
      <c r="H86" s="65"/>
      <c r="I86" s="80">
        <f>I81+I84</f>
        <v>43651.857972883336</v>
      </c>
    </row>
    <row r="87" spans="1:9" ht="15.75">
      <c r="A87" s="239" t="s">
        <v>246</v>
      </c>
      <c r="B87" s="239"/>
      <c r="C87" s="239"/>
      <c r="D87" s="239"/>
      <c r="E87" s="239"/>
      <c r="F87" s="239"/>
      <c r="G87" s="239"/>
      <c r="H87" s="239"/>
      <c r="I87" s="239"/>
    </row>
    <row r="88" spans="1:9" ht="15.75">
      <c r="A88" s="187"/>
      <c r="B88" s="234" t="s">
        <v>247</v>
      </c>
      <c r="C88" s="234"/>
      <c r="D88" s="234"/>
      <c r="E88" s="234"/>
      <c r="F88" s="234"/>
      <c r="G88" s="234"/>
      <c r="H88" s="192"/>
      <c r="I88" s="3"/>
    </row>
    <row r="89" spans="1:9">
      <c r="A89" s="184"/>
      <c r="B89" s="230" t="s">
        <v>7</v>
      </c>
      <c r="C89" s="230"/>
      <c r="D89" s="230"/>
      <c r="E89" s="230"/>
      <c r="F89" s="230"/>
      <c r="G89" s="230"/>
      <c r="H89" s="38"/>
      <c r="I89" s="5"/>
    </row>
    <row r="90" spans="1:9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5.75">
      <c r="A91" s="235" t="s">
        <v>8</v>
      </c>
      <c r="B91" s="235"/>
      <c r="C91" s="235"/>
      <c r="D91" s="235"/>
      <c r="E91" s="235"/>
      <c r="F91" s="235"/>
      <c r="G91" s="235"/>
      <c r="H91" s="235"/>
      <c r="I91" s="235"/>
    </row>
    <row r="92" spans="1:9" ht="15.75">
      <c r="A92" s="235" t="s">
        <v>9</v>
      </c>
      <c r="B92" s="235"/>
      <c r="C92" s="235"/>
      <c r="D92" s="235"/>
      <c r="E92" s="235"/>
      <c r="F92" s="235"/>
      <c r="G92" s="235"/>
      <c r="H92" s="235"/>
      <c r="I92" s="235"/>
    </row>
    <row r="93" spans="1:9" ht="15.75">
      <c r="A93" s="236" t="s">
        <v>82</v>
      </c>
      <c r="B93" s="236"/>
      <c r="C93" s="236"/>
      <c r="D93" s="236"/>
      <c r="E93" s="236"/>
      <c r="F93" s="236"/>
      <c r="G93" s="236"/>
      <c r="H93" s="236"/>
      <c r="I93" s="236"/>
    </row>
    <row r="94" spans="1:9" ht="15.75">
      <c r="A94" s="12"/>
    </row>
    <row r="95" spans="1:9" ht="15.75">
      <c r="A95" s="237" t="s">
        <v>11</v>
      </c>
      <c r="B95" s="237"/>
      <c r="C95" s="237"/>
      <c r="D95" s="237"/>
      <c r="E95" s="237"/>
      <c r="F95" s="237"/>
      <c r="G95" s="237"/>
      <c r="H95" s="237"/>
      <c r="I95" s="237"/>
    </row>
    <row r="96" spans="1:9" ht="15.75">
      <c r="A96" s="4"/>
    </row>
    <row r="97" spans="1:9" ht="15.75">
      <c r="B97" s="182" t="s">
        <v>12</v>
      </c>
      <c r="C97" s="229" t="s">
        <v>194</v>
      </c>
      <c r="D97" s="229"/>
      <c r="E97" s="229"/>
      <c r="F97" s="190"/>
      <c r="I97" s="183"/>
    </row>
    <row r="98" spans="1:9">
      <c r="A98" s="184"/>
      <c r="C98" s="230" t="s">
        <v>13</v>
      </c>
      <c r="D98" s="230"/>
      <c r="E98" s="230"/>
      <c r="F98" s="38"/>
      <c r="I98" s="181" t="s">
        <v>14</v>
      </c>
    </row>
    <row r="99" spans="1:9" ht="15.75">
      <c r="A99" s="39"/>
      <c r="C99" s="13"/>
      <c r="D99" s="13"/>
      <c r="G99" s="13"/>
      <c r="H99" s="13"/>
    </row>
    <row r="100" spans="1:9" ht="15.75">
      <c r="B100" s="182" t="s">
        <v>15</v>
      </c>
      <c r="C100" s="231"/>
      <c r="D100" s="231"/>
      <c r="E100" s="231"/>
      <c r="F100" s="191"/>
      <c r="I100" s="183"/>
    </row>
    <row r="101" spans="1:9">
      <c r="A101" s="184"/>
      <c r="C101" s="232" t="s">
        <v>13</v>
      </c>
      <c r="D101" s="232"/>
      <c r="E101" s="232"/>
      <c r="F101" s="184"/>
      <c r="I101" s="181" t="s">
        <v>14</v>
      </c>
    </row>
    <row r="102" spans="1:9" ht="15.75">
      <c r="A102" s="4" t="s">
        <v>16</v>
      </c>
    </row>
    <row r="103" spans="1:9">
      <c r="A103" s="233" t="s">
        <v>17</v>
      </c>
      <c r="B103" s="233"/>
      <c r="C103" s="233"/>
      <c r="D103" s="233"/>
      <c r="E103" s="233"/>
      <c r="F103" s="233"/>
      <c r="G103" s="233"/>
      <c r="H103" s="233"/>
      <c r="I103" s="233"/>
    </row>
    <row r="104" spans="1:9" ht="47.25" customHeight="1">
      <c r="A104" s="225" t="s">
        <v>18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31.5" customHeight="1">
      <c r="A105" s="225" t="s">
        <v>19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31.5" customHeight="1">
      <c r="A106" s="225" t="s">
        <v>24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 customHeight="1">
      <c r="A107" s="225" t="s">
        <v>23</v>
      </c>
      <c r="B107" s="225"/>
      <c r="C107" s="225"/>
      <c r="D107" s="225"/>
      <c r="E107" s="225"/>
      <c r="F107" s="225"/>
      <c r="G107" s="225"/>
      <c r="H107" s="225"/>
      <c r="I107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7:I27"/>
    <mergeCell ref="A44:I44"/>
    <mergeCell ref="A54:I54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9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248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110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42460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hidden="1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hidden="1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hidden="1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hidden="1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hidden="1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customHeight="1">
      <c r="A52" s="49">
        <v>12</v>
      </c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f>F52/2*G52</f>
        <v>64.288200000000003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customHeight="1">
      <c r="A56" s="49">
        <v>13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14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15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G71*3.1</f>
        <v>1768.674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16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17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I16+I17+I18+I25+I26+I37+I38+I40+I41+I42+I43+I52+I56+I59+I71+I79+I80</f>
        <v>42827.697765883335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18</v>
      </c>
      <c r="B83" s="146" t="s">
        <v>106</v>
      </c>
      <c r="C83" s="193" t="s">
        <v>183</v>
      </c>
      <c r="D83" s="20"/>
      <c r="E83" s="25"/>
      <c r="F83" s="18">
        <v>15</v>
      </c>
      <c r="G83" s="18">
        <v>79.09</v>
      </c>
      <c r="H83" s="18">
        <f>SUM(F83*G83/1000)</f>
        <v>1.1863500000000002</v>
      </c>
      <c r="I83" s="218">
        <f>G83</f>
        <v>79.09</v>
      </c>
    </row>
    <row r="84" spans="1:9" ht="15.75" hidden="1" customHeight="1">
      <c r="A84" s="49"/>
      <c r="B84" s="146" t="s">
        <v>218</v>
      </c>
      <c r="C84" s="193" t="s">
        <v>116</v>
      </c>
      <c r="D84" s="87"/>
      <c r="E84" s="18"/>
      <c r="F84" s="18">
        <v>1</v>
      </c>
      <c r="G84" s="18">
        <v>185.81</v>
      </c>
      <c r="H84" s="211">
        <f t="shared" ref="H84:H98" si="6">G84*F84/1000</f>
        <v>0.18581</v>
      </c>
      <c r="I84" s="218">
        <v>0</v>
      </c>
    </row>
    <row r="85" spans="1:9" ht="15.75" hidden="1" customHeight="1">
      <c r="A85" s="49"/>
      <c r="B85" s="219" t="s">
        <v>219</v>
      </c>
      <c r="C85" s="49" t="s">
        <v>220</v>
      </c>
      <c r="D85" s="87"/>
      <c r="E85" s="18"/>
      <c r="F85" s="18">
        <v>1</v>
      </c>
      <c r="G85" s="18">
        <v>383.01</v>
      </c>
      <c r="H85" s="211">
        <f t="shared" si="6"/>
        <v>0.38301000000000002</v>
      </c>
      <c r="I85" s="218">
        <v>0</v>
      </c>
    </row>
    <row r="86" spans="1:9" ht="15.75" hidden="1" customHeight="1">
      <c r="A86" s="49"/>
      <c r="B86" s="146" t="s">
        <v>221</v>
      </c>
      <c r="C86" s="193" t="s">
        <v>109</v>
      </c>
      <c r="D86" s="87"/>
      <c r="E86" s="18"/>
      <c r="F86" s="18">
        <v>3</v>
      </c>
      <c r="G86" s="18">
        <v>778.86</v>
      </c>
      <c r="H86" s="211">
        <f t="shared" si="6"/>
        <v>2.3365800000000001</v>
      </c>
      <c r="I86" s="218">
        <v>0</v>
      </c>
    </row>
    <row r="87" spans="1:9" ht="15.75" hidden="1" customHeight="1">
      <c r="A87" s="49"/>
      <c r="B87" s="146" t="s">
        <v>222</v>
      </c>
      <c r="C87" s="193" t="s">
        <v>199</v>
      </c>
      <c r="D87" s="87"/>
      <c r="E87" s="18"/>
      <c r="F87" s="18">
        <v>1</v>
      </c>
      <c r="G87" s="18">
        <v>398.96</v>
      </c>
      <c r="H87" s="211">
        <f t="shared" si="6"/>
        <v>0.39895999999999998</v>
      </c>
      <c r="I87" s="218">
        <v>0</v>
      </c>
    </row>
    <row r="88" spans="1:9" ht="15.75" hidden="1" customHeight="1">
      <c r="A88" s="49"/>
      <c r="B88" s="146" t="s">
        <v>112</v>
      </c>
      <c r="C88" s="193" t="s">
        <v>183</v>
      </c>
      <c r="D88" s="87"/>
      <c r="E88" s="18"/>
      <c r="F88" s="18">
        <v>3</v>
      </c>
      <c r="G88" s="18">
        <v>180.15</v>
      </c>
      <c r="H88" s="211">
        <f t="shared" si="6"/>
        <v>0.5404500000000001</v>
      </c>
      <c r="I88" s="218">
        <v>0</v>
      </c>
    </row>
    <row r="89" spans="1:9" ht="15.75" hidden="1" customHeight="1">
      <c r="A89" s="49"/>
      <c r="B89" s="146" t="s">
        <v>223</v>
      </c>
      <c r="C89" s="193" t="s">
        <v>49</v>
      </c>
      <c r="D89" s="87"/>
      <c r="E89" s="18"/>
      <c r="F89" s="18">
        <f>5/100</f>
        <v>0.05</v>
      </c>
      <c r="G89" s="18">
        <v>3397.65</v>
      </c>
      <c r="H89" s="211">
        <f t="shared" si="6"/>
        <v>0.16988250000000002</v>
      </c>
      <c r="I89" s="218">
        <v>0</v>
      </c>
    </row>
    <row r="90" spans="1:9" ht="15.75" hidden="1" customHeight="1">
      <c r="A90" s="49"/>
      <c r="B90" s="146" t="s">
        <v>146</v>
      </c>
      <c r="C90" s="193" t="s">
        <v>183</v>
      </c>
      <c r="D90" s="87"/>
      <c r="E90" s="18"/>
      <c r="F90" s="18">
        <v>3</v>
      </c>
      <c r="G90" s="18">
        <v>149.63999999999999</v>
      </c>
      <c r="H90" s="211">
        <f t="shared" si="6"/>
        <v>0.44891999999999999</v>
      </c>
      <c r="I90" s="218">
        <v>0</v>
      </c>
    </row>
    <row r="91" spans="1:9" ht="15.75" hidden="1" customHeight="1">
      <c r="A91" s="49"/>
      <c r="B91" s="146" t="s">
        <v>224</v>
      </c>
      <c r="C91" s="193" t="s">
        <v>183</v>
      </c>
      <c r="D91" s="20"/>
      <c r="E91" s="25"/>
      <c r="F91" s="18">
        <v>1</v>
      </c>
      <c r="G91" s="18">
        <v>178.79</v>
      </c>
      <c r="H91" s="211">
        <f t="shared" si="6"/>
        <v>0.17879</v>
      </c>
      <c r="I91" s="218">
        <v>0</v>
      </c>
    </row>
    <row r="92" spans="1:9" ht="15.75" hidden="1" customHeight="1">
      <c r="A92" s="49"/>
      <c r="B92" s="194" t="s">
        <v>117</v>
      </c>
      <c r="C92" s="217" t="s">
        <v>99</v>
      </c>
      <c r="D92" s="20"/>
      <c r="E92" s="25"/>
      <c r="F92" s="18">
        <f>2/10</f>
        <v>0.2</v>
      </c>
      <c r="G92" s="18">
        <v>3800</v>
      </c>
      <c r="H92" s="211">
        <f t="shared" si="6"/>
        <v>0.76</v>
      </c>
      <c r="I92" s="218">
        <v>0</v>
      </c>
    </row>
    <row r="93" spans="1:9" ht="15.75" hidden="1" customHeight="1">
      <c r="A93" s="49"/>
      <c r="B93" s="194" t="s">
        <v>118</v>
      </c>
      <c r="C93" s="193" t="s">
        <v>183</v>
      </c>
      <c r="D93" s="20"/>
      <c r="E93" s="25"/>
      <c r="F93" s="18">
        <v>3</v>
      </c>
      <c r="G93" s="18">
        <v>179.96</v>
      </c>
      <c r="H93" s="211">
        <f t="shared" si="6"/>
        <v>0.53988000000000003</v>
      </c>
      <c r="I93" s="218">
        <v>0</v>
      </c>
    </row>
    <row r="94" spans="1:9" ht="15.75" hidden="1" customHeight="1">
      <c r="A94" s="49"/>
      <c r="B94" s="179" t="s">
        <v>202</v>
      </c>
      <c r="C94" s="180" t="s">
        <v>203</v>
      </c>
      <c r="D94" s="87"/>
      <c r="E94" s="18"/>
      <c r="F94" s="18">
        <f>18/3</f>
        <v>6</v>
      </c>
      <c r="G94" s="18">
        <v>1063.47</v>
      </c>
      <c r="H94" s="211">
        <f>G94*F94/1000</f>
        <v>6.3808199999999999</v>
      </c>
      <c r="I94" s="218">
        <v>0</v>
      </c>
    </row>
    <row r="95" spans="1:9" ht="15.75" hidden="1" customHeight="1">
      <c r="A95" s="49"/>
      <c r="B95" s="146" t="s">
        <v>225</v>
      </c>
      <c r="C95" s="193" t="s">
        <v>116</v>
      </c>
      <c r="D95" s="20"/>
      <c r="E95" s="25"/>
      <c r="F95" s="18">
        <v>1</v>
      </c>
      <c r="G95" s="18">
        <v>225.27</v>
      </c>
      <c r="H95" s="211">
        <f t="shared" si="6"/>
        <v>0.22527</v>
      </c>
      <c r="I95" s="218">
        <v>0</v>
      </c>
    </row>
    <row r="96" spans="1:9" ht="15.75" hidden="1" customHeight="1">
      <c r="A96" s="49"/>
      <c r="B96" s="146" t="s">
        <v>226</v>
      </c>
      <c r="C96" s="193" t="s">
        <v>227</v>
      </c>
      <c r="D96" s="20"/>
      <c r="E96" s="25"/>
      <c r="F96" s="18">
        <v>1</v>
      </c>
      <c r="G96" s="18">
        <v>629.39</v>
      </c>
      <c r="H96" s="211">
        <f t="shared" si="6"/>
        <v>0.62939000000000001</v>
      </c>
      <c r="I96" s="218">
        <v>0</v>
      </c>
    </row>
    <row r="97" spans="1:9" ht="15.75" hidden="1" customHeight="1">
      <c r="A97" s="49"/>
      <c r="B97" s="146" t="s">
        <v>228</v>
      </c>
      <c r="C97" s="193" t="s">
        <v>199</v>
      </c>
      <c r="D97" s="87"/>
      <c r="E97" s="18"/>
      <c r="F97" s="18">
        <v>1</v>
      </c>
      <c r="G97" s="18">
        <v>171.48</v>
      </c>
      <c r="H97" s="211">
        <f t="shared" si="6"/>
        <v>0.17147999999999999</v>
      </c>
      <c r="I97" s="218">
        <v>0</v>
      </c>
    </row>
    <row r="98" spans="1:9" ht="15.75" hidden="1" customHeight="1">
      <c r="A98" s="49"/>
      <c r="B98" s="146" t="s">
        <v>138</v>
      </c>
      <c r="C98" s="193" t="s">
        <v>199</v>
      </c>
      <c r="D98" s="87"/>
      <c r="E98" s="18"/>
      <c r="F98" s="18">
        <v>4</v>
      </c>
      <c r="G98" s="18">
        <v>559.62</v>
      </c>
      <c r="H98" s="211">
        <f t="shared" si="6"/>
        <v>2.23848</v>
      </c>
      <c r="I98" s="218">
        <v>0</v>
      </c>
    </row>
    <row r="99" spans="1:9" ht="15.75" hidden="1" customHeight="1">
      <c r="A99" s="49"/>
      <c r="B99" s="146" t="s">
        <v>229</v>
      </c>
      <c r="C99" s="193" t="s">
        <v>230</v>
      </c>
      <c r="D99" s="87"/>
      <c r="E99" s="18"/>
      <c r="F99" s="18">
        <f>40/10</f>
        <v>4</v>
      </c>
      <c r="G99" s="18">
        <v>2055.5300000000002</v>
      </c>
      <c r="H99" s="211">
        <f>G99*F99/1000</f>
        <v>8.2221200000000003</v>
      </c>
      <c r="I99" s="218">
        <v>0</v>
      </c>
    </row>
    <row r="100" spans="1:9" ht="15.75" hidden="1" customHeight="1">
      <c r="A100" s="49"/>
      <c r="B100" s="146" t="s">
        <v>131</v>
      </c>
      <c r="C100" s="193" t="s">
        <v>145</v>
      </c>
      <c r="D100" s="87"/>
      <c r="E100" s="18"/>
      <c r="F100" s="18">
        <v>3.5</v>
      </c>
      <c r="G100" s="18">
        <v>1501</v>
      </c>
      <c r="H100" s="18">
        <f t="shared" ref="H100:H105" si="7">G100*F100/1000</f>
        <v>5.2534999999999998</v>
      </c>
      <c r="I100" s="218">
        <v>0</v>
      </c>
    </row>
    <row r="101" spans="1:9" ht="15.75" hidden="1" customHeight="1">
      <c r="A101" s="49"/>
      <c r="B101" s="146" t="s">
        <v>231</v>
      </c>
      <c r="C101" s="193" t="s">
        <v>232</v>
      </c>
      <c r="D101" s="87"/>
      <c r="E101" s="18"/>
      <c r="F101" s="18">
        <v>8</v>
      </c>
      <c r="G101" s="18">
        <v>1187</v>
      </c>
      <c r="H101" s="18">
        <f t="shared" si="7"/>
        <v>9.4960000000000004</v>
      </c>
      <c r="I101" s="218">
        <v>0</v>
      </c>
    </row>
    <row r="102" spans="1:9" ht="15.75" hidden="1" customHeight="1">
      <c r="A102" s="49"/>
      <c r="B102" s="146" t="s">
        <v>233</v>
      </c>
      <c r="C102" s="193" t="s">
        <v>234</v>
      </c>
      <c r="D102" s="87"/>
      <c r="E102" s="18"/>
      <c r="F102" s="18">
        <v>2</v>
      </c>
      <c r="G102" s="18">
        <v>195.95</v>
      </c>
      <c r="H102" s="18">
        <f t="shared" si="7"/>
        <v>0.39189999999999997</v>
      </c>
      <c r="I102" s="218">
        <v>0</v>
      </c>
    </row>
    <row r="103" spans="1:9" ht="15.75" hidden="1" customHeight="1">
      <c r="A103" s="49"/>
      <c r="B103" s="146" t="s">
        <v>235</v>
      </c>
      <c r="C103" s="193" t="s">
        <v>236</v>
      </c>
      <c r="D103" s="87"/>
      <c r="E103" s="18"/>
      <c r="F103" s="18">
        <v>1</v>
      </c>
      <c r="G103" s="18">
        <v>51.39</v>
      </c>
      <c r="H103" s="211">
        <f t="shared" si="7"/>
        <v>5.1389999999999998E-2</v>
      </c>
      <c r="I103" s="218">
        <v>0</v>
      </c>
    </row>
    <row r="104" spans="1:9" ht="15.75" hidden="1" customHeight="1">
      <c r="A104" s="49"/>
      <c r="B104" s="146" t="s">
        <v>217</v>
      </c>
      <c r="C104" s="193" t="s">
        <v>183</v>
      </c>
      <c r="D104" s="87"/>
      <c r="E104" s="18"/>
      <c r="F104" s="18">
        <v>1</v>
      </c>
      <c r="G104" s="18">
        <v>2179.33</v>
      </c>
      <c r="H104" s="211">
        <f t="shared" si="7"/>
        <v>2.1793299999999998</v>
      </c>
      <c r="I104" s="218">
        <v>0</v>
      </c>
    </row>
    <row r="105" spans="1:9" ht="15.75" hidden="1" customHeight="1">
      <c r="A105" s="49"/>
      <c r="B105" s="146" t="s">
        <v>237</v>
      </c>
      <c r="C105" s="193" t="s">
        <v>201</v>
      </c>
      <c r="D105" s="87"/>
      <c r="E105" s="18"/>
      <c r="F105" s="18">
        <v>1</v>
      </c>
      <c r="G105" s="18">
        <v>92.24</v>
      </c>
      <c r="H105" s="211">
        <f t="shared" si="7"/>
        <v>9.2239999999999989E-2</v>
      </c>
      <c r="I105" s="218">
        <v>0</v>
      </c>
    </row>
    <row r="106" spans="1:9" ht="15.75" customHeight="1">
      <c r="A106" s="49"/>
      <c r="B106" s="81" t="s">
        <v>66</v>
      </c>
      <c r="C106" s="77"/>
      <c r="D106" s="131"/>
      <c r="E106" s="77">
        <v>1</v>
      </c>
      <c r="F106" s="77"/>
      <c r="G106" s="77"/>
      <c r="H106" s="77"/>
      <c r="I106" s="59">
        <f>SUM(I83:I105)</f>
        <v>79.09</v>
      </c>
    </row>
    <row r="107" spans="1:9" ht="15.75" customHeight="1">
      <c r="A107" s="49"/>
      <c r="B107" s="87" t="s">
        <v>103</v>
      </c>
      <c r="C107" s="21"/>
      <c r="D107" s="21"/>
      <c r="E107" s="78"/>
      <c r="F107" s="78"/>
      <c r="G107" s="79"/>
      <c r="H107" s="79"/>
      <c r="I107" s="24">
        <v>0</v>
      </c>
    </row>
    <row r="108" spans="1:9" ht="15.75" customHeight="1">
      <c r="A108" s="132"/>
      <c r="B108" s="82" t="s">
        <v>67</v>
      </c>
      <c r="C108" s="65"/>
      <c r="D108" s="65"/>
      <c r="E108" s="65"/>
      <c r="F108" s="65"/>
      <c r="G108" s="65"/>
      <c r="H108" s="65"/>
      <c r="I108" s="80">
        <f>I81+I106</f>
        <v>42906.787765883331</v>
      </c>
    </row>
    <row r="109" spans="1:9" ht="15.75">
      <c r="A109" s="239" t="s">
        <v>249</v>
      </c>
      <c r="B109" s="239"/>
      <c r="C109" s="239"/>
      <c r="D109" s="239"/>
      <c r="E109" s="239"/>
      <c r="F109" s="239"/>
      <c r="G109" s="239"/>
      <c r="H109" s="239"/>
      <c r="I109" s="239"/>
    </row>
    <row r="110" spans="1:9" ht="15.75">
      <c r="A110" s="187"/>
      <c r="B110" s="234" t="s">
        <v>250</v>
      </c>
      <c r="C110" s="234"/>
      <c r="D110" s="234"/>
      <c r="E110" s="234"/>
      <c r="F110" s="234"/>
      <c r="G110" s="234"/>
      <c r="H110" s="192"/>
      <c r="I110" s="3"/>
    </row>
    <row r="111" spans="1:9">
      <c r="A111" s="184"/>
      <c r="B111" s="230" t="s">
        <v>7</v>
      </c>
      <c r="C111" s="230"/>
      <c r="D111" s="230"/>
      <c r="E111" s="230"/>
      <c r="F111" s="230"/>
      <c r="G111" s="230"/>
      <c r="H111" s="38"/>
      <c r="I111" s="5"/>
    </row>
    <row r="112" spans="1:9">
      <c r="A112" s="11"/>
      <c r="B112" s="11"/>
      <c r="C112" s="11"/>
      <c r="D112" s="11"/>
      <c r="E112" s="11"/>
      <c r="F112" s="11"/>
      <c r="G112" s="11"/>
      <c r="H112" s="11"/>
      <c r="I112" s="11"/>
    </row>
    <row r="113" spans="1:9" ht="15.75">
      <c r="A113" s="235" t="s">
        <v>8</v>
      </c>
      <c r="B113" s="235"/>
      <c r="C113" s="235"/>
      <c r="D113" s="235"/>
      <c r="E113" s="235"/>
      <c r="F113" s="235"/>
      <c r="G113" s="235"/>
      <c r="H113" s="235"/>
      <c r="I113" s="235"/>
    </row>
    <row r="114" spans="1:9" ht="15.75">
      <c r="A114" s="235" t="s">
        <v>9</v>
      </c>
      <c r="B114" s="235"/>
      <c r="C114" s="235"/>
      <c r="D114" s="235"/>
      <c r="E114" s="235"/>
      <c r="F114" s="235"/>
      <c r="G114" s="235"/>
      <c r="H114" s="235"/>
      <c r="I114" s="235"/>
    </row>
    <row r="115" spans="1:9" ht="15.75">
      <c r="A115" s="236" t="s">
        <v>82</v>
      </c>
      <c r="B115" s="236"/>
      <c r="C115" s="236"/>
      <c r="D115" s="236"/>
      <c r="E115" s="236"/>
      <c r="F115" s="236"/>
      <c r="G115" s="236"/>
      <c r="H115" s="236"/>
      <c r="I115" s="236"/>
    </row>
    <row r="116" spans="1:9" ht="15.75">
      <c r="A116" s="12"/>
    </row>
    <row r="117" spans="1:9" ht="15.75">
      <c r="A117" s="237" t="s">
        <v>11</v>
      </c>
      <c r="B117" s="237"/>
      <c r="C117" s="237"/>
      <c r="D117" s="237"/>
      <c r="E117" s="237"/>
      <c r="F117" s="237"/>
      <c r="G117" s="237"/>
      <c r="H117" s="237"/>
      <c r="I117" s="237"/>
    </row>
    <row r="118" spans="1:9" ht="15.75">
      <c r="A118" s="4"/>
    </row>
    <row r="119" spans="1:9" ht="15.75">
      <c r="B119" s="182" t="s">
        <v>12</v>
      </c>
      <c r="C119" s="229" t="s">
        <v>194</v>
      </c>
      <c r="D119" s="229"/>
      <c r="E119" s="229"/>
      <c r="F119" s="190"/>
      <c r="I119" s="183"/>
    </row>
    <row r="120" spans="1:9">
      <c r="A120" s="184"/>
      <c r="C120" s="230" t="s">
        <v>13</v>
      </c>
      <c r="D120" s="230"/>
      <c r="E120" s="230"/>
      <c r="F120" s="38"/>
      <c r="I120" s="181" t="s">
        <v>14</v>
      </c>
    </row>
    <row r="121" spans="1:9" ht="15.75">
      <c r="A121" s="39"/>
      <c r="C121" s="13"/>
      <c r="D121" s="13"/>
      <c r="G121" s="13"/>
      <c r="H121" s="13"/>
    </row>
    <row r="122" spans="1:9" ht="15.75">
      <c r="B122" s="182" t="s">
        <v>15</v>
      </c>
      <c r="C122" s="231"/>
      <c r="D122" s="231"/>
      <c r="E122" s="231"/>
      <c r="F122" s="191"/>
      <c r="I122" s="183"/>
    </row>
    <row r="123" spans="1:9">
      <c r="A123" s="184"/>
      <c r="C123" s="232" t="s">
        <v>13</v>
      </c>
      <c r="D123" s="232"/>
      <c r="E123" s="232"/>
      <c r="F123" s="184"/>
      <c r="I123" s="181" t="s">
        <v>14</v>
      </c>
    </row>
    <row r="124" spans="1:9" ht="15.75">
      <c r="A124" s="4" t="s">
        <v>16</v>
      </c>
    </row>
    <row r="125" spans="1:9">
      <c r="A125" s="233" t="s">
        <v>17</v>
      </c>
      <c r="B125" s="233"/>
      <c r="C125" s="233"/>
      <c r="D125" s="233"/>
      <c r="E125" s="233"/>
      <c r="F125" s="233"/>
      <c r="G125" s="233"/>
      <c r="H125" s="233"/>
      <c r="I125" s="233"/>
    </row>
    <row r="126" spans="1:9" ht="47.25" customHeight="1">
      <c r="A126" s="225" t="s">
        <v>18</v>
      </c>
      <c r="B126" s="225"/>
      <c r="C126" s="225"/>
      <c r="D126" s="225"/>
      <c r="E126" s="225"/>
      <c r="F126" s="225"/>
      <c r="G126" s="225"/>
      <c r="H126" s="225"/>
      <c r="I126" s="225"/>
    </row>
    <row r="127" spans="1:9" ht="31.5" customHeight="1">
      <c r="A127" s="225" t="s">
        <v>19</v>
      </c>
      <c r="B127" s="225"/>
      <c r="C127" s="225"/>
      <c r="D127" s="225"/>
      <c r="E127" s="225"/>
      <c r="F127" s="225"/>
      <c r="G127" s="225"/>
      <c r="H127" s="225"/>
      <c r="I127" s="225"/>
    </row>
    <row r="128" spans="1:9" ht="31.5" customHeight="1">
      <c r="A128" s="225" t="s">
        <v>24</v>
      </c>
      <c r="B128" s="225"/>
      <c r="C128" s="225"/>
      <c r="D128" s="225"/>
      <c r="E128" s="225"/>
      <c r="F128" s="225"/>
      <c r="G128" s="225"/>
      <c r="H128" s="225"/>
      <c r="I128" s="225"/>
    </row>
    <row r="129" spans="1:9" ht="15.75" customHeight="1">
      <c r="A129" s="225" t="s">
        <v>23</v>
      </c>
      <c r="B129" s="225"/>
      <c r="C129" s="225"/>
      <c r="D129" s="225"/>
      <c r="E129" s="225"/>
      <c r="F129" s="225"/>
      <c r="G129" s="225"/>
      <c r="H129" s="225"/>
      <c r="I129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115:I115"/>
    <mergeCell ref="A15:I15"/>
    <mergeCell ref="A27:I27"/>
    <mergeCell ref="A44:I44"/>
    <mergeCell ref="A54:I54"/>
    <mergeCell ref="A109:I109"/>
    <mergeCell ref="B110:G110"/>
    <mergeCell ref="B111:G111"/>
    <mergeCell ref="A113:I113"/>
    <mergeCell ref="A114:I114"/>
    <mergeCell ref="A126:I126"/>
    <mergeCell ref="A127:I127"/>
    <mergeCell ref="A128:I128"/>
    <mergeCell ref="A129:I129"/>
    <mergeCell ref="A117:I117"/>
    <mergeCell ref="C119:E119"/>
    <mergeCell ref="C120:E120"/>
    <mergeCell ref="C122:E122"/>
    <mergeCell ref="C123:E123"/>
    <mergeCell ref="A125:I12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251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111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42490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hidden="1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hidden="1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hidden="1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hidden="1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hidden="1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customHeight="1">
      <c r="A50" s="49">
        <v>12</v>
      </c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f>F50/2*G50</f>
        <v>847.92443299999991</v>
      </c>
      <c r="J50" s="34"/>
      <c r="L50" s="27"/>
      <c r="M50" s="28"/>
      <c r="N50" s="29"/>
    </row>
    <row r="51" spans="1:22" ht="31.5" customHeight="1">
      <c r="A51" s="49">
        <v>13</v>
      </c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f>F51/2*G51</f>
        <v>703.91200000000003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customHeight="1">
      <c r="A53" s="49">
        <v>14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customHeight="1">
      <c r="A56" s="49">
        <v>15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16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17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G71*1</f>
        <v>570.54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18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19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I16+I17+I18+I25+I26+I37+I38+I40+I41+I42+I43+I50+I51+I53+I56+I59+I71+I79+I80</f>
        <v>55817.811998883342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20</v>
      </c>
      <c r="B83" s="219" t="s">
        <v>219</v>
      </c>
      <c r="C83" s="49" t="s">
        <v>220</v>
      </c>
      <c r="D83" s="87"/>
      <c r="E83" s="18"/>
      <c r="F83" s="18">
        <v>1</v>
      </c>
      <c r="G83" s="18">
        <v>383.01</v>
      </c>
      <c r="H83" s="211">
        <f t="shared" ref="H83:H86" si="6">G83*F83/1000</f>
        <v>0.38301000000000002</v>
      </c>
      <c r="I83" s="218">
        <f>G83</f>
        <v>383.01</v>
      </c>
    </row>
    <row r="84" spans="1:9" ht="31.5" customHeight="1">
      <c r="A84" s="49">
        <v>21</v>
      </c>
      <c r="B84" s="146" t="s">
        <v>221</v>
      </c>
      <c r="C84" s="193" t="s">
        <v>109</v>
      </c>
      <c r="D84" s="87"/>
      <c r="E84" s="18"/>
      <c r="F84" s="18">
        <v>3</v>
      </c>
      <c r="G84" s="18">
        <v>778.86</v>
      </c>
      <c r="H84" s="211">
        <f t="shared" si="6"/>
        <v>2.3365800000000001</v>
      </c>
      <c r="I84" s="218">
        <f>G84*3</f>
        <v>2336.58</v>
      </c>
    </row>
    <row r="85" spans="1:9" ht="15.75" customHeight="1">
      <c r="A85" s="49">
        <v>22</v>
      </c>
      <c r="B85" s="146" t="s">
        <v>222</v>
      </c>
      <c r="C85" s="193" t="s">
        <v>199</v>
      </c>
      <c r="D85" s="87"/>
      <c r="E85" s="18"/>
      <c r="F85" s="18">
        <v>1</v>
      </c>
      <c r="G85" s="18">
        <v>398.96</v>
      </c>
      <c r="H85" s="211">
        <f t="shared" si="6"/>
        <v>0.39895999999999998</v>
      </c>
      <c r="I85" s="218">
        <f t="shared" ref="I85:I86" si="7">G85</f>
        <v>398.96</v>
      </c>
    </row>
    <row r="86" spans="1:9" ht="15.75" customHeight="1">
      <c r="A86" s="49">
        <v>23</v>
      </c>
      <c r="B86" s="146" t="s">
        <v>112</v>
      </c>
      <c r="C86" s="193" t="s">
        <v>183</v>
      </c>
      <c r="D86" s="87"/>
      <c r="E86" s="18"/>
      <c r="F86" s="18">
        <v>3</v>
      </c>
      <c r="G86" s="18">
        <v>180.15</v>
      </c>
      <c r="H86" s="211">
        <f t="shared" si="6"/>
        <v>0.5404500000000001</v>
      </c>
      <c r="I86" s="218">
        <f t="shared" si="7"/>
        <v>180.15</v>
      </c>
    </row>
    <row r="87" spans="1:9" ht="15.75" customHeight="1">
      <c r="A87" s="49"/>
      <c r="B87" s="81" t="s">
        <v>66</v>
      </c>
      <c r="C87" s="77"/>
      <c r="D87" s="131"/>
      <c r="E87" s="77">
        <v>1</v>
      </c>
      <c r="F87" s="77"/>
      <c r="G87" s="77"/>
      <c r="H87" s="77"/>
      <c r="I87" s="59">
        <f>SUM(I83:I86)</f>
        <v>3298.7000000000003</v>
      </c>
    </row>
    <row r="88" spans="1:9" ht="15.75" customHeight="1">
      <c r="A88" s="49"/>
      <c r="B88" s="87" t="s">
        <v>103</v>
      </c>
      <c r="C88" s="21"/>
      <c r="D88" s="21"/>
      <c r="E88" s="78"/>
      <c r="F88" s="78"/>
      <c r="G88" s="79"/>
      <c r="H88" s="79"/>
      <c r="I88" s="24">
        <v>0</v>
      </c>
    </row>
    <row r="89" spans="1:9" ht="15.75" customHeight="1">
      <c r="A89" s="132"/>
      <c r="B89" s="82" t="s">
        <v>67</v>
      </c>
      <c r="C89" s="65"/>
      <c r="D89" s="65"/>
      <c r="E89" s="65"/>
      <c r="F89" s="65"/>
      <c r="G89" s="65"/>
      <c r="H89" s="65"/>
      <c r="I89" s="80">
        <f>I81+I87</f>
        <v>59116.511998883339</v>
      </c>
    </row>
    <row r="90" spans="1:9" ht="15.75">
      <c r="A90" s="239" t="s">
        <v>252</v>
      </c>
      <c r="B90" s="239"/>
      <c r="C90" s="239"/>
      <c r="D90" s="239"/>
      <c r="E90" s="239"/>
      <c r="F90" s="239"/>
      <c r="G90" s="239"/>
      <c r="H90" s="239"/>
      <c r="I90" s="239"/>
    </row>
    <row r="91" spans="1:9" ht="15.75">
      <c r="A91" s="187"/>
      <c r="B91" s="234" t="s">
        <v>253</v>
      </c>
      <c r="C91" s="234"/>
      <c r="D91" s="234"/>
      <c r="E91" s="234"/>
      <c r="F91" s="234"/>
      <c r="G91" s="234"/>
      <c r="H91" s="192"/>
      <c r="I91" s="3"/>
    </row>
    <row r="92" spans="1:9">
      <c r="A92" s="184"/>
      <c r="B92" s="230" t="s">
        <v>7</v>
      </c>
      <c r="C92" s="230"/>
      <c r="D92" s="230"/>
      <c r="E92" s="230"/>
      <c r="F92" s="230"/>
      <c r="G92" s="230"/>
      <c r="H92" s="38"/>
      <c r="I92" s="5"/>
    </row>
    <row r="93" spans="1:9">
      <c r="A93" s="11"/>
      <c r="B93" s="11"/>
      <c r="C93" s="11"/>
      <c r="D93" s="11"/>
      <c r="E93" s="11"/>
      <c r="F93" s="11"/>
      <c r="G93" s="11"/>
      <c r="H93" s="11"/>
      <c r="I93" s="11"/>
    </row>
    <row r="94" spans="1:9" ht="15.75">
      <c r="A94" s="235" t="s">
        <v>8</v>
      </c>
      <c r="B94" s="235"/>
      <c r="C94" s="235"/>
      <c r="D94" s="235"/>
      <c r="E94" s="235"/>
      <c r="F94" s="235"/>
      <c r="G94" s="235"/>
      <c r="H94" s="235"/>
      <c r="I94" s="235"/>
    </row>
    <row r="95" spans="1:9" ht="15.75">
      <c r="A95" s="235" t="s">
        <v>9</v>
      </c>
      <c r="B95" s="235"/>
      <c r="C95" s="235"/>
      <c r="D95" s="235"/>
      <c r="E95" s="235"/>
      <c r="F95" s="235"/>
      <c r="G95" s="235"/>
      <c r="H95" s="235"/>
      <c r="I95" s="235"/>
    </row>
    <row r="96" spans="1:9" ht="15.75">
      <c r="A96" s="236" t="s">
        <v>82</v>
      </c>
      <c r="B96" s="236"/>
      <c r="C96" s="236"/>
      <c r="D96" s="236"/>
      <c r="E96" s="236"/>
      <c r="F96" s="236"/>
      <c r="G96" s="236"/>
      <c r="H96" s="236"/>
      <c r="I96" s="236"/>
    </row>
    <row r="97" spans="1:9" ht="15.75">
      <c r="A97" s="12"/>
    </row>
    <row r="98" spans="1:9" ht="15.75">
      <c r="A98" s="237" t="s">
        <v>11</v>
      </c>
      <c r="B98" s="237"/>
      <c r="C98" s="237"/>
      <c r="D98" s="237"/>
      <c r="E98" s="237"/>
      <c r="F98" s="237"/>
      <c r="G98" s="237"/>
      <c r="H98" s="237"/>
      <c r="I98" s="237"/>
    </row>
    <row r="99" spans="1:9" ht="15.75">
      <c r="A99" s="4"/>
    </row>
    <row r="100" spans="1:9" ht="15.75">
      <c r="B100" s="182" t="s">
        <v>12</v>
      </c>
      <c r="C100" s="229" t="s">
        <v>194</v>
      </c>
      <c r="D100" s="229"/>
      <c r="E100" s="229"/>
      <c r="F100" s="190"/>
      <c r="I100" s="183"/>
    </row>
    <row r="101" spans="1:9">
      <c r="A101" s="184"/>
      <c r="C101" s="230" t="s">
        <v>13</v>
      </c>
      <c r="D101" s="230"/>
      <c r="E101" s="230"/>
      <c r="F101" s="38"/>
      <c r="I101" s="181" t="s">
        <v>14</v>
      </c>
    </row>
    <row r="102" spans="1:9" ht="15.75">
      <c r="A102" s="39"/>
      <c r="C102" s="13"/>
      <c r="D102" s="13"/>
      <c r="G102" s="13"/>
      <c r="H102" s="13"/>
    </row>
    <row r="103" spans="1:9" ht="15.75">
      <c r="B103" s="182" t="s">
        <v>15</v>
      </c>
      <c r="C103" s="231"/>
      <c r="D103" s="231"/>
      <c r="E103" s="231"/>
      <c r="F103" s="191"/>
      <c r="I103" s="183"/>
    </row>
    <row r="104" spans="1:9">
      <c r="A104" s="184"/>
      <c r="C104" s="232" t="s">
        <v>13</v>
      </c>
      <c r="D104" s="232"/>
      <c r="E104" s="232"/>
      <c r="F104" s="184"/>
      <c r="I104" s="181" t="s">
        <v>14</v>
      </c>
    </row>
    <row r="105" spans="1:9" ht="15.75">
      <c r="A105" s="4" t="s">
        <v>16</v>
      </c>
    </row>
    <row r="106" spans="1:9">
      <c r="A106" s="233" t="s">
        <v>17</v>
      </c>
      <c r="B106" s="233"/>
      <c r="C106" s="233"/>
      <c r="D106" s="233"/>
      <c r="E106" s="233"/>
      <c r="F106" s="233"/>
      <c r="G106" s="233"/>
      <c r="H106" s="233"/>
      <c r="I106" s="233"/>
    </row>
    <row r="107" spans="1:9" ht="47.25" customHeight="1">
      <c r="A107" s="225" t="s">
        <v>18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31.5" customHeight="1">
      <c r="A108" s="225" t="s">
        <v>19</v>
      </c>
      <c r="B108" s="225"/>
      <c r="C108" s="225"/>
      <c r="D108" s="225"/>
      <c r="E108" s="225"/>
      <c r="F108" s="225"/>
      <c r="G108" s="225"/>
      <c r="H108" s="225"/>
      <c r="I108" s="225"/>
    </row>
    <row r="109" spans="1:9" ht="31.5" customHeight="1">
      <c r="A109" s="225" t="s">
        <v>24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15.75" customHeight="1">
      <c r="A110" s="225" t="s">
        <v>23</v>
      </c>
      <c r="B110" s="225"/>
      <c r="C110" s="225"/>
      <c r="D110" s="225"/>
      <c r="E110" s="225"/>
      <c r="F110" s="225"/>
      <c r="G110" s="225"/>
      <c r="H110" s="225"/>
      <c r="I110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6:I96"/>
    <mergeCell ref="A15:I15"/>
    <mergeCell ref="A27:I27"/>
    <mergeCell ref="A44:I44"/>
    <mergeCell ref="A54:I54"/>
    <mergeCell ref="A90:I90"/>
    <mergeCell ref="B91:G91"/>
    <mergeCell ref="B92:G92"/>
    <mergeCell ref="A94:I94"/>
    <mergeCell ref="A95:I95"/>
    <mergeCell ref="A107:I107"/>
    <mergeCell ref="A108:I108"/>
    <mergeCell ref="A109:I109"/>
    <mergeCell ref="A110:I110"/>
    <mergeCell ref="A98:I98"/>
    <mergeCell ref="C100:E100"/>
    <mergeCell ref="C101:E101"/>
    <mergeCell ref="C103:E103"/>
    <mergeCell ref="C104:E104"/>
    <mergeCell ref="A106:I10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07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255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113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42521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f>F19/2*G19</f>
        <v>139.35599999999999</v>
      </c>
      <c r="J19" s="33"/>
      <c r="K19" s="8"/>
      <c r="L19" s="8"/>
      <c r="M19" s="8"/>
    </row>
    <row r="20" spans="1:13" ht="15.75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f>F20/2*G20</f>
        <v>36.280847999999999</v>
      </c>
      <c r="J20" s="33"/>
      <c r="K20" s="8"/>
      <c r="L20" s="8"/>
      <c r="M20" s="8"/>
    </row>
    <row r="21" spans="1:13" ht="15.75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f t="shared" ref="I21" si="1">F21/2*G21</f>
        <v>24.777647999999999</v>
      </c>
      <c r="J21" s="33"/>
      <c r="K21" s="8"/>
      <c r="L21" s="8"/>
      <c r="M21" s="8"/>
    </row>
    <row r="22" spans="1:13" ht="15.75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f>F22*G22</f>
        <v>650.03684999999996</v>
      </c>
      <c r="J22" s="33"/>
      <c r="K22" s="8"/>
      <c r="L22" s="8"/>
      <c r="M22" s="8"/>
    </row>
    <row r="23" spans="1:13" ht="15.75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f t="shared" ref="I23:I24" si="2">F23*G23</f>
        <v>23.47242</v>
      </c>
      <c r="J23" s="33"/>
      <c r="K23" s="8"/>
      <c r="L23" s="8"/>
      <c r="M23" s="8"/>
    </row>
    <row r="24" spans="1:13" ht="15.75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f t="shared" si="2"/>
        <v>11.8474</v>
      </c>
      <c r="J24" s="33"/>
      <c r="K24" s="8"/>
      <c r="L24" s="8"/>
      <c r="M24" s="8"/>
    </row>
    <row r="25" spans="1:13" ht="15.75" customHeight="1">
      <c r="A25" s="49">
        <v>10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11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12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3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13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3"/>
        <v>6.1742594862000004</v>
      </c>
      <c r="I30" s="18">
        <f t="shared" ref="I30:I32" si="4">F30/6*G30</f>
        <v>1029.0432476999999</v>
      </c>
      <c r="J30" s="33"/>
      <c r="K30" s="8"/>
      <c r="L30" s="8"/>
      <c r="M30" s="8"/>
    </row>
    <row r="31" spans="1:13" ht="15.75" customHeight="1">
      <c r="A31" s="49">
        <v>14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3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15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4"/>
        <v>765.15233333333344</v>
      </c>
      <c r="J32" s="33"/>
      <c r="K32" s="8"/>
      <c r="L32" s="8"/>
      <c r="M32" s="8"/>
    </row>
    <row r="33" spans="1:14" ht="15.75" customHeight="1">
      <c r="A33" s="49">
        <v>16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3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3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5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5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5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5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5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customHeight="1">
      <c r="A45" s="49">
        <v>17</v>
      </c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6">SUM(F45*G45/1000)</f>
        <v>1.345267856</v>
      </c>
      <c r="I45" s="18">
        <f t="shared" ref="I45:I47" si="7">F45/2*G45</f>
        <v>672.63392799999997</v>
      </c>
      <c r="J45" s="34"/>
      <c r="L45" s="27"/>
      <c r="M45" s="28"/>
      <c r="N45" s="29"/>
    </row>
    <row r="46" spans="1:14" ht="15.75" customHeight="1">
      <c r="A46" s="49">
        <v>18</v>
      </c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6"/>
        <v>0.46755279999999999</v>
      </c>
      <c r="I46" s="18">
        <f t="shared" si="7"/>
        <v>233.7764</v>
      </c>
      <c r="J46" s="34"/>
      <c r="L46" s="27"/>
      <c r="M46" s="28"/>
      <c r="N46" s="29"/>
    </row>
    <row r="47" spans="1:14" ht="15.75" customHeight="1">
      <c r="A47" s="49">
        <v>19</v>
      </c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6"/>
        <v>9.8097870272000005</v>
      </c>
      <c r="I47" s="18">
        <f t="shared" si="7"/>
        <v>4904.8935136</v>
      </c>
      <c r="J47" s="34"/>
      <c r="L47" s="27"/>
      <c r="M47" s="28"/>
      <c r="N47" s="29"/>
    </row>
    <row r="48" spans="1:14" ht="15.75" customHeight="1">
      <c r="A48" s="49">
        <v>20</v>
      </c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6"/>
        <v>3.6199898183999997</v>
      </c>
      <c r="I48" s="18">
        <f>F48/2*G48</f>
        <v>1809.9949091999999</v>
      </c>
      <c r="J48" s="34"/>
      <c r="L48" s="27"/>
      <c r="M48" s="28"/>
      <c r="N48" s="29"/>
    </row>
    <row r="49" spans="1:22" ht="31.5" customHeight="1">
      <c r="A49" s="49">
        <v>21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6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6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6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6"/>
        <v>0.12857640000000001</v>
      </c>
      <c r="I52" s="18">
        <v>0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6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22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8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8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customHeight="1">
      <c r="A63" s="49">
        <v>23</v>
      </c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8"/>
        <v>20.9746652</v>
      </c>
      <c r="I63" s="18">
        <f>F63*G63</f>
        <v>20974.665199999999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customHeight="1">
      <c r="A64" s="49">
        <v>24</v>
      </c>
      <c r="B64" s="20" t="s">
        <v>63</v>
      </c>
      <c r="C64" s="22" t="s">
        <v>187</v>
      </c>
      <c r="D64" s="20" t="s">
        <v>69</v>
      </c>
      <c r="E64" s="197">
        <v>8692</v>
      </c>
      <c r="F64" s="18">
        <f>SUM(E64/1000)</f>
        <v>8.6920000000000002</v>
      </c>
      <c r="G64" s="18">
        <v>187.91</v>
      </c>
      <c r="H64" s="211">
        <f t="shared" si="8"/>
        <v>1.6333137200000001</v>
      </c>
      <c r="I64" s="18">
        <f t="shared" ref="I64:I67" si="9">F64*G64</f>
        <v>1633.3137200000001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customHeight="1">
      <c r="A65" s="49">
        <v>25</v>
      </c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8"/>
        <v>20.175605999999998</v>
      </c>
      <c r="I65" s="18">
        <f t="shared" si="9"/>
        <v>20175.606</v>
      </c>
    </row>
    <row r="66" spans="1:9" ht="15.75" customHeight="1">
      <c r="A66" s="49">
        <v>26</v>
      </c>
      <c r="B66" s="212" t="s">
        <v>188</v>
      </c>
      <c r="C66" s="22" t="s">
        <v>40</v>
      </c>
      <c r="D66" s="20" t="s">
        <v>69</v>
      </c>
      <c r="E66" s="197">
        <v>8.6</v>
      </c>
      <c r="F66" s="18">
        <f>SUM(E66)</f>
        <v>8.6</v>
      </c>
      <c r="G66" s="18">
        <v>42.67</v>
      </c>
      <c r="H66" s="211">
        <f t="shared" si="8"/>
        <v>0.36696200000000001</v>
      </c>
      <c r="I66" s="18">
        <f t="shared" si="9"/>
        <v>366.96199999999999</v>
      </c>
    </row>
    <row r="67" spans="1:9" ht="15.75" customHeight="1">
      <c r="A67" s="49">
        <v>27</v>
      </c>
      <c r="B67" s="212" t="s">
        <v>189</v>
      </c>
      <c r="C67" s="22" t="s">
        <v>40</v>
      </c>
      <c r="D67" s="20" t="s">
        <v>69</v>
      </c>
      <c r="E67" s="197">
        <v>8.6</v>
      </c>
      <c r="F67" s="18">
        <f>SUM(E67)</f>
        <v>8.6</v>
      </c>
      <c r="G67" s="18">
        <v>39.81</v>
      </c>
      <c r="H67" s="211">
        <f t="shared" si="8"/>
        <v>0.342366</v>
      </c>
      <c r="I67" s="18">
        <f t="shared" si="9"/>
        <v>342.36599999999999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8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8"/>
        <v>0.45427999999999996</v>
      </c>
      <c r="I70" s="18">
        <v>0</v>
      </c>
    </row>
    <row r="71" spans="1:9" ht="15.75" customHeight="1">
      <c r="A71" s="49">
        <v>28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8"/>
        <v>1.1410799999999999</v>
      </c>
      <c r="I71" s="18">
        <f>G71*2.3</f>
        <v>1312.2419999999997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8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29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30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I16+I17+I18+I19+I20+I21+I22+I23+I24+I25+I26+I29+I30+I31+I32+I33+I45+I46+I47+I48+I49+I59+I63+I64+I65+I66+I67+I71+I79+I80</f>
        <v>105280.72628594443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31</v>
      </c>
      <c r="B83" s="146" t="s">
        <v>106</v>
      </c>
      <c r="C83" s="193" t="s">
        <v>183</v>
      </c>
      <c r="D83" s="20"/>
      <c r="E83" s="25"/>
      <c r="F83" s="18">
        <v>15</v>
      </c>
      <c r="G83" s="18">
        <v>79.09</v>
      </c>
      <c r="H83" s="18">
        <f>SUM(F83*G83/1000)</f>
        <v>1.1863500000000002</v>
      </c>
      <c r="I83" s="218">
        <f>G83*3</f>
        <v>237.27</v>
      </c>
    </row>
    <row r="84" spans="1:9" ht="15.75" customHeight="1">
      <c r="A84" s="49"/>
      <c r="B84" s="81" t="s">
        <v>66</v>
      </c>
      <c r="C84" s="77"/>
      <c r="D84" s="131"/>
      <c r="E84" s="77">
        <v>1</v>
      </c>
      <c r="F84" s="77"/>
      <c r="G84" s="77"/>
      <c r="H84" s="77"/>
      <c r="I84" s="59">
        <f>SUM(I83:I83)</f>
        <v>237.27</v>
      </c>
    </row>
    <row r="85" spans="1:9" ht="15.75" customHeight="1">
      <c r="A85" s="49"/>
      <c r="B85" s="87" t="s">
        <v>103</v>
      </c>
      <c r="C85" s="21"/>
      <c r="D85" s="21"/>
      <c r="E85" s="78"/>
      <c r="F85" s="78"/>
      <c r="G85" s="79"/>
      <c r="H85" s="79"/>
      <c r="I85" s="24">
        <v>0</v>
      </c>
    </row>
    <row r="86" spans="1:9" ht="15.75" customHeight="1">
      <c r="A86" s="132"/>
      <c r="B86" s="82" t="s">
        <v>67</v>
      </c>
      <c r="C86" s="65"/>
      <c r="D86" s="65"/>
      <c r="E86" s="65"/>
      <c r="F86" s="65"/>
      <c r="G86" s="65"/>
      <c r="H86" s="65"/>
      <c r="I86" s="80">
        <f>I81+I84</f>
        <v>105517.99628594443</v>
      </c>
    </row>
    <row r="87" spans="1:9" ht="15.75">
      <c r="A87" s="239" t="s">
        <v>256</v>
      </c>
      <c r="B87" s="239"/>
      <c r="C87" s="239"/>
      <c r="D87" s="239"/>
      <c r="E87" s="239"/>
      <c r="F87" s="239"/>
      <c r="G87" s="239"/>
      <c r="H87" s="239"/>
      <c r="I87" s="239"/>
    </row>
    <row r="88" spans="1:9" ht="15.75">
      <c r="A88" s="187"/>
      <c r="B88" s="234" t="s">
        <v>271</v>
      </c>
      <c r="C88" s="234"/>
      <c r="D88" s="234"/>
      <c r="E88" s="234"/>
      <c r="F88" s="234"/>
      <c r="G88" s="234"/>
      <c r="H88" s="192"/>
      <c r="I88" s="3"/>
    </row>
    <row r="89" spans="1:9">
      <c r="A89" s="184"/>
      <c r="B89" s="230" t="s">
        <v>7</v>
      </c>
      <c r="C89" s="230"/>
      <c r="D89" s="230"/>
      <c r="E89" s="230"/>
      <c r="F89" s="230"/>
      <c r="G89" s="230"/>
      <c r="H89" s="38"/>
      <c r="I89" s="5"/>
    </row>
    <row r="90" spans="1:9">
      <c r="A90" s="11"/>
      <c r="B90" s="11"/>
      <c r="C90" s="11"/>
      <c r="D90" s="11"/>
      <c r="E90" s="11"/>
      <c r="F90" s="11"/>
      <c r="G90" s="11"/>
      <c r="H90" s="11"/>
      <c r="I90" s="11"/>
    </row>
    <row r="91" spans="1:9" ht="15.75">
      <c r="A91" s="235" t="s">
        <v>8</v>
      </c>
      <c r="B91" s="235"/>
      <c r="C91" s="235"/>
      <c r="D91" s="235"/>
      <c r="E91" s="235"/>
      <c r="F91" s="235"/>
      <c r="G91" s="235"/>
      <c r="H91" s="235"/>
      <c r="I91" s="235"/>
    </row>
    <row r="92" spans="1:9" ht="15.75">
      <c r="A92" s="235" t="s">
        <v>9</v>
      </c>
      <c r="B92" s="235"/>
      <c r="C92" s="235"/>
      <c r="D92" s="235"/>
      <c r="E92" s="235"/>
      <c r="F92" s="235"/>
      <c r="G92" s="235"/>
      <c r="H92" s="235"/>
      <c r="I92" s="235"/>
    </row>
    <row r="93" spans="1:9" ht="15.75">
      <c r="A93" s="236" t="s">
        <v>82</v>
      </c>
      <c r="B93" s="236"/>
      <c r="C93" s="236"/>
      <c r="D93" s="236"/>
      <c r="E93" s="236"/>
      <c r="F93" s="236"/>
      <c r="G93" s="236"/>
      <c r="H93" s="236"/>
      <c r="I93" s="236"/>
    </row>
    <row r="94" spans="1:9" ht="15.75">
      <c r="A94" s="12"/>
    </row>
    <row r="95" spans="1:9" ht="15.75">
      <c r="A95" s="237" t="s">
        <v>11</v>
      </c>
      <c r="B95" s="237"/>
      <c r="C95" s="237"/>
      <c r="D95" s="237"/>
      <c r="E95" s="237"/>
      <c r="F95" s="237"/>
      <c r="G95" s="237"/>
      <c r="H95" s="237"/>
      <c r="I95" s="237"/>
    </row>
    <row r="96" spans="1:9" ht="15.75">
      <c r="A96" s="4"/>
    </row>
    <row r="97" spans="1:9" ht="15.75">
      <c r="B97" s="182" t="s">
        <v>12</v>
      </c>
      <c r="C97" s="229" t="s">
        <v>194</v>
      </c>
      <c r="D97" s="229"/>
      <c r="E97" s="229"/>
      <c r="F97" s="190"/>
      <c r="I97" s="183"/>
    </row>
    <row r="98" spans="1:9">
      <c r="A98" s="184"/>
      <c r="C98" s="230" t="s">
        <v>13</v>
      </c>
      <c r="D98" s="230"/>
      <c r="E98" s="230"/>
      <c r="F98" s="38"/>
      <c r="I98" s="181" t="s">
        <v>14</v>
      </c>
    </row>
    <row r="99" spans="1:9" ht="15.75">
      <c r="A99" s="39"/>
      <c r="C99" s="13"/>
      <c r="D99" s="13"/>
      <c r="G99" s="13"/>
      <c r="H99" s="13"/>
    </row>
    <row r="100" spans="1:9" ht="15.75">
      <c r="B100" s="182" t="s">
        <v>15</v>
      </c>
      <c r="C100" s="231"/>
      <c r="D100" s="231"/>
      <c r="E100" s="231"/>
      <c r="F100" s="191"/>
      <c r="I100" s="183"/>
    </row>
    <row r="101" spans="1:9">
      <c r="A101" s="184"/>
      <c r="C101" s="232" t="s">
        <v>13</v>
      </c>
      <c r="D101" s="232"/>
      <c r="E101" s="232"/>
      <c r="F101" s="184"/>
      <c r="I101" s="181" t="s">
        <v>14</v>
      </c>
    </row>
    <row r="102" spans="1:9" ht="15.75">
      <c r="A102" s="4" t="s">
        <v>16</v>
      </c>
    </row>
    <row r="103" spans="1:9">
      <c r="A103" s="233" t="s">
        <v>17</v>
      </c>
      <c r="B103" s="233"/>
      <c r="C103" s="233"/>
      <c r="D103" s="233"/>
      <c r="E103" s="233"/>
      <c r="F103" s="233"/>
      <c r="G103" s="233"/>
      <c r="H103" s="233"/>
      <c r="I103" s="233"/>
    </row>
    <row r="104" spans="1:9" ht="47.25" customHeight="1">
      <c r="A104" s="225" t="s">
        <v>18</v>
      </c>
      <c r="B104" s="225"/>
      <c r="C104" s="225"/>
      <c r="D104" s="225"/>
      <c r="E104" s="225"/>
      <c r="F104" s="225"/>
      <c r="G104" s="225"/>
      <c r="H104" s="225"/>
      <c r="I104" s="225"/>
    </row>
    <row r="105" spans="1:9" ht="31.5" customHeight="1">
      <c r="A105" s="225" t="s">
        <v>19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31.5" customHeight="1">
      <c r="A106" s="225" t="s">
        <v>24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15.75" customHeight="1">
      <c r="A107" s="225" t="s">
        <v>23</v>
      </c>
      <c r="B107" s="225"/>
      <c r="C107" s="225"/>
      <c r="D107" s="225"/>
      <c r="E107" s="225"/>
      <c r="F107" s="225"/>
      <c r="G107" s="225"/>
      <c r="H107" s="225"/>
      <c r="I107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3:I93"/>
    <mergeCell ref="A15:I15"/>
    <mergeCell ref="A27:I27"/>
    <mergeCell ref="A44:I44"/>
    <mergeCell ref="A54:I54"/>
    <mergeCell ref="A87:I87"/>
    <mergeCell ref="B88:G88"/>
    <mergeCell ref="B89:G89"/>
    <mergeCell ref="A91:I91"/>
    <mergeCell ref="A92:I92"/>
    <mergeCell ref="A104:I104"/>
    <mergeCell ref="A105:I105"/>
    <mergeCell ref="A106:I106"/>
    <mergeCell ref="A107:I107"/>
    <mergeCell ref="A95:I95"/>
    <mergeCell ref="C97:E97"/>
    <mergeCell ref="C98:E98"/>
    <mergeCell ref="C100:E100"/>
    <mergeCell ref="C101:E101"/>
    <mergeCell ref="A103:I10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257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75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223">
        <v>42551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hidden="1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258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10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11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G71*5.4</f>
        <v>3080.9160000000002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259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12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13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I16+I17+I18+I25+I26+I29+I30+I32+I33+I59+I71+I79+I80</f>
        <v>45339.534370144444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14</v>
      </c>
      <c r="B83" s="146" t="s">
        <v>223</v>
      </c>
      <c r="C83" s="193" t="s">
        <v>49</v>
      </c>
      <c r="D83" s="87"/>
      <c r="E83" s="18"/>
      <c r="F83" s="18">
        <f>5/100</f>
        <v>0.05</v>
      </c>
      <c r="G83" s="18">
        <v>3397.65</v>
      </c>
      <c r="H83" s="211">
        <f t="shared" ref="H83:H84" si="6">G83*F83/1000</f>
        <v>0.16988250000000002</v>
      </c>
      <c r="I83" s="218">
        <f>G83*0.01</f>
        <v>33.976500000000001</v>
      </c>
    </row>
    <row r="84" spans="1:9" ht="15.75" customHeight="1">
      <c r="A84" s="49">
        <v>15</v>
      </c>
      <c r="B84" s="146" t="s">
        <v>146</v>
      </c>
      <c r="C84" s="193" t="s">
        <v>183</v>
      </c>
      <c r="D84" s="87"/>
      <c r="E84" s="18"/>
      <c r="F84" s="18">
        <v>3</v>
      </c>
      <c r="G84" s="18">
        <v>149.63999999999999</v>
      </c>
      <c r="H84" s="211">
        <f t="shared" si="6"/>
        <v>0.44891999999999999</v>
      </c>
      <c r="I84" s="218">
        <f>G84*3</f>
        <v>448.91999999999996</v>
      </c>
    </row>
    <row r="85" spans="1:9" ht="15.75" customHeight="1">
      <c r="A85" s="49"/>
      <c r="B85" s="81" t="s">
        <v>66</v>
      </c>
      <c r="C85" s="77"/>
      <c r="D85" s="131"/>
      <c r="E85" s="77">
        <v>1</v>
      </c>
      <c r="F85" s="77"/>
      <c r="G85" s="77"/>
      <c r="H85" s="77"/>
      <c r="I85" s="59">
        <f>SUM(I83:I84)</f>
        <v>482.89649999999995</v>
      </c>
    </row>
    <row r="86" spans="1:9" ht="15.75" customHeight="1">
      <c r="A86" s="49"/>
      <c r="B86" s="87" t="s">
        <v>103</v>
      </c>
      <c r="C86" s="21"/>
      <c r="D86" s="21"/>
      <c r="E86" s="78"/>
      <c r="F86" s="78"/>
      <c r="G86" s="79"/>
      <c r="H86" s="79"/>
      <c r="I86" s="24">
        <v>0</v>
      </c>
    </row>
    <row r="87" spans="1:9" ht="15.75" customHeight="1">
      <c r="A87" s="132"/>
      <c r="B87" s="82" t="s">
        <v>67</v>
      </c>
      <c r="C87" s="65"/>
      <c r="D87" s="65"/>
      <c r="E87" s="65"/>
      <c r="F87" s="65"/>
      <c r="G87" s="65"/>
      <c r="H87" s="65"/>
      <c r="I87" s="80">
        <f>I81+I85</f>
        <v>45822.430870144446</v>
      </c>
    </row>
    <row r="88" spans="1:9" ht="15.75">
      <c r="A88" s="239" t="s">
        <v>260</v>
      </c>
      <c r="B88" s="239"/>
      <c r="C88" s="239"/>
      <c r="D88" s="239"/>
      <c r="E88" s="239"/>
      <c r="F88" s="239"/>
      <c r="G88" s="239"/>
      <c r="H88" s="239"/>
      <c r="I88" s="239"/>
    </row>
    <row r="89" spans="1:9" ht="15.75">
      <c r="A89" s="187"/>
      <c r="B89" s="234" t="s">
        <v>261</v>
      </c>
      <c r="C89" s="234"/>
      <c r="D89" s="234"/>
      <c r="E89" s="234"/>
      <c r="F89" s="234"/>
      <c r="G89" s="234"/>
      <c r="H89" s="192"/>
      <c r="I89" s="3"/>
    </row>
    <row r="90" spans="1:9">
      <c r="A90" s="184"/>
      <c r="B90" s="230" t="s">
        <v>7</v>
      </c>
      <c r="C90" s="230"/>
      <c r="D90" s="230"/>
      <c r="E90" s="230"/>
      <c r="F90" s="230"/>
      <c r="G90" s="230"/>
      <c r="H90" s="38"/>
      <c r="I90" s="5"/>
    </row>
    <row r="91" spans="1:9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5.75">
      <c r="A92" s="235" t="s">
        <v>8</v>
      </c>
      <c r="B92" s="235"/>
      <c r="C92" s="235"/>
      <c r="D92" s="235"/>
      <c r="E92" s="235"/>
      <c r="F92" s="235"/>
      <c r="G92" s="235"/>
      <c r="H92" s="235"/>
      <c r="I92" s="235"/>
    </row>
    <row r="93" spans="1:9" ht="15.75">
      <c r="A93" s="235" t="s">
        <v>9</v>
      </c>
      <c r="B93" s="235"/>
      <c r="C93" s="235"/>
      <c r="D93" s="235"/>
      <c r="E93" s="235"/>
      <c r="F93" s="235"/>
      <c r="G93" s="235"/>
      <c r="H93" s="235"/>
      <c r="I93" s="235"/>
    </row>
    <row r="94" spans="1:9" ht="15.75">
      <c r="A94" s="236" t="s">
        <v>82</v>
      </c>
      <c r="B94" s="236"/>
      <c r="C94" s="236"/>
      <c r="D94" s="236"/>
      <c r="E94" s="236"/>
      <c r="F94" s="236"/>
      <c r="G94" s="236"/>
      <c r="H94" s="236"/>
      <c r="I94" s="236"/>
    </row>
    <row r="95" spans="1:9" ht="7.5" customHeight="1">
      <c r="A95" s="12"/>
    </row>
    <row r="96" spans="1:9" ht="15.75">
      <c r="A96" s="237" t="s">
        <v>11</v>
      </c>
      <c r="B96" s="237"/>
      <c r="C96" s="237"/>
      <c r="D96" s="237"/>
      <c r="E96" s="237"/>
      <c r="F96" s="237"/>
      <c r="G96" s="237"/>
      <c r="H96" s="237"/>
      <c r="I96" s="237"/>
    </row>
    <row r="97" spans="1:9" ht="15.75">
      <c r="A97" s="4"/>
    </row>
    <row r="98" spans="1:9" ht="15.75">
      <c r="B98" s="182" t="s">
        <v>12</v>
      </c>
      <c r="C98" s="229" t="s">
        <v>194</v>
      </c>
      <c r="D98" s="229"/>
      <c r="E98" s="229"/>
      <c r="F98" s="190"/>
      <c r="I98" s="183"/>
    </row>
    <row r="99" spans="1:9">
      <c r="A99" s="184"/>
      <c r="C99" s="230" t="s">
        <v>13</v>
      </c>
      <c r="D99" s="230"/>
      <c r="E99" s="230"/>
      <c r="F99" s="38"/>
      <c r="I99" s="181" t="s">
        <v>14</v>
      </c>
    </row>
    <row r="100" spans="1:9" ht="15.75">
      <c r="A100" s="39"/>
      <c r="C100" s="13"/>
      <c r="D100" s="13"/>
      <c r="G100" s="13"/>
      <c r="H100" s="13"/>
    </row>
    <row r="101" spans="1:9" ht="15.75">
      <c r="B101" s="182" t="s">
        <v>15</v>
      </c>
      <c r="C101" s="231"/>
      <c r="D101" s="231"/>
      <c r="E101" s="231"/>
      <c r="F101" s="191"/>
      <c r="I101" s="183"/>
    </row>
    <row r="102" spans="1:9">
      <c r="A102" s="184"/>
      <c r="C102" s="232" t="s">
        <v>13</v>
      </c>
      <c r="D102" s="232"/>
      <c r="E102" s="232"/>
      <c r="F102" s="184"/>
      <c r="I102" s="181" t="s">
        <v>14</v>
      </c>
    </row>
    <row r="103" spans="1:9" ht="15.75">
      <c r="A103" s="4" t="s">
        <v>16</v>
      </c>
    </row>
    <row r="104" spans="1:9">
      <c r="A104" s="233" t="s">
        <v>17</v>
      </c>
      <c r="B104" s="233"/>
      <c r="C104" s="233"/>
      <c r="D104" s="233"/>
      <c r="E104" s="233"/>
      <c r="F104" s="233"/>
      <c r="G104" s="233"/>
      <c r="H104" s="233"/>
      <c r="I104" s="233"/>
    </row>
    <row r="105" spans="1:9" ht="47.25" customHeight="1">
      <c r="A105" s="225" t="s">
        <v>18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31.5" customHeight="1">
      <c r="A106" s="225" t="s">
        <v>19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31.5" customHeight="1">
      <c r="A107" s="225" t="s">
        <v>24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 customHeight="1">
      <c r="A108" s="225" t="s">
        <v>23</v>
      </c>
      <c r="B108" s="225"/>
      <c r="C108" s="225"/>
      <c r="D108" s="225"/>
      <c r="E108" s="225"/>
      <c r="F108" s="225"/>
      <c r="G108" s="225"/>
      <c r="H108" s="225"/>
      <c r="I108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7:I27"/>
    <mergeCell ref="A44:I44"/>
    <mergeCell ref="A54:I54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262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263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42582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hidden="1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258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10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11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G71*2.2</f>
        <v>1255.1880000000001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259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12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13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I16+I17+I18+I25+I26+I29+I30+I32+I33+I59+I71+I79+I80</f>
        <v>43513.806370144441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14</v>
      </c>
      <c r="B83" s="146" t="s">
        <v>106</v>
      </c>
      <c r="C83" s="193" t="s">
        <v>183</v>
      </c>
      <c r="D83" s="20"/>
      <c r="E83" s="25"/>
      <c r="F83" s="18">
        <v>15</v>
      </c>
      <c r="G83" s="18">
        <v>79.09</v>
      </c>
      <c r="H83" s="18">
        <f>SUM(F83*G83/1000)</f>
        <v>1.1863500000000002</v>
      </c>
      <c r="I83" s="218">
        <f>G83*3</f>
        <v>237.27</v>
      </c>
    </row>
    <row r="84" spans="1:9" ht="15.75" customHeight="1">
      <c r="A84" s="49">
        <v>15</v>
      </c>
      <c r="B84" s="146" t="s">
        <v>112</v>
      </c>
      <c r="C84" s="193" t="s">
        <v>183</v>
      </c>
      <c r="D84" s="87"/>
      <c r="E84" s="18"/>
      <c r="F84" s="18">
        <v>3</v>
      </c>
      <c r="G84" s="18">
        <v>180.15</v>
      </c>
      <c r="H84" s="211">
        <f t="shared" ref="H84:H88" si="6">G84*F84/1000</f>
        <v>0.5404500000000001</v>
      </c>
      <c r="I84" s="218">
        <f>G84</f>
        <v>180.15</v>
      </c>
    </row>
    <row r="85" spans="1:9" ht="31.5" customHeight="1">
      <c r="A85" s="49">
        <v>16</v>
      </c>
      <c r="B85" s="146" t="s">
        <v>223</v>
      </c>
      <c r="C85" s="193" t="s">
        <v>49</v>
      </c>
      <c r="D85" s="87"/>
      <c r="E85" s="18"/>
      <c r="F85" s="18">
        <f>5/100</f>
        <v>0.05</v>
      </c>
      <c r="G85" s="18">
        <v>3397.65</v>
      </c>
      <c r="H85" s="211">
        <f t="shared" si="6"/>
        <v>0.16988250000000002</v>
      </c>
      <c r="I85" s="218">
        <f>G85*0.04</f>
        <v>135.90600000000001</v>
      </c>
    </row>
    <row r="86" spans="1:9" ht="31.5" customHeight="1">
      <c r="A86" s="49">
        <v>17</v>
      </c>
      <c r="B86" s="146" t="s">
        <v>224</v>
      </c>
      <c r="C86" s="193" t="s">
        <v>183</v>
      </c>
      <c r="D86" s="20"/>
      <c r="E86" s="25"/>
      <c r="F86" s="18">
        <v>1</v>
      </c>
      <c r="G86" s="18">
        <v>178.79</v>
      </c>
      <c r="H86" s="211">
        <f t="shared" si="6"/>
        <v>0.17879</v>
      </c>
      <c r="I86" s="218">
        <f>G86</f>
        <v>178.79</v>
      </c>
    </row>
    <row r="87" spans="1:9" ht="15.75" customHeight="1">
      <c r="A87" s="49">
        <v>18</v>
      </c>
      <c r="B87" s="194" t="s">
        <v>117</v>
      </c>
      <c r="C87" s="217" t="s">
        <v>99</v>
      </c>
      <c r="D87" s="20"/>
      <c r="E87" s="25"/>
      <c r="F87" s="18">
        <f>2/10</f>
        <v>0.2</v>
      </c>
      <c r="G87" s="18">
        <v>3800</v>
      </c>
      <c r="H87" s="211">
        <f t="shared" si="6"/>
        <v>0.76</v>
      </c>
      <c r="I87" s="218">
        <f>G87*0.2</f>
        <v>760</v>
      </c>
    </row>
    <row r="88" spans="1:9" ht="15.75" customHeight="1">
      <c r="A88" s="49">
        <v>19</v>
      </c>
      <c r="B88" s="194" t="s">
        <v>118</v>
      </c>
      <c r="C88" s="193" t="s">
        <v>183</v>
      </c>
      <c r="D88" s="20"/>
      <c r="E88" s="25"/>
      <c r="F88" s="18">
        <v>3</v>
      </c>
      <c r="G88" s="18">
        <v>179.96</v>
      </c>
      <c r="H88" s="211">
        <f t="shared" si="6"/>
        <v>0.53988000000000003</v>
      </c>
      <c r="I88" s="218">
        <f>G88*3</f>
        <v>539.88</v>
      </c>
    </row>
    <row r="89" spans="1:9" ht="15.75" customHeight="1">
      <c r="A89" s="49"/>
      <c r="B89" s="81" t="s">
        <v>66</v>
      </c>
      <c r="C89" s="77"/>
      <c r="D89" s="131"/>
      <c r="E89" s="77">
        <v>1</v>
      </c>
      <c r="F89" s="77"/>
      <c r="G89" s="77"/>
      <c r="H89" s="77"/>
      <c r="I89" s="59">
        <f>SUM(I83:I88)</f>
        <v>2031.9960000000001</v>
      </c>
    </row>
    <row r="90" spans="1:9" ht="15.75" customHeight="1">
      <c r="A90" s="49"/>
      <c r="B90" s="87" t="s">
        <v>103</v>
      </c>
      <c r="C90" s="21"/>
      <c r="D90" s="21"/>
      <c r="E90" s="78"/>
      <c r="F90" s="78"/>
      <c r="G90" s="79"/>
      <c r="H90" s="79"/>
      <c r="I90" s="24">
        <v>0</v>
      </c>
    </row>
    <row r="91" spans="1:9" ht="15.75" customHeight="1">
      <c r="A91" s="132"/>
      <c r="B91" s="82" t="s">
        <v>67</v>
      </c>
      <c r="C91" s="65"/>
      <c r="D91" s="65"/>
      <c r="E91" s="65"/>
      <c r="F91" s="65"/>
      <c r="G91" s="65"/>
      <c r="H91" s="65"/>
      <c r="I91" s="80">
        <f>I81+I89</f>
        <v>45545.80237014444</v>
      </c>
    </row>
    <row r="92" spans="1:9" ht="15.75">
      <c r="A92" s="239" t="s">
        <v>264</v>
      </c>
      <c r="B92" s="239"/>
      <c r="C92" s="239"/>
      <c r="D92" s="239"/>
      <c r="E92" s="239"/>
      <c r="F92" s="239"/>
      <c r="G92" s="239"/>
      <c r="H92" s="239"/>
      <c r="I92" s="239"/>
    </row>
    <row r="93" spans="1:9" ht="15.75">
      <c r="A93" s="187"/>
      <c r="B93" s="234" t="s">
        <v>265</v>
      </c>
      <c r="C93" s="234"/>
      <c r="D93" s="234"/>
      <c r="E93" s="234"/>
      <c r="F93" s="234"/>
      <c r="G93" s="234"/>
      <c r="H93" s="192"/>
      <c r="I93" s="3"/>
    </row>
    <row r="94" spans="1:9">
      <c r="A94" s="184"/>
      <c r="B94" s="230" t="s">
        <v>7</v>
      </c>
      <c r="C94" s="230"/>
      <c r="D94" s="230"/>
      <c r="E94" s="230"/>
      <c r="F94" s="230"/>
      <c r="G94" s="230"/>
      <c r="H94" s="38"/>
      <c r="I94" s="5"/>
    </row>
    <row r="95" spans="1:9">
      <c r="A95" s="11"/>
      <c r="B95" s="11"/>
      <c r="C95" s="11"/>
      <c r="D95" s="11"/>
      <c r="E95" s="11"/>
      <c r="F95" s="11"/>
      <c r="G95" s="11"/>
      <c r="H95" s="11"/>
      <c r="I95" s="11"/>
    </row>
    <row r="96" spans="1:9" ht="15.75">
      <c r="A96" s="235" t="s">
        <v>8</v>
      </c>
      <c r="B96" s="235"/>
      <c r="C96" s="235"/>
      <c r="D96" s="235"/>
      <c r="E96" s="235"/>
      <c r="F96" s="235"/>
      <c r="G96" s="235"/>
      <c r="H96" s="235"/>
      <c r="I96" s="235"/>
    </row>
    <row r="97" spans="1:9" ht="15.75">
      <c r="A97" s="235" t="s">
        <v>9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>
      <c r="A98" s="236" t="s">
        <v>82</v>
      </c>
      <c r="B98" s="236"/>
      <c r="C98" s="236"/>
      <c r="D98" s="236"/>
      <c r="E98" s="236"/>
      <c r="F98" s="236"/>
      <c r="G98" s="236"/>
      <c r="H98" s="236"/>
      <c r="I98" s="236"/>
    </row>
    <row r="99" spans="1:9" ht="15.75">
      <c r="A99" s="12"/>
    </row>
    <row r="100" spans="1:9" ht="15.75">
      <c r="A100" s="237" t="s">
        <v>11</v>
      </c>
      <c r="B100" s="237"/>
      <c r="C100" s="237"/>
      <c r="D100" s="237"/>
      <c r="E100" s="237"/>
      <c r="F100" s="237"/>
      <c r="G100" s="237"/>
      <c r="H100" s="237"/>
      <c r="I100" s="237"/>
    </row>
    <row r="101" spans="1:9" ht="15.75">
      <c r="A101" s="4"/>
    </row>
    <row r="102" spans="1:9" ht="15.75">
      <c r="B102" s="182" t="s">
        <v>12</v>
      </c>
      <c r="C102" s="229" t="s">
        <v>194</v>
      </c>
      <c r="D102" s="229"/>
      <c r="E102" s="229"/>
      <c r="F102" s="190"/>
      <c r="I102" s="183"/>
    </row>
    <row r="103" spans="1:9">
      <c r="A103" s="184"/>
      <c r="C103" s="230" t="s">
        <v>13</v>
      </c>
      <c r="D103" s="230"/>
      <c r="E103" s="230"/>
      <c r="F103" s="38"/>
      <c r="I103" s="181" t="s">
        <v>14</v>
      </c>
    </row>
    <row r="104" spans="1:9" ht="15.75">
      <c r="A104" s="39"/>
      <c r="C104" s="13"/>
      <c r="D104" s="13"/>
      <c r="G104" s="13"/>
      <c r="H104" s="13"/>
    </row>
    <row r="105" spans="1:9" ht="15.75">
      <c r="B105" s="182" t="s">
        <v>15</v>
      </c>
      <c r="C105" s="231"/>
      <c r="D105" s="231"/>
      <c r="E105" s="231"/>
      <c r="F105" s="191"/>
      <c r="I105" s="183"/>
    </row>
    <row r="106" spans="1:9">
      <c r="A106" s="184"/>
      <c r="C106" s="232" t="s">
        <v>13</v>
      </c>
      <c r="D106" s="232"/>
      <c r="E106" s="232"/>
      <c r="F106" s="184"/>
      <c r="I106" s="181" t="s">
        <v>14</v>
      </c>
    </row>
    <row r="107" spans="1:9" ht="15.75">
      <c r="A107" s="4" t="s">
        <v>16</v>
      </c>
    </row>
    <row r="108" spans="1:9">
      <c r="A108" s="233" t="s">
        <v>17</v>
      </c>
      <c r="B108" s="233"/>
      <c r="C108" s="233"/>
      <c r="D108" s="233"/>
      <c r="E108" s="233"/>
      <c r="F108" s="233"/>
      <c r="G108" s="233"/>
      <c r="H108" s="233"/>
      <c r="I108" s="233"/>
    </row>
    <row r="109" spans="1:9" ht="47.25" customHeight="1">
      <c r="A109" s="225" t="s">
        <v>18</v>
      </c>
      <c r="B109" s="225"/>
      <c r="C109" s="225"/>
      <c r="D109" s="225"/>
      <c r="E109" s="225"/>
      <c r="F109" s="225"/>
      <c r="G109" s="225"/>
      <c r="H109" s="225"/>
      <c r="I109" s="225"/>
    </row>
    <row r="110" spans="1:9" ht="31.5" customHeight="1">
      <c r="A110" s="225" t="s">
        <v>19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31.5" customHeight="1">
      <c r="A111" s="225" t="s">
        <v>24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15.75" customHeight="1">
      <c r="A112" s="225" t="s">
        <v>23</v>
      </c>
      <c r="B112" s="225"/>
      <c r="C112" s="225"/>
      <c r="D112" s="225"/>
      <c r="E112" s="225"/>
      <c r="F112" s="225"/>
      <c r="G112" s="225"/>
      <c r="H112" s="225"/>
      <c r="I112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8:I98"/>
    <mergeCell ref="A15:I15"/>
    <mergeCell ref="A27:I27"/>
    <mergeCell ref="A44:I44"/>
    <mergeCell ref="A54:I54"/>
    <mergeCell ref="A92:I92"/>
    <mergeCell ref="B93:G93"/>
    <mergeCell ref="B94:G94"/>
    <mergeCell ref="A96:I96"/>
    <mergeCell ref="A97:I97"/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08"/>
  <sheetViews>
    <sheetView workbookViewId="0">
      <selection activeCell="A8" sqref="A8:I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266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83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42613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v>0</v>
      </c>
      <c r="J19" s="33"/>
      <c r="K19" s="8"/>
      <c r="L19" s="8"/>
      <c r="M19" s="8"/>
    </row>
    <row r="20" spans="1:13" ht="15.75" hidden="1" customHeight="1">
      <c r="A20" s="49">
        <v>5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v>0</v>
      </c>
      <c r="J20" s="33"/>
      <c r="K20" s="8"/>
      <c r="L20" s="8"/>
      <c r="M20" s="8"/>
    </row>
    <row r="21" spans="1:13" ht="15.75" hidden="1" customHeight="1">
      <c r="A21" s="49">
        <v>6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v>0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4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5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6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1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7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1"/>
        <v>6.1742594862000004</v>
      </c>
      <c r="I30" s="18">
        <f t="shared" ref="I30:I32" si="2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1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8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2"/>
        <v>765.15233333333344</v>
      </c>
      <c r="J32" s="33"/>
      <c r="K32" s="8"/>
      <c r="L32" s="8"/>
      <c r="M32" s="8"/>
    </row>
    <row r="33" spans="1:14" ht="15.75" customHeight="1">
      <c r="A33" s="49">
        <v>9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1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1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3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3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3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3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3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hidden="1" customHeight="1">
      <c r="A45" s="49"/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4">SUM(F45*G45/1000)</f>
        <v>1.345267856</v>
      </c>
      <c r="I45" s="18">
        <v>0</v>
      </c>
      <c r="J45" s="34"/>
      <c r="L45" s="27"/>
      <c r="M45" s="28"/>
      <c r="N45" s="29"/>
    </row>
    <row r="46" spans="1:14" ht="15.75" hidden="1" customHeight="1">
      <c r="A46" s="49"/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4"/>
        <v>0.46755279999999999</v>
      </c>
      <c r="I46" s="18">
        <v>0</v>
      </c>
      <c r="J46" s="34"/>
      <c r="L46" s="27"/>
      <c r="M46" s="28"/>
      <c r="N46" s="29"/>
    </row>
    <row r="47" spans="1:14" ht="15.75" hidden="1" customHeight="1">
      <c r="A47" s="49"/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4"/>
        <v>9.8097870272000005</v>
      </c>
      <c r="I47" s="18">
        <v>0</v>
      </c>
      <c r="J47" s="34"/>
      <c r="L47" s="27"/>
      <c r="M47" s="28"/>
      <c r="N47" s="29"/>
    </row>
    <row r="48" spans="1:14" ht="15.75" hidden="1" customHeight="1">
      <c r="A48" s="49"/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4"/>
        <v>3.6199898183999997</v>
      </c>
      <c r="I48" s="18">
        <v>0</v>
      </c>
      <c r="J48" s="34"/>
      <c r="L48" s="27"/>
      <c r="M48" s="28"/>
      <c r="N48" s="29"/>
    </row>
    <row r="49" spans="1:22" ht="31.5" hidden="1" customHeight="1">
      <c r="A49" s="49">
        <v>12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4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hidden="1" customHeight="1">
      <c r="A50" s="49"/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4"/>
        <v>1.6958488659999997</v>
      </c>
      <c r="I50" s="18">
        <v>0</v>
      </c>
      <c r="J50" s="34"/>
      <c r="L50" s="27"/>
      <c r="M50" s="28"/>
      <c r="N50" s="29"/>
    </row>
    <row r="51" spans="1:22" ht="31.5" hidden="1" customHeight="1">
      <c r="A51" s="129"/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4"/>
        <v>1.407824</v>
      </c>
      <c r="I51" s="18">
        <v>0</v>
      </c>
      <c r="J51" s="34"/>
      <c r="L51" s="27"/>
      <c r="M51" s="28"/>
      <c r="N51" s="29"/>
    </row>
    <row r="52" spans="1:22" ht="15.75" hidden="1" customHeight="1">
      <c r="A52" s="49"/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4"/>
        <v>0.12857640000000001</v>
      </c>
      <c r="I52" s="18">
        <v>0</v>
      </c>
      <c r="J52" s="34"/>
      <c r="L52" s="27"/>
      <c r="M52" s="28"/>
      <c r="N52" s="29"/>
    </row>
    <row r="53" spans="1:22" ht="15.75" customHeight="1">
      <c r="A53" s="49">
        <v>10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4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11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hidden="1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hidden="1" customHeight="1">
      <c r="A61" s="49"/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5">SUM(F61*G61/1000)</f>
        <v>6.3239999999999998</v>
      </c>
      <c r="I61" s="18">
        <v>0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5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5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5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5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5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5"/>
        <v>0.342366</v>
      </c>
      <c r="I67" s="18">
        <v>0</v>
      </c>
    </row>
    <row r="68" spans="1:9" ht="15.75" hidden="1" customHeight="1">
      <c r="A68" s="49"/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5"/>
        <v>0.28370000000000001</v>
      </c>
      <c r="I68" s="18">
        <v>0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5"/>
        <v>0.45427999999999996</v>
      </c>
      <c r="I70" s="18">
        <v>0</v>
      </c>
    </row>
    <row r="71" spans="1:9" ht="15.75" customHeight="1">
      <c r="A71" s="49">
        <v>12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5"/>
        <v>1.1410799999999999</v>
      </c>
      <c r="I71" s="18">
        <f>G71*0.7</f>
        <v>399.37799999999993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5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13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14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I16+I17+I18+I25+I26+I29+I30+I32+I33+I53+I59+I71+I79+I80</f>
        <v>55358.69637014444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15.75" customHeight="1">
      <c r="A83" s="49">
        <v>15</v>
      </c>
      <c r="B83" s="179" t="s">
        <v>202</v>
      </c>
      <c r="C83" s="180" t="s">
        <v>203</v>
      </c>
      <c r="D83" s="87"/>
      <c r="E83" s="18"/>
      <c r="F83" s="18">
        <f>18/3</f>
        <v>6</v>
      </c>
      <c r="G83" s="18">
        <v>1063.47</v>
      </c>
      <c r="H83" s="211">
        <f>G83*F83/1000</f>
        <v>6.3808199999999999</v>
      </c>
      <c r="I83" s="218">
        <f>G83*3</f>
        <v>3190.41</v>
      </c>
    </row>
    <row r="84" spans="1:9" ht="15.75" customHeight="1">
      <c r="A84" s="49">
        <v>16</v>
      </c>
      <c r="B84" s="146" t="s">
        <v>225</v>
      </c>
      <c r="C84" s="193" t="s">
        <v>116</v>
      </c>
      <c r="D84" s="20"/>
      <c r="E84" s="25"/>
      <c r="F84" s="18">
        <v>1</v>
      </c>
      <c r="G84" s="18">
        <v>225.27</v>
      </c>
      <c r="H84" s="211">
        <f t="shared" ref="H84" si="6">G84*F84/1000</f>
        <v>0.22527</v>
      </c>
      <c r="I84" s="218">
        <f>G84</f>
        <v>225.27</v>
      </c>
    </row>
    <row r="85" spans="1:9" ht="15.75" customHeight="1">
      <c r="A85" s="49"/>
      <c r="B85" s="81" t="s">
        <v>66</v>
      </c>
      <c r="C85" s="77"/>
      <c r="D85" s="131"/>
      <c r="E85" s="77">
        <v>1</v>
      </c>
      <c r="F85" s="77"/>
      <c r="G85" s="77"/>
      <c r="H85" s="77"/>
      <c r="I85" s="59">
        <f>SUM(I83:I84)</f>
        <v>3415.68</v>
      </c>
    </row>
    <row r="86" spans="1:9" ht="15.75" customHeight="1">
      <c r="A86" s="49"/>
      <c r="B86" s="87" t="s">
        <v>103</v>
      </c>
      <c r="C86" s="21"/>
      <c r="D86" s="21"/>
      <c r="E86" s="78"/>
      <c r="F86" s="78"/>
      <c r="G86" s="79"/>
      <c r="H86" s="79"/>
      <c r="I86" s="24">
        <v>0</v>
      </c>
    </row>
    <row r="87" spans="1:9" ht="15.75" customHeight="1">
      <c r="A87" s="132"/>
      <c r="B87" s="82" t="s">
        <v>67</v>
      </c>
      <c r="C87" s="65"/>
      <c r="D87" s="65"/>
      <c r="E87" s="65"/>
      <c r="F87" s="65"/>
      <c r="G87" s="65"/>
      <c r="H87" s="65"/>
      <c r="I87" s="80">
        <f>I81+I85</f>
        <v>58774.37637014444</v>
      </c>
    </row>
    <row r="88" spans="1:9" ht="15.75">
      <c r="A88" s="239" t="s">
        <v>267</v>
      </c>
      <c r="B88" s="239"/>
      <c r="C88" s="239"/>
      <c r="D88" s="239"/>
      <c r="E88" s="239"/>
      <c r="F88" s="239"/>
      <c r="G88" s="239"/>
      <c r="H88" s="239"/>
      <c r="I88" s="239"/>
    </row>
    <row r="89" spans="1:9" ht="15.75">
      <c r="A89" s="187"/>
      <c r="B89" s="234" t="s">
        <v>268</v>
      </c>
      <c r="C89" s="234"/>
      <c r="D89" s="234"/>
      <c r="E89" s="234"/>
      <c r="F89" s="234"/>
      <c r="G89" s="234"/>
      <c r="H89" s="192"/>
      <c r="I89" s="3"/>
    </row>
    <row r="90" spans="1:9">
      <c r="A90" s="184"/>
      <c r="B90" s="230" t="s">
        <v>7</v>
      </c>
      <c r="C90" s="230"/>
      <c r="D90" s="230"/>
      <c r="E90" s="230"/>
      <c r="F90" s="230"/>
      <c r="G90" s="230"/>
      <c r="H90" s="38"/>
      <c r="I90" s="5"/>
    </row>
    <row r="91" spans="1:9">
      <c r="A91" s="11"/>
      <c r="B91" s="11"/>
      <c r="C91" s="11"/>
      <c r="D91" s="11"/>
      <c r="E91" s="11"/>
      <c r="F91" s="11"/>
      <c r="G91" s="11"/>
      <c r="H91" s="11"/>
      <c r="I91" s="11"/>
    </row>
    <row r="92" spans="1:9" ht="15.75">
      <c r="A92" s="235" t="s">
        <v>8</v>
      </c>
      <c r="B92" s="235"/>
      <c r="C92" s="235"/>
      <c r="D92" s="235"/>
      <c r="E92" s="235"/>
      <c r="F92" s="235"/>
      <c r="G92" s="235"/>
      <c r="H92" s="235"/>
      <c r="I92" s="235"/>
    </row>
    <row r="93" spans="1:9" ht="15.75">
      <c r="A93" s="235" t="s">
        <v>9</v>
      </c>
      <c r="B93" s="235"/>
      <c r="C93" s="235"/>
      <c r="D93" s="235"/>
      <c r="E93" s="235"/>
      <c r="F93" s="235"/>
      <c r="G93" s="235"/>
      <c r="H93" s="235"/>
      <c r="I93" s="235"/>
    </row>
    <row r="94" spans="1:9" ht="15.75">
      <c r="A94" s="236" t="s">
        <v>82</v>
      </c>
      <c r="B94" s="236"/>
      <c r="C94" s="236"/>
      <c r="D94" s="236"/>
      <c r="E94" s="236"/>
      <c r="F94" s="236"/>
      <c r="G94" s="236"/>
      <c r="H94" s="236"/>
      <c r="I94" s="236"/>
    </row>
    <row r="95" spans="1:9" ht="15.75">
      <c r="A95" s="12"/>
    </row>
    <row r="96" spans="1:9" ht="15.75">
      <c r="A96" s="237" t="s">
        <v>11</v>
      </c>
      <c r="B96" s="237"/>
      <c r="C96" s="237"/>
      <c r="D96" s="237"/>
      <c r="E96" s="237"/>
      <c r="F96" s="237"/>
      <c r="G96" s="237"/>
      <c r="H96" s="237"/>
      <c r="I96" s="237"/>
    </row>
    <row r="97" spans="1:9" ht="15.75">
      <c r="A97" s="4"/>
    </row>
    <row r="98" spans="1:9" ht="15.75">
      <c r="B98" s="182" t="s">
        <v>12</v>
      </c>
      <c r="C98" s="229" t="s">
        <v>194</v>
      </c>
      <c r="D98" s="229"/>
      <c r="E98" s="229"/>
      <c r="F98" s="190"/>
      <c r="I98" s="183"/>
    </row>
    <row r="99" spans="1:9">
      <c r="A99" s="184"/>
      <c r="C99" s="230" t="s">
        <v>13</v>
      </c>
      <c r="D99" s="230"/>
      <c r="E99" s="230"/>
      <c r="F99" s="38"/>
      <c r="I99" s="181" t="s">
        <v>14</v>
      </c>
    </row>
    <row r="100" spans="1:9" ht="15.75">
      <c r="A100" s="39"/>
      <c r="C100" s="13"/>
      <c r="D100" s="13"/>
      <c r="G100" s="13"/>
      <c r="H100" s="13"/>
    </row>
    <row r="101" spans="1:9" ht="15.75">
      <c r="B101" s="182" t="s">
        <v>15</v>
      </c>
      <c r="C101" s="231"/>
      <c r="D101" s="231"/>
      <c r="E101" s="231"/>
      <c r="F101" s="191"/>
      <c r="I101" s="183"/>
    </row>
    <row r="102" spans="1:9">
      <c r="A102" s="184"/>
      <c r="C102" s="232" t="s">
        <v>13</v>
      </c>
      <c r="D102" s="232"/>
      <c r="E102" s="232"/>
      <c r="F102" s="184"/>
      <c r="I102" s="181" t="s">
        <v>14</v>
      </c>
    </row>
    <row r="103" spans="1:9" ht="15.75">
      <c r="A103" s="4" t="s">
        <v>16</v>
      </c>
    </row>
    <row r="104" spans="1:9">
      <c r="A104" s="233" t="s">
        <v>17</v>
      </c>
      <c r="B104" s="233"/>
      <c r="C104" s="233"/>
      <c r="D104" s="233"/>
      <c r="E104" s="233"/>
      <c r="F104" s="233"/>
      <c r="G104" s="233"/>
      <c r="H104" s="233"/>
      <c r="I104" s="233"/>
    </row>
    <row r="105" spans="1:9" ht="47.25" customHeight="1">
      <c r="A105" s="225" t="s">
        <v>18</v>
      </c>
      <c r="B105" s="225"/>
      <c r="C105" s="225"/>
      <c r="D105" s="225"/>
      <c r="E105" s="225"/>
      <c r="F105" s="225"/>
      <c r="G105" s="225"/>
      <c r="H105" s="225"/>
      <c r="I105" s="225"/>
    </row>
    <row r="106" spans="1:9" ht="31.5" customHeight="1">
      <c r="A106" s="225" t="s">
        <v>19</v>
      </c>
      <c r="B106" s="225"/>
      <c r="C106" s="225"/>
      <c r="D106" s="225"/>
      <c r="E106" s="225"/>
      <c r="F106" s="225"/>
      <c r="G106" s="225"/>
      <c r="H106" s="225"/>
      <c r="I106" s="225"/>
    </row>
    <row r="107" spans="1:9" ht="31.5" customHeight="1">
      <c r="A107" s="225" t="s">
        <v>24</v>
      </c>
      <c r="B107" s="225"/>
      <c r="C107" s="225"/>
      <c r="D107" s="225"/>
      <c r="E107" s="225"/>
      <c r="F107" s="225"/>
      <c r="G107" s="225"/>
      <c r="H107" s="225"/>
      <c r="I107" s="225"/>
    </row>
    <row r="108" spans="1:9" ht="15.75" customHeight="1">
      <c r="A108" s="225" t="s">
        <v>23</v>
      </c>
      <c r="B108" s="225"/>
      <c r="C108" s="225"/>
      <c r="D108" s="225"/>
      <c r="E108" s="225"/>
      <c r="F108" s="225"/>
      <c r="G108" s="225"/>
      <c r="H108" s="225"/>
      <c r="I108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4:I94"/>
    <mergeCell ref="A15:I15"/>
    <mergeCell ref="A27:I27"/>
    <mergeCell ref="A44:I44"/>
    <mergeCell ref="A54:I54"/>
    <mergeCell ref="A88:I88"/>
    <mergeCell ref="B89:G89"/>
    <mergeCell ref="B90:G90"/>
    <mergeCell ref="A92:I92"/>
    <mergeCell ref="A93:I93"/>
    <mergeCell ref="A105:I105"/>
    <mergeCell ref="A106:I106"/>
    <mergeCell ref="A107:I107"/>
    <mergeCell ref="A108:I108"/>
    <mergeCell ref="A96:I96"/>
    <mergeCell ref="C98:E98"/>
    <mergeCell ref="C99:E99"/>
    <mergeCell ref="C101:E101"/>
    <mergeCell ref="C102:E102"/>
    <mergeCell ref="A104:I10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A3" sqref="A3:I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3" t="s">
        <v>124</v>
      </c>
      <c r="I1" s="42"/>
      <c r="J1" s="1"/>
      <c r="K1" s="1"/>
      <c r="L1" s="1"/>
      <c r="M1" s="1"/>
    </row>
    <row r="2" spans="1:13" ht="15.75">
      <c r="A2" s="44" t="s">
        <v>85</v>
      </c>
      <c r="J2" s="2"/>
      <c r="K2" s="2"/>
      <c r="L2" s="2"/>
      <c r="M2" s="2"/>
    </row>
    <row r="3" spans="1:13" ht="15.75" customHeight="1">
      <c r="A3" s="241" t="s">
        <v>269</v>
      </c>
      <c r="B3" s="241"/>
      <c r="C3" s="241"/>
      <c r="D3" s="241"/>
      <c r="E3" s="241"/>
      <c r="F3" s="241"/>
      <c r="G3" s="241"/>
      <c r="H3" s="241"/>
      <c r="I3" s="241"/>
      <c r="J3" s="3"/>
      <c r="K3" s="3"/>
      <c r="L3" s="3"/>
    </row>
    <row r="4" spans="1:13" ht="31.5" customHeight="1">
      <c r="A4" s="242" t="s">
        <v>195</v>
      </c>
      <c r="B4" s="242"/>
      <c r="C4" s="242"/>
      <c r="D4" s="242"/>
      <c r="E4" s="242"/>
      <c r="F4" s="242"/>
      <c r="G4" s="242"/>
      <c r="H4" s="242"/>
      <c r="I4" s="242"/>
    </row>
    <row r="5" spans="1:13" ht="15.75">
      <c r="A5" s="241" t="s">
        <v>114</v>
      </c>
      <c r="B5" s="243"/>
      <c r="C5" s="243"/>
      <c r="D5" s="243"/>
      <c r="E5" s="243"/>
      <c r="F5" s="243"/>
      <c r="G5" s="243"/>
      <c r="H5" s="243"/>
      <c r="I5" s="243"/>
      <c r="J5" s="2"/>
      <c r="K5" s="2"/>
      <c r="L5" s="2"/>
      <c r="M5" s="2"/>
    </row>
    <row r="6" spans="1:13" ht="15.75">
      <c r="A6" s="2"/>
      <c r="B6" s="185"/>
      <c r="C6" s="185"/>
      <c r="D6" s="185"/>
      <c r="E6" s="185"/>
      <c r="F6" s="185"/>
      <c r="G6" s="185"/>
      <c r="H6" s="185"/>
      <c r="I6" s="54">
        <v>42643</v>
      </c>
      <c r="J6" s="2"/>
      <c r="K6" s="2"/>
      <c r="L6" s="2"/>
      <c r="M6" s="2"/>
    </row>
    <row r="7" spans="1:13" ht="15.75">
      <c r="B7" s="182"/>
      <c r="C7" s="182"/>
      <c r="D7" s="182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44" t="s">
        <v>275</v>
      </c>
      <c r="B8" s="244"/>
      <c r="C8" s="244"/>
      <c r="D8" s="244"/>
      <c r="E8" s="244"/>
      <c r="F8" s="244"/>
      <c r="G8" s="244"/>
      <c r="H8" s="244"/>
      <c r="I8" s="244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45" t="s">
        <v>196</v>
      </c>
      <c r="B10" s="245"/>
      <c r="C10" s="245"/>
      <c r="D10" s="245"/>
      <c r="E10" s="245"/>
      <c r="F10" s="245"/>
      <c r="G10" s="245"/>
      <c r="H10" s="245"/>
      <c r="I10" s="245"/>
      <c r="J10" s="2"/>
      <c r="K10" s="2"/>
      <c r="L10" s="2"/>
      <c r="M10" s="2"/>
    </row>
    <row r="11" spans="1:13" ht="15.75">
      <c r="A11" s="4"/>
    </row>
    <row r="12" spans="1:13" ht="51">
      <c r="A12" s="6" t="s">
        <v>0</v>
      </c>
      <c r="B12" s="6" t="s">
        <v>1</v>
      </c>
      <c r="C12" s="6" t="s">
        <v>2</v>
      </c>
      <c r="D12" s="6" t="s">
        <v>20</v>
      </c>
      <c r="E12" s="6" t="s">
        <v>21</v>
      </c>
      <c r="F12" s="6"/>
      <c r="G12" s="6" t="s">
        <v>25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240" t="s">
        <v>79</v>
      </c>
      <c r="B14" s="240"/>
      <c r="C14" s="240"/>
      <c r="D14" s="240"/>
      <c r="E14" s="240"/>
      <c r="F14" s="240"/>
      <c r="G14" s="240"/>
      <c r="H14" s="240"/>
      <c r="I14" s="240"/>
      <c r="J14" s="8"/>
      <c r="K14" s="8"/>
      <c r="L14" s="8"/>
      <c r="M14" s="8"/>
    </row>
    <row r="15" spans="1:13">
      <c r="A15" s="238" t="s">
        <v>4</v>
      </c>
      <c r="B15" s="238"/>
      <c r="C15" s="238"/>
      <c r="D15" s="238"/>
      <c r="E15" s="238"/>
      <c r="F15" s="238"/>
      <c r="G15" s="238"/>
      <c r="H15" s="238"/>
      <c r="I15" s="238"/>
      <c r="J15" s="8"/>
      <c r="K15" s="8"/>
      <c r="L15" s="8"/>
      <c r="M15" s="8"/>
    </row>
    <row r="16" spans="1:13" ht="31.5" customHeight="1">
      <c r="A16" s="49">
        <v>1</v>
      </c>
      <c r="B16" s="195" t="s">
        <v>126</v>
      </c>
      <c r="C16" s="196" t="s">
        <v>153</v>
      </c>
      <c r="D16" s="195" t="s">
        <v>154</v>
      </c>
      <c r="E16" s="197">
        <v>90.18</v>
      </c>
      <c r="F16" s="198">
        <f>SUM(E16*156/100)</f>
        <v>140.6808</v>
      </c>
      <c r="G16" s="198">
        <v>199.46</v>
      </c>
      <c r="H16" s="199">
        <f t="shared" ref="H16:H24" si="0">SUM(F16*G16/1000)</f>
        <v>28.060192368000003</v>
      </c>
      <c r="I16" s="18">
        <f>F16/12*G16</f>
        <v>2338.3493640000002</v>
      </c>
      <c r="J16" s="8"/>
      <c r="K16" s="8"/>
      <c r="L16" s="8"/>
      <c r="M16" s="8"/>
    </row>
    <row r="17" spans="1:13" ht="31.5" customHeight="1">
      <c r="A17" s="49">
        <v>2</v>
      </c>
      <c r="B17" s="195" t="s">
        <v>147</v>
      </c>
      <c r="C17" s="196" t="s">
        <v>153</v>
      </c>
      <c r="D17" s="195" t="s">
        <v>155</v>
      </c>
      <c r="E17" s="197">
        <v>360.72</v>
      </c>
      <c r="F17" s="198">
        <f>SUM(E17*104/100)</f>
        <v>375.14880000000005</v>
      </c>
      <c r="G17" s="198">
        <v>199.46</v>
      </c>
      <c r="H17" s="199">
        <f t="shared" si="0"/>
        <v>74.827179648000026</v>
      </c>
      <c r="I17" s="18">
        <f>F17/12*G17</f>
        <v>6235.598304000001</v>
      </c>
      <c r="J17" s="33"/>
      <c r="K17" s="8"/>
      <c r="L17" s="8"/>
      <c r="M17" s="8"/>
    </row>
    <row r="18" spans="1:13" ht="31.5" customHeight="1">
      <c r="A18" s="49">
        <v>3</v>
      </c>
      <c r="B18" s="195" t="s">
        <v>238</v>
      </c>
      <c r="C18" s="196" t="s">
        <v>153</v>
      </c>
      <c r="D18" s="195" t="s">
        <v>197</v>
      </c>
      <c r="E18" s="197">
        <f>SUM(E16+E17)</f>
        <v>450.90000000000003</v>
      </c>
      <c r="F18" s="198">
        <f>SUM(E18*24/100)</f>
        <v>108.21600000000001</v>
      </c>
      <c r="G18" s="198">
        <v>573.83000000000004</v>
      </c>
      <c r="H18" s="199">
        <f t="shared" si="0"/>
        <v>62.097587280000006</v>
      </c>
      <c r="I18" s="18">
        <f>F18/12*G18</f>
        <v>5174.7989400000006</v>
      </c>
      <c r="J18" s="33"/>
      <c r="K18" s="8"/>
      <c r="L18" s="8"/>
      <c r="M18" s="8"/>
    </row>
    <row r="19" spans="1:13" ht="15.75" hidden="1" customHeight="1">
      <c r="A19" s="49">
        <v>4</v>
      </c>
      <c r="B19" s="195" t="s">
        <v>156</v>
      </c>
      <c r="C19" s="196" t="s">
        <v>157</v>
      </c>
      <c r="D19" s="195" t="s">
        <v>158</v>
      </c>
      <c r="E19" s="197">
        <v>14.4</v>
      </c>
      <c r="F19" s="198">
        <f>SUM(E19/10)</f>
        <v>1.44</v>
      </c>
      <c r="G19" s="198">
        <v>193.55</v>
      </c>
      <c r="H19" s="199">
        <f t="shared" si="0"/>
        <v>0.27871200000000002</v>
      </c>
      <c r="I19" s="18">
        <f t="shared" ref="I19" si="1">F19/12*G19</f>
        <v>23.225999999999999</v>
      </c>
      <c r="J19" s="33"/>
      <c r="K19" s="8"/>
      <c r="L19" s="8"/>
      <c r="M19" s="8"/>
    </row>
    <row r="20" spans="1:13" ht="15.75" customHeight="1">
      <c r="A20" s="49">
        <v>4</v>
      </c>
      <c r="B20" s="195" t="s">
        <v>159</v>
      </c>
      <c r="C20" s="196" t="s">
        <v>153</v>
      </c>
      <c r="D20" s="195" t="s">
        <v>55</v>
      </c>
      <c r="E20" s="197">
        <v>14.64</v>
      </c>
      <c r="F20" s="198">
        <f>SUM(E20*2/100)</f>
        <v>0.2928</v>
      </c>
      <c r="G20" s="198">
        <v>247.82</v>
      </c>
      <c r="H20" s="199">
        <f t="shared" si="0"/>
        <v>7.2561695999999995E-2</v>
      </c>
      <c r="I20" s="18">
        <f>F20/2*G20</f>
        <v>36.280847999999999</v>
      </c>
      <c r="J20" s="33"/>
      <c r="K20" s="8"/>
      <c r="L20" s="8"/>
      <c r="M20" s="8"/>
    </row>
    <row r="21" spans="1:13" ht="15.75" customHeight="1">
      <c r="A21" s="49">
        <v>5</v>
      </c>
      <c r="B21" s="195" t="s">
        <v>160</v>
      </c>
      <c r="C21" s="196" t="s">
        <v>153</v>
      </c>
      <c r="D21" s="195" t="s">
        <v>55</v>
      </c>
      <c r="E21" s="197">
        <v>10.08</v>
      </c>
      <c r="F21" s="198">
        <f>SUM(E21*2/100)</f>
        <v>0.2016</v>
      </c>
      <c r="G21" s="198">
        <v>245.81</v>
      </c>
      <c r="H21" s="199">
        <f t="shared" si="0"/>
        <v>4.9555295999999999E-2</v>
      </c>
      <c r="I21" s="18">
        <f>F21/2*G21</f>
        <v>24.777647999999999</v>
      </c>
      <c r="J21" s="33"/>
      <c r="K21" s="8"/>
      <c r="L21" s="8"/>
      <c r="M21" s="8"/>
    </row>
    <row r="22" spans="1:13" ht="15.75" hidden="1" customHeight="1">
      <c r="A22" s="49">
        <v>7</v>
      </c>
      <c r="B22" s="195" t="s">
        <v>161</v>
      </c>
      <c r="C22" s="196" t="s">
        <v>68</v>
      </c>
      <c r="D22" s="195" t="s">
        <v>158</v>
      </c>
      <c r="E22" s="197">
        <v>212.25</v>
      </c>
      <c r="F22" s="198">
        <f>SUM(E22/100)</f>
        <v>2.1225000000000001</v>
      </c>
      <c r="G22" s="198">
        <v>306.26</v>
      </c>
      <c r="H22" s="199">
        <f t="shared" si="0"/>
        <v>0.65003685</v>
      </c>
      <c r="I22" s="18">
        <v>0</v>
      </c>
      <c r="J22" s="33"/>
      <c r="K22" s="8"/>
      <c r="L22" s="8"/>
      <c r="M22" s="8"/>
    </row>
    <row r="23" spans="1:13" ht="15.75" hidden="1" customHeight="1">
      <c r="A23" s="49">
        <v>8</v>
      </c>
      <c r="B23" s="195" t="s">
        <v>162</v>
      </c>
      <c r="C23" s="196" t="s">
        <v>68</v>
      </c>
      <c r="D23" s="195" t="s">
        <v>158</v>
      </c>
      <c r="E23" s="200">
        <v>46.6</v>
      </c>
      <c r="F23" s="198">
        <f>SUM(E23/100)</f>
        <v>0.46600000000000003</v>
      </c>
      <c r="G23" s="198">
        <v>50.37</v>
      </c>
      <c r="H23" s="199">
        <f t="shared" si="0"/>
        <v>2.3472420000000001E-2</v>
      </c>
      <c r="I23" s="18">
        <v>0</v>
      </c>
      <c r="J23" s="33"/>
      <c r="K23" s="8"/>
      <c r="L23" s="8"/>
      <c r="M23" s="8"/>
    </row>
    <row r="24" spans="1:13" ht="15.75" hidden="1" customHeight="1">
      <c r="A24" s="49">
        <v>9</v>
      </c>
      <c r="B24" s="195" t="s">
        <v>163</v>
      </c>
      <c r="C24" s="196" t="s">
        <v>68</v>
      </c>
      <c r="D24" s="195" t="s">
        <v>158</v>
      </c>
      <c r="E24" s="197">
        <v>2</v>
      </c>
      <c r="F24" s="198">
        <f>SUM(E24/100)</f>
        <v>0.02</v>
      </c>
      <c r="G24" s="198">
        <v>592.37</v>
      </c>
      <c r="H24" s="199">
        <f t="shared" si="0"/>
        <v>1.1847400000000001E-2</v>
      </c>
      <c r="I24" s="18">
        <v>0</v>
      </c>
      <c r="J24" s="33"/>
      <c r="K24" s="8"/>
      <c r="L24" s="8"/>
      <c r="M24" s="8"/>
    </row>
    <row r="25" spans="1:13" ht="15.75" customHeight="1">
      <c r="A25" s="49">
        <v>6</v>
      </c>
      <c r="B25" s="195" t="s">
        <v>87</v>
      </c>
      <c r="C25" s="196" t="s">
        <v>40</v>
      </c>
      <c r="D25" s="195" t="s">
        <v>210</v>
      </c>
      <c r="E25" s="197">
        <v>0.1</v>
      </c>
      <c r="F25" s="198">
        <f>SUM(E25*365)</f>
        <v>36.5</v>
      </c>
      <c r="G25" s="198">
        <v>66.790000000000006</v>
      </c>
      <c r="H25" s="199">
        <f>SUM(F25*G25/1000)</f>
        <v>2.4378350000000002</v>
      </c>
      <c r="I25" s="18">
        <f>F25/12*G25</f>
        <v>203.15291666666667</v>
      </c>
      <c r="J25" s="33"/>
      <c r="K25" s="8"/>
      <c r="L25" s="8"/>
      <c r="M25" s="8"/>
    </row>
    <row r="26" spans="1:13" ht="15.75" customHeight="1">
      <c r="A26" s="49">
        <v>7</v>
      </c>
      <c r="B26" s="203" t="s">
        <v>26</v>
      </c>
      <c r="C26" s="196" t="s">
        <v>27</v>
      </c>
      <c r="D26" s="203" t="s">
        <v>212</v>
      </c>
      <c r="E26" s="197">
        <v>2177.1</v>
      </c>
      <c r="F26" s="198">
        <f>SUM(E26*12)</f>
        <v>26125.199999999997</v>
      </c>
      <c r="G26" s="198">
        <v>5.15</v>
      </c>
      <c r="H26" s="199">
        <f>SUM(F26*G26/1000)</f>
        <v>134.54478</v>
      </c>
      <c r="I26" s="18">
        <f>F26/12*G26</f>
        <v>11212.065000000001</v>
      </c>
      <c r="J26" s="34"/>
    </row>
    <row r="27" spans="1:13" ht="15.75" customHeight="1">
      <c r="A27" s="226" t="s">
        <v>121</v>
      </c>
      <c r="B27" s="227"/>
      <c r="C27" s="227"/>
      <c r="D27" s="227"/>
      <c r="E27" s="227"/>
      <c r="F27" s="227"/>
      <c r="G27" s="227"/>
      <c r="H27" s="227"/>
      <c r="I27" s="228"/>
      <c r="J27" s="33"/>
      <c r="K27" s="8"/>
      <c r="L27" s="8"/>
      <c r="M27" s="8"/>
    </row>
    <row r="28" spans="1:13" ht="15.75" customHeight="1">
      <c r="A28" s="49"/>
      <c r="B28" s="220" t="s">
        <v>34</v>
      </c>
      <c r="C28" s="196"/>
      <c r="D28" s="195"/>
      <c r="E28" s="197"/>
      <c r="F28" s="198"/>
      <c r="G28" s="198"/>
      <c r="H28" s="199"/>
      <c r="I28" s="18"/>
      <c r="J28" s="33"/>
      <c r="K28" s="8"/>
      <c r="L28" s="8"/>
      <c r="M28" s="8"/>
    </row>
    <row r="29" spans="1:13" ht="31.5" customHeight="1">
      <c r="A29" s="49">
        <v>8</v>
      </c>
      <c r="B29" s="195" t="s">
        <v>164</v>
      </c>
      <c r="C29" s="196" t="s">
        <v>207</v>
      </c>
      <c r="D29" s="195" t="s">
        <v>208</v>
      </c>
      <c r="E29" s="198">
        <v>2497.6999999999998</v>
      </c>
      <c r="F29" s="198">
        <f>SUM(E29*52/1000)</f>
        <v>129.88039999999998</v>
      </c>
      <c r="G29" s="198">
        <v>177.3</v>
      </c>
      <c r="H29" s="199">
        <f t="shared" ref="H29:H35" si="2">SUM(F29*G29/1000)</f>
        <v>23.027794919999998</v>
      </c>
      <c r="I29" s="18">
        <f>F29/6*G29</f>
        <v>3837.9658199999994</v>
      </c>
      <c r="J29" s="33"/>
      <c r="K29" s="8"/>
      <c r="L29" s="8"/>
      <c r="M29" s="8"/>
    </row>
    <row r="30" spans="1:13" ht="31.5" customHeight="1">
      <c r="A30" s="49">
        <v>9</v>
      </c>
      <c r="B30" s="195" t="s">
        <v>242</v>
      </c>
      <c r="C30" s="196" t="s">
        <v>165</v>
      </c>
      <c r="D30" s="195" t="s">
        <v>209</v>
      </c>
      <c r="E30" s="198">
        <v>266.37</v>
      </c>
      <c r="F30" s="198">
        <f>SUM(E30*78/1000)</f>
        <v>20.776859999999999</v>
      </c>
      <c r="G30" s="198">
        <v>297.17</v>
      </c>
      <c r="H30" s="199">
        <f t="shared" si="2"/>
        <v>6.1742594862000004</v>
      </c>
      <c r="I30" s="18">
        <f t="shared" ref="I30:I32" si="3">F30/6*G30</f>
        <v>1029.0432476999999</v>
      </c>
      <c r="J30" s="33"/>
      <c r="K30" s="8"/>
      <c r="L30" s="8"/>
      <c r="M30" s="8"/>
    </row>
    <row r="31" spans="1:13" ht="15.75" hidden="1" customHeight="1">
      <c r="A31" s="49">
        <v>8</v>
      </c>
      <c r="B31" s="195" t="s">
        <v>33</v>
      </c>
      <c r="C31" s="196" t="s">
        <v>165</v>
      </c>
      <c r="D31" s="195" t="s">
        <v>69</v>
      </c>
      <c r="E31" s="198">
        <v>2497.6999999999998</v>
      </c>
      <c r="F31" s="198">
        <f>SUM(E31/1000)</f>
        <v>2.4977</v>
      </c>
      <c r="G31" s="198">
        <v>3435.36</v>
      </c>
      <c r="H31" s="199">
        <f t="shared" si="2"/>
        <v>8.5804986719999992</v>
      </c>
      <c r="I31" s="18">
        <f>F31*G31</f>
        <v>8580.4986719999997</v>
      </c>
      <c r="J31" s="33"/>
      <c r="K31" s="8"/>
      <c r="L31" s="8"/>
      <c r="M31" s="8"/>
    </row>
    <row r="32" spans="1:13" ht="15.75" customHeight="1">
      <c r="A32" s="49">
        <v>10</v>
      </c>
      <c r="B32" s="195" t="s">
        <v>169</v>
      </c>
      <c r="C32" s="196" t="s">
        <v>51</v>
      </c>
      <c r="D32" s="195" t="s">
        <v>86</v>
      </c>
      <c r="E32" s="198">
        <v>2</v>
      </c>
      <c r="F32" s="198">
        <v>3.1</v>
      </c>
      <c r="G32" s="198">
        <v>1480.94</v>
      </c>
      <c r="H32" s="199">
        <f>G32*F32/1000</f>
        <v>4.5909140000000006</v>
      </c>
      <c r="I32" s="18">
        <f t="shared" si="3"/>
        <v>765.15233333333344</v>
      </c>
      <c r="J32" s="33"/>
      <c r="K32" s="8"/>
      <c r="L32" s="8"/>
      <c r="M32" s="8"/>
    </row>
    <row r="33" spans="1:14" ht="15.75" customHeight="1">
      <c r="A33" s="49">
        <v>11</v>
      </c>
      <c r="B33" s="195" t="s">
        <v>170</v>
      </c>
      <c r="C33" s="196" t="s">
        <v>37</v>
      </c>
      <c r="D33" s="195" t="s">
        <v>86</v>
      </c>
      <c r="E33" s="202">
        <v>0.33333333333333331</v>
      </c>
      <c r="F33" s="198">
        <f>155/3</f>
        <v>51.666666666666664</v>
      </c>
      <c r="G33" s="198">
        <v>64.48</v>
      </c>
      <c r="H33" s="199">
        <f>SUM(G33*155/3/1000)</f>
        <v>3.331466666666667</v>
      </c>
      <c r="I33" s="18">
        <f>F33/6*G33</f>
        <v>555.24444444444441</v>
      </c>
      <c r="J33" s="33"/>
      <c r="K33" s="8"/>
      <c r="L33" s="8"/>
      <c r="M33" s="8"/>
    </row>
    <row r="34" spans="1:14" ht="15.75" hidden="1" customHeight="1">
      <c r="A34" s="49"/>
      <c r="B34" s="195" t="s">
        <v>88</v>
      </c>
      <c r="C34" s="196" t="s">
        <v>40</v>
      </c>
      <c r="D34" s="195" t="s">
        <v>211</v>
      </c>
      <c r="E34" s="197"/>
      <c r="F34" s="198">
        <v>2</v>
      </c>
      <c r="G34" s="198">
        <v>217.61</v>
      </c>
      <c r="H34" s="199">
        <f t="shared" si="2"/>
        <v>0.43522000000000005</v>
      </c>
      <c r="I34" s="18">
        <v>0</v>
      </c>
      <c r="J34" s="33"/>
      <c r="K34" s="8"/>
    </row>
    <row r="35" spans="1:14" ht="15.75" hidden="1" customHeight="1">
      <c r="A35" s="49"/>
      <c r="B35" s="195" t="s">
        <v>89</v>
      </c>
      <c r="C35" s="196" t="s">
        <v>39</v>
      </c>
      <c r="D35" s="195" t="s">
        <v>211</v>
      </c>
      <c r="E35" s="197"/>
      <c r="F35" s="198">
        <v>1</v>
      </c>
      <c r="G35" s="198">
        <v>1292.47</v>
      </c>
      <c r="H35" s="199">
        <f t="shared" si="2"/>
        <v>1.29247</v>
      </c>
      <c r="I35" s="18">
        <v>0</v>
      </c>
      <c r="J35" s="34"/>
    </row>
    <row r="36" spans="1:14" ht="15.75" hidden="1" customHeight="1">
      <c r="A36" s="204"/>
      <c r="B36" s="220" t="s">
        <v>5</v>
      </c>
      <c r="C36" s="196"/>
      <c r="D36" s="195"/>
      <c r="E36" s="197"/>
      <c r="F36" s="198"/>
      <c r="G36" s="198"/>
      <c r="H36" s="199" t="s">
        <v>212</v>
      </c>
      <c r="I36" s="18"/>
      <c r="J36" s="34"/>
    </row>
    <row r="37" spans="1:14" ht="15.75" hidden="1" customHeight="1">
      <c r="A37" s="204">
        <v>6</v>
      </c>
      <c r="B37" s="195" t="s">
        <v>31</v>
      </c>
      <c r="C37" s="196" t="s">
        <v>39</v>
      </c>
      <c r="D37" s="195"/>
      <c r="E37" s="197"/>
      <c r="F37" s="198">
        <v>6</v>
      </c>
      <c r="G37" s="198">
        <v>1737.08</v>
      </c>
      <c r="H37" s="199">
        <f t="shared" ref="H37:H43" si="4">SUM(F37*G37/1000)</f>
        <v>10.42248</v>
      </c>
      <c r="I37" s="18">
        <f>F37/6*G37</f>
        <v>1737.08</v>
      </c>
      <c r="J37" s="34"/>
    </row>
    <row r="38" spans="1:14" ht="15.75" hidden="1" customHeight="1">
      <c r="A38" s="204">
        <v>7</v>
      </c>
      <c r="B38" s="195" t="s">
        <v>171</v>
      </c>
      <c r="C38" s="196" t="s">
        <v>35</v>
      </c>
      <c r="D38" s="195" t="s">
        <v>213</v>
      </c>
      <c r="E38" s="197">
        <v>48.36</v>
      </c>
      <c r="F38" s="198">
        <f>E38*30/1000</f>
        <v>1.4507999999999999</v>
      </c>
      <c r="G38" s="198">
        <v>2391.67</v>
      </c>
      <c r="H38" s="199">
        <f>G38*F38/1000</f>
        <v>3.469834836</v>
      </c>
      <c r="I38" s="18">
        <f>F38/6*G38</f>
        <v>578.30580599999996</v>
      </c>
      <c r="J38" s="34"/>
    </row>
    <row r="39" spans="1:14" ht="15.75" hidden="1" customHeight="1">
      <c r="A39" s="204">
        <v>8</v>
      </c>
      <c r="B39" s="195" t="s">
        <v>173</v>
      </c>
      <c r="C39" s="196" t="s">
        <v>174</v>
      </c>
      <c r="D39" s="195" t="s">
        <v>90</v>
      </c>
      <c r="E39" s="197"/>
      <c r="F39" s="198">
        <v>65</v>
      </c>
      <c r="G39" s="198">
        <v>226.85</v>
      </c>
      <c r="H39" s="199">
        <f>G39*F39/1000</f>
        <v>14.74525</v>
      </c>
      <c r="I39" s="18">
        <v>0</v>
      </c>
      <c r="J39" s="34"/>
      <c r="L39" s="27"/>
      <c r="M39" s="28"/>
      <c r="N39" s="29"/>
    </row>
    <row r="40" spans="1:14" ht="15.75" hidden="1" customHeight="1">
      <c r="A40" s="204">
        <v>8</v>
      </c>
      <c r="B40" s="195" t="s">
        <v>92</v>
      </c>
      <c r="C40" s="196" t="s">
        <v>35</v>
      </c>
      <c r="D40" s="195" t="s">
        <v>175</v>
      </c>
      <c r="E40" s="198">
        <v>53.69</v>
      </c>
      <c r="F40" s="198">
        <f>SUM(E40*155/1000)</f>
        <v>8.3219499999999993</v>
      </c>
      <c r="G40" s="198">
        <v>398.95</v>
      </c>
      <c r="H40" s="199">
        <f t="shared" si="4"/>
        <v>3.3200419524999996</v>
      </c>
      <c r="I40" s="18">
        <f>F40/6*G40</f>
        <v>553.34032541666659</v>
      </c>
      <c r="J40" s="34"/>
      <c r="L40" s="27"/>
      <c r="M40" s="28"/>
      <c r="N40" s="29"/>
    </row>
    <row r="41" spans="1:14" ht="31.5" hidden="1" customHeight="1">
      <c r="A41" s="204">
        <v>9</v>
      </c>
      <c r="B41" s="195" t="s">
        <v>115</v>
      </c>
      <c r="C41" s="196" t="s">
        <v>165</v>
      </c>
      <c r="D41" s="195" t="s">
        <v>176</v>
      </c>
      <c r="E41" s="198">
        <v>23.93</v>
      </c>
      <c r="F41" s="198">
        <f>SUM(E41*24/1000)</f>
        <v>0.57431999999999994</v>
      </c>
      <c r="G41" s="198">
        <v>6600.74</v>
      </c>
      <c r="H41" s="199">
        <f t="shared" si="4"/>
        <v>3.7909369967999997</v>
      </c>
      <c r="I41" s="18">
        <f>F41/6*G41</f>
        <v>631.8228327999999</v>
      </c>
      <c r="J41" s="34"/>
      <c r="L41" s="27"/>
      <c r="M41" s="28"/>
      <c r="N41" s="29"/>
    </row>
    <row r="42" spans="1:14" ht="15.75" hidden="1" customHeight="1">
      <c r="A42" s="49">
        <v>10</v>
      </c>
      <c r="B42" s="195" t="s">
        <v>177</v>
      </c>
      <c r="C42" s="196" t="s">
        <v>165</v>
      </c>
      <c r="D42" s="195" t="s">
        <v>93</v>
      </c>
      <c r="E42" s="198">
        <v>48.36</v>
      </c>
      <c r="F42" s="198">
        <f>SUM(E42*45/1000)</f>
        <v>2.1761999999999997</v>
      </c>
      <c r="G42" s="198">
        <v>487.61</v>
      </c>
      <c r="H42" s="199">
        <f t="shared" si="4"/>
        <v>1.0611368819999998</v>
      </c>
      <c r="I42" s="18">
        <f>F42/6*G42</f>
        <v>176.85614699999999</v>
      </c>
      <c r="J42" s="34"/>
      <c r="L42" s="27"/>
      <c r="M42" s="28"/>
      <c r="N42" s="29"/>
    </row>
    <row r="43" spans="1:14" ht="15.75" hidden="1" customHeight="1">
      <c r="A43" s="49">
        <v>11</v>
      </c>
      <c r="B43" s="195" t="s">
        <v>94</v>
      </c>
      <c r="C43" s="196" t="s">
        <v>40</v>
      </c>
      <c r="D43" s="195"/>
      <c r="E43" s="197"/>
      <c r="F43" s="198">
        <v>0.9</v>
      </c>
      <c r="G43" s="198">
        <v>907.66</v>
      </c>
      <c r="H43" s="199">
        <f t="shared" si="4"/>
        <v>0.81689400000000001</v>
      </c>
      <c r="I43" s="18">
        <f>F43/6*G43</f>
        <v>136.149</v>
      </c>
      <c r="J43" s="34"/>
      <c r="L43" s="27"/>
      <c r="M43" s="28"/>
      <c r="N43" s="29"/>
    </row>
    <row r="44" spans="1:14" ht="15.75" customHeight="1">
      <c r="A44" s="226" t="s">
        <v>239</v>
      </c>
      <c r="B44" s="227"/>
      <c r="C44" s="227"/>
      <c r="D44" s="227"/>
      <c r="E44" s="227"/>
      <c r="F44" s="227"/>
      <c r="G44" s="227"/>
      <c r="H44" s="227"/>
      <c r="I44" s="228"/>
      <c r="J44" s="34"/>
      <c r="L44" s="27"/>
      <c r="M44" s="28"/>
      <c r="N44" s="29"/>
    </row>
    <row r="45" spans="1:14" ht="15.75" customHeight="1">
      <c r="A45" s="49">
        <v>12</v>
      </c>
      <c r="B45" s="195" t="s">
        <v>178</v>
      </c>
      <c r="C45" s="196" t="s">
        <v>165</v>
      </c>
      <c r="D45" s="195" t="s">
        <v>55</v>
      </c>
      <c r="E45" s="197">
        <v>614.29999999999995</v>
      </c>
      <c r="F45" s="198">
        <f>SUM(E45*2/1000)</f>
        <v>1.2285999999999999</v>
      </c>
      <c r="G45" s="18">
        <v>1094.96</v>
      </c>
      <c r="H45" s="199">
        <f t="shared" ref="H45:H53" si="5">SUM(F45*G45/1000)</f>
        <v>1.345267856</v>
      </c>
      <c r="I45" s="18">
        <f t="shared" ref="I45:I47" si="6">F45/2*G45</f>
        <v>672.63392799999997</v>
      </c>
      <c r="J45" s="34"/>
      <c r="L45" s="27"/>
      <c r="M45" s="28"/>
      <c r="N45" s="29"/>
    </row>
    <row r="46" spans="1:14" ht="15.75" customHeight="1">
      <c r="A46" s="49">
        <v>13</v>
      </c>
      <c r="B46" s="195" t="s">
        <v>44</v>
      </c>
      <c r="C46" s="196" t="s">
        <v>165</v>
      </c>
      <c r="D46" s="195" t="s">
        <v>55</v>
      </c>
      <c r="E46" s="197">
        <v>61</v>
      </c>
      <c r="F46" s="198">
        <f>E46*2/1000</f>
        <v>0.122</v>
      </c>
      <c r="G46" s="18">
        <v>3832.4</v>
      </c>
      <c r="H46" s="199">
        <f t="shared" si="5"/>
        <v>0.46755279999999999</v>
      </c>
      <c r="I46" s="18">
        <f t="shared" si="6"/>
        <v>233.7764</v>
      </c>
      <c r="J46" s="34"/>
      <c r="L46" s="27"/>
      <c r="M46" s="28"/>
      <c r="N46" s="29"/>
    </row>
    <row r="47" spans="1:14" ht="15.75" customHeight="1">
      <c r="A47" s="49">
        <v>14</v>
      </c>
      <c r="B47" s="195" t="s">
        <v>45</v>
      </c>
      <c r="C47" s="196" t="s">
        <v>165</v>
      </c>
      <c r="D47" s="195" t="s">
        <v>55</v>
      </c>
      <c r="E47" s="197">
        <v>3135.64</v>
      </c>
      <c r="F47" s="198">
        <f>SUM(E47*2/1000)</f>
        <v>6.27128</v>
      </c>
      <c r="G47" s="18">
        <v>1564.24</v>
      </c>
      <c r="H47" s="199">
        <f t="shared" si="5"/>
        <v>9.8097870272000005</v>
      </c>
      <c r="I47" s="18">
        <f t="shared" si="6"/>
        <v>4904.8935136</v>
      </c>
      <c r="J47" s="34"/>
      <c r="L47" s="27"/>
      <c r="M47" s="28"/>
      <c r="N47" s="29"/>
    </row>
    <row r="48" spans="1:14" ht="15.75" customHeight="1">
      <c r="A48" s="49">
        <v>15</v>
      </c>
      <c r="B48" s="195" t="s">
        <v>46</v>
      </c>
      <c r="C48" s="196" t="s">
        <v>165</v>
      </c>
      <c r="D48" s="195" t="s">
        <v>55</v>
      </c>
      <c r="E48" s="197">
        <v>1678.47</v>
      </c>
      <c r="F48" s="198">
        <f>SUM(E48*2/1000)</f>
        <v>3.3569400000000003</v>
      </c>
      <c r="G48" s="18">
        <v>1078.3599999999999</v>
      </c>
      <c r="H48" s="199">
        <f t="shared" si="5"/>
        <v>3.6199898183999997</v>
      </c>
      <c r="I48" s="18">
        <f>F48/2*G48</f>
        <v>1809.9949091999999</v>
      </c>
      <c r="J48" s="34"/>
      <c r="L48" s="27"/>
      <c r="M48" s="28"/>
      <c r="N48" s="29"/>
    </row>
    <row r="49" spans="1:22" ht="31.5" customHeight="1">
      <c r="A49" s="49">
        <v>16</v>
      </c>
      <c r="B49" s="195" t="s">
        <v>76</v>
      </c>
      <c r="C49" s="196" t="s">
        <v>165</v>
      </c>
      <c r="D49" s="195" t="s">
        <v>243</v>
      </c>
      <c r="E49" s="197">
        <v>614.29999999999995</v>
      </c>
      <c r="F49" s="198">
        <f>SUM(E49*5/1000)</f>
        <v>3.0714999999999999</v>
      </c>
      <c r="G49" s="18">
        <v>1838.49</v>
      </c>
      <c r="H49" s="199">
        <f t="shared" si="5"/>
        <v>5.6469220349999993</v>
      </c>
      <c r="I49" s="18">
        <f>F49/5*G49</f>
        <v>1129.384407</v>
      </c>
      <c r="J49" s="34"/>
      <c r="L49" s="27"/>
      <c r="M49" s="28"/>
      <c r="N49" s="29"/>
    </row>
    <row r="50" spans="1:22" ht="31.5" customHeight="1">
      <c r="A50" s="49">
        <v>17</v>
      </c>
      <c r="B50" s="195" t="s">
        <v>180</v>
      </c>
      <c r="C50" s="196" t="s">
        <v>165</v>
      </c>
      <c r="D50" s="195" t="s">
        <v>55</v>
      </c>
      <c r="E50" s="197">
        <v>614.29999999999995</v>
      </c>
      <c r="F50" s="198">
        <f>SUM(E50*2/1000)</f>
        <v>1.2285999999999999</v>
      </c>
      <c r="G50" s="18">
        <v>1380.31</v>
      </c>
      <c r="H50" s="199">
        <f t="shared" si="5"/>
        <v>1.6958488659999997</v>
      </c>
      <c r="I50" s="18">
        <f>F50/2*G50</f>
        <v>847.92443299999991</v>
      </c>
      <c r="J50" s="34"/>
      <c r="L50" s="27"/>
      <c r="M50" s="28"/>
      <c r="N50" s="29"/>
    </row>
    <row r="51" spans="1:22" ht="31.5" customHeight="1">
      <c r="A51" s="49">
        <v>18</v>
      </c>
      <c r="B51" s="195" t="s">
        <v>181</v>
      </c>
      <c r="C51" s="196" t="s">
        <v>49</v>
      </c>
      <c r="D51" s="195" t="s">
        <v>55</v>
      </c>
      <c r="E51" s="197">
        <v>20</v>
      </c>
      <c r="F51" s="198">
        <f>SUM(E51*2/100)</f>
        <v>0.4</v>
      </c>
      <c r="G51" s="18">
        <v>3519.56</v>
      </c>
      <c r="H51" s="199">
        <f t="shared" si="5"/>
        <v>1.407824</v>
      </c>
      <c r="I51" s="18">
        <f t="shared" ref="I51:I52" si="7">F51/2*G51</f>
        <v>703.91200000000003</v>
      </c>
      <c r="J51" s="34"/>
      <c r="L51" s="27"/>
      <c r="M51" s="28"/>
      <c r="N51" s="29"/>
    </row>
    <row r="52" spans="1:22" ht="15.75" customHeight="1">
      <c r="A52" s="49">
        <v>19</v>
      </c>
      <c r="B52" s="195" t="s">
        <v>50</v>
      </c>
      <c r="C52" s="196" t="s">
        <v>51</v>
      </c>
      <c r="D52" s="195" t="s">
        <v>55</v>
      </c>
      <c r="E52" s="197">
        <v>1</v>
      </c>
      <c r="F52" s="198">
        <v>0.02</v>
      </c>
      <c r="G52" s="18">
        <v>6428.82</v>
      </c>
      <c r="H52" s="199">
        <f t="shared" si="5"/>
        <v>0.12857640000000001</v>
      </c>
      <c r="I52" s="18">
        <f t="shared" si="7"/>
        <v>64.288200000000003</v>
      </c>
      <c r="J52" s="34"/>
      <c r="L52" s="27"/>
      <c r="M52" s="28"/>
      <c r="N52" s="29"/>
    </row>
    <row r="53" spans="1:22" ht="15.75" hidden="1" customHeight="1">
      <c r="A53" s="49">
        <v>13</v>
      </c>
      <c r="B53" s="195" t="s">
        <v>54</v>
      </c>
      <c r="C53" s="196" t="s">
        <v>183</v>
      </c>
      <c r="D53" s="195" t="s">
        <v>95</v>
      </c>
      <c r="E53" s="197">
        <v>170</v>
      </c>
      <c r="F53" s="198">
        <f>SUM(E53)*3</f>
        <v>510</v>
      </c>
      <c r="G53" s="18">
        <v>74.709999999999994</v>
      </c>
      <c r="H53" s="199">
        <f t="shared" si="5"/>
        <v>38.1021</v>
      </c>
      <c r="I53" s="18">
        <f>G53*E53</f>
        <v>12700.699999999999</v>
      </c>
      <c r="J53" s="34"/>
      <c r="L53" s="27"/>
      <c r="M53" s="28"/>
      <c r="N53" s="29"/>
    </row>
    <row r="54" spans="1:22" ht="15.75" customHeight="1">
      <c r="A54" s="226" t="s">
        <v>240</v>
      </c>
      <c r="B54" s="227"/>
      <c r="C54" s="227"/>
      <c r="D54" s="227"/>
      <c r="E54" s="227"/>
      <c r="F54" s="227"/>
      <c r="G54" s="227"/>
      <c r="H54" s="227"/>
      <c r="I54" s="228"/>
      <c r="J54" s="34"/>
      <c r="L54" s="27"/>
      <c r="M54" s="28"/>
      <c r="N54" s="29"/>
    </row>
    <row r="55" spans="1:22" ht="15.75" hidden="1" customHeight="1">
      <c r="A55" s="49"/>
      <c r="B55" s="220" t="s">
        <v>56</v>
      </c>
      <c r="C55" s="196"/>
      <c r="D55" s="195"/>
      <c r="E55" s="197"/>
      <c r="F55" s="198"/>
      <c r="G55" s="198"/>
      <c r="H55" s="199"/>
      <c r="I55" s="18"/>
      <c r="J55" s="34"/>
      <c r="L55" s="27"/>
      <c r="M55" s="28"/>
      <c r="N55" s="29"/>
    </row>
    <row r="56" spans="1:22" ht="31.5" hidden="1" customHeight="1">
      <c r="A56" s="49">
        <v>14</v>
      </c>
      <c r="B56" s="195" t="s">
        <v>184</v>
      </c>
      <c r="C56" s="196" t="s">
        <v>153</v>
      </c>
      <c r="D56" s="195" t="s">
        <v>185</v>
      </c>
      <c r="E56" s="197">
        <v>63.07</v>
      </c>
      <c r="F56" s="198">
        <f>SUM(E56*6/100)</f>
        <v>3.7842000000000002</v>
      </c>
      <c r="G56" s="18">
        <v>1759.9</v>
      </c>
      <c r="H56" s="199">
        <f>SUM(F56*G56/1000)</f>
        <v>6.6598135800000007</v>
      </c>
      <c r="I56" s="18">
        <f>F56/6*G56</f>
        <v>1109.9689300000002</v>
      </c>
      <c r="J56" s="34"/>
      <c r="L56" s="27"/>
    </row>
    <row r="57" spans="1:22" ht="15.75" customHeight="1">
      <c r="A57" s="49"/>
      <c r="B57" s="221" t="s">
        <v>57</v>
      </c>
      <c r="C57" s="205"/>
      <c r="D57" s="206"/>
      <c r="E57" s="207"/>
      <c r="F57" s="208"/>
      <c r="G57" s="18"/>
      <c r="H57" s="209"/>
      <c r="I57" s="18"/>
    </row>
    <row r="58" spans="1:22" ht="15.75" hidden="1" customHeight="1">
      <c r="A58" s="49"/>
      <c r="B58" s="206" t="s">
        <v>214</v>
      </c>
      <c r="C58" s="205" t="s">
        <v>68</v>
      </c>
      <c r="D58" s="206" t="s">
        <v>69</v>
      </c>
      <c r="E58" s="207">
        <v>614.29999999999995</v>
      </c>
      <c r="F58" s="208">
        <v>6.1429999999999998</v>
      </c>
      <c r="G58" s="18">
        <v>902.66</v>
      </c>
      <c r="H58" s="209">
        <f>F58*G58/1000</f>
        <v>5.5450403799999997</v>
      </c>
      <c r="I58" s="18">
        <v>0</v>
      </c>
    </row>
    <row r="59" spans="1:22" ht="15.75" customHeight="1">
      <c r="A59" s="49">
        <v>20</v>
      </c>
      <c r="B59" s="206" t="s">
        <v>144</v>
      </c>
      <c r="C59" s="205" t="s">
        <v>29</v>
      </c>
      <c r="D59" s="206" t="s">
        <v>36</v>
      </c>
      <c r="E59" s="207">
        <v>100</v>
      </c>
      <c r="F59" s="210">
        <f>E59*12</f>
        <v>1200</v>
      </c>
      <c r="G59" s="188">
        <v>2.83</v>
      </c>
      <c r="H59" s="208">
        <f>F59*G59/1000</f>
        <v>3.3959999999999999</v>
      </c>
      <c r="I59" s="18">
        <f>F59/12*G59</f>
        <v>283</v>
      </c>
    </row>
    <row r="60" spans="1:22" ht="15.75" customHeight="1">
      <c r="A60" s="49"/>
      <c r="B60" s="221" t="s">
        <v>59</v>
      </c>
      <c r="C60" s="205"/>
      <c r="D60" s="206"/>
      <c r="E60" s="207"/>
      <c r="F60" s="210"/>
      <c r="G60" s="210"/>
      <c r="H60" s="208" t="s">
        <v>212</v>
      </c>
      <c r="I60" s="18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10"/>
    </row>
    <row r="61" spans="1:22" ht="15.75" customHeight="1">
      <c r="A61" s="49">
        <v>21</v>
      </c>
      <c r="B61" s="20" t="s">
        <v>60</v>
      </c>
      <c r="C61" s="22" t="s">
        <v>183</v>
      </c>
      <c r="D61" s="20" t="s">
        <v>90</v>
      </c>
      <c r="E61" s="25">
        <v>25</v>
      </c>
      <c r="F61" s="198">
        <v>25</v>
      </c>
      <c r="G61" s="18">
        <v>252.96</v>
      </c>
      <c r="H61" s="211">
        <f t="shared" ref="H61:H75" si="8">SUM(F61*G61/1000)</f>
        <v>6.3239999999999998</v>
      </c>
      <c r="I61" s="18">
        <f>G61*2</f>
        <v>505.92</v>
      </c>
      <c r="J61" s="39"/>
      <c r="K61" s="39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49"/>
      <c r="B62" s="20" t="s">
        <v>61</v>
      </c>
      <c r="C62" s="22" t="s">
        <v>183</v>
      </c>
      <c r="D62" s="20" t="s">
        <v>90</v>
      </c>
      <c r="E62" s="25">
        <v>2</v>
      </c>
      <c r="F62" s="198">
        <v>2</v>
      </c>
      <c r="G62" s="18">
        <v>86.74</v>
      </c>
      <c r="H62" s="211">
        <f t="shared" si="8"/>
        <v>0.17348</v>
      </c>
      <c r="I62" s="18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49"/>
      <c r="B63" s="20" t="s">
        <v>62</v>
      </c>
      <c r="C63" s="22" t="s">
        <v>186</v>
      </c>
      <c r="D63" s="20" t="s">
        <v>69</v>
      </c>
      <c r="E63" s="197">
        <v>8692</v>
      </c>
      <c r="F63" s="18">
        <f>SUM(E63/100)</f>
        <v>86.92</v>
      </c>
      <c r="G63" s="18">
        <v>241.31</v>
      </c>
      <c r="H63" s="211">
        <f t="shared" si="8"/>
        <v>20.9746652</v>
      </c>
      <c r="I63" s="18">
        <v>0</v>
      </c>
      <c r="J63" s="5"/>
      <c r="K63" s="5"/>
      <c r="L63" s="5"/>
      <c r="M63" s="5"/>
      <c r="N63" s="5"/>
      <c r="O63" s="5"/>
      <c r="P63" s="5"/>
      <c r="Q63" s="5"/>
      <c r="R63" s="232"/>
      <c r="S63" s="232"/>
      <c r="T63" s="232"/>
      <c r="U63" s="232"/>
    </row>
    <row r="64" spans="1:22" ht="15.75" hidden="1" customHeight="1">
      <c r="A64" s="49"/>
      <c r="B64" s="20" t="s">
        <v>63</v>
      </c>
      <c r="C64" s="22" t="s">
        <v>187</v>
      </c>
      <c r="D64" s="20"/>
      <c r="E64" s="197">
        <v>8692</v>
      </c>
      <c r="F64" s="18">
        <f>SUM(E64/1000)</f>
        <v>8.6920000000000002</v>
      </c>
      <c r="G64" s="18">
        <v>187.91</v>
      </c>
      <c r="H64" s="211">
        <f t="shared" si="8"/>
        <v>1.6333137200000001</v>
      </c>
      <c r="I64" s="18">
        <v>0</v>
      </c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</row>
    <row r="65" spans="1:9" ht="15.75" hidden="1" customHeight="1">
      <c r="A65" s="129"/>
      <c r="B65" s="20" t="s">
        <v>64</v>
      </c>
      <c r="C65" s="22" t="s">
        <v>101</v>
      </c>
      <c r="D65" s="20" t="s">
        <v>69</v>
      </c>
      <c r="E65" s="197">
        <v>855</v>
      </c>
      <c r="F65" s="18">
        <f>SUM(E65/100)</f>
        <v>8.5500000000000007</v>
      </c>
      <c r="G65" s="18">
        <v>2359.7199999999998</v>
      </c>
      <c r="H65" s="211">
        <f t="shared" si="8"/>
        <v>20.175605999999998</v>
      </c>
      <c r="I65" s="18">
        <v>0</v>
      </c>
    </row>
    <row r="66" spans="1:9" ht="15.75" hidden="1" customHeight="1">
      <c r="A66" s="49"/>
      <c r="B66" s="212" t="s">
        <v>188</v>
      </c>
      <c r="C66" s="22" t="s">
        <v>40</v>
      </c>
      <c r="D66" s="20"/>
      <c r="E66" s="197">
        <v>8.6</v>
      </c>
      <c r="F66" s="18">
        <f>SUM(E66)</f>
        <v>8.6</v>
      </c>
      <c r="G66" s="18">
        <v>42.67</v>
      </c>
      <c r="H66" s="211">
        <f t="shared" si="8"/>
        <v>0.36696200000000001</v>
      </c>
      <c r="I66" s="18">
        <v>0</v>
      </c>
    </row>
    <row r="67" spans="1:9" ht="15.75" hidden="1" customHeight="1">
      <c r="A67" s="49"/>
      <c r="B67" s="212" t="s">
        <v>189</v>
      </c>
      <c r="C67" s="22" t="s">
        <v>40</v>
      </c>
      <c r="D67" s="20"/>
      <c r="E67" s="197">
        <v>8.6</v>
      </c>
      <c r="F67" s="18">
        <f>SUM(E67)</f>
        <v>8.6</v>
      </c>
      <c r="G67" s="18">
        <v>39.81</v>
      </c>
      <c r="H67" s="211">
        <f t="shared" si="8"/>
        <v>0.342366</v>
      </c>
      <c r="I67" s="18">
        <v>0</v>
      </c>
    </row>
    <row r="68" spans="1:9" ht="15.75" customHeight="1">
      <c r="A68" s="49">
        <v>22</v>
      </c>
      <c r="B68" s="20" t="s">
        <v>77</v>
      </c>
      <c r="C68" s="22" t="s">
        <v>78</v>
      </c>
      <c r="D68" s="20" t="s">
        <v>69</v>
      </c>
      <c r="E68" s="25">
        <v>5</v>
      </c>
      <c r="F68" s="198">
        <v>5</v>
      </c>
      <c r="G68" s="18">
        <v>56.74</v>
      </c>
      <c r="H68" s="211">
        <f t="shared" si="8"/>
        <v>0.28370000000000001</v>
      </c>
      <c r="I68" s="18">
        <f>F68*G68</f>
        <v>283.7</v>
      </c>
    </row>
    <row r="69" spans="1:9" ht="15.75" customHeight="1">
      <c r="A69" s="49"/>
      <c r="B69" s="222" t="s">
        <v>96</v>
      </c>
      <c r="C69" s="22"/>
      <c r="D69" s="20"/>
      <c r="E69" s="25"/>
      <c r="F69" s="18"/>
      <c r="G69" s="18"/>
      <c r="H69" s="211" t="s">
        <v>212</v>
      </c>
      <c r="I69" s="18"/>
    </row>
    <row r="70" spans="1:9" ht="15.75" hidden="1" customHeight="1">
      <c r="A70" s="49"/>
      <c r="B70" s="20" t="s">
        <v>198</v>
      </c>
      <c r="C70" s="22" t="s">
        <v>199</v>
      </c>
      <c r="D70" s="20"/>
      <c r="E70" s="25">
        <v>4</v>
      </c>
      <c r="F70" s="18">
        <f>E70</f>
        <v>4</v>
      </c>
      <c r="G70" s="18">
        <v>113.57</v>
      </c>
      <c r="H70" s="211">
        <f t="shared" si="8"/>
        <v>0.45427999999999996</v>
      </c>
      <c r="I70" s="18">
        <v>0</v>
      </c>
    </row>
    <row r="71" spans="1:9" ht="15.75" customHeight="1">
      <c r="A71" s="49">
        <v>23</v>
      </c>
      <c r="B71" s="20" t="s">
        <v>97</v>
      </c>
      <c r="C71" s="22" t="s">
        <v>99</v>
      </c>
      <c r="D71" s="20"/>
      <c r="E71" s="25">
        <v>20</v>
      </c>
      <c r="F71" s="18">
        <v>2</v>
      </c>
      <c r="G71" s="18">
        <v>570.54</v>
      </c>
      <c r="H71" s="211">
        <f t="shared" si="8"/>
        <v>1.1410799999999999</v>
      </c>
      <c r="I71" s="18">
        <f>G71*2.8</f>
        <v>1597.5119999999997</v>
      </c>
    </row>
    <row r="72" spans="1:9" ht="15.75" hidden="1" customHeight="1">
      <c r="A72" s="49"/>
      <c r="B72" s="20" t="s">
        <v>98</v>
      </c>
      <c r="C72" s="22" t="s">
        <v>37</v>
      </c>
      <c r="D72" s="20"/>
      <c r="E72" s="25">
        <v>2</v>
      </c>
      <c r="F72" s="188">
        <v>2</v>
      </c>
      <c r="G72" s="18">
        <v>970.21</v>
      </c>
      <c r="H72" s="211">
        <f>F72*G72/1000</f>
        <v>1.94042</v>
      </c>
      <c r="I72" s="18">
        <v>0</v>
      </c>
    </row>
    <row r="73" spans="1:9" ht="15.75" hidden="1" customHeight="1">
      <c r="A73" s="49"/>
      <c r="B73" s="20" t="s">
        <v>133</v>
      </c>
      <c r="C73" s="22" t="s">
        <v>37</v>
      </c>
      <c r="D73" s="20"/>
      <c r="E73" s="25">
        <v>2</v>
      </c>
      <c r="F73" s="18">
        <v>2</v>
      </c>
      <c r="G73" s="18">
        <v>407.79</v>
      </c>
      <c r="H73" s="211">
        <f>G73*F73/1000</f>
        <v>0.81558000000000008</v>
      </c>
      <c r="I73" s="18">
        <v>0</v>
      </c>
    </row>
    <row r="74" spans="1:9" ht="15.75" hidden="1" customHeight="1">
      <c r="A74" s="49"/>
      <c r="B74" s="214" t="s">
        <v>100</v>
      </c>
      <c r="C74" s="22"/>
      <c r="D74" s="20"/>
      <c r="E74" s="25"/>
      <c r="F74" s="18"/>
      <c r="G74" s="18" t="s">
        <v>212</v>
      </c>
      <c r="H74" s="211" t="s">
        <v>212</v>
      </c>
      <c r="I74" s="18"/>
    </row>
    <row r="75" spans="1:9" ht="15.75" hidden="1" customHeight="1">
      <c r="A75" s="49"/>
      <c r="B75" s="87" t="s">
        <v>192</v>
      </c>
      <c r="C75" s="22" t="s">
        <v>101</v>
      </c>
      <c r="D75" s="20"/>
      <c r="E75" s="25"/>
      <c r="F75" s="18">
        <v>1</v>
      </c>
      <c r="G75" s="18">
        <v>3138.63</v>
      </c>
      <c r="H75" s="211">
        <f t="shared" si="8"/>
        <v>3.13863</v>
      </c>
      <c r="I75" s="18">
        <v>0</v>
      </c>
    </row>
    <row r="76" spans="1:9" ht="15.75" hidden="1" customHeight="1">
      <c r="A76" s="49"/>
      <c r="B76" s="186" t="s">
        <v>190</v>
      </c>
      <c r="C76" s="214"/>
      <c r="D76" s="55"/>
      <c r="E76" s="59"/>
      <c r="F76" s="201"/>
      <c r="G76" s="201"/>
      <c r="H76" s="215">
        <f>SUM(H56:H75)</f>
        <v>73.364936880000002</v>
      </c>
      <c r="I76" s="201"/>
    </row>
    <row r="77" spans="1:9" ht="15.75" hidden="1" customHeight="1">
      <c r="A77" s="129"/>
      <c r="B77" s="195" t="s">
        <v>191</v>
      </c>
      <c r="C77" s="22"/>
      <c r="D77" s="20"/>
      <c r="E77" s="189"/>
      <c r="F77" s="18">
        <v>1</v>
      </c>
      <c r="G77" s="18">
        <v>19285</v>
      </c>
      <c r="H77" s="211">
        <f>G77*F77/1000</f>
        <v>19.285</v>
      </c>
      <c r="I77" s="18">
        <v>0</v>
      </c>
    </row>
    <row r="78" spans="1:9" ht="15.75" customHeight="1">
      <c r="A78" s="226" t="s">
        <v>241</v>
      </c>
      <c r="B78" s="227"/>
      <c r="C78" s="227"/>
      <c r="D78" s="227"/>
      <c r="E78" s="227"/>
      <c r="F78" s="227"/>
      <c r="G78" s="227"/>
      <c r="H78" s="227"/>
      <c r="I78" s="228"/>
    </row>
    <row r="79" spans="1:9" ht="15.75" customHeight="1">
      <c r="A79" s="49">
        <v>24</v>
      </c>
      <c r="B79" s="195" t="s">
        <v>193</v>
      </c>
      <c r="C79" s="22" t="s">
        <v>73</v>
      </c>
      <c r="D79" s="216" t="s">
        <v>74</v>
      </c>
      <c r="E79" s="18">
        <v>2177.1</v>
      </c>
      <c r="F79" s="18">
        <f>SUM(E79*12)</f>
        <v>26125.199999999997</v>
      </c>
      <c r="G79" s="18">
        <v>2.7</v>
      </c>
      <c r="H79" s="211">
        <f>SUM(F79*G79/1000)</f>
        <v>70.538039999999995</v>
      </c>
      <c r="I79" s="18">
        <f>F79/12*G79</f>
        <v>5878.17</v>
      </c>
    </row>
    <row r="80" spans="1:9" ht="31.5" customHeight="1">
      <c r="A80" s="49">
        <v>25</v>
      </c>
      <c r="B80" s="20" t="s">
        <v>102</v>
      </c>
      <c r="C80" s="22"/>
      <c r="D80" s="216" t="s">
        <v>74</v>
      </c>
      <c r="E80" s="197">
        <f>E79</f>
        <v>2177.1</v>
      </c>
      <c r="F80" s="18">
        <f>E80*12</f>
        <v>26125.199999999997</v>
      </c>
      <c r="G80" s="18">
        <v>2.1800000000000002</v>
      </c>
      <c r="H80" s="211">
        <f>F80*G80/1000</f>
        <v>56.952935999999994</v>
      </c>
      <c r="I80" s="18">
        <f>F80/12*G80</f>
        <v>4746.0780000000004</v>
      </c>
    </row>
    <row r="81" spans="1:9" ht="15.75" customHeight="1">
      <c r="A81" s="49"/>
      <c r="B81" s="74" t="s">
        <v>107</v>
      </c>
      <c r="C81" s="214"/>
      <c r="D81" s="213"/>
      <c r="E81" s="201"/>
      <c r="F81" s="201"/>
      <c r="G81" s="201"/>
      <c r="H81" s="215">
        <f>H80</f>
        <v>56.952935999999994</v>
      </c>
      <c r="I81" s="201">
        <f>I16+I17+I18+I20+I21+I25+I26+I29+I30+I32+I33+I45+I46+I47+I48+I49+I50+I51+I52+I59+I61+I68+I71+I79+I80</f>
        <v>55073.616656944432</v>
      </c>
    </row>
    <row r="82" spans="1:9" ht="15.75" customHeight="1">
      <c r="A82" s="49"/>
      <c r="B82" s="145" t="s">
        <v>80</v>
      </c>
      <c r="C82" s="22"/>
      <c r="D82" s="87"/>
      <c r="E82" s="18"/>
      <c r="F82" s="18"/>
      <c r="G82" s="18"/>
      <c r="H82" s="215" t="e">
        <f>SUM(H81+#REF!+H76+H54+#REF!+#REF!+H27)</f>
        <v>#REF!</v>
      </c>
      <c r="I82" s="18"/>
    </row>
    <row r="83" spans="1:9" ht="31.5" customHeight="1">
      <c r="A83" s="49">
        <v>26</v>
      </c>
      <c r="B83" s="146" t="s">
        <v>106</v>
      </c>
      <c r="C83" s="193" t="s">
        <v>183</v>
      </c>
      <c r="D83" s="20"/>
      <c r="E83" s="25"/>
      <c r="F83" s="18">
        <v>15</v>
      </c>
      <c r="G83" s="18">
        <v>79.09</v>
      </c>
      <c r="H83" s="18">
        <f>SUM(F83*G83/1000)</f>
        <v>1.1863500000000002</v>
      </c>
      <c r="I83" s="218">
        <f>G83</f>
        <v>79.09</v>
      </c>
    </row>
    <row r="84" spans="1:9" ht="15.75" customHeight="1">
      <c r="A84" s="49">
        <v>27</v>
      </c>
      <c r="B84" s="179" t="s">
        <v>202</v>
      </c>
      <c r="C84" s="180" t="s">
        <v>203</v>
      </c>
      <c r="D84" s="87"/>
      <c r="E84" s="18"/>
      <c r="F84" s="18">
        <f>18/3</f>
        <v>6</v>
      </c>
      <c r="G84" s="18">
        <v>1063.47</v>
      </c>
      <c r="H84" s="211">
        <f>G84*F84/1000</f>
        <v>6.3808199999999999</v>
      </c>
      <c r="I84" s="218">
        <f>G84</f>
        <v>1063.47</v>
      </c>
    </row>
    <row r="85" spans="1:9" ht="31.5" customHeight="1">
      <c r="A85" s="49">
        <v>28</v>
      </c>
      <c r="B85" s="146" t="s">
        <v>226</v>
      </c>
      <c r="C85" s="177" t="s">
        <v>227</v>
      </c>
      <c r="D85" s="70"/>
      <c r="E85" s="24"/>
      <c r="F85" s="67">
        <v>1</v>
      </c>
      <c r="G85" s="67">
        <v>629.39</v>
      </c>
      <c r="H85" s="260">
        <f>G85*F85/1000</f>
        <v>0.62939000000000001</v>
      </c>
      <c r="I85" s="218">
        <f>G85</f>
        <v>629.39</v>
      </c>
    </row>
    <row r="86" spans="1:9" ht="31.5" customHeight="1">
      <c r="A86" s="49">
        <v>29</v>
      </c>
      <c r="B86" s="146" t="s">
        <v>228</v>
      </c>
      <c r="C86" s="193" t="s">
        <v>199</v>
      </c>
      <c r="D86" s="87"/>
      <c r="E86" s="18"/>
      <c r="F86" s="18">
        <v>1</v>
      </c>
      <c r="G86" s="18">
        <v>171.48</v>
      </c>
      <c r="H86" s="211">
        <f t="shared" ref="H86:H87" si="9">G86*F86/1000</f>
        <v>0.17147999999999999</v>
      </c>
      <c r="I86" s="218">
        <f>G86</f>
        <v>171.48</v>
      </c>
    </row>
    <row r="87" spans="1:9" ht="31.5" customHeight="1">
      <c r="A87" s="49">
        <v>30</v>
      </c>
      <c r="B87" s="146" t="s">
        <v>138</v>
      </c>
      <c r="C87" s="193" t="s">
        <v>199</v>
      </c>
      <c r="D87" s="87"/>
      <c r="E87" s="18"/>
      <c r="F87" s="18">
        <v>4</v>
      </c>
      <c r="G87" s="18">
        <v>559.62</v>
      </c>
      <c r="H87" s="211">
        <f t="shared" si="9"/>
        <v>2.23848</v>
      </c>
      <c r="I87" s="218">
        <f>G87</f>
        <v>559.62</v>
      </c>
    </row>
    <row r="88" spans="1:9" ht="31.5" customHeight="1">
      <c r="A88" s="49">
        <v>31</v>
      </c>
      <c r="B88" s="146" t="s">
        <v>229</v>
      </c>
      <c r="C88" s="193" t="s">
        <v>230</v>
      </c>
      <c r="D88" s="87"/>
      <c r="E88" s="18"/>
      <c r="F88" s="18">
        <f>40/10</f>
        <v>4</v>
      </c>
      <c r="G88" s="18">
        <v>2055.5300000000002</v>
      </c>
      <c r="H88" s="211">
        <f>G88*F88/1000</f>
        <v>8.2221200000000003</v>
      </c>
      <c r="I88" s="218">
        <f>G88*4</f>
        <v>8222.1200000000008</v>
      </c>
    </row>
    <row r="89" spans="1:9" ht="15.75" customHeight="1">
      <c r="A89" s="261">
        <v>32</v>
      </c>
      <c r="B89" s="146" t="s">
        <v>131</v>
      </c>
      <c r="C89" s="193" t="s">
        <v>145</v>
      </c>
      <c r="D89" s="87"/>
      <c r="E89" s="18"/>
      <c r="F89" s="18">
        <v>3.5</v>
      </c>
      <c r="G89" s="18">
        <v>1501</v>
      </c>
      <c r="H89" s="18">
        <f t="shared" ref="H89" si="10">G89*F89/1000</f>
        <v>5.2534999999999998</v>
      </c>
      <c r="I89" s="218">
        <f>G89*3</f>
        <v>4503</v>
      </c>
    </row>
    <row r="90" spans="1:9" ht="15.75" customHeight="1">
      <c r="A90" s="49"/>
      <c r="B90" s="81" t="s">
        <v>66</v>
      </c>
      <c r="C90" s="77"/>
      <c r="D90" s="131"/>
      <c r="E90" s="77">
        <v>1</v>
      </c>
      <c r="F90" s="77"/>
      <c r="G90" s="77"/>
      <c r="H90" s="77"/>
      <c r="I90" s="59">
        <f>SUM(I83:I89)</f>
        <v>15228.17</v>
      </c>
    </row>
    <row r="91" spans="1:9" ht="15.75" customHeight="1">
      <c r="A91" s="49"/>
      <c r="B91" s="87" t="s">
        <v>103</v>
      </c>
      <c r="C91" s="21"/>
      <c r="D91" s="21"/>
      <c r="E91" s="78"/>
      <c r="F91" s="78"/>
      <c r="G91" s="79"/>
      <c r="H91" s="79"/>
      <c r="I91" s="24">
        <v>0</v>
      </c>
    </row>
    <row r="92" spans="1:9" ht="15.75" customHeight="1">
      <c r="A92" s="132"/>
      <c r="B92" s="82" t="s">
        <v>67</v>
      </c>
      <c r="C92" s="65"/>
      <c r="D92" s="65"/>
      <c r="E92" s="65"/>
      <c r="F92" s="65"/>
      <c r="G92" s="65"/>
      <c r="H92" s="65"/>
      <c r="I92" s="80">
        <f>I81+I90</f>
        <v>70301.78665694443</v>
      </c>
    </row>
    <row r="93" spans="1:9" ht="15.75">
      <c r="A93" s="239" t="s">
        <v>278</v>
      </c>
      <c r="B93" s="239"/>
      <c r="C93" s="239"/>
      <c r="D93" s="239"/>
      <c r="E93" s="239"/>
      <c r="F93" s="239"/>
      <c r="G93" s="239"/>
      <c r="H93" s="239"/>
      <c r="I93" s="239"/>
    </row>
    <row r="94" spans="1:9" ht="15.75">
      <c r="A94" s="187"/>
      <c r="B94" s="234" t="s">
        <v>279</v>
      </c>
      <c r="C94" s="234"/>
      <c r="D94" s="234"/>
      <c r="E94" s="234"/>
      <c r="F94" s="234"/>
      <c r="G94" s="234"/>
      <c r="H94" s="192"/>
      <c r="I94" s="3"/>
    </row>
    <row r="95" spans="1:9">
      <c r="A95" s="184"/>
      <c r="B95" s="230" t="s">
        <v>7</v>
      </c>
      <c r="C95" s="230"/>
      <c r="D95" s="230"/>
      <c r="E95" s="230"/>
      <c r="F95" s="230"/>
      <c r="G95" s="230"/>
      <c r="H95" s="38"/>
      <c r="I95" s="5"/>
    </row>
    <row r="96" spans="1:9">
      <c r="A96" s="11"/>
      <c r="B96" s="11"/>
      <c r="C96" s="11"/>
      <c r="D96" s="11"/>
      <c r="E96" s="11"/>
      <c r="F96" s="11"/>
      <c r="G96" s="11"/>
      <c r="H96" s="11"/>
      <c r="I96" s="11"/>
    </row>
    <row r="97" spans="1:9" ht="15.75">
      <c r="A97" s="235" t="s">
        <v>8</v>
      </c>
      <c r="B97" s="235"/>
      <c r="C97" s="235"/>
      <c r="D97" s="235"/>
      <c r="E97" s="235"/>
      <c r="F97" s="235"/>
      <c r="G97" s="235"/>
      <c r="H97" s="235"/>
      <c r="I97" s="235"/>
    </row>
    <row r="98" spans="1:9" ht="15.75">
      <c r="A98" s="235" t="s">
        <v>9</v>
      </c>
      <c r="B98" s="235"/>
      <c r="C98" s="235"/>
      <c r="D98" s="235"/>
      <c r="E98" s="235"/>
      <c r="F98" s="235"/>
      <c r="G98" s="235"/>
      <c r="H98" s="235"/>
      <c r="I98" s="235"/>
    </row>
    <row r="99" spans="1:9" ht="15.75">
      <c r="A99" s="236" t="s">
        <v>82</v>
      </c>
      <c r="B99" s="236"/>
      <c r="C99" s="236"/>
      <c r="D99" s="236"/>
      <c r="E99" s="236"/>
      <c r="F99" s="236"/>
      <c r="G99" s="236"/>
      <c r="H99" s="236"/>
      <c r="I99" s="236"/>
    </row>
    <row r="100" spans="1:9" ht="15.75">
      <c r="A100" s="12"/>
    </row>
    <row r="101" spans="1:9" ht="15.75">
      <c r="A101" s="237" t="s">
        <v>11</v>
      </c>
      <c r="B101" s="237"/>
      <c r="C101" s="237"/>
      <c r="D101" s="237"/>
      <c r="E101" s="237"/>
      <c r="F101" s="237"/>
      <c r="G101" s="237"/>
      <c r="H101" s="237"/>
      <c r="I101" s="237"/>
    </row>
    <row r="102" spans="1:9" ht="15.75">
      <c r="A102" s="4"/>
    </row>
    <row r="103" spans="1:9" ht="15.75">
      <c r="B103" s="182" t="s">
        <v>12</v>
      </c>
      <c r="C103" s="262" t="s">
        <v>140</v>
      </c>
      <c r="D103" s="262"/>
      <c r="E103" s="262"/>
      <c r="F103" s="190"/>
      <c r="I103" s="183"/>
    </row>
    <row r="104" spans="1:9">
      <c r="A104" s="184"/>
      <c r="C104" s="230" t="s">
        <v>13</v>
      </c>
      <c r="D104" s="230"/>
      <c r="E104" s="230"/>
      <c r="F104" s="38"/>
      <c r="I104" s="181" t="s">
        <v>14</v>
      </c>
    </row>
    <row r="105" spans="1:9" ht="15.75">
      <c r="A105" s="39"/>
      <c r="C105" s="13"/>
      <c r="D105" s="13"/>
      <c r="G105" s="13"/>
      <c r="H105" s="13"/>
    </row>
    <row r="106" spans="1:9" ht="15.75">
      <c r="B106" s="182" t="s">
        <v>15</v>
      </c>
      <c r="C106" s="231"/>
      <c r="D106" s="231"/>
      <c r="E106" s="231"/>
      <c r="F106" s="191"/>
      <c r="I106" s="183"/>
    </row>
    <row r="107" spans="1:9">
      <c r="A107" s="184"/>
      <c r="C107" s="232" t="s">
        <v>13</v>
      </c>
      <c r="D107" s="232"/>
      <c r="E107" s="232"/>
      <c r="F107" s="184"/>
      <c r="I107" s="181" t="s">
        <v>14</v>
      </c>
    </row>
    <row r="108" spans="1:9" ht="15.75">
      <c r="A108" s="4" t="s">
        <v>16</v>
      </c>
    </row>
    <row r="109" spans="1:9">
      <c r="A109" s="233" t="s">
        <v>17</v>
      </c>
      <c r="B109" s="233"/>
      <c r="C109" s="233"/>
      <c r="D109" s="233"/>
      <c r="E109" s="233"/>
      <c r="F109" s="233"/>
      <c r="G109" s="233"/>
      <c r="H109" s="233"/>
      <c r="I109" s="233"/>
    </row>
    <row r="110" spans="1:9" ht="47.25" customHeight="1">
      <c r="A110" s="225" t="s">
        <v>18</v>
      </c>
      <c r="B110" s="225"/>
      <c r="C110" s="225"/>
      <c r="D110" s="225"/>
      <c r="E110" s="225"/>
      <c r="F110" s="225"/>
      <c r="G110" s="225"/>
      <c r="H110" s="225"/>
      <c r="I110" s="225"/>
    </row>
    <row r="111" spans="1:9" ht="31.5" customHeight="1">
      <c r="A111" s="225" t="s">
        <v>19</v>
      </c>
      <c r="B111" s="225"/>
      <c r="C111" s="225"/>
      <c r="D111" s="225"/>
      <c r="E111" s="225"/>
      <c r="F111" s="225"/>
      <c r="G111" s="225"/>
      <c r="H111" s="225"/>
      <c r="I111" s="225"/>
    </row>
    <row r="112" spans="1:9" ht="31.5" customHeight="1">
      <c r="A112" s="225" t="s">
        <v>24</v>
      </c>
      <c r="B112" s="225"/>
      <c r="C112" s="225"/>
      <c r="D112" s="225"/>
      <c r="E112" s="225"/>
      <c r="F112" s="225"/>
      <c r="G112" s="225"/>
      <c r="H112" s="225"/>
      <c r="I112" s="225"/>
    </row>
    <row r="113" spans="1:9" ht="15.75" customHeight="1">
      <c r="A113" s="225" t="s">
        <v>23</v>
      </c>
      <c r="B113" s="225"/>
      <c r="C113" s="225"/>
      <c r="D113" s="225"/>
      <c r="E113" s="225"/>
      <c r="F113" s="225"/>
      <c r="G113" s="225"/>
      <c r="H113" s="225"/>
      <c r="I113" s="225"/>
    </row>
  </sheetData>
  <autoFilter ref="I12:I58"/>
  <mergeCells count="28">
    <mergeCell ref="R63:U63"/>
    <mergeCell ref="A78:I78"/>
    <mergeCell ref="A3:I3"/>
    <mergeCell ref="A4:I4"/>
    <mergeCell ref="A5:I5"/>
    <mergeCell ref="A8:I8"/>
    <mergeCell ref="A10:I10"/>
    <mergeCell ref="A14:I14"/>
    <mergeCell ref="A99:I99"/>
    <mergeCell ref="A15:I15"/>
    <mergeCell ref="A27:I27"/>
    <mergeCell ref="A44:I44"/>
    <mergeCell ref="A54:I54"/>
    <mergeCell ref="A93:I93"/>
    <mergeCell ref="B94:G94"/>
    <mergeCell ref="B95:G95"/>
    <mergeCell ref="A97:I97"/>
    <mergeCell ref="A98:I98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01.16</vt:lpstr>
      <vt:lpstr>02.16</vt:lpstr>
      <vt:lpstr>03.16</vt:lpstr>
      <vt:lpstr>04.16</vt:lpstr>
      <vt:lpstr>05.16</vt:lpstr>
      <vt:lpstr>06.16</vt:lpstr>
      <vt:lpstr>07.16</vt:lpstr>
      <vt:lpstr>08.16</vt:lpstr>
      <vt:lpstr>09.16</vt:lpstr>
      <vt:lpstr>10.16</vt:lpstr>
      <vt:lpstr>11.16</vt:lpstr>
      <vt:lpstr>12.16</vt:lpstr>
      <vt:lpstr>Лист1</vt:lpstr>
      <vt:lpstr>'09.16'!Заголовки_для_печати</vt:lpstr>
      <vt:lpstr>'01.16'!Область_печати</vt:lpstr>
      <vt:lpstr>'02.16'!Область_печати</vt:lpstr>
      <vt:lpstr>'03.16'!Область_печати</vt:lpstr>
      <vt:lpstr>'04.16'!Область_печати</vt:lpstr>
      <vt:lpstr>'05.16'!Область_печати</vt:lpstr>
      <vt:lpstr>'06.16'!Область_печати</vt:lpstr>
      <vt:lpstr>'07.16'!Область_печати</vt:lpstr>
      <vt:lpstr>'08.16'!Область_печати</vt:lpstr>
      <vt:lpstr>'09.16'!Область_печати</vt:lpstr>
      <vt:lpstr>'10.16'!Область_печати</vt:lpstr>
      <vt:lpstr>'11.16'!Область_печати</vt:lpstr>
      <vt:lpstr>'12.16'!Область_печати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2017-04-20T12:46:12Z</cp:lastPrinted>
  <dcterms:created xsi:type="dcterms:W3CDTF">2016-03-25T08:33:47Z</dcterms:created>
  <dcterms:modified xsi:type="dcterms:W3CDTF">2017-04-20T12:46:16Z</dcterms:modified>
</cp:coreProperties>
</file>