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_FilterDatabase" localSheetId="0" hidden="1">'01.20'!$I$12:$I$62</definedName>
    <definedName name="_xlnm._FilterDatabase" localSheetId="1" hidden="1">'02.20'!$I$12:$I$61</definedName>
    <definedName name="_xlnm._FilterDatabase" localSheetId="2" hidden="1">'03.20'!$I$12:$I$61</definedName>
    <definedName name="_xlnm._FilterDatabase" localSheetId="3" hidden="1">'04.20'!$I$12:$I$61</definedName>
    <definedName name="_xlnm._FilterDatabase" localSheetId="4" hidden="1">'05.20'!$I$12:$I$60</definedName>
    <definedName name="_xlnm._FilterDatabase" localSheetId="5" hidden="1">'06.20'!$I$12:$I$61</definedName>
    <definedName name="_xlnm._FilterDatabase" localSheetId="6" hidden="1">'07.20'!$I$12:$I$61</definedName>
    <definedName name="_xlnm._FilterDatabase" localSheetId="7" hidden="1">'08.20'!$I$12:$I$61</definedName>
    <definedName name="_xlnm._FilterDatabase" localSheetId="8" hidden="1">'09.20'!$I$12:$I$59</definedName>
    <definedName name="_xlnm._FilterDatabase" localSheetId="9" hidden="1">'10.20'!$I$12:$I$61</definedName>
    <definedName name="_xlnm._FilterDatabase" localSheetId="10" hidden="1">'11.20'!$I$12:$I$63</definedName>
    <definedName name="_xlnm._FilterDatabase" localSheetId="11" hidden="1">'12.20'!$I$12:$I$63</definedName>
    <definedName name="_xlnm.Print_Area" localSheetId="0">'01.20'!$A$1:$I$115</definedName>
    <definedName name="_xlnm.Print_Area" localSheetId="1">'02.20'!$A$1:$I$143</definedName>
    <definedName name="_xlnm.Print_Area" localSheetId="2">'03.20'!$A$1:$I$117</definedName>
    <definedName name="_xlnm.Print_Area" localSheetId="3">'04.20'!$A$1:$I$105</definedName>
    <definedName name="_xlnm.Print_Area" localSheetId="4">'05.20'!$A$1:$I$112</definedName>
    <definedName name="_xlnm.Print_Area" localSheetId="5">'06.20'!$A$1:$I$124</definedName>
    <definedName name="_xlnm.Print_Area" localSheetId="6">'07.20'!$A$1:$I$121</definedName>
    <definedName name="_xlnm.Print_Area" localSheetId="7">'08.20'!$A$1:$I$122</definedName>
    <definedName name="_xlnm.Print_Area" localSheetId="8">'09.20'!$A$1:$I$115</definedName>
    <definedName name="_xlnm.Print_Area" localSheetId="9">'10.20'!$A$1:$I$119</definedName>
    <definedName name="_xlnm.Print_Area" localSheetId="10">'11.20'!$A$1:$I$132</definedName>
    <definedName name="_xlnm.Print_Area" localSheetId="11">'12.20'!$A$1:$I$117</definedName>
  </definedNames>
  <calcPr calcId="124519"/>
</workbook>
</file>

<file path=xl/calcChain.xml><?xml version="1.0" encoding="utf-8"?>
<calcChain xmlns="http://schemas.openxmlformats.org/spreadsheetml/2006/main">
  <c r="I94" i="28"/>
  <c r="I91"/>
  <c r="I39"/>
  <c r="I89" i="27"/>
  <c r="I109"/>
  <c r="I108"/>
  <c r="I107"/>
  <c r="I106"/>
  <c r="I105"/>
  <c r="I104"/>
  <c r="F107"/>
  <c r="I102"/>
  <c r="I101"/>
  <c r="I100"/>
  <c r="I99"/>
  <c r="I98"/>
  <c r="I97"/>
  <c r="I96"/>
  <c r="I95"/>
  <c r="I94"/>
  <c r="I93"/>
  <c r="I92"/>
  <c r="I91"/>
  <c r="I66"/>
  <c r="I45"/>
  <c r="I96" i="26"/>
  <c r="I95"/>
  <c r="I87"/>
  <c r="I93"/>
  <c r="I92"/>
  <c r="I91"/>
  <c r="I90"/>
  <c r="I89"/>
  <c r="H89"/>
  <c r="I64"/>
  <c r="I92" i="25"/>
  <c r="I98" i="23" l="1"/>
  <c r="I97"/>
  <c r="I85" i="25"/>
  <c r="I90"/>
  <c r="I89"/>
  <c r="I88"/>
  <c r="I87"/>
  <c r="H87"/>
  <c r="I62"/>
  <c r="I99" i="24"/>
  <c r="I98"/>
  <c r="I87" l="1"/>
  <c r="I95"/>
  <c r="I94"/>
  <c r="I93"/>
  <c r="I92"/>
  <c r="I91"/>
  <c r="I89"/>
  <c r="I96" i="23"/>
  <c r="I95"/>
  <c r="I94"/>
  <c r="I93"/>
  <c r="I92"/>
  <c r="I87"/>
  <c r="I83"/>
  <c r="I101" i="22"/>
  <c r="I100"/>
  <c r="F70" i="23"/>
  <c r="F69"/>
  <c r="F68"/>
  <c r="F67"/>
  <c r="F66"/>
  <c r="I90"/>
  <c r="I89"/>
  <c r="H89"/>
  <c r="I90" i="22"/>
  <c r="I75"/>
  <c r="I59"/>
  <c r="I99"/>
  <c r="I98"/>
  <c r="I97"/>
  <c r="I96"/>
  <c r="I95"/>
  <c r="I94"/>
  <c r="I93"/>
  <c r="I92"/>
  <c r="I25"/>
  <c r="I24"/>
  <c r="I86" i="21" l="1"/>
  <c r="I88"/>
  <c r="E85"/>
  <c r="F85" s="1"/>
  <c r="F84"/>
  <c r="H84" s="1"/>
  <c r="F72"/>
  <c r="I72" s="1"/>
  <c r="F55"/>
  <c r="F53"/>
  <c r="F52"/>
  <c r="F51"/>
  <c r="F50"/>
  <c r="F49"/>
  <c r="F48"/>
  <c r="F47"/>
  <c r="F46"/>
  <c r="F33"/>
  <c r="F32"/>
  <c r="F31"/>
  <c r="F30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F16" i="20"/>
  <c r="H16" s="1"/>
  <c r="F17"/>
  <c r="H17" s="1"/>
  <c r="E78"/>
  <c r="F78" s="1"/>
  <c r="F77"/>
  <c r="H77" s="1"/>
  <c r="F73"/>
  <c r="I73" s="1"/>
  <c r="F45"/>
  <c r="H45" s="1"/>
  <c r="I44"/>
  <c r="H44"/>
  <c r="F43"/>
  <c r="I43" s="1"/>
  <c r="F42"/>
  <c r="H42" s="1"/>
  <c r="F41"/>
  <c r="I41" s="1"/>
  <c r="I40"/>
  <c r="H40"/>
  <c r="F39"/>
  <c r="H39" s="1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I81"/>
  <c r="I94" i="19"/>
  <c r="I93"/>
  <c r="I88"/>
  <c r="I92"/>
  <c r="I91"/>
  <c r="I90"/>
  <c r="F90"/>
  <c r="E87"/>
  <c r="F87" s="1"/>
  <c r="F86"/>
  <c r="H86" s="1"/>
  <c r="F73"/>
  <c r="I73" s="1"/>
  <c r="F45"/>
  <c r="H45" s="1"/>
  <c r="I44"/>
  <c r="H44"/>
  <c r="F43"/>
  <c r="I43" s="1"/>
  <c r="F42"/>
  <c r="H42" s="1"/>
  <c r="F41"/>
  <c r="I41" s="1"/>
  <c r="I40"/>
  <c r="H40"/>
  <c r="F39"/>
  <c r="H39" s="1"/>
  <c r="I38"/>
  <c r="H38"/>
  <c r="F27"/>
  <c r="H27" s="1"/>
  <c r="F26"/>
  <c r="H26" s="1"/>
  <c r="H25"/>
  <c r="H24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59" i="18"/>
  <c r="H85" i="21" l="1"/>
  <c r="I85"/>
  <c r="I84"/>
  <c r="H17"/>
  <c r="H21"/>
  <c r="H18"/>
  <c r="I16"/>
  <c r="I20"/>
  <c r="I27"/>
  <c r="I16" i="20"/>
  <c r="I17"/>
  <c r="H78"/>
  <c r="I78"/>
  <c r="I77"/>
  <c r="I39"/>
  <c r="H41"/>
  <c r="I42"/>
  <c r="H43"/>
  <c r="I45"/>
  <c r="H21"/>
  <c r="I18"/>
  <c r="I79" s="1"/>
  <c r="H18"/>
  <c r="I20"/>
  <c r="I27"/>
  <c r="H87" i="19"/>
  <c r="I87"/>
  <c r="I86"/>
  <c r="H16"/>
  <c r="H20"/>
  <c r="H41"/>
  <c r="H43"/>
  <c r="I39"/>
  <c r="I42"/>
  <c r="I45"/>
  <c r="H17"/>
  <c r="H18"/>
  <c r="H21"/>
  <c r="I27"/>
  <c r="I17" i="18"/>
  <c r="I16"/>
  <c r="I120"/>
  <c r="I38"/>
  <c r="E87"/>
  <c r="F87" s="1"/>
  <c r="F86"/>
  <c r="H86" s="1"/>
  <c r="I117"/>
  <c r="I115"/>
  <c r="I114"/>
  <c r="I113"/>
  <c r="I112"/>
  <c r="I111"/>
  <c r="I110"/>
  <c r="I109"/>
  <c r="I108"/>
  <c r="F73"/>
  <c r="I73" s="1"/>
  <c r="F45"/>
  <c r="H45" s="1"/>
  <c r="I44"/>
  <c r="H44"/>
  <c r="F43"/>
  <c r="I43" s="1"/>
  <c r="F42"/>
  <c r="H42" s="1"/>
  <c r="F41"/>
  <c r="I41" s="1"/>
  <c r="I40"/>
  <c r="H40"/>
  <c r="F39"/>
  <c r="H39" s="1"/>
  <c r="H38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H17"/>
  <c r="F17"/>
  <c r="F16"/>
  <c r="H16" s="1"/>
  <c r="I88" i="17"/>
  <c r="H41" i="18" l="1"/>
  <c r="H87"/>
  <c r="I87"/>
  <c r="I86"/>
  <c r="H21"/>
  <c r="H43"/>
  <c r="I39"/>
  <c r="I42"/>
  <c r="I45"/>
  <c r="I88" s="1"/>
  <c r="I18"/>
  <c r="H18"/>
  <c r="I20"/>
  <c r="I27"/>
  <c r="I90" i="17"/>
  <c r="E87"/>
  <c r="F87" s="1"/>
  <c r="F86"/>
  <c r="H86" s="1"/>
  <c r="F74"/>
  <c r="I74" s="1"/>
  <c r="F53"/>
  <c r="H53" s="1"/>
  <c r="I38"/>
  <c r="F45"/>
  <c r="H45" s="1"/>
  <c r="I44"/>
  <c r="H44"/>
  <c r="F43"/>
  <c r="H43" s="1"/>
  <c r="F42"/>
  <c r="I42" s="1"/>
  <c r="F41"/>
  <c r="H41" s="1"/>
  <c r="I40"/>
  <c r="H40"/>
  <c r="F39"/>
  <c r="I39" s="1"/>
  <c r="H38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E88" i="28"/>
  <c r="F88" s="1"/>
  <c r="H88" s="1"/>
  <c r="F87"/>
  <c r="H87" s="1"/>
  <c r="F75"/>
  <c r="I75" s="1"/>
  <c r="F46"/>
  <c r="H46" s="1"/>
  <c r="I45"/>
  <c r="H45"/>
  <c r="F44"/>
  <c r="I44" s="1"/>
  <c r="F43"/>
  <c r="H43" s="1"/>
  <c r="F42"/>
  <c r="I42" s="1"/>
  <c r="I41"/>
  <c r="H41"/>
  <c r="F40"/>
  <c r="H40" s="1"/>
  <c r="H39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E88" i="27"/>
  <c r="F88" s="1"/>
  <c r="F87"/>
  <c r="H87" s="1"/>
  <c r="F75"/>
  <c r="I75" s="1"/>
  <c r="I39"/>
  <c r="F46"/>
  <c r="I46" s="1"/>
  <c r="F44"/>
  <c r="I44" s="1"/>
  <c r="F43"/>
  <c r="F42"/>
  <c r="I42" s="1"/>
  <c r="F40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I45" i="26"/>
  <c r="F45"/>
  <c r="H17" i="17" l="1"/>
  <c r="H21"/>
  <c r="H87"/>
  <c r="I87"/>
  <c r="I86"/>
  <c r="I53"/>
  <c r="I45"/>
  <c r="H39"/>
  <c r="I41"/>
  <c r="H42"/>
  <c r="I43"/>
  <c r="I18"/>
  <c r="H18"/>
  <c r="I16"/>
  <c r="I20"/>
  <c r="I27"/>
  <c r="H21" i="28"/>
  <c r="H44"/>
  <c r="H17"/>
  <c r="H42"/>
  <c r="I87"/>
  <c r="I88"/>
  <c r="I40"/>
  <c r="I43"/>
  <c r="I46"/>
  <c r="I18"/>
  <c r="H18"/>
  <c r="I16"/>
  <c r="I20"/>
  <c r="I27"/>
  <c r="H17" i="27"/>
  <c r="H21"/>
  <c r="H88"/>
  <c r="I88"/>
  <c r="I87"/>
  <c r="H18"/>
  <c r="I16"/>
  <c r="I20"/>
  <c r="I27"/>
  <c r="F86" i="26"/>
  <c r="H86" s="1"/>
  <c r="E86"/>
  <c r="F85"/>
  <c r="H85" s="1"/>
  <c r="F83"/>
  <c r="I83" s="1"/>
  <c r="F33"/>
  <c r="I33" s="1"/>
  <c r="F32"/>
  <c r="H32" s="1"/>
  <c r="F31"/>
  <c r="I31" s="1"/>
  <c r="F30"/>
  <c r="H30" s="1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5" l="1"/>
  <c r="I86"/>
  <c r="H31"/>
  <c r="I30"/>
  <c r="I32"/>
  <c r="H21"/>
  <c r="H17"/>
  <c r="I18"/>
  <c r="H18"/>
  <c r="I16"/>
  <c r="I20"/>
  <c r="I27"/>
  <c r="I59" i="24" l="1"/>
  <c r="I69" i="25" l="1"/>
  <c r="F69"/>
  <c r="F52"/>
  <c r="F51"/>
  <c r="F50"/>
  <c r="F49"/>
  <c r="F48"/>
  <c r="F47"/>
  <c r="F46"/>
  <c r="F45"/>
  <c r="E84"/>
  <c r="F84" s="1"/>
  <c r="F83"/>
  <c r="H83" s="1"/>
  <c r="F81"/>
  <c r="I81" s="1"/>
  <c r="I53"/>
  <c r="F32"/>
  <c r="I32" s="1"/>
  <c r="F31"/>
  <c r="H31" s="1"/>
  <c r="F30"/>
  <c r="I30" s="1"/>
  <c r="F29"/>
  <c r="I29" s="1"/>
  <c r="F26"/>
  <c r="H26" s="1"/>
  <c r="F25"/>
  <c r="H25" s="1"/>
  <c r="H24"/>
  <c r="H23"/>
  <c r="F22"/>
  <c r="H22" s="1"/>
  <c r="F21"/>
  <c r="H21" s="1"/>
  <c r="F20"/>
  <c r="I20" s="1"/>
  <c r="F19"/>
  <c r="H19" s="1"/>
  <c r="E18"/>
  <c r="F18" s="1"/>
  <c r="F17"/>
  <c r="I17" s="1"/>
  <c r="F16"/>
  <c r="H16" s="1"/>
  <c r="E86" i="24"/>
  <c r="F86" s="1"/>
  <c r="F85"/>
  <c r="H85" s="1"/>
  <c r="F73"/>
  <c r="I73" s="1"/>
  <c r="F55"/>
  <c r="F33"/>
  <c r="F32"/>
  <c r="F31"/>
  <c r="F30"/>
  <c r="F27"/>
  <c r="H27" s="1"/>
  <c r="H29" i="25" l="1"/>
  <c r="H84"/>
  <c r="I84"/>
  <c r="I83"/>
  <c r="H30"/>
  <c r="I31"/>
  <c r="H17"/>
  <c r="H20"/>
  <c r="I18"/>
  <c r="H18"/>
  <c r="I16"/>
  <c r="I19"/>
  <c r="I26"/>
  <c r="H86" i="24"/>
  <c r="I86"/>
  <c r="I85"/>
  <c r="I27"/>
  <c r="F26" l="1"/>
  <c r="F23"/>
  <c r="F22"/>
  <c r="F21"/>
  <c r="I21" s="1"/>
  <c r="F20"/>
  <c r="I20" s="1"/>
  <c r="F19"/>
  <c r="E18"/>
  <c r="F18" s="1"/>
  <c r="I18" s="1"/>
  <c r="F17"/>
  <c r="F16"/>
  <c r="E86" i="23" l="1"/>
  <c r="F86" s="1"/>
  <c r="H86" s="1"/>
  <c r="F85"/>
  <c r="H85" s="1"/>
  <c r="F73"/>
  <c r="I73" s="1"/>
  <c r="I59"/>
  <c r="F33"/>
  <c r="I33" s="1"/>
  <c r="F32"/>
  <c r="H32" s="1"/>
  <c r="F31"/>
  <c r="I31" s="1"/>
  <c r="F30"/>
  <c r="H30" s="1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I82" i="20"/>
  <c r="I85" i="23" l="1"/>
  <c r="I86"/>
  <c r="H21"/>
  <c r="H17"/>
  <c r="I30"/>
  <c r="H31"/>
  <c r="I32"/>
  <c r="H18"/>
  <c r="I16"/>
  <c r="I20"/>
  <c r="I27"/>
  <c r="F89" i="22" l="1"/>
  <c r="I89" s="1"/>
  <c r="E88"/>
  <c r="F88" s="1"/>
  <c r="F87"/>
  <c r="F85"/>
  <c r="I85" s="1"/>
  <c r="F73"/>
  <c r="F71"/>
  <c r="F70"/>
  <c r="F69"/>
  <c r="F68"/>
  <c r="F67"/>
  <c r="F66"/>
  <c r="F65"/>
  <c r="F58"/>
  <c r="F55"/>
  <c r="F53"/>
  <c r="F52"/>
  <c r="F51"/>
  <c r="F50"/>
  <c r="F49"/>
  <c r="F48"/>
  <c r="F47"/>
  <c r="F46"/>
  <c r="F33"/>
  <c r="F32"/>
  <c r="F31"/>
  <c r="F30"/>
  <c r="F27"/>
  <c r="F26"/>
  <c r="I26" s="1"/>
  <c r="F23"/>
  <c r="I23" s="1"/>
  <c r="F22"/>
  <c r="I22" s="1"/>
  <c r="F21"/>
  <c r="I21" s="1"/>
  <c r="F20"/>
  <c r="I20" s="1"/>
  <c r="F19"/>
  <c r="I19" s="1"/>
  <c r="E18"/>
  <c r="F18" s="1"/>
  <c r="I18" s="1"/>
  <c r="F17"/>
  <c r="F16"/>
  <c r="I89" i="21" l="1"/>
  <c r="I59" i="19"/>
  <c r="I64" i="18"/>
  <c r="I92" i="17" l="1"/>
  <c r="I65"/>
  <c r="I85" i="28" l="1"/>
  <c r="F56" i="26" l="1"/>
  <c r="I64" i="24" l="1"/>
  <c r="I75" l="1"/>
  <c r="I60" i="17"/>
  <c r="I40" i="21" l="1"/>
  <c r="I61"/>
  <c r="I74"/>
  <c r="I55" i="20"/>
  <c r="I62"/>
  <c r="H91" i="19"/>
  <c r="H90"/>
  <c r="F62"/>
  <c r="F62" i="18" l="1"/>
  <c r="F63" i="17"/>
  <c r="H63" s="1"/>
  <c r="H85" i="28" l="1"/>
  <c r="H83"/>
  <c r="H81"/>
  <c r="F80"/>
  <c r="H80" s="1"/>
  <c r="I77"/>
  <c r="F73"/>
  <c r="H73" s="1"/>
  <c r="F72"/>
  <c r="I72" s="1"/>
  <c r="F71"/>
  <c r="H71" s="1"/>
  <c r="F70"/>
  <c r="I70" s="1"/>
  <c r="F69"/>
  <c r="H69" s="1"/>
  <c r="F68"/>
  <c r="I68" s="1"/>
  <c r="I67"/>
  <c r="H67"/>
  <c r="I66"/>
  <c r="H66"/>
  <c r="H64"/>
  <c r="I64"/>
  <c r="F63"/>
  <c r="H63" s="1"/>
  <c r="F61"/>
  <c r="I61" s="1"/>
  <c r="I58"/>
  <c r="I89" s="1"/>
  <c r="F58"/>
  <c r="H58" s="1"/>
  <c r="I57"/>
  <c r="H57"/>
  <c r="F56"/>
  <c r="I56" s="1"/>
  <c r="F55"/>
  <c r="I55" s="1"/>
  <c r="F54"/>
  <c r="I54" s="1"/>
  <c r="F53"/>
  <c r="H53" s="1"/>
  <c r="F52"/>
  <c r="H52" s="1"/>
  <c r="F51"/>
  <c r="H51" s="1"/>
  <c r="F50"/>
  <c r="H50" s="1"/>
  <c r="F49"/>
  <c r="H49" s="1"/>
  <c r="H37"/>
  <c r="H36"/>
  <c r="H35"/>
  <c r="F35"/>
  <c r="I35" s="1"/>
  <c r="I34"/>
  <c r="F33"/>
  <c r="I33" s="1"/>
  <c r="F32"/>
  <c r="I32" s="1"/>
  <c r="H31"/>
  <c r="F31"/>
  <c r="I31" s="1"/>
  <c r="F28"/>
  <c r="I28" s="1"/>
  <c r="H85" i="27"/>
  <c r="H83"/>
  <c r="H81"/>
  <c r="F80"/>
  <c r="H80" s="1"/>
  <c r="I77"/>
  <c r="F73"/>
  <c r="I73" s="1"/>
  <c r="F72"/>
  <c r="H72" s="1"/>
  <c r="F71"/>
  <c r="I71" s="1"/>
  <c r="F70"/>
  <c r="H70" s="1"/>
  <c r="F69"/>
  <c r="I69" s="1"/>
  <c r="F68"/>
  <c r="H68" s="1"/>
  <c r="I67"/>
  <c r="H67"/>
  <c r="H66"/>
  <c r="I64"/>
  <c r="F63"/>
  <c r="H63" s="1"/>
  <c r="F61"/>
  <c r="H61" s="1"/>
  <c r="I58"/>
  <c r="F58"/>
  <c r="H58" s="1"/>
  <c r="I57"/>
  <c r="H57"/>
  <c r="F56"/>
  <c r="H56" s="1"/>
  <c r="F55"/>
  <c r="I55" s="1"/>
  <c r="F54"/>
  <c r="H54" s="1"/>
  <c r="F53"/>
  <c r="H53" s="1"/>
  <c r="F52"/>
  <c r="H52" s="1"/>
  <c r="F51"/>
  <c r="H51" s="1"/>
  <c r="F50"/>
  <c r="H50" s="1"/>
  <c r="F49"/>
  <c r="H49" s="1"/>
  <c r="H46"/>
  <c r="H44"/>
  <c r="I43"/>
  <c r="H42"/>
  <c r="I41"/>
  <c r="H40"/>
  <c r="H39"/>
  <c r="H37"/>
  <c r="H36"/>
  <c r="H35"/>
  <c r="F35"/>
  <c r="I35" s="1"/>
  <c r="I34"/>
  <c r="F33"/>
  <c r="I33" s="1"/>
  <c r="F32"/>
  <c r="H32" s="1"/>
  <c r="F31"/>
  <c r="I31" s="1"/>
  <c r="F28"/>
  <c r="H28" s="1"/>
  <c r="I73" i="26"/>
  <c r="H33" i="28" l="1"/>
  <c r="H55"/>
  <c r="H28"/>
  <c r="H32"/>
  <c r="H54"/>
  <c r="H56"/>
  <c r="H61"/>
  <c r="H84" s="1"/>
  <c r="H68"/>
  <c r="I69"/>
  <c r="H70"/>
  <c r="I71"/>
  <c r="H72"/>
  <c r="I73"/>
  <c r="H33" i="27"/>
  <c r="H41"/>
  <c r="H64"/>
  <c r="H84" s="1"/>
  <c r="H55"/>
  <c r="H31"/>
  <c r="H45"/>
  <c r="H43"/>
  <c r="I28"/>
  <c r="I32"/>
  <c r="I68"/>
  <c r="H69"/>
  <c r="I70"/>
  <c r="H71"/>
  <c r="I72"/>
  <c r="H73"/>
  <c r="I40"/>
  <c r="I54"/>
  <c r="I56"/>
  <c r="I61"/>
  <c r="I96" i="28" l="1"/>
  <c r="I111" i="27"/>
  <c r="H90" i="24" l="1"/>
  <c r="H89"/>
  <c r="H92" i="22" l="1"/>
  <c r="I64"/>
  <c r="I63" i="21"/>
  <c r="I84" i="19" l="1"/>
  <c r="I76" i="17"/>
  <c r="I55" i="26" l="1"/>
  <c r="H81"/>
  <c r="H79"/>
  <c r="H77"/>
  <c r="F76"/>
  <c r="H76" s="1"/>
  <c r="F71"/>
  <c r="I71" s="1"/>
  <c r="F70"/>
  <c r="H70" s="1"/>
  <c r="F69"/>
  <c r="I69" s="1"/>
  <c r="F68"/>
  <c r="H68" s="1"/>
  <c r="F67"/>
  <c r="I67" s="1"/>
  <c r="F66"/>
  <c r="H66" s="1"/>
  <c r="I65"/>
  <c r="H65"/>
  <c r="H64"/>
  <c r="H62"/>
  <c r="F61"/>
  <c r="H61" s="1"/>
  <c r="F59"/>
  <c r="I59" s="1"/>
  <c r="I56"/>
  <c r="H56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79" i="25"/>
  <c r="H77"/>
  <c r="H75"/>
  <c r="F74"/>
  <c r="H74" s="1"/>
  <c r="F68"/>
  <c r="H68" s="1"/>
  <c r="F67"/>
  <c r="I67" s="1"/>
  <c r="F66"/>
  <c r="H66" s="1"/>
  <c r="F65"/>
  <c r="I65" s="1"/>
  <c r="F64"/>
  <c r="H64" s="1"/>
  <c r="I63"/>
  <c r="H63"/>
  <c r="H62"/>
  <c r="H60"/>
  <c r="F59"/>
  <c r="H59" s="1"/>
  <c r="F57"/>
  <c r="I57" s="1"/>
  <c r="I54"/>
  <c r="F54"/>
  <c r="H54" s="1"/>
  <c r="H53"/>
  <c r="I51"/>
  <c r="H50"/>
  <c r="H49"/>
  <c r="H48"/>
  <c r="H47"/>
  <c r="H46"/>
  <c r="H45"/>
  <c r="I43"/>
  <c r="H43"/>
  <c r="F42"/>
  <c r="I42" s="1"/>
  <c r="F41"/>
  <c r="H41" s="1"/>
  <c r="F40"/>
  <c r="I40" s="1"/>
  <c r="H39"/>
  <c r="F38"/>
  <c r="I38" s="1"/>
  <c r="F37"/>
  <c r="H37" s="1"/>
  <c r="I36"/>
  <c r="H36"/>
  <c r="H34"/>
  <c r="H33"/>
  <c r="H83" i="24"/>
  <c r="H81"/>
  <c r="H79"/>
  <c r="F78"/>
  <c r="H78" s="1"/>
  <c r="F71"/>
  <c r="I71" s="1"/>
  <c r="F70"/>
  <c r="H70" s="1"/>
  <c r="F69"/>
  <c r="I69" s="1"/>
  <c r="F68"/>
  <c r="H68" s="1"/>
  <c r="F67"/>
  <c r="I67" s="1"/>
  <c r="F66"/>
  <c r="H66" s="1"/>
  <c r="I65"/>
  <c r="H65"/>
  <c r="H64"/>
  <c r="H62"/>
  <c r="F61"/>
  <c r="H61" s="1"/>
  <c r="F58"/>
  <c r="I58" s="1"/>
  <c r="I55"/>
  <c r="H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F38"/>
  <c r="I38" s="1"/>
  <c r="I37"/>
  <c r="H37"/>
  <c r="H35"/>
  <c r="H34"/>
  <c r="I33"/>
  <c r="I32"/>
  <c r="I31"/>
  <c r="I30"/>
  <c r="H26"/>
  <c r="H25"/>
  <c r="H24"/>
  <c r="H23"/>
  <c r="H22"/>
  <c r="H21"/>
  <c r="H20"/>
  <c r="H19"/>
  <c r="H17"/>
  <c r="I17"/>
  <c r="I16"/>
  <c r="H83" i="23"/>
  <c r="H81"/>
  <c r="H79"/>
  <c r="F78"/>
  <c r="H78" s="1"/>
  <c r="F71"/>
  <c r="I71" s="1"/>
  <c r="H70"/>
  <c r="I69"/>
  <c r="H68"/>
  <c r="I67"/>
  <c r="H66"/>
  <c r="I65"/>
  <c r="H65"/>
  <c r="H64"/>
  <c r="H62"/>
  <c r="F61"/>
  <c r="H61" s="1"/>
  <c r="F58"/>
  <c r="I58" s="1"/>
  <c r="I55"/>
  <c r="F55"/>
  <c r="H55" s="1"/>
  <c r="H54"/>
  <c r="H53"/>
  <c r="F53"/>
  <c r="H52"/>
  <c r="F52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H39"/>
  <c r="F39"/>
  <c r="I39" s="1"/>
  <c r="F38"/>
  <c r="H38" s="1"/>
  <c r="I37"/>
  <c r="H37"/>
  <c r="H35"/>
  <c r="H34"/>
  <c r="H87" i="22"/>
  <c r="H83"/>
  <c r="H81"/>
  <c r="H79"/>
  <c r="F78"/>
  <c r="H78" s="1"/>
  <c r="I71"/>
  <c r="H70"/>
  <c r="I69"/>
  <c r="H68"/>
  <c r="I67"/>
  <c r="H66"/>
  <c r="I65"/>
  <c r="H65"/>
  <c r="H64"/>
  <c r="H62"/>
  <c r="F61"/>
  <c r="H61" s="1"/>
  <c r="I58"/>
  <c r="I55"/>
  <c r="H55"/>
  <c r="H54"/>
  <c r="H53"/>
  <c r="H52"/>
  <c r="H51"/>
  <c r="H50"/>
  <c r="H49"/>
  <c r="H48"/>
  <c r="H47"/>
  <c r="H46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I33"/>
  <c r="I32"/>
  <c r="H31"/>
  <c r="I30"/>
  <c r="I27"/>
  <c r="H26"/>
  <c r="H25"/>
  <c r="H24"/>
  <c r="H23"/>
  <c r="H22"/>
  <c r="H21"/>
  <c r="H20"/>
  <c r="H19"/>
  <c r="H18"/>
  <c r="H17"/>
  <c r="I16"/>
  <c r="I78" i="21"/>
  <c r="I54"/>
  <c r="H82"/>
  <c r="H80"/>
  <c r="H78"/>
  <c r="F77"/>
  <c r="H77" s="1"/>
  <c r="F70"/>
  <c r="I70" s="1"/>
  <c r="F69"/>
  <c r="H69" s="1"/>
  <c r="F68"/>
  <c r="I68" s="1"/>
  <c r="F67"/>
  <c r="H67" s="1"/>
  <c r="F66"/>
  <c r="I66" s="1"/>
  <c r="F65"/>
  <c r="H65" s="1"/>
  <c r="I64"/>
  <c r="H64"/>
  <c r="H63"/>
  <c r="F61"/>
  <c r="H61" s="1"/>
  <c r="F60"/>
  <c r="H60" s="1"/>
  <c r="F58"/>
  <c r="I58" s="1"/>
  <c r="I55"/>
  <c r="H55"/>
  <c r="H54"/>
  <c r="H53"/>
  <c r="H52"/>
  <c r="H51"/>
  <c r="H50"/>
  <c r="H49"/>
  <c r="H48"/>
  <c r="H47"/>
  <c r="H46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I33"/>
  <c r="I32"/>
  <c r="H31"/>
  <c r="I30"/>
  <c r="I75" i="20"/>
  <c r="I65"/>
  <c r="I64"/>
  <c r="F71"/>
  <c r="I71" s="1"/>
  <c r="F70"/>
  <c r="H70" s="1"/>
  <c r="F69"/>
  <c r="I69" s="1"/>
  <c r="F68"/>
  <c r="H68" s="1"/>
  <c r="F67"/>
  <c r="I67" s="1"/>
  <c r="F66"/>
  <c r="H66" s="1"/>
  <c r="H65"/>
  <c r="H64"/>
  <c r="F62"/>
  <c r="H62" s="1"/>
  <c r="F61"/>
  <c r="H61" s="1"/>
  <c r="F59"/>
  <c r="I59" s="1"/>
  <c r="I56"/>
  <c r="F56"/>
  <c r="H56" s="1"/>
  <c r="H55"/>
  <c r="F54"/>
  <c r="F53"/>
  <c r="F52"/>
  <c r="H52" s="1"/>
  <c r="F51"/>
  <c r="H51" s="1"/>
  <c r="F50"/>
  <c r="H50" s="1"/>
  <c r="F49"/>
  <c r="H49" s="1"/>
  <c r="F48"/>
  <c r="H48" s="1"/>
  <c r="F47"/>
  <c r="H47" s="1"/>
  <c r="I38"/>
  <c r="H38"/>
  <c r="H36"/>
  <c r="H35"/>
  <c r="H34"/>
  <c r="F34"/>
  <c r="I34" s="1"/>
  <c r="I33"/>
  <c r="F32"/>
  <c r="I32" s="1"/>
  <c r="F31"/>
  <c r="H31" s="1"/>
  <c r="F30"/>
  <c r="I30" s="1"/>
  <c r="I64" i="19"/>
  <c r="H52" i="25" l="1"/>
  <c r="I52"/>
  <c r="H38"/>
  <c r="H51"/>
  <c r="H69" i="23"/>
  <c r="H16" i="22"/>
  <c r="H59" i="20"/>
  <c r="H54"/>
  <c r="I54"/>
  <c r="H53"/>
  <c r="I53"/>
  <c r="H67" i="23"/>
  <c r="H71"/>
  <c r="H39" i="26"/>
  <c r="H53"/>
  <c r="H69"/>
  <c r="I54"/>
  <c r="H67"/>
  <c r="H71"/>
  <c r="H59"/>
  <c r="H80" s="1"/>
  <c r="H43"/>
  <c r="H41"/>
  <c r="I38"/>
  <c r="I42"/>
  <c r="I52"/>
  <c r="I62"/>
  <c r="I66"/>
  <c r="I68"/>
  <c r="I70"/>
  <c r="I48" i="25"/>
  <c r="I46"/>
  <c r="I49"/>
  <c r="I47"/>
  <c r="I45"/>
  <c r="H57"/>
  <c r="H78" s="1"/>
  <c r="H42"/>
  <c r="H40"/>
  <c r="I37"/>
  <c r="I41"/>
  <c r="I50"/>
  <c r="I60"/>
  <c r="I64"/>
  <c r="H65"/>
  <c r="I66"/>
  <c r="H67"/>
  <c r="I68"/>
  <c r="H69"/>
  <c r="H71" i="24"/>
  <c r="H31"/>
  <c r="H67"/>
  <c r="H69"/>
  <c r="H58"/>
  <c r="H82" s="1"/>
  <c r="H51"/>
  <c r="H38"/>
  <c r="H42"/>
  <c r="H18"/>
  <c r="H16"/>
  <c r="H30"/>
  <c r="H32"/>
  <c r="H39"/>
  <c r="H41"/>
  <c r="H43"/>
  <c r="I62"/>
  <c r="I66"/>
  <c r="I68"/>
  <c r="I70"/>
  <c r="H58" i="23"/>
  <c r="H82" s="1"/>
  <c r="H43"/>
  <c r="H41"/>
  <c r="I38"/>
  <c r="I62"/>
  <c r="I42"/>
  <c r="I51"/>
  <c r="I66"/>
  <c r="I68"/>
  <c r="I70"/>
  <c r="H27" i="22"/>
  <c r="H39"/>
  <c r="H58"/>
  <c r="H41"/>
  <c r="H43"/>
  <c r="H30"/>
  <c r="H32"/>
  <c r="H88"/>
  <c r="I88"/>
  <c r="I17"/>
  <c r="I31"/>
  <c r="I38"/>
  <c r="I42"/>
  <c r="I51"/>
  <c r="I62"/>
  <c r="I66"/>
  <c r="H67"/>
  <c r="I68"/>
  <c r="H69"/>
  <c r="I70"/>
  <c r="H71"/>
  <c r="I87"/>
  <c r="I49" i="21"/>
  <c r="I47"/>
  <c r="I52"/>
  <c r="I53"/>
  <c r="H39"/>
  <c r="I50"/>
  <c r="I48"/>
  <c r="I46"/>
  <c r="H66"/>
  <c r="H70"/>
  <c r="H68"/>
  <c r="H58"/>
  <c r="H81" s="1"/>
  <c r="H41"/>
  <c r="H43"/>
  <c r="H30"/>
  <c r="H32"/>
  <c r="I31"/>
  <c r="I38"/>
  <c r="I42"/>
  <c r="I51"/>
  <c r="I65"/>
  <c r="I67"/>
  <c r="I69"/>
  <c r="H30" i="20"/>
  <c r="H32"/>
  <c r="I31"/>
  <c r="I52"/>
  <c r="I66"/>
  <c r="H67"/>
  <c r="I68"/>
  <c r="H69"/>
  <c r="I70"/>
  <c r="H71"/>
  <c r="H84" i="19"/>
  <c r="H82"/>
  <c r="H79"/>
  <c r="F78"/>
  <c r="H78" s="1"/>
  <c r="F71"/>
  <c r="I71" s="1"/>
  <c r="F70"/>
  <c r="H70" s="1"/>
  <c r="F69"/>
  <c r="I69" s="1"/>
  <c r="F68"/>
  <c r="H68" s="1"/>
  <c r="F67"/>
  <c r="I67" s="1"/>
  <c r="F66"/>
  <c r="H66" s="1"/>
  <c r="I65"/>
  <c r="H65"/>
  <c r="H64"/>
  <c r="H62"/>
  <c r="F61"/>
  <c r="H61" s="1"/>
  <c r="F59"/>
  <c r="H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H36"/>
  <c r="H35"/>
  <c r="H34"/>
  <c r="F34"/>
  <c r="I34" s="1"/>
  <c r="I33"/>
  <c r="F32"/>
  <c r="I32" s="1"/>
  <c r="F31"/>
  <c r="H31" s="1"/>
  <c r="F30"/>
  <c r="I30" s="1"/>
  <c r="F107" i="18"/>
  <c r="H107" s="1"/>
  <c r="H106"/>
  <c r="H105"/>
  <c r="H104"/>
  <c r="F103"/>
  <c r="H103" s="1"/>
  <c r="H102"/>
  <c r="H101"/>
  <c r="F100"/>
  <c r="H100" s="1"/>
  <c r="F99"/>
  <c r="H99" s="1"/>
  <c r="H98"/>
  <c r="F97"/>
  <c r="H97" s="1"/>
  <c r="H96"/>
  <c r="H95"/>
  <c r="H94"/>
  <c r="H93"/>
  <c r="H92"/>
  <c r="H91"/>
  <c r="H90"/>
  <c r="H84"/>
  <c r="H82"/>
  <c r="H79"/>
  <c r="F78"/>
  <c r="H78" s="1"/>
  <c r="F71"/>
  <c r="I71" s="1"/>
  <c r="F70"/>
  <c r="H70" s="1"/>
  <c r="F69"/>
  <c r="I69" s="1"/>
  <c r="F68"/>
  <c r="H68" s="1"/>
  <c r="F67"/>
  <c r="I67" s="1"/>
  <c r="F66"/>
  <c r="H66" s="1"/>
  <c r="I65"/>
  <c r="H65"/>
  <c r="H64"/>
  <c r="H62"/>
  <c r="F61"/>
  <c r="H61" s="1"/>
  <c r="F59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H36"/>
  <c r="H35"/>
  <c r="H34"/>
  <c r="F34"/>
  <c r="I34" s="1"/>
  <c r="I33"/>
  <c r="F32"/>
  <c r="I32" s="1"/>
  <c r="F31"/>
  <c r="H31" s="1"/>
  <c r="F30"/>
  <c r="I30" s="1"/>
  <c r="I103" i="22" l="1"/>
  <c r="I91" i="21"/>
  <c r="I98" i="26"/>
  <c r="I94" i="25"/>
  <c r="I101" i="24"/>
  <c r="I100" i="23"/>
  <c r="H82" i="22"/>
  <c r="I84" i="20"/>
  <c r="H59" i="18"/>
  <c r="H83" i="19"/>
  <c r="H30" i="18"/>
  <c r="H32"/>
  <c r="H32" i="19"/>
  <c r="H30"/>
  <c r="I31"/>
  <c r="I52"/>
  <c r="I62"/>
  <c r="I66"/>
  <c r="H67"/>
  <c r="I68"/>
  <c r="H69"/>
  <c r="I70"/>
  <c r="H71"/>
  <c r="H83" i="18"/>
  <c r="I52"/>
  <c r="I62"/>
  <c r="I66"/>
  <c r="H67"/>
  <c r="I68"/>
  <c r="H69"/>
  <c r="I70"/>
  <c r="H71"/>
  <c r="I31"/>
  <c r="I33" i="17"/>
  <c r="I96" i="19" l="1"/>
  <c r="I122" i="18"/>
  <c r="H84" i="17" l="1"/>
  <c r="H82"/>
  <c r="H80"/>
  <c r="F79"/>
  <c r="H79" s="1"/>
  <c r="F72"/>
  <c r="F71"/>
  <c r="F70"/>
  <c r="F69"/>
  <c r="F68"/>
  <c r="F67"/>
  <c r="I66"/>
  <c r="H66"/>
  <c r="H65"/>
  <c r="I63"/>
  <c r="F62"/>
  <c r="H62" s="1"/>
  <c r="F60"/>
  <c r="I57"/>
  <c r="F57"/>
  <c r="H57" s="1"/>
  <c r="H56"/>
  <c r="F55"/>
  <c r="H55" s="1"/>
  <c r="F54"/>
  <c r="H54" s="1"/>
  <c r="F52"/>
  <c r="H52" s="1"/>
  <c r="F51"/>
  <c r="H51" s="1"/>
  <c r="F50"/>
  <c r="H50" s="1"/>
  <c r="F49"/>
  <c r="H49" s="1"/>
  <c r="F48"/>
  <c r="H48" s="1"/>
  <c r="H36"/>
  <c r="H35"/>
  <c r="H34"/>
  <c r="F34"/>
  <c r="I34" s="1"/>
  <c r="F32"/>
  <c r="F31"/>
  <c r="F30"/>
  <c r="H67" l="1"/>
  <c r="I67"/>
  <c r="H69"/>
  <c r="I69"/>
  <c r="H71"/>
  <c r="I71"/>
  <c r="H68"/>
  <c r="I68"/>
  <c r="H70"/>
  <c r="I70"/>
  <c r="H72"/>
  <c r="I72"/>
  <c r="H30"/>
  <c r="I30"/>
  <c r="H32"/>
  <c r="I32"/>
  <c r="H31"/>
  <c r="I31"/>
  <c r="H60"/>
  <c r="H83" s="1"/>
  <c r="I94" l="1"/>
</calcChain>
</file>

<file path=xl/sharedStrings.xml><?xml version="1.0" encoding="utf-8"?>
<sst xmlns="http://schemas.openxmlformats.org/spreadsheetml/2006/main" count="2837" uniqueCount="339">
  <si>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</si>
  <si>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</si>
  <si>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</si>
  <si>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</si>
  <si>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</si>
  <si>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</si>
  <si>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</si>
  <si>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</si>
  <si>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</si>
  <si>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</si>
  <si>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</si>
  <si>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</si>
  <si>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</si>
  <si>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</si>
  <si>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</si>
  <si>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</si>
  <si>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</si>
  <si>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</si>
  <si>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</si>
  <si>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</si>
  <si>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</si>
  <si>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</si>
  <si>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</si>
  <si>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</si>
  <si>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</si>
  <si>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</si>
  <si>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</si>
  <si>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</si>
  <si>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</si>
  <si>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</si>
  <si>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</si>
  <si>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</si>
  <si>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</si>
  <si>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</si>
  <si>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</si>
  <si>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</si>
  <si>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</si>
  <si>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</si>
  <si>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</si>
  <si>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</si>
  <si>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</si>
  <si>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</si>
  <si>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</si>
  <si>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</si>
  <si>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</si>
  <si>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</si>
  <si>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</si>
  <si>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</si>
  <si>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</si>
  <si>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</si>
  <si>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</si>
  <si>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</si>
  <si>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</si>
  <si>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</si>
  <si>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</si>
  <si>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</si>
  <si>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</si>
  <si>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</si>
  <si>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</si>
  <si>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</si>
  <si>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</si>
  <si>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</si>
  <si>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</si>
  <si>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</si>
  <si>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</si>
  <si>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</si>
  <si>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</si>
  <si>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</si>
  <si>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</si>
  <si>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</si>
  <si>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</si>
  <si>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</si>
  <si>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</si>
  <si>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</si>
  <si>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</si>
  <si>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</si>
  <si>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</si>
  <si>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</si>
  <si>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</si>
  <si>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</si>
  <si>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</si>
  <si>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</si>
  <si>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</si>
  <si>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</si>
  <si>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</si>
  <si>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</si>
  <si>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</si>
  <si>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</si>
  <si>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</si>
  <si>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</si>
  <si>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</si>
  <si>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</si>
  <si>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</si>
  <si>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</si>
  <si>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</si>
  <si>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</si>
  <si>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</si>
  <si>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</si>
  <si>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</si>
  <si>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</si>
  <si>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</si>
  <si>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</si>
  <si>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</si>
  <si>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Внеплановая проверка вентканалов</t>
  </si>
  <si>
    <t>Сдвигание снега в дни снегопада (проезды)</t>
  </si>
  <si>
    <t>Дезинфекция подвала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</si>
  <si>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</si>
  <si>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</si>
  <si>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</si>
  <si>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</si>
  <si>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</si>
  <si>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</si>
  <si>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</si>
  <si>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</si>
  <si>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</si>
  <si>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</si>
  <si>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</si>
  <si>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</si>
  <si>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</si>
  <si>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</si>
  <si>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</si>
  <si>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</si>
  <si>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</si>
  <si>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</si>
  <si>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</si>
  <si>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</si>
  <si>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</si>
  <si>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</si>
  <si>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</si>
  <si>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</si>
  <si>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</si>
  <si>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</si>
  <si>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</si>
  <si>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</si>
  <si>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</si>
  <si>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ул.Нефтяников пгт.Ярега
</t>
  </si>
  <si>
    <t>12 раз за сезон</t>
  </si>
  <si>
    <t>Сдвигание снега в дни снегопада (крыльца, тротуары)</t>
  </si>
  <si>
    <t>24 раза за сезон</t>
  </si>
  <si>
    <t>Осмотр шиферной кровли</t>
  </si>
  <si>
    <t>Смена выключателей</t>
  </si>
  <si>
    <t>Смена патронов</t>
  </si>
  <si>
    <t>1шт.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</si>
  <si>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</si>
  <si>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</si>
  <si>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</si>
  <si>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</si>
  <si>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</si>
  <si>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 xml:space="preserve"> - Уборка контейнерной площадки (16 кв.м.)</t>
  </si>
  <si>
    <t>по мере необходимости</t>
  </si>
  <si>
    <t>2 раз в год</t>
  </si>
  <si>
    <t>Монтаж освещения в подсобке уборщицы</t>
  </si>
  <si>
    <t>тыс.руб.</t>
  </si>
  <si>
    <t xml:space="preserve">Уплотнение сгонов с применением льняной пряди или асбестового шнура (без разборки сгонов) </t>
  </si>
  <si>
    <t>Мелкий ремонт электропроводки</t>
  </si>
  <si>
    <t>Ремонт и регулировка доводчика (без стоимости доводчика)</t>
  </si>
  <si>
    <t>Установка скамейки (I, IV под.)</t>
  </si>
  <si>
    <t>Установка хомута диаметром до 50 мм</t>
  </si>
  <si>
    <t>Ремонт отдельных мест покрытия из асбоцементных листов обыкновенного профиля</t>
  </si>
  <si>
    <t>Ремонт разделки</t>
  </si>
  <si>
    <t>руб.</t>
  </si>
  <si>
    <t>Ремонт поверхности кирпичных стен при глубине заделки в 0,5 кирпича площадью в одном месте до 1 м2 (ремонт кирпичной кладки цоколя I-II под.)</t>
  </si>
  <si>
    <t>Ремонт штукатурки гладких фасадов по камню и бетону с земли цементно-известковым раствором площадью до 5 м2 толщиной слоя до 20 мм (штукатурка цоколя I-II под.)</t>
  </si>
  <si>
    <t xml:space="preserve">Смена сгонов у трубопроводов диаметром до 20 мм </t>
  </si>
  <si>
    <t>1 сгон</t>
  </si>
  <si>
    <t>Заделка стыков соединений стояков внутренних водостоков</t>
  </si>
  <si>
    <t>Устройство подстилающих слоев щебеночных</t>
  </si>
  <si>
    <t>1 мЗ</t>
  </si>
  <si>
    <t>Герметизация входной двери (III подъезд)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</si>
  <si>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</si>
  <si>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</si>
  <si>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</si>
  <si>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</si>
  <si>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</si>
  <si>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АКТ №4</t>
  </si>
  <si>
    <t>АКТ №5</t>
  </si>
  <si>
    <t>АКТ №6</t>
  </si>
  <si>
    <t>IV. Прочие услуги</t>
  </si>
  <si>
    <t>АКТ №7</t>
  </si>
  <si>
    <t>АКТ №8</t>
  </si>
  <si>
    <t>АКТ №9</t>
  </si>
  <si>
    <t>АКТ №10</t>
  </si>
  <si>
    <t>Итого затраты за месяц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</si>
  <si>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д.11</t>
    </r>
  </si>
  <si>
    <t>АКТ №11</t>
  </si>
  <si>
    <t>АКТ №12</t>
  </si>
  <si>
    <t>м</t>
  </si>
  <si>
    <t>ООО «Движение»</t>
  </si>
  <si>
    <t>27,2м2</t>
  </si>
  <si>
    <t>Ремонт поверхности кирпичных стен при глубине заделки в 1 кирпич площадью в одном месте до 1 м2</t>
  </si>
  <si>
    <t>100 кв.</t>
  </si>
  <si>
    <t>Очистка канализационной сети внутренней</t>
  </si>
  <si>
    <t>Работа автовышки</t>
  </si>
  <si>
    <t>маш/час</t>
  </si>
  <si>
    <t>Смена внутренних трубопроводов на полипропиленовые трубы PN 25 Dу 20</t>
  </si>
  <si>
    <t>Организция и содержание мест накопления ТКО</t>
  </si>
  <si>
    <t>1 раз в месяц (5 раз за сезон)</t>
  </si>
  <si>
    <t>Ремонт (ревизия) задвиек диаметром до 100 мм без снятия с места</t>
  </si>
  <si>
    <t>Смена арматуры - вентилей  диаметром до 32 мм</t>
  </si>
  <si>
    <t>1 шт.</t>
  </si>
  <si>
    <t>Техническое обслуживание внутренних сетей водопровода и канализации</t>
  </si>
  <si>
    <t>руб/м2 в мес.</t>
  </si>
  <si>
    <t>Водоснабжение и канализация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</si>
  <si>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</si>
  <si>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</si>
  <si>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Осмотр электросетей, армазуры и электрооборудования на лестничных клетках</t>
  </si>
  <si>
    <t>13 раз</t>
  </si>
  <si>
    <t>8 раз</t>
  </si>
  <si>
    <t>2 раза</t>
  </si>
  <si>
    <t>21 раз</t>
  </si>
  <si>
    <t>5 раз</t>
  </si>
  <si>
    <t>4 раза</t>
  </si>
  <si>
    <t>7 раз</t>
  </si>
  <si>
    <t>1 раз</t>
  </si>
  <si>
    <t xml:space="preserve">1 раз </t>
  </si>
  <si>
    <t>12 раз</t>
  </si>
  <si>
    <t>Снятие показаний эл.счетчика коммунального назначения</t>
  </si>
  <si>
    <t>1 маш-час</t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</si>
  <si>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15.05.2019г.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</si>
  <si>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05.05.2019г.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</si>
  <si>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 xml:space="preserve">2 раза </t>
  </si>
  <si>
    <t>Патрубок компенсационный 110</t>
  </si>
  <si>
    <t>4 маш/час</t>
  </si>
  <si>
    <t>Смена внутренних трубопроводов на полипропиленовые трубы PN 25 Dу 25</t>
  </si>
  <si>
    <t>Очистка вручную от снега и наледи люков водопроводных и каналзационных колодцев</t>
  </si>
  <si>
    <t xml:space="preserve">Сдвигание снега в дни снегопада </t>
  </si>
  <si>
    <t>за период с 01.01.2020 г. по 31.01.2020 г.</t>
  </si>
  <si>
    <t>за период с 01.02.2020 г. по 28.02.2020 г.</t>
  </si>
  <si>
    <t>Смена полипропиленовых канализационных труб ПП 100*2000</t>
  </si>
  <si>
    <t>Тройник 100*50</t>
  </si>
  <si>
    <t>Переход чугун-пластик 100</t>
  </si>
  <si>
    <t>Тройник 100*100*100</t>
  </si>
  <si>
    <t>Муфта 110</t>
  </si>
  <si>
    <t>100шт</t>
  </si>
  <si>
    <t>Осмотр водопроводов, канализации, отопления</t>
  </si>
  <si>
    <t>с 29 до 26 кв</t>
  </si>
  <si>
    <t>ГВС кв 23</t>
  </si>
  <si>
    <t>кв.23 шахта после работ ВДИС 0,5 м2</t>
  </si>
  <si>
    <t>6 раз</t>
  </si>
  <si>
    <t>10 раз</t>
  </si>
  <si>
    <t>за период с 01.03.2020 г. по 31.03.2020 г.</t>
  </si>
  <si>
    <t xml:space="preserve">Смена внутренних трубопроводов  диаметром до 32 мм </t>
  </si>
  <si>
    <t>шахта кв.26</t>
  </si>
  <si>
    <t>кв.26 ГВС, 1,5 м</t>
  </si>
  <si>
    <t>за период с 01.04.2020 г. по 30.04.2020 г.</t>
  </si>
  <si>
    <t>2. Всего за период с 01.03.2020 по 31.03.2020 выполнено работ (оказано услуг) на общую сумму: 42442,03 руб.</t>
  </si>
  <si>
    <t>(сорок две тысячи четыреста сорок два рубля 03 копейки )</t>
  </si>
  <si>
    <t>2. Всего за период с 01.04.2020 по 30.04.2020 выполнено работ (оказано услуг) на общую сумму: 41771,59 руб.</t>
  </si>
  <si>
    <t>(сорок одна тысяча семьсот семьдесят один рубль 59 копеек)</t>
  </si>
  <si>
    <t>за период с 01.05.2020 г. по 31.05.2020 г.</t>
  </si>
  <si>
    <t>2. Всего за период с 01.05.2020 по 31.05.2020 выполнено работ (оказано услуг) на общую сумму: 63227,19 руб.</t>
  </si>
  <si>
    <t>(шестьдесят три тысячи двести двадцать семь рублей 19 копеек)</t>
  </si>
  <si>
    <t>за период с 01.06.2020 г. по 30.06.2020 г.</t>
  </si>
  <si>
    <t xml:space="preserve">1 раз      </t>
  </si>
  <si>
    <t xml:space="preserve">1 раз    </t>
  </si>
  <si>
    <t xml:space="preserve">1 раз     </t>
  </si>
  <si>
    <t>Смена полипропиленовых канализационных труб ПП 50*1000</t>
  </si>
  <si>
    <t>Отвод 50-90</t>
  </si>
  <si>
    <t>Патрубок компенсационный 50</t>
  </si>
  <si>
    <t>Манжета 50</t>
  </si>
  <si>
    <t>Демонтаж трубостоек</t>
  </si>
  <si>
    <t>Шифер</t>
  </si>
  <si>
    <t>2 часа</t>
  </si>
  <si>
    <t>кв.10</t>
  </si>
  <si>
    <t>1 шт, подвал</t>
  </si>
  <si>
    <t>3,9 м2</t>
  </si>
  <si>
    <t>1 и 3 подъезд</t>
  </si>
  <si>
    <t>2,5 листа</t>
  </si>
  <si>
    <t>за период с 01.07.2020 г. по 31.07.2020 г.</t>
  </si>
  <si>
    <t>Осмотр чердака</t>
  </si>
  <si>
    <t>Герметизация межпанельных швов</t>
  </si>
  <si>
    <t>5 м.п м/у 2 и 3 под.</t>
  </si>
  <si>
    <t>2. Всего за период с 01.06.2020 по 30.06.2020 выполнено работ (оказано услуг) на общую сумму: 56320,32 руб.</t>
  </si>
  <si>
    <t>(пятьдесят шесть тысяч триста двадцать рублей 32 копейки)</t>
  </si>
  <si>
    <t>Смена арматуры - вентилей и клапанов обратных муфтовых диаметром до 32 мм ( без материалов)</t>
  </si>
  <si>
    <t>Демонтаж кирпичной кладки</t>
  </si>
  <si>
    <t>ГВС шаха около кв.61</t>
  </si>
  <si>
    <t>около 61 кв.</t>
  </si>
  <si>
    <t>ГВС 1 шт втех.под.; ХВС 1шт в тех под.</t>
  </si>
  <si>
    <t>Регулировка смесителя</t>
  </si>
  <si>
    <t>кв.42</t>
  </si>
  <si>
    <t>за период с 01.08.2020 г. по 31.08.2020 г.</t>
  </si>
  <si>
    <t>Ремонт групповых щитков на лестничной клетке без ремонта автоматов</t>
  </si>
  <si>
    <t>ГВС 3 м подвал</t>
  </si>
  <si>
    <t>ГВС 0,5 м подвал</t>
  </si>
  <si>
    <t>ГВС 2 шт.подвал</t>
  </si>
  <si>
    <t>руб</t>
  </si>
  <si>
    <t>за период с 01.09.2020 г. по 30.09.2020 г.</t>
  </si>
  <si>
    <t>Смена арматуры - вентилей и клапанов обратных муфтовых диаметром до 20 мм</t>
  </si>
  <si>
    <t>Нарезка резьбы</t>
  </si>
  <si>
    <t>час</t>
  </si>
  <si>
    <t>1 шт. с/о кв.67; ГВС кв.56- 1 шт.</t>
  </si>
  <si>
    <t>Сварочные работы</t>
  </si>
  <si>
    <t>1 час дверн. коробка под.№4</t>
  </si>
  <si>
    <t>за период с 01.10.2020 г. по 31.10.2020 г.</t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</si>
  <si>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05.05.2019г.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</si>
  <si>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Укрепление оконных и дверных приборов - проушин</t>
  </si>
  <si>
    <t>Смена дверных приборов /замки навесные)</t>
  </si>
  <si>
    <t>Запенили вокруг металлической двери</t>
  </si>
  <si>
    <t>кв.56 п/с</t>
  </si>
  <si>
    <t>под.№4</t>
  </si>
  <si>
    <t>1 шт.-подсобка; 1 шт-р/у</t>
  </si>
  <si>
    <t>р/у</t>
  </si>
  <si>
    <t>генеральный директор Кочанова И.Л.</t>
  </si>
  <si>
    <t>Установка металлической двери ( под.№ 3)</t>
  </si>
  <si>
    <t>за период с 01.11.2020 г. по 30.11.2020 г.</t>
  </si>
  <si>
    <t>3 раза</t>
  </si>
  <si>
    <t>Манжета 110</t>
  </si>
  <si>
    <t>Перегод 110*50</t>
  </si>
  <si>
    <t>Заглушка 110</t>
  </si>
  <si>
    <t>Восстановление шахты после работ ВДИС</t>
  </si>
  <si>
    <t>Ремонт штукатурки внутренних стен по камню и бетону цементно-известковым раствором площадью до 1 м2 толщиной слоя до 20 мм</t>
  </si>
  <si>
    <t>Окраска стен после работ ВДИС</t>
  </si>
  <si>
    <t>Прочистка фильтров</t>
  </si>
  <si>
    <t>Смена радиаторов отопительных7 секции</t>
  </si>
  <si>
    <t>кв.45</t>
  </si>
  <si>
    <t>кв.52 - 1 м</t>
  </si>
  <si>
    <t>ГВС кв.2</t>
  </si>
  <si>
    <t>ГВС 20 м в " шахте" под.№4</t>
  </si>
  <si>
    <t>за период с 01.12.2020 г. по 31.12.2020 г.</t>
  </si>
  <si>
    <t>0,8 ч ( 18 и 21 дек.)</t>
  </si>
  <si>
    <t>2. Всего за период с 01.01.2020 по 31.01.2020 выполнено работ (оказано услуг) на общую сумму: 44422,47 руб.</t>
  </si>
  <si>
    <t>(сорок четыре тысячи четыреста двадцать два рубля 47 копеек)</t>
  </si>
  <si>
    <t>2. Всего за период с 01.02.2020 по 29.02.2020 выполнено работ (оказано услуг) на общую сумму: 47002,23 руб.</t>
  </si>
  <si>
    <t>(сорок семь тысяч два рубля 23 копейки)</t>
  </si>
  <si>
    <t>2. Всего за период с 01.07.2020 по 31.07.2020 выполнено работ (оказано услуг) на общую сумму: 152265,38 руб.</t>
  </si>
  <si>
    <t>(сто пятьдесят две тысячи двести шестьдесят пять рублей 38 копеек)</t>
  </si>
  <si>
    <t>Изготовление и установка скамейки ( под.№4)</t>
  </si>
  <si>
    <t>2 м</t>
  </si>
  <si>
    <t>2. Всего за период с 01.08.2020 по 31.08.2020 выполнено работ (оказано услуг) на общую сумму: 66551,81 руб.</t>
  </si>
  <si>
    <t>(шестьдесят шесть тысяч пятьсот пятьдесят один рубль 81 копейка)</t>
  </si>
  <si>
    <t>2. Всего за период с 01.09.2020 по 30.09.2020 выполнено работ (оказано услуг) на общую сумму: 52248,73 руб.</t>
  </si>
  <si>
    <t>(пятьдесят две тысячи двести сорок восемь рублей 73 копейки)</t>
  </si>
  <si>
    <t>2. Всего за период с 01.10.2020 по 31.10.2020 выполнено работ (оказано услуг) на общую сумму: 67336,43 руб.</t>
  </si>
  <si>
    <t>( шестьдесят семь тысяч триста тридцать шесть рублей 43 копейки)</t>
  </si>
  <si>
    <t>2. Всего за период с 01.11.2020 по 30.11.2020 выполнено работ (оказано услуг) на общую сумму: 114393,93 руб.</t>
  </si>
  <si>
    <t>(сто четырнадцать тысяч триста девяносто три рубля 93 копейки)</t>
  </si>
  <si>
    <t>2. Всего за период с 01.12.2020 по 31.12.2020 выполнено работ (оказано услуг) на общую сумму: 56987,81 руб.</t>
  </si>
  <si>
    <t>(пятьдесят шесть тысяч девятьсот восемьдесят семь рублей 81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</si>
</sst>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4" fillId="0" borderId="0" xfId="0" applyFont="1"/>
    <xf numFmtId="4" fontId="19" fillId="2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9" fillId="2" borderId="11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 applyProtection="1">
      <alignment horizontal="left" vertical="center" wrapText="1"/>
    </xf>
    <xf numFmtId="0" fontId="11" fillId="2" borderId="19" xfId="0" applyNumberFormat="1" applyFont="1" applyFill="1" applyBorder="1" applyAlignment="1" applyProtection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opLeftCell="A73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146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226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43861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219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220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113</v>
      </c>
      <c r="C30" s="68" t="s">
        <v>114</v>
      </c>
      <c r="D30" s="67" t="s">
        <v>115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1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169</v>
      </c>
      <c r="C31" s="68" t="s">
        <v>114</v>
      </c>
      <c r="D31" s="67" t="s">
        <v>116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1"/>
        <v>1.3717735199999999</v>
      </c>
      <c r="I31" s="13">
        <f t="shared" ref="I31:I34" si="2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114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1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147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2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148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2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1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1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132</v>
      </c>
      <c r="I37" s="13"/>
      <c r="J37" s="23"/>
    </row>
    <row r="38" spans="1:14" ht="15" customHeight="1">
      <c r="A38" s="29">
        <v>7</v>
      </c>
      <c r="B38" s="150" t="s">
        <v>26</v>
      </c>
      <c r="C38" s="121" t="s">
        <v>32</v>
      </c>
      <c r="D38" s="120"/>
      <c r="E38" s="122"/>
      <c r="F38" s="123">
        <v>6</v>
      </c>
      <c r="G38" s="123">
        <v>1855</v>
      </c>
      <c r="H38" s="71">
        <f t="shared" ref="H38:H45" si="3">SUM(F38*G38/1000)</f>
        <v>11.13</v>
      </c>
      <c r="I38" s="13">
        <f>G38*0.6</f>
        <v>1113</v>
      </c>
      <c r="J38" s="23"/>
    </row>
    <row r="39" spans="1:14" ht="15" customHeight="1">
      <c r="A39" s="29">
        <v>8</v>
      </c>
      <c r="B39" s="150" t="s">
        <v>225</v>
      </c>
      <c r="C39" s="151" t="s">
        <v>29</v>
      </c>
      <c r="D39" s="150" t="s">
        <v>210</v>
      </c>
      <c r="E39" s="153">
        <v>68</v>
      </c>
      <c r="F39" s="153">
        <f>SUM(E39*30/1000)</f>
        <v>2.04</v>
      </c>
      <c r="G39" s="153">
        <v>3014.36</v>
      </c>
      <c r="H39" s="71">
        <f t="shared" si="3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7</v>
      </c>
      <c r="B40" s="120" t="s">
        <v>94</v>
      </c>
      <c r="C40" s="121" t="s">
        <v>119</v>
      </c>
      <c r="D40" s="120" t="s">
        <v>149</v>
      </c>
      <c r="E40" s="122"/>
      <c r="F40" s="153">
        <v>39</v>
      </c>
      <c r="G40" s="123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15" customHeight="1">
      <c r="A41" s="29">
        <v>9</v>
      </c>
      <c r="B41" s="120" t="s">
        <v>68</v>
      </c>
      <c r="C41" s="121" t="s">
        <v>29</v>
      </c>
      <c r="D41" s="120" t="s">
        <v>215</v>
      </c>
      <c r="E41" s="123">
        <v>68</v>
      </c>
      <c r="F41" s="153">
        <f>SUM(E41*72/1000)</f>
        <v>4.8959999999999999</v>
      </c>
      <c r="G41" s="123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15" customHeight="1">
      <c r="A42" s="29">
        <v>10</v>
      </c>
      <c r="B42" s="120" t="s">
        <v>83</v>
      </c>
      <c r="C42" s="121" t="s">
        <v>114</v>
      </c>
      <c r="D42" s="120" t="s">
        <v>211</v>
      </c>
      <c r="E42" s="123">
        <v>68</v>
      </c>
      <c r="F42" s="153">
        <f>SUM(E42*24/1000)</f>
        <v>1.6319999999999999</v>
      </c>
      <c r="G42" s="123">
        <v>8319.2999999999993</v>
      </c>
      <c r="H42" s="71">
        <f t="shared" si="3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18" hidden="1" customHeight="1">
      <c r="A43" s="29">
        <v>11</v>
      </c>
      <c r="B43" s="120" t="s">
        <v>121</v>
      </c>
      <c r="C43" s="121" t="s">
        <v>114</v>
      </c>
      <c r="D43" s="120" t="s">
        <v>212</v>
      </c>
      <c r="E43" s="123">
        <v>68</v>
      </c>
      <c r="F43" s="153">
        <f>SUM(E43*45/1000)</f>
        <v>3.06</v>
      </c>
      <c r="G43" s="123">
        <v>614.55999999999995</v>
      </c>
      <c r="H43" s="71">
        <f t="shared" si="3"/>
        <v>1.8805536</v>
      </c>
      <c r="I43" s="13">
        <f>F43/7.5*G43</f>
        <v>250.74047999999999</v>
      </c>
      <c r="J43" s="23"/>
      <c r="L43" s="19"/>
      <c r="M43" s="20"/>
      <c r="N43" s="21"/>
    </row>
    <row r="44" spans="1:14" ht="15" hidden="1" customHeight="1">
      <c r="A44" s="29">
        <v>12</v>
      </c>
      <c r="B44" s="150" t="s">
        <v>70</v>
      </c>
      <c r="C44" s="151" t="s">
        <v>33</v>
      </c>
      <c r="D44" s="150"/>
      <c r="E44" s="152"/>
      <c r="F44" s="153">
        <v>0.9</v>
      </c>
      <c r="G44" s="153">
        <v>800</v>
      </c>
      <c r="H44" s="71">
        <f t="shared" si="3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28.5" customHeight="1">
      <c r="A45" s="29">
        <v>11</v>
      </c>
      <c r="B45" s="150" t="s">
        <v>224</v>
      </c>
      <c r="C45" s="151" t="s">
        <v>114</v>
      </c>
      <c r="D45" s="150" t="s">
        <v>220</v>
      </c>
      <c r="E45" s="152">
        <v>3</v>
      </c>
      <c r="F45" s="153">
        <f>E45*12/1000</f>
        <v>3.5999999999999997E-2</v>
      </c>
      <c r="G45" s="153">
        <v>19757.060000000001</v>
      </c>
      <c r="H45" s="71">
        <f t="shared" si="3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15" customHeight="1">
      <c r="A46" s="148"/>
      <c r="B46" s="19"/>
      <c r="C46" s="154"/>
      <c r="D46" s="19"/>
      <c r="E46" s="62"/>
      <c r="F46" s="61"/>
      <c r="G46" s="61"/>
      <c r="H46" s="61"/>
      <c r="I46" s="149"/>
      <c r="J46" s="23"/>
      <c r="L46" s="19"/>
      <c r="M46" s="20"/>
      <c r="N46" s="21"/>
    </row>
    <row r="47" spans="1:14" ht="15.75" customHeight="1">
      <c r="A47" s="174" t="s">
        <v>143</v>
      </c>
      <c r="B47" s="175"/>
      <c r="C47" s="175"/>
      <c r="D47" s="175"/>
      <c r="E47" s="175"/>
      <c r="F47" s="175"/>
      <c r="G47" s="175"/>
      <c r="H47" s="175"/>
      <c r="I47" s="176"/>
      <c r="J47" s="23"/>
      <c r="L47" s="19"/>
      <c r="M47" s="20"/>
      <c r="N47" s="21"/>
    </row>
    <row r="48" spans="1:14" ht="15" hidden="1" customHeight="1">
      <c r="A48" s="29"/>
      <c r="B48" s="67" t="s">
        <v>139</v>
      </c>
      <c r="C48" s="68" t="s">
        <v>114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114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114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114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150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12</v>
      </c>
      <c r="B53" s="67" t="s">
        <v>57</v>
      </c>
      <c r="C53" s="68" t="s">
        <v>114</v>
      </c>
      <c r="D53" s="67" t="s">
        <v>213</v>
      </c>
      <c r="E53" s="69">
        <v>884</v>
      </c>
      <c r="F53" s="70">
        <f>SUM(E53*5/1000)</f>
        <v>4.42</v>
      </c>
      <c r="G53" s="112">
        <v>1739.68</v>
      </c>
      <c r="H53" s="71">
        <f t="shared" si="4"/>
        <v>7.6893856000000005</v>
      </c>
      <c r="I53" s="13">
        <f>F53/5*G53</f>
        <v>1537.8771200000001</v>
      </c>
      <c r="J53" s="23"/>
      <c r="L53" s="19"/>
      <c r="M53" s="20"/>
      <c r="N53" s="21"/>
    </row>
    <row r="54" spans="1:22" ht="31.5" hidden="1" customHeight="1">
      <c r="A54" s="29"/>
      <c r="B54" s="67" t="s">
        <v>122</v>
      </c>
      <c r="C54" s="68" t="s">
        <v>114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123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13</v>
      </c>
      <c r="B57" s="67" t="s">
        <v>42</v>
      </c>
      <c r="C57" s="68" t="s">
        <v>30</v>
      </c>
      <c r="D57" s="140">
        <v>43493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74" t="s">
        <v>144</v>
      </c>
      <c r="B58" s="175"/>
      <c r="C58" s="175"/>
      <c r="D58" s="175"/>
      <c r="E58" s="175"/>
      <c r="F58" s="175"/>
      <c r="G58" s="175"/>
      <c r="H58" s="175"/>
      <c r="I58" s="176"/>
      <c r="J58" s="23"/>
      <c r="L58" s="19"/>
      <c r="M58" s="20"/>
      <c r="N58" s="21"/>
    </row>
    <row r="59" spans="1:22" ht="15" hidden="1" customHeight="1">
      <c r="A59" s="29"/>
      <c r="B59" s="87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125</v>
      </c>
      <c r="C60" s="68" t="s">
        <v>99</v>
      </c>
      <c r="D60" s="67" t="s">
        <v>188</v>
      </c>
      <c r="E60" s="69">
        <v>106.13</v>
      </c>
      <c r="F60" s="70">
        <f>E60*6/100</f>
        <v>6.3677999999999999</v>
      </c>
      <c r="G60" s="76">
        <v>1547.28</v>
      </c>
      <c r="H60" s="71">
        <f>F60*G60/1000</f>
        <v>9.8527695839999989</v>
      </c>
      <c r="I60" s="13">
        <f>G60*0.272</f>
        <v>420.86016000000001</v>
      </c>
      <c r="J60" s="23"/>
      <c r="L60" s="19"/>
    </row>
    <row r="61" spans="1:22" ht="15" customHeight="1">
      <c r="A61" s="29"/>
      <c r="B61" s="88" t="s">
        <v>45</v>
      </c>
      <c r="C61" s="77"/>
      <c r="D61" s="78"/>
      <c r="E61" s="79"/>
      <c r="F61" s="80"/>
      <c r="G61" s="81"/>
      <c r="H61" s="89"/>
      <c r="I61" s="13"/>
    </row>
    <row r="62" spans="1:22" ht="15" hidden="1" customHeight="1">
      <c r="A62" s="29"/>
      <c r="B62" s="78" t="s">
        <v>46</v>
      </c>
      <c r="C62" s="77" t="s">
        <v>54</v>
      </c>
      <c r="D62" s="78" t="s">
        <v>55</v>
      </c>
      <c r="E62" s="79">
        <v>884</v>
      </c>
      <c r="F62" s="80">
        <f>E62/100</f>
        <v>8.84</v>
      </c>
      <c r="G62" s="70">
        <v>793.61</v>
      </c>
      <c r="H62" s="89">
        <f>G62*F62/1000</f>
        <v>7.0155123999999995</v>
      </c>
      <c r="I62" s="13">
        <v>0</v>
      </c>
    </row>
    <row r="63" spans="1:22" ht="15" customHeight="1">
      <c r="A63" s="29">
        <v>13</v>
      </c>
      <c r="B63" s="103" t="s">
        <v>95</v>
      </c>
      <c r="C63" s="104" t="s">
        <v>25</v>
      </c>
      <c r="D63" s="103" t="s">
        <v>213</v>
      </c>
      <c r="E63" s="105">
        <v>100</v>
      </c>
      <c r="F63" s="106">
        <f>E63*12</f>
        <v>1200</v>
      </c>
      <c r="G63" s="107">
        <v>1.4</v>
      </c>
      <c r="H63" s="108">
        <f>G63*F63</f>
        <v>1680</v>
      </c>
      <c r="I63" s="13">
        <f>F63/12*G63</f>
        <v>140</v>
      </c>
    </row>
    <row r="64" spans="1:22" ht="15" hidden="1" customHeight="1">
      <c r="A64" s="29"/>
      <c r="B64" s="88" t="s">
        <v>47</v>
      </c>
      <c r="C64" s="77"/>
      <c r="D64" s="78"/>
      <c r="E64" s="79"/>
      <c r="F64" s="80"/>
      <c r="G64" s="70"/>
      <c r="H64" s="89" t="s">
        <v>132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15</v>
      </c>
      <c r="B65" s="14" t="s">
        <v>48</v>
      </c>
      <c r="C65" s="16" t="s">
        <v>124</v>
      </c>
      <c r="D65" s="14" t="s">
        <v>213</v>
      </c>
      <c r="E65" s="18">
        <v>20</v>
      </c>
      <c r="F65" s="70">
        <v>20</v>
      </c>
      <c r="G65" s="91">
        <v>222.4</v>
      </c>
      <c r="H65" s="90">
        <f t="shared" ref="H65:H82" si="5">SUM(F65*G65/1000)</f>
        <v>4.4480000000000004</v>
      </c>
      <c r="I65" s="13">
        <f>G65*1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124</v>
      </c>
      <c r="D66" s="14" t="s">
        <v>67</v>
      </c>
      <c r="E66" s="14" t="s">
        <v>67</v>
      </c>
      <c r="F66" s="14" t="s">
        <v>67</v>
      </c>
      <c r="G66" s="13">
        <v>76.25</v>
      </c>
      <c r="H66" s="82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126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2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62"/>
      <c r="S67" s="162"/>
      <c r="T67" s="162"/>
      <c r="U67" s="162"/>
    </row>
    <row r="68" spans="1:21" ht="15" hidden="1" customHeight="1">
      <c r="A68" s="29"/>
      <c r="B68" s="14" t="s">
        <v>51</v>
      </c>
      <c r="C68" s="16" t="s">
        <v>127</v>
      </c>
      <c r="D68" s="14"/>
      <c r="E68" s="69">
        <v>12647</v>
      </c>
      <c r="F68" s="13">
        <f>SUM(E68/1000)</f>
        <v>12.647</v>
      </c>
      <c r="G68" s="13">
        <v>165.21</v>
      </c>
      <c r="H68" s="82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78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2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3" t="s">
        <v>128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2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3" t="s">
        <v>129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2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58</v>
      </c>
      <c r="C72" s="16" t="s">
        <v>59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2">
        <f t="shared" si="5"/>
        <v>0.29928000000000005</v>
      </c>
      <c r="I72" s="13">
        <f t="shared" si="6"/>
        <v>299.28000000000003</v>
      </c>
    </row>
    <row r="73" spans="1:21" ht="15" customHeight="1">
      <c r="A73" s="29"/>
      <c r="B73" s="31" t="s">
        <v>202</v>
      </c>
      <c r="C73" s="16"/>
      <c r="D73" s="14"/>
      <c r="E73" s="18"/>
      <c r="F73" s="13"/>
      <c r="G73" s="116"/>
      <c r="H73" s="116"/>
      <c r="I73" s="117"/>
    </row>
    <row r="74" spans="1:21" ht="30.75" customHeight="1">
      <c r="A74" s="29">
        <v>14</v>
      </c>
      <c r="B74" s="102" t="s">
        <v>200</v>
      </c>
      <c r="C74" s="133" t="s">
        <v>201</v>
      </c>
      <c r="D74" s="134"/>
      <c r="E74" s="17">
        <v>3031.3</v>
      </c>
      <c r="F74" s="35">
        <f>E74*12</f>
        <v>36375.600000000006</v>
      </c>
      <c r="G74" s="35">
        <v>2.4900000000000002</v>
      </c>
      <c r="H74" s="116"/>
      <c r="I74" s="117">
        <f>G74*F74/12</f>
        <v>7547.9370000000017</v>
      </c>
    </row>
    <row r="75" spans="1:21" ht="15" hidden="1" customHeight="1">
      <c r="A75" s="29"/>
      <c r="B75" s="57" t="s">
        <v>73</v>
      </c>
      <c r="C75" s="16"/>
      <c r="D75" s="14"/>
      <c r="E75" s="18"/>
      <c r="F75" s="13"/>
      <c r="G75" s="13"/>
      <c r="H75" s="82" t="s">
        <v>132</v>
      </c>
      <c r="I75" s="13"/>
    </row>
    <row r="76" spans="1:21" ht="15" hidden="1" customHeight="1">
      <c r="A76" s="29">
        <v>18</v>
      </c>
      <c r="B76" s="14" t="s">
        <v>74</v>
      </c>
      <c r="C76" s="16" t="s">
        <v>31</v>
      </c>
      <c r="D76" s="14"/>
      <c r="E76" s="18">
        <v>5</v>
      </c>
      <c r="F76" s="61">
        <v>0.5</v>
      </c>
      <c r="G76" s="13">
        <v>501.62</v>
      </c>
      <c r="H76" s="82">
        <v>0.251</v>
      </c>
      <c r="I76" s="13">
        <f>G76*0.2</f>
        <v>100.32400000000001</v>
      </c>
    </row>
    <row r="77" spans="1:21" ht="15" hidden="1" customHeight="1">
      <c r="A77" s="29"/>
      <c r="B77" s="14" t="s">
        <v>140</v>
      </c>
      <c r="C77" s="16" t="s">
        <v>30</v>
      </c>
      <c r="D77" s="14"/>
      <c r="E77" s="18">
        <v>2</v>
      </c>
      <c r="F77" s="13">
        <v>2</v>
      </c>
      <c r="G77" s="13">
        <v>99.85</v>
      </c>
      <c r="H77" s="82">
        <v>0.1</v>
      </c>
      <c r="I77" s="13">
        <v>0</v>
      </c>
    </row>
    <row r="78" spans="1:21" ht="15" hidden="1" customHeight="1">
      <c r="A78" s="29"/>
      <c r="B78" s="14" t="s">
        <v>141</v>
      </c>
      <c r="C78" s="16" t="s">
        <v>30</v>
      </c>
      <c r="D78" s="14"/>
      <c r="E78" s="18">
        <v>1</v>
      </c>
      <c r="F78" s="61">
        <v>1</v>
      </c>
      <c r="G78" s="13">
        <v>120.26</v>
      </c>
      <c r="H78" s="82">
        <v>0.12</v>
      </c>
      <c r="I78" s="13">
        <v>0</v>
      </c>
    </row>
    <row r="79" spans="1:21" ht="15" hidden="1" customHeight="1">
      <c r="A79" s="29"/>
      <c r="B79" s="14" t="s">
        <v>87</v>
      </c>
      <c r="C79" s="16" t="s">
        <v>30</v>
      </c>
      <c r="D79" s="14"/>
      <c r="E79" s="18">
        <v>1</v>
      </c>
      <c r="F79" s="70">
        <f>SUM(E79)</f>
        <v>1</v>
      </c>
      <c r="G79" s="13">
        <v>358.51</v>
      </c>
      <c r="H79" s="82">
        <f t="shared" si="5"/>
        <v>0.35851</v>
      </c>
      <c r="I79" s="13">
        <v>0</v>
      </c>
    </row>
    <row r="80" spans="1:21" ht="15" hidden="1" customHeight="1">
      <c r="A80" s="29"/>
      <c r="B80" s="14" t="s">
        <v>75</v>
      </c>
      <c r="C80" s="16" t="s">
        <v>30</v>
      </c>
      <c r="D80" s="14"/>
      <c r="E80" s="18">
        <v>1</v>
      </c>
      <c r="F80" s="13">
        <v>1</v>
      </c>
      <c r="G80" s="13">
        <v>852.99</v>
      </c>
      <c r="H80" s="82">
        <f>F80*G80/1000</f>
        <v>0.85299000000000003</v>
      </c>
      <c r="I80" s="13">
        <v>0</v>
      </c>
    </row>
    <row r="81" spans="1:9" ht="15" hidden="1" customHeight="1">
      <c r="A81" s="29"/>
      <c r="B81" s="84" t="s">
        <v>77</v>
      </c>
      <c r="C81" s="16"/>
      <c r="D81" s="14"/>
      <c r="E81" s="18"/>
      <c r="F81" s="13"/>
      <c r="G81" s="13" t="s">
        <v>132</v>
      </c>
      <c r="H81" s="82" t="s">
        <v>132</v>
      </c>
      <c r="I81" s="13"/>
    </row>
    <row r="82" spans="1:9" ht="15" hidden="1" customHeight="1">
      <c r="A82" s="29"/>
      <c r="B82" s="44" t="s">
        <v>133</v>
      </c>
      <c r="C82" s="16" t="s">
        <v>78</v>
      </c>
      <c r="D82" s="14"/>
      <c r="E82" s="18"/>
      <c r="F82" s="13">
        <v>0.2</v>
      </c>
      <c r="G82" s="13">
        <v>2759.44</v>
      </c>
      <c r="H82" s="82">
        <f t="shared" si="5"/>
        <v>0.55188800000000005</v>
      </c>
      <c r="I82" s="13">
        <v>0</v>
      </c>
    </row>
    <row r="83" spans="1:9" ht="15" hidden="1" customHeight="1">
      <c r="A83" s="29"/>
      <c r="B83" s="72" t="s">
        <v>130</v>
      </c>
      <c r="C83" s="84"/>
      <c r="D83" s="31"/>
      <c r="E83" s="32"/>
      <c r="F83" s="73"/>
      <c r="G83" s="73"/>
      <c r="H83" s="85" t="e">
        <f>SUM(H60:H82)</f>
        <v>#VALUE!</v>
      </c>
      <c r="I83" s="73"/>
    </row>
    <row r="84" spans="1:9" ht="15" hidden="1" customHeight="1">
      <c r="A84" s="29"/>
      <c r="B84" s="67" t="s">
        <v>131</v>
      </c>
      <c r="C84" s="16"/>
      <c r="D84" s="14"/>
      <c r="E84" s="62"/>
      <c r="F84" s="13">
        <v>1</v>
      </c>
      <c r="G84" s="13">
        <v>13437.4</v>
      </c>
      <c r="H84" s="82">
        <f>G84*F84/1000</f>
        <v>13.4374</v>
      </c>
      <c r="I84" s="13">
        <v>0</v>
      </c>
    </row>
    <row r="85" spans="1:9" ht="15.75" customHeight="1">
      <c r="A85" s="163" t="s">
        <v>145</v>
      </c>
      <c r="B85" s="164"/>
      <c r="C85" s="164"/>
      <c r="D85" s="164"/>
      <c r="E85" s="164"/>
      <c r="F85" s="164"/>
      <c r="G85" s="164"/>
      <c r="H85" s="164"/>
      <c r="I85" s="165"/>
    </row>
    <row r="86" spans="1:9" ht="15" customHeight="1">
      <c r="A86" s="29">
        <v>15</v>
      </c>
      <c r="B86" s="102" t="s">
        <v>134</v>
      </c>
      <c r="C86" s="110" t="s">
        <v>56</v>
      </c>
      <c r="D86" s="139"/>
      <c r="E86" s="34">
        <v>3031.3</v>
      </c>
      <c r="F86" s="34">
        <f>SUM(E86*12)</f>
        <v>36375.600000000006</v>
      </c>
      <c r="G86" s="34">
        <v>3.38</v>
      </c>
      <c r="H86" s="82">
        <f>SUM(F86*G86/1000)</f>
        <v>122.94952800000002</v>
      </c>
      <c r="I86" s="13">
        <f>F86/12*G86</f>
        <v>10245.794000000002</v>
      </c>
    </row>
    <row r="87" spans="1:9" ht="31.5" customHeight="1">
      <c r="A87" s="29">
        <v>16</v>
      </c>
      <c r="B87" s="102" t="s">
        <v>203</v>
      </c>
      <c r="C87" s="110" t="s">
        <v>25</v>
      </c>
      <c r="D87" s="137"/>
      <c r="E87" s="138">
        <f>E86</f>
        <v>3031.3</v>
      </c>
      <c r="F87" s="135">
        <f>E87*12</f>
        <v>36375.600000000006</v>
      </c>
      <c r="G87" s="135">
        <v>3.05</v>
      </c>
      <c r="H87" s="82">
        <f>F87*G87/1000</f>
        <v>110.94558000000002</v>
      </c>
      <c r="I87" s="13">
        <f>F87/12*G87</f>
        <v>9245.465000000002</v>
      </c>
    </row>
    <row r="88" spans="1:9" ht="15.75" customHeight="1">
      <c r="A88" s="45"/>
      <c r="B88" s="36" t="s">
        <v>80</v>
      </c>
      <c r="C88" s="37"/>
      <c r="D88" s="15"/>
      <c r="E88" s="15"/>
      <c r="F88" s="15"/>
      <c r="G88" s="18"/>
      <c r="H88" s="18"/>
      <c r="I88" s="32">
        <f>I87+I86+I74+I63+I53+I45+I42+I41+I39+I38+I27+I21+I20+I18+I17++I16</f>
        <v>44361.75026866667</v>
      </c>
    </row>
    <row r="89" spans="1:9" ht="15.75" customHeight="1">
      <c r="A89" s="177" t="s">
        <v>61</v>
      </c>
      <c r="B89" s="178"/>
      <c r="C89" s="178"/>
      <c r="D89" s="178"/>
      <c r="E89" s="178"/>
      <c r="F89" s="178"/>
      <c r="G89" s="178"/>
      <c r="H89" s="178"/>
      <c r="I89" s="179"/>
    </row>
    <row r="90" spans="1:9" ht="15.75" customHeight="1">
      <c r="A90" s="29">
        <v>17</v>
      </c>
      <c r="B90" s="52" t="s">
        <v>216</v>
      </c>
      <c r="C90" s="53" t="s">
        <v>124</v>
      </c>
      <c r="D90" s="48"/>
      <c r="E90" s="34"/>
      <c r="F90" s="34">
        <v>1</v>
      </c>
      <c r="G90" s="34">
        <v>60.72</v>
      </c>
      <c r="H90" s="82"/>
      <c r="I90" s="109">
        <f>G90*1</f>
        <v>60.72</v>
      </c>
    </row>
    <row r="91" spans="1:9" ht="32.25" customHeight="1">
      <c r="A91" s="29">
        <v>18</v>
      </c>
      <c r="B91" s="52" t="s">
        <v>205</v>
      </c>
      <c r="C91" s="53" t="s">
        <v>39</v>
      </c>
      <c r="D91" s="48" t="s">
        <v>208</v>
      </c>
      <c r="E91" s="34"/>
      <c r="F91" s="34">
        <v>0.02</v>
      </c>
      <c r="G91" s="34">
        <v>4070.89</v>
      </c>
      <c r="H91" s="82"/>
      <c r="I91" s="109">
        <v>0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SUM(I90:I91)</f>
        <v>60.72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182</v>
      </c>
      <c r="C94" s="33"/>
      <c r="D94" s="33"/>
      <c r="E94" s="33"/>
      <c r="F94" s="33"/>
      <c r="G94" s="33"/>
      <c r="H94" s="33"/>
      <c r="I94" s="41">
        <f>I88+I92</f>
        <v>44422.470268666671</v>
      </c>
    </row>
    <row r="95" spans="1:9" ht="15.75">
      <c r="A95" s="180" t="s">
        <v>321</v>
      </c>
      <c r="B95" s="180"/>
      <c r="C95" s="180"/>
      <c r="D95" s="180"/>
      <c r="E95" s="180"/>
      <c r="F95" s="180"/>
      <c r="G95" s="180"/>
      <c r="H95" s="180"/>
      <c r="I95" s="180"/>
    </row>
    <row r="96" spans="1:9" ht="15.75">
      <c r="A96" s="60"/>
      <c r="B96" s="181" t="s">
        <v>322</v>
      </c>
      <c r="C96" s="181"/>
      <c r="D96" s="181"/>
      <c r="E96" s="181"/>
      <c r="F96" s="181"/>
      <c r="G96" s="181"/>
      <c r="H96" s="65"/>
      <c r="I96" s="3"/>
    </row>
    <row r="97" spans="1:9">
      <c r="A97" s="56"/>
      <c r="B97" s="182" t="s">
        <v>6</v>
      </c>
      <c r="C97" s="182"/>
      <c r="D97" s="182"/>
      <c r="E97" s="182"/>
      <c r="F97" s="182"/>
      <c r="G97" s="182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83" t="s">
        <v>7</v>
      </c>
      <c r="B99" s="183"/>
      <c r="C99" s="183"/>
      <c r="D99" s="183"/>
      <c r="E99" s="183"/>
      <c r="F99" s="183"/>
      <c r="G99" s="183"/>
      <c r="H99" s="183"/>
      <c r="I99" s="183"/>
    </row>
    <row r="100" spans="1:9" ht="15.75">
      <c r="A100" s="183" t="s">
        <v>8</v>
      </c>
      <c r="B100" s="183"/>
      <c r="C100" s="183"/>
      <c r="D100" s="183"/>
      <c r="E100" s="183"/>
      <c r="F100" s="183"/>
      <c r="G100" s="183"/>
      <c r="H100" s="183"/>
      <c r="I100" s="183"/>
    </row>
    <row r="101" spans="1:9" ht="15.75">
      <c r="A101" s="172" t="s">
        <v>62</v>
      </c>
      <c r="B101" s="172"/>
      <c r="C101" s="172"/>
      <c r="D101" s="172"/>
      <c r="E101" s="172"/>
      <c r="F101" s="172"/>
      <c r="G101" s="172"/>
      <c r="H101" s="172"/>
      <c r="I101" s="172"/>
    </row>
    <row r="102" spans="1:9" ht="15.75">
      <c r="A102" s="11"/>
    </row>
    <row r="103" spans="1:9" ht="15.75">
      <c r="A103" s="185" t="s">
        <v>9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>
      <c r="A104" s="4"/>
    </row>
    <row r="105" spans="1:9" ht="15.75">
      <c r="B105" s="59" t="s">
        <v>10</v>
      </c>
      <c r="C105" s="186" t="s">
        <v>88</v>
      </c>
      <c r="D105" s="186"/>
      <c r="E105" s="186"/>
      <c r="F105" s="63"/>
      <c r="I105" s="55"/>
    </row>
    <row r="106" spans="1:9">
      <c r="A106" s="56"/>
      <c r="C106" s="182" t="s">
        <v>11</v>
      </c>
      <c r="D106" s="182"/>
      <c r="E106" s="182"/>
      <c r="F106" s="24"/>
      <c r="I106" s="54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9" t="s">
        <v>13</v>
      </c>
      <c r="C108" s="187"/>
      <c r="D108" s="187"/>
      <c r="E108" s="187"/>
      <c r="F108" s="64"/>
      <c r="I108" s="55"/>
    </row>
    <row r="109" spans="1:9">
      <c r="A109" s="56"/>
      <c r="C109" s="162" t="s">
        <v>11</v>
      </c>
      <c r="D109" s="162"/>
      <c r="E109" s="162"/>
      <c r="F109" s="56"/>
      <c r="I109" s="54" t="s">
        <v>12</v>
      </c>
    </row>
    <row r="110" spans="1:9" ht="15.75">
      <c r="A110" s="4" t="s">
        <v>14</v>
      </c>
    </row>
    <row r="111" spans="1:9">
      <c r="A111" s="188" t="s">
        <v>15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45" customHeight="1">
      <c r="A112" s="184" t="s">
        <v>16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30" customHeight="1">
      <c r="A113" s="184" t="s">
        <v>17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30" customHeight="1">
      <c r="A114" s="184" t="s">
        <v>21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15.75">
      <c r="A115" s="184" t="s">
        <v>20</v>
      </c>
      <c r="B115" s="184"/>
      <c r="C115" s="184"/>
      <c r="D115" s="184"/>
      <c r="E115" s="184"/>
      <c r="F115" s="184"/>
      <c r="G115" s="184"/>
      <c r="H115" s="184"/>
      <c r="I115" s="184"/>
    </row>
  </sheetData>
  <autoFilter ref="I12:I62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8:I28"/>
    <mergeCell ref="A47:I47"/>
    <mergeCell ref="A58:I58"/>
    <mergeCell ref="A89:I89"/>
    <mergeCell ref="A95:I95"/>
    <mergeCell ref="B96:G96"/>
    <mergeCell ref="B97:G97"/>
    <mergeCell ref="A99:I99"/>
    <mergeCell ref="A100:I100"/>
    <mergeCell ref="R67:U67"/>
    <mergeCell ref="A85:I8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9"/>
  <sheetViews>
    <sheetView topLeftCell="A85" workbookViewId="0">
      <selection activeCell="G102" sqref="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181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294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44135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295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72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220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7</v>
      </c>
      <c r="B30" s="120" t="s">
        <v>113</v>
      </c>
      <c r="C30" s="121" t="s">
        <v>114</v>
      </c>
      <c r="D30" s="120" t="s">
        <v>211</v>
      </c>
      <c r="E30" s="123">
        <v>425</v>
      </c>
      <c r="F30" s="123">
        <f>SUM(E30*24/1000)</f>
        <v>10.199999999999999</v>
      </c>
      <c r="G30" s="123">
        <v>223.46</v>
      </c>
      <c r="H30" s="71">
        <f t="shared" ref="H30:H32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8</v>
      </c>
      <c r="B31" s="120" t="s">
        <v>169</v>
      </c>
      <c r="C31" s="121" t="s">
        <v>114</v>
      </c>
      <c r="D31" s="120" t="s">
        <v>207</v>
      </c>
      <c r="E31" s="123">
        <v>68</v>
      </c>
      <c r="F31" s="123">
        <f>SUM(E31*52/1000)</f>
        <v>3.536</v>
      </c>
      <c r="G31" s="123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hidden="1" customHeight="1">
      <c r="A32" s="29">
        <v>16</v>
      </c>
      <c r="B32" s="120" t="s">
        <v>27</v>
      </c>
      <c r="C32" s="121" t="s">
        <v>114</v>
      </c>
      <c r="D32" s="120" t="s">
        <v>55</v>
      </c>
      <c r="E32" s="123">
        <v>425</v>
      </c>
      <c r="F32" s="123">
        <f>SUM(E32/1000)</f>
        <v>0.42499999999999999</v>
      </c>
      <c r="G32" s="123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9</v>
      </c>
      <c r="B33" s="120" t="s">
        <v>147</v>
      </c>
      <c r="C33" s="121" t="s">
        <v>41</v>
      </c>
      <c r="D33" s="120" t="s">
        <v>206</v>
      </c>
      <c r="E33" s="123">
        <v>4</v>
      </c>
      <c r="F33" s="123">
        <f>E33*72/100</f>
        <v>2.88</v>
      </c>
      <c r="G33" s="123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ref="H34:H35" si="3">SUM(F34*G34/1000)</f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3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132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4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104</v>
      </c>
      <c r="C38" s="68" t="s">
        <v>29</v>
      </c>
      <c r="D38" s="67" t="s">
        <v>136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4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137</v>
      </c>
      <c r="C39" s="68" t="s">
        <v>29</v>
      </c>
      <c r="D39" s="67" t="s">
        <v>118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94</v>
      </c>
      <c r="C40" s="68" t="s">
        <v>119</v>
      </c>
      <c r="D40" s="67" t="s">
        <v>149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120</v>
      </c>
      <c r="E41" s="70">
        <v>68</v>
      </c>
      <c r="F41" s="70">
        <f>SUM(E41*155/1000)</f>
        <v>10.54</v>
      </c>
      <c r="G41" s="70">
        <v>350.75</v>
      </c>
      <c r="H41" s="71">
        <f t="shared" si="4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114</v>
      </c>
      <c r="D42" s="67" t="s">
        <v>138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4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121</v>
      </c>
      <c r="C43" s="68" t="s">
        <v>114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4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4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32.25" hidden="1" customHeight="1">
      <c r="A45" s="148">
        <v>10</v>
      </c>
      <c r="B45" s="150" t="s">
        <v>224</v>
      </c>
      <c r="C45" s="151" t="s">
        <v>114</v>
      </c>
      <c r="D45" s="150" t="s">
        <v>213</v>
      </c>
      <c r="E45" s="152">
        <v>3</v>
      </c>
      <c r="F45" s="153">
        <f>E45*12/1000</f>
        <v>3.5999999999999997E-2</v>
      </c>
      <c r="G45" s="153">
        <v>19757.060000000001</v>
      </c>
      <c r="H45" s="61"/>
      <c r="I45" s="149">
        <f>G45*3/1000</f>
        <v>59.271180000000008</v>
      </c>
      <c r="J45" s="23"/>
      <c r="L45" s="19"/>
      <c r="M45" s="20"/>
      <c r="N45" s="21"/>
    </row>
    <row r="46" spans="1:14" ht="15.75" hidden="1" customHeight="1">
      <c r="A46" s="174" t="s">
        <v>143</v>
      </c>
      <c r="B46" s="175"/>
      <c r="C46" s="175"/>
      <c r="D46" s="175"/>
      <c r="E46" s="175"/>
      <c r="F46" s="175"/>
      <c r="G46" s="175"/>
      <c r="H46" s="175"/>
      <c r="I46" s="176"/>
      <c r="J46" s="23"/>
      <c r="L46" s="19"/>
      <c r="M46" s="20"/>
      <c r="N46" s="21"/>
    </row>
    <row r="47" spans="1:14" ht="15" hidden="1" customHeight="1">
      <c r="A47" s="29"/>
      <c r="B47" s="67" t="s">
        <v>139</v>
      </c>
      <c r="C47" s="68" t="s">
        <v>114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5">SUM(F47*G47/1000)</f>
        <v>1.7187541239999997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36</v>
      </c>
      <c r="C48" s="68" t="s">
        <v>114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5"/>
        <v>6.0265920000000001E-2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37</v>
      </c>
      <c r="C49" s="68" t="s">
        <v>114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5"/>
        <v>1.4357196480000001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38</v>
      </c>
      <c r="C50" s="68" t="s">
        <v>114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5"/>
        <v>2.1771028954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34</v>
      </c>
      <c r="C51" s="68" t="s">
        <v>35</v>
      </c>
      <c r="D51" s="67" t="s">
        <v>150</v>
      </c>
      <c r="E51" s="69">
        <v>85.78</v>
      </c>
      <c r="F51" s="70">
        <f>SUM(E51*2/100)</f>
        <v>1.7156</v>
      </c>
      <c r="G51" s="13">
        <v>72.81</v>
      </c>
      <c r="H51" s="71">
        <f t="shared" si="5"/>
        <v>0.124912836</v>
      </c>
      <c r="I51" s="13">
        <v>0</v>
      </c>
      <c r="J51" s="23"/>
      <c r="L51" s="19"/>
      <c r="M51" s="20"/>
      <c r="N51" s="21"/>
    </row>
    <row r="52" spans="1:22" ht="15" hidden="1" customHeight="1">
      <c r="A52" s="29">
        <v>13</v>
      </c>
      <c r="B52" s="67" t="s">
        <v>57</v>
      </c>
      <c r="C52" s="68" t="s">
        <v>114</v>
      </c>
      <c r="D52" s="67" t="s">
        <v>170</v>
      </c>
      <c r="E52" s="69">
        <v>884</v>
      </c>
      <c r="F52" s="70">
        <f>SUM(E52*5/1000)</f>
        <v>4.42</v>
      </c>
      <c r="G52" s="13">
        <v>1213.55</v>
      </c>
      <c r="H52" s="71">
        <f t="shared" si="5"/>
        <v>5.3638909999999997</v>
      </c>
      <c r="I52" s="13">
        <f>F52/5*G52</f>
        <v>1072.7782</v>
      </c>
      <c r="J52" s="23"/>
      <c r="L52" s="19"/>
      <c r="M52" s="20"/>
      <c r="N52" s="21"/>
    </row>
    <row r="53" spans="1:22" ht="31.5" hidden="1" customHeight="1">
      <c r="A53" s="29">
        <v>10</v>
      </c>
      <c r="B53" s="67" t="s">
        <v>122</v>
      </c>
      <c r="C53" s="68" t="s">
        <v>114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5"/>
        <v>2.1455563999999998</v>
      </c>
      <c r="I53" s="13">
        <f>F53/2*G53</f>
        <v>1072.7782</v>
      </c>
      <c r="J53" s="23"/>
      <c r="L53" s="19"/>
      <c r="M53" s="20"/>
      <c r="N53" s="21"/>
    </row>
    <row r="54" spans="1:22" ht="31.5" hidden="1" customHeight="1">
      <c r="A54" s="29">
        <v>11</v>
      </c>
      <c r="B54" s="67" t="s">
        <v>123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5"/>
        <v>1.0921959999999999</v>
      </c>
      <c r="I54" s="13">
        <f t="shared" ref="I54:I55" si="6">F54/2*G54</f>
        <v>546.09799999999996</v>
      </c>
      <c r="J54" s="23"/>
      <c r="L54" s="19"/>
      <c r="M54" s="20"/>
      <c r="N54" s="21"/>
    </row>
    <row r="55" spans="1:22" ht="15" hidden="1" customHeight="1">
      <c r="A55" s="29">
        <v>12</v>
      </c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5"/>
        <v>0.11304260000000001</v>
      </c>
      <c r="I55" s="13">
        <f t="shared" si="6"/>
        <v>56.521300000000004</v>
      </c>
      <c r="J55" s="23"/>
      <c r="L55" s="19"/>
      <c r="M55" s="20"/>
      <c r="N55" s="21"/>
    </row>
    <row r="56" spans="1:22" ht="15" hidden="1" customHeight="1">
      <c r="A56" s="29">
        <v>13</v>
      </c>
      <c r="B56" s="67" t="s">
        <v>42</v>
      </c>
      <c r="C56" s="68" t="s">
        <v>30</v>
      </c>
      <c r="D56" s="67" t="s">
        <v>71</v>
      </c>
      <c r="E56" s="69">
        <v>136</v>
      </c>
      <c r="F56" s="70">
        <f>SUM(E56)*3</f>
        <v>408</v>
      </c>
      <c r="G56" s="13">
        <v>65.67</v>
      </c>
      <c r="H56" s="71">
        <f t="shared" si="5"/>
        <v>26.79336</v>
      </c>
      <c r="I56" s="13">
        <f>E56*G56</f>
        <v>8931.1200000000008</v>
      </c>
      <c r="J56" s="23"/>
      <c r="L56" s="19"/>
      <c r="M56" s="20"/>
      <c r="N56" s="21"/>
    </row>
    <row r="57" spans="1:22" ht="15.75" customHeight="1">
      <c r="A57" s="174" t="s">
        <v>173</v>
      </c>
      <c r="B57" s="175"/>
      <c r="C57" s="175"/>
      <c r="D57" s="175"/>
      <c r="E57" s="175"/>
      <c r="F57" s="175"/>
      <c r="G57" s="175"/>
      <c r="H57" s="175"/>
      <c r="I57" s="176"/>
      <c r="J57" s="23"/>
      <c r="L57" s="19"/>
      <c r="M57" s="20"/>
      <c r="N57" s="21"/>
    </row>
    <row r="58" spans="1:22" ht="15" hidden="1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hidden="1" customHeight="1">
      <c r="A59" s="29">
        <v>15</v>
      </c>
      <c r="B59" s="67" t="s">
        <v>125</v>
      </c>
      <c r="C59" s="68" t="s">
        <v>99</v>
      </c>
      <c r="D59" s="67" t="s">
        <v>72</v>
      </c>
      <c r="E59" s="69">
        <v>106.13</v>
      </c>
      <c r="F59" s="70">
        <f>E59*6/100</f>
        <v>6.3677999999999999</v>
      </c>
      <c r="G59" s="76">
        <v>1547.28</v>
      </c>
      <c r="H59" s="71">
        <f>F59*G59/1000</f>
        <v>9.8527695839999989</v>
      </c>
      <c r="I59" s="13">
        <f>F59/6*G59</f>
        <v>1642.1282639999999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10</v>
      </c>
      <c r="B62" s="78" t="s">
        <v>95</v>
      </c>
      <c r="C62" s="77" t="s">
        <v>25</v>
      </c>
      <c r="D62" s="78"/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6.5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132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" customHeight="1">
      <c r="A64" s="29">
        <v>11</v>
      </c>
      <c r="B64" s="130" t="s">
        <v>48</v>
      </c>
      <c r="C64" s="110" t="s">
        <v>124</v>
      </c>
      <c r="D64" s="102" t="s">
        <v>208</v>
      </c>
      <c r="E64" s="17">
        <v>20</v>
      </c>
      <c r="F64" s="123">
        <v>20</v>
      </c>
      <c r="G64" s="34">
        <v>318.82</v>
      </c>
      <c r="H64" s="90">
        <f t="shared" ref="H64:H79" si="7">SUM(F64*G64/1000)</f>
        <v>6.3763999999999994</v>
      </c>
      <c r="I64" s="13">
        <f>G64*2</f>
        <v>637.64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1" hidden="1" customHeight="1">
      <c r="A65" s="29">
        <v>17</v>
      </c>
      <c r="B65" s="14" t="s">
        <v>49</v>
      </c>
      <c r="C65" s="16" t="s">
        <v>124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7"/>
        <v>#VALUE!</v>
      </c>
      <c r="I65" s="13">
        <f>G65</f>
        <v>76.25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22.5" hidden="1" customHeight="1">
      <c r="A66" s="29"/>
      <c r="B66" s="14" t="s">
        <v>50</v>
      </c>
      <c r="C66" s="16" t="s">
        <v>126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7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2"/>
      <c r="S66" s="162"/>
      <c r="T66" s="162"/>
      <c r="U66" s="162"/>
    </row>
    <row r="67" spans="1:21" ht="21.75" hidden="1" customHeight="1">
      <c r="A67" s="29"/>
      <c r="B67" s="14" t="s">
        <v>51</v>
      </c>
      <c r="C67" s="16" t="s">
        <v>127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7"/>
        <v>2.08941087</v>
      </c>
      <c r="I67" s="13">
        <f t="shared" ref="I67:I71" si="8">F67*G67</f>
        <v>2089.4108700000002</v>
      </c>
    </row>
    <row r="68" spans="1:21" ht="24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7"/>
        <v>39.417970000000004</v>
      </c>
      <c r="I68" s="13">
        <f t="shared" si="8"/>
        <v>39417.97</v>
      </c>
    </row>
    <row r="69" spans="1:21" ht="20.25" hidden="1" customHeight="1">
      <c r="A69" s="29"/>
      <c r="B69" s="83" t="s">
        <v>128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7"/>
        <v>0.48217100000000007</v>
      </c>
      <c r="I69" s="13">
        <f t="shared" si="8"/>
        <v>482.17100000000005</v>
      </c>
    </row>
    <row r="70" spans="1:21" ht="18.75" hidden="1" customHeight="1">
      <c r="A70" s="29"/>
      <c r="B70" s="83" t="s">
        <v>129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7"/>
        <v>0.44985300000000006</v>
      </c>
      <c r="I70" s="13">
        <f t="shared" si="8"/>
        <v>449.85300000000007</v>
      </c>
    </row>
    <row r="71" spans="1:21" ht="18.7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7"/>
        <v>0.29928000000000005</v>
      </c>
      <c r="I71" s="13">
        <f t="shared" si="8"/>
        <v>299.28000000000003</v>
      </c>
    </row>
    <row r="72" spans="1:21" ht="15" hidden="1" customHeight="1">
      <c r="A72" s="29"/>
      <c r="B72" s="57" t="s">
        <v>73</v>
      </c>
      <c r="C72" s="16"/>
      <c r="D72" s="14"/>
      <c r="E72" s="18"/>
      <c r="F72" s="13"/>
      <c r="G72" s="13"/>
      <c r="H72" s="82" t="s">
        <v>132</v>
      </c>
      <c r="I72" s="13"/>
    </row>
    <row r="73" spans="1:21" ht="15" hidden="1" customHeight="1">
      <c r="A73" s="29">
        <v>15</v>
      </c>
      <c r="B73" s="14" t="s">
        <v>74</v>
      </c>
      <c r="C73" s="16" t="s">
        <v>31</v>
      </c>
      <c r="D73" s="14"/>
      <c r="E73" s="18">
        <v>5</v>
      </c>
      <c r="F73" s="61">
        <v>0.5</v>
      </c>
      <c r="G73" s="13">
        <v>501.62</v>
      </c>
      <c r="H73" s="82">
        <v>0.251</v>
      </c>
      <c r="I73" s="13">
        <f>G73*0.1</f>
        <v>50.162000000000006</v>
      </c>
    </row>
    <row r="74" spans="1:21" ht="15" hidden="1" customHeight="1">
      <c r="A74" s="29"/>
      <c r="B74" s="14" t="s">
        <v>140</v>
      </c>
      <c r="C74" s="16" t="s">
        <v>30</v>
      </c>
      <c r="D74" s="14"/>
      <c r="E74" s="18">
        <v>2</v>
      </c>
      <c r="F74" s="13">
        <v>2</v>
      </c>
      <c r="G74" s="13">
        <v>99.85</v>
      </c>
      <c r="H74" s="82">
        <v>0.1</v>
      </c>
      <c r="I74" s="13">
        <v>0</v>
      </c>
    </row>
    <row r="75" spans="1:21" ht="15" hidden="1" customHeight="1">
      <c r="A75" s="29"/>
      <c r="B75" s="14" t="s">
        <v>141</v>
      </c>
      <c r="C75" s="16" t="s">
        <v>30</v>
      </c>
      <c r="D75" s="14"/>
      <c r="E75" s="18">
        <v>1</v>
      </c>
      <c r="F75" s="61">
        <v>1</v>
      </c>
      <c r="G75" s="13">
        <v>120.26</v>
      </c>
      <c r="H75" s="82">
        <v>0.12</v>
      </c>
      <c r="I75" s="13">
        <v>0</v>
      </c>
    </row>
    <row r="76" spans="1:21" ht="15" hidden="1" customHeight="1">
      <c r="A76" s="29"/>
      <c r="B76" s="14" t="s">
        <v>87</v>
      </c>
      <c r="C76" s="16" t="s">
        <v>30</v>
      </c>
      <c r="D76" s="14"/>
      <c r="E76" s="18">
        <v>1</v>
      </c>
      <c r="F76" s="70">
        <f>SUM(E76)</f>
        <v>1</v>
      </c>
      <c r="G76" s="13">
        <v>358.51</v>
      </c>
      <c r="H76" s="82">
        <f t="shared" si="7"/>
        <v>0.35851</v>
      </c>
      <c r="I76" s="13">
        <v>0</v>
      </c>
    </row>
    <row r="77" spans="1:21" ht="15" hidden="1" customHeight="1">
      <c r="A77" s="29"/>
      <c r="B77" s="14" t="s">
        <v>75</v>
      </c>
      <c r="C77" s="16" t="s">
        <v>30</v>
      </c>
      <c r="D77" s="14"/>
      <c r="E77" s="18">
        <v>1</v>
      </c>
      <c r="F77" s="13">
        <v>1</v>
      </c>
      <c r="G77" s="13">
        <v>852.99</v>
      </c>
      <c r="H77" s="82">
        <f>F77*G77/1000</f>
        <v>0.85299000000000003</v>
      </c>
      <c r="I77" s="13">
        <v>0</v>
      </c>
    </row>
    <row r="78" spans="1:21" ht="15" hidden="1" customHeight="1">
      <c r="A78" s="29"/>
      <c r="B78" s="84" t="s">
        <v>77</v>
      </c>
      <c r="C78" s="16"/>
      <c r="D78" s="14"/>
      <c r="E78" s="18"/>
      <c r="F78" s="13"/>
      <c r="G78" s="13" t="s">
        <v>132</v>
      </c>
      <c r="H78" s="82" t="s">
        <v>132</v>
      </c>
      <c r="I78" s="13"/>
    </row>
    <row r="79" spans="1:21" ht="15" hidden="1" customHeight="1">
      <c r="A79" s="29"/>
      <c r="B79" s="44" t="s">
        <v>133</v>
      </c>
      <c r="C79" s="16" t="s">
        <v>78</v>
      </c>
      <c r="D79" s="14"/>
      <c r="E79" s="18"/>
      <c r="F79" s="13">
        <v>0.2</v>
      </c>
      <c r="G79" s="13">
        <v>2759.44</v>
      </c>
      <c r="H79" s="82">
        <f t="shared" si="7"/>
        <v>0.55188800000000005</v>
      </c>
      <c r="I79" s="13">
        <v>0</v>
      </c>
    </row>
    <row r="80" spans="1:21" ht="15" hidden="1" customHeight="1">
      <c r="A80" s="29"/>
      <c r="B80" s="72" t="s">
        <v>130</v>
      </c>
      <c r="C80" s="84"/>
      <c r="D80" s="31"/>
      <c r="E80" s="32"/>
      <c r="F80" s="73"/>
      <c r="G80" s="73"/>
      <c r="H80" s="85" t="e">
        <f>SUM(H59:H79)</f>
        <v>#VALUE!</v>
      </c>
      <c r="I80" s="73"/>
    </row>
    <row r="81" spans="1:9" ht="15" hidden="1" customHeight="1">
      <c r="A81" s="144"/>
      <c r="B81" s="78" t="s">
        <v>131</v>
      </c>
      <c r="C81" s="118"/>
      <c r="D81" s="119"/>
      <c r="E81" s="62"/>
      <c r="F81" s="109">
        <v>1</v>
      </c>
      <c r="G81" s="109">
        <v>13437.4</v>
      </c>
      <c r="H81" s="145">
        <f>G81*F81/1000</f>
        <v>13.4374</v>
      </c>
      <c r="I81" s="109">
        <v>0</v>
      </c>
    </row>
    <row r="82" spans="1:9" ht="15" customHeight="1">
      <c r="A82" s="29"/>
      <c r="B82" s="31" t="s">
        <v>202</v>
      </c>
      <c r="C82" s="16"/>
      <c r="D82" s="14"/>
      <c r="E82" s="18"/>
      <c r="F82" s="13"/>
      <c r="G82" s="116"/>
      <c r="H82" s="116"/>
      <c r="I82" s="117"/>
    </row>
    <row r="83" spans="1:9" ht="29.25" customHeight="1">
      <c r="A83" s="29">
        <v>12</v>
      </c>
      <c r="B83" s="102" t="s">
        <v>200</v>
      </c>
      <c r="C83" s="133" t="s">
        <v>201</v>
      </c>
      <c r="D83" s="134"/>
      <c r="E83" s="17">
        <v>3031.3</v>
      </c>
      <c r="F83" s="35">
        <f>E83*12</f>
        <v>36375.600000000006</v>
      </c>
      <c r="G83" s="35">
        <v>2.4900000000000002</v>
      </c>
      <c r="H83" s="116"/>
      <c r="I83" s="117">
        <f>G83*F83/12</f>
        <v>7547.9370000000017</v>
      </c>
    </row>
    <row r="84" spans="1:9" ht="15.75" customHeight="1">
      <c r="A84" s="163" t="s">
        <v>177</v>
      </c>
      <c r="B84" s="164"/>
      <c r="C84" s="164"/>
      <c r="D84" s="164"/>
      <c r="E84" s="164"/>
      <c r="F84" s="164"/>
      <c r="G84" s="164"/>
      <c r="H84" s="164"/>
      <c r="I84" s="165"/>
    </row>
    <row r="85" spans="1:9" ht="15" customHeight="1">
      <c r="A85" s="29">
        <v>13</v>
      </c>
      <c r="B85" s="102" t="s">
        <v>134</v>
      </c>
      <c r="C85" s="110" t="s">
        <v>56</v>
      </c>
      <c r="D85" s="139"/>
      <c r="E85" s="34">
        <v>3031.3</v>
      </c>
      <c r="F85" s="34">
        <f>SUM(E85*12)</f>
        <v>36375.600000000006</v>
      </c>
      <c r="G85" s="34">
        <v>3.38</v>
      </c>
      <c r="H85" s="82">
        <f>SUM(F85*G85/1000)</f>
        <v>122.94952800000002</v>
      </c>
      <c r="I85" s="13">
        <f>F85/12*G85</f>
        <v>10245.794000000002</v>
      </c>
    </row>
    <row r="86" spans="1:9" ht="31.5" customHeight="1">
      <c r="A86" s="29">
        <v>14</v>
      </c>
      <c r="B86" s="102" t="s">
        <v>203</v>
      </c>
      <c r="C86" s="110" t="s">
        <v>25</v>
      </c>
      <c r="D86" s="137"/>
      <c r="E86" s="138">
        <f>E85</f>
        <v>3031.3</v>
      </c>
      <c r="F86" s="135">
        <f>E86*12</f>
        <v>36375.600000000006</v>
      </c>
      <c r="G86" s="135">
        <v>3.05</v>
      </c>
      <c r="H86" s="82">
        <f>F86*G86/1000</f>
        <v>110.94558000000002</v>
      </c>
      <c r="I86" s="13">
        <f>F86/12*G86</f>
        <v>9245.465000000002</v>
      </c>
    </row>
    <row r="87" spans="1:9" ht="15.75" customHeight="1">
      <c r="A87" s="45"/>
      <c r="B87" s="36" t="s">
        <v>80</v>
      </c>
      <c r="C87" s="37"/>
      <c r="D87" s="15"/>
      <c r="E87" s="15"/>
      <c r="F87" s="15"/>
      <c r="G87" s="18"/>
      <c r="H87" s="18"/>
      <c r="I87" s="32">
        <f>I86+I85+I83+I64+I62+I33+I31+I30+I27+I21+I20+I18+I17+I16</f>
        <v>42194.495128666669</v>
      </c>
    </row>
    <row r="88" spans="1:9" ht="15.75" customHeight="1">
      <c r="A88" s="177" t="s">
        <v>61</v>
      </c>
      <c r="B88" s="178"/>
      <c r="C88" s="178"/>
      <c r="D88" s="178"/>
      <c r="E88" s="178"/>
      <c r="F88" s="178"/>
      <c r="G88" s="178"/>
      <c r="H88" s="178"/>
      <c r="I88" s="179"/>
    </row>
    <row r="89" spans="1:9" ht="18" customHeight="1">
      <c r="A89" s="29">
        <v>15</v>
      </c>
      <c r="B89" s="52" t="s">
        <v>216</v>
      </c>
      <c r="C89" s="53" t="s">
        <v>124</v>
      </c>
      <c r="D89" s="48"/>
      <c r="E89" s="34"/>
      <c r="F89" s="34">
        <v>4</v>
      </c>
      <c r="G89" s="34">
        <v>60.72</v>
      </c>
      <c r="H89" s="82">
        <f t="shared" ref="H89" si="9">G89*F89/1000</f>
        <v>0.24287999999999998</v>
      </c>
      <c r="I89" s="13">
        <f>G89*1</f>
        <v>60.72</v>
      </c>
    </row>
    <row r="90" spans="1:9" ht="18" customHeight="1">
      <c r="A90" s="29">
        <v>16</v>
      </c>
      <c r="B90" s="52" t="s">
        <v>296</v>
      </c>
      <c r="C90" s="53" t="s">
        <v>124</v>
      </c>
      <c r="D90" s="48" t="s">
        <v>302</v>
      </c>
      <c r="E90" s="34"/>
      <c r="F90" s="34">
        <v>1</v>
      </c>
      <c r="G90" s="34">
        <v>220.1</v>
      </c>
      <c r="H90" s="82"/>
      <c r="I90" s="13">
        <f>G90*1</f>
        <v>220.1</v>
      </c>
    </row>
    <row r="91" spans="1:9" ht="40.5" customHeight="1">
      <c r="A91" s="29">
        <v>17</v>
      </c>
      <c r="B91" s="156" t="s">
        <v>297</v>
      </c>
      <c r="C91" s="53" t="s">
        <v>124</v>
      </c>
      <c r="D91" s="102" t="s">
        <v>301</v>
      </c>
      <c r="E91" s="34"/>
      <c r="F91" s="34">
        <v>2</v>
      </c>
      <c r="G91" s="34">
        <v>215.61</v>
      </c>
      <c r="H91" s="82"/>
      <c r="I91" s="13">
        <f>G91*2</f>
        <v>431.22</v>
      </c>
    </row>
    <row r="92" spans="1:9" ht="18" customHeight="1">
      <c r="A92" s="29">
        <v>18</v>
      </c>
      <c r="B92" s="156" t="s">
        <v>298</v>
      </c>
      <c r="C92" s="157" t="s">
        <v>76</v>
      </c>
      <c r="D92" s="48" t="s">
        <v>300</v>
      </c>
      <c r="E92" s="34"/>
      <c r="F92" s="34">
        <v>0.1</v>
      </c>
      <c r="G92" s="34">
        <v>8248.2099999999991</v>
      </c>
      <c r="H92" s="82"/>
      <c r="I92" s="13">
        <f>G92*0.1</f>
        <v>824.82099999999991</v>
      </c>
    </row>
    <row r="93" spans="1:9" ht="18" customHeight="1">
      <c r="A93" s="29">
        <v>19</v>
      </c>
      <c r="B93" s="52" t="s">
        <v>163</v>
      </c>
      <c r="C93" s="53" t="s">
        <v>164</v>
      </c>
      <c r="D93" s="48" t="s">
        <v>299</v>
      </c>
      <c r="E93" s="34"/>
      <c r="F93" s="34">
        <v>1</v>
      </c>
      <c r="G93" s="34">
        <v>234.78</v>
      </c>
      <c r="H93" s="82"/>
      <c r="I93" s="13">
        <f>G93*1</f>
        <v>234.78</v>
      </c>
    </row>
    <row r="94" spans="1:9" ht="33" customHeight="1">
      <c r="A94" s="29">
        <v>20</v>
      </c>
      <c r="B94" s="52" t="s">
        <v>205</v>
      </c>
      <c r="C94" s="53" t="s">
        <v>39</v>
      </c>
      <c r="D94" s="48" t="s">
        <v>213</v>
      </c>
      <c r="E94" s="34"/>
      <c r="F94" s="34">
        <v>0.05</v>
      </c>
      <c r="G94" s="34">
        <v>4070.89</v>
      </c>
      <c r="H94" s="82"/>
      <c r="I94" s="13">
        <v>0</v>
      </c>
    </row>
    <row r="95" spans="1:9" ht="19.5" customHeight="1">
      <c r="A95" s="29">
        <v>21</v>
      </c>
      <c r="B95" s="52" t="s">
        <v>304</v>
      </c>
      <c r="C95" s="53" t="s">
        <v>286</v>
      </c>
      <c r="D95" s="48"/>
      <c r="E95" s="34"/>
      <c r="F95" s="34">
        <v>1</v>
      </c>
      <c r="G95" s="34">
        <v>23370.29</v>
      </c>
      <c r="H95" s="82"/>
      <c r="I95" s="13">
        <f>G95*1</f>
        <v>23370.29</v>
      </c>
    </row>
    <row r="96" spans="1:9" ht="15.75" customHeight="1">
      <c r="A96" s="29"/>
      <c r="B96" s="42" t="s">
        <v>53</v>
      </c>
      <c r="C96" s="38"/>
      <c r="D96" s="46"/>
      <c r="E96" s="38">
        <v>1</v>
      </c>
      <c r="F96" s="38"/>
      <c r="G96" s="38"/>
      <c r="H96" s="38"/>
      <c r="I96" s="32">
        <f>SUM(I89:I95)</f>
        <v>25141.931</v>
      </c>
    </row>
    <row r="97" spans="1:9" ht="15.75" customHeight="1">
      <c r="A97" s="29"/>
      <c r="B97" s="44" t="s">
        <v>79</v>
      </c>
      <c r="C97" s="15"/>
      <c r="D97" s="15"/>
      <c r="E97" s="39"/>
      <c r="F97" s="39"/>
      <c r="G97" s="40"/>
      <c r="H97" s="40"/>
      <c r="I97" s="17">
        <v>0</v>
      </c>
    </row>
    <row r="98" spans="1:9" ht="15.75" customHeight="1">
      <c r="A98" s="47"/>
      <c r="B98" s="43" t="s">
        <v>182</v>
      </c>
      <c r="C98" s="33"/>
      <c r="D98" s="33"/>
      <c r="E98" s="33"/>
      <c r="F98" s="33"/>
      <c r="G98" s="33"/>
      <c r="H98" s="33"/>
      <c r="I98" s="41">
        <f>I87+I96</f>
        <v>67336.426128666673</v>
      </c>
    </row>
    <row r="99" spans="1:9" ht="15.75">
      <c r="A99" s="180" t="s">
        <v>333</v>
      </c>
      <c r="B99" s="180"/>
      <c r="C99" s="180"/>
      <c r="D99" s="180"/>
      <c r="E99" s="180"/>
      <c r="F99" s="180"/>
      <c r="G99" s="180"/>
      <c r="H99" s="180"/>
      <c r="I99" s="180"/>
    </row>
    <row r="100" spans="1:9" ht="15.75">
      <c r="A100" s="60"/>
      <c r="B100" s="181" t="s">
        <v>334</v>
      </c>
      <c r="C100" s="181"/>
      <c r="D100" s="181"/>
      <c r="E100" s="181"/>
      <c r="F100" s="181"/>
      <c r="G100" s="181"/>
      <c r="H100" s="65"/>
      <c r="I100" s="3"/>
    </row>
    <row r="101" spans="1:9">
      <c r="A101" s="56"/>
      <c r="B101" s="182" t="s">
        <v>6</v>
      </c>
      <c r="C101" s="182"/>
      <c r="D101" s="182"/>
      <c r="E101" s="182"/>
      <c r="F101" s="182"/>
      <c r="G101" s="182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83" t="s">
        <v>7</v>
      </c>
      <c r="B103" s="183"/>
      <c r="C103" s="183"/>
      <c r="D103" s="183"/>
      <c r="E103" s="183"/>
      <c r="F103" s="183"/>
      <c r="G103" s="183"/>
      <c r="H103" s="183"/>
      <c r="I103" s="183"/>
    </row>
    <row r="104" spans="1:9" ht="15.75">
      <c r="A104" s="183" t="s">
        <v>8</v>
      </c>
      <c r="B104" s="183"/>
      <c r="C104" s="183"/>
      <c r="D104" s="183"/>
      <c r="E104" s="183"/>
      <c r="F104" s="183"/>
      <c r="G104" s="183"/>
      <c r="H104" s="183"/>
      <c r="I104" s="183"/>
    </row>
    <row r="105" spans="1:9" ht="15.75">
      <c r="A105" s="172" t="s">
        <v>62</v>
      </c>
      <c r="B105" s="172"/>
      <c r="C105" s="172"/>
      <c r="D105" s="172"/>
      <c r="E105" s="172"/>
      <c r="F105" s="172"/>
      <c r="G105" s="172"/>
      <c r="H105" s="172"/>
      <c r="I105" s="172"/>
    </row>
    <row r="106" spans="1:9" ht="15.75">
      <c r="A106" s="11"/>
    </row>
    <row r="107" spans="1:9" ht="15.75">
      <c r="A107" s="185" t="s">
        <v>9</v>
      </c>
      <c r="B107" s="185"/>
      <c r="C107" s="185"/>
      <c r="D107" s="185"/>
      <c r="E107" s="185"/>
      <c r="F107" s="185"/>
      <c r="G107" s="185"/>
      <c r="H107" s="185"/>
      <c r="I107" s="185"/>
    </row>
    <row r="108" spans="1:9" ht="15.75">
      <c r="A108" s="4"/>
    </row>
    <row r="109" spans="1:9" ht="15.75">
      <c r="B109" s="59" t="s">
        <v>10</v>
      </c>
      <c r="C109" s="186" t="s">
        <v>303</v>
      </c>
      <c r="D109" s="186"/>
      <c r="E109" s="186"/>
      <c r="F109" s="63"/>
      <c r="I109" s="55"/>
    </row>
    <row r="110" spans="1:9">
      <c r="A110" s="56"/>
      <c r="C110" s="182" t="s">
        <v>11</v>
      </c>
      <c r="D110" s="182"/>
      <c r="E110" s="182"/>
      <c r="F110" s="24"/>
      <c r="I110" s="54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59" t="s">
        <v>13</v>
      </c>
      <c r="C112" s="187"/>
      <c r="D112" s="187"/>
      <c r="E112" s="187"/>
      <c r="F112" s="64"/>
      <c r="I112" s="55"/>
    </row>
    <row r="113" spans="1:9">
      <c r="A113" s="56"/>
      <c r="C113" s="162" t="s">
        <v>11</v>
      </c>
      <c r="D113" s="162"/>
      <c r="E113" s="162"/>
      <c r="F113" s="56"/>
      <c r="I113" s="54" t="s">
        <v>12</v>
      </c>
    </row>
    <row r="114" spans="1:9" ht="15.75">
      <c r="A114" s="4" t="s">
        <v>14</v>
      </c>
    </row>
    <row r="115" spans="1:9">
      <c r="A115" s="188" t="s">
        <v>15</v>
      </c>
      <c r="B115" s="188"/>
      <c r="C115" s="188"/>
      <c r="D115" s="188"/>
      <c r="E115" s="188"/>
      <c r="F115" s="188"/>
      <c r="G115" s="188"/>
      <c r="H115" s="188"/>
      <c r="I115" s="188"/>
    </row>
    <row r="116" spans="1:9" ht="45" customHeight="1">
      <c r="A116" s="184" t="s">
        <v>16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30" customHeight="1">
      <c r="A117" s="184" t="s">
        <v>17</v>
      </c>
      <c r="B117" s="184"/>
      <c r="C117" s="184"/>
      <c r="D117" s="184"/>
      <c r="E117" s="184"/>
      <c r="F117" s="184"/>
      <c r="G117" s="184"/>
      <c r="H117" s="184"/>
      <c r="I117" s="184"/>
    </row>
    <row r="118" spans="1:9" ht="30" customHeight="1">
      <c r="A118" s="184" t="s">
        <v>21</v>
      </c>
      <c r="B118" s="184"/>
      <c r="C118" s="184"/>
      <c r="D118" s="184"/>
      <c r="E118" s="184"/>
      <c r="F118" s="184"/>
      <c r="G118" s="184"/>
      <c r="H118" s="184"/>
      <c r="I118" s="184"/>
    </row>
    <row r="119" spans="1:9" ht="15.75">
      <c r="A119" s="184" t="s">
        <v>20</v>
      </c>
      <c r="B119" s="184"/>
      <c r="C119" s="184"/>
      <c r="D119" s="184"/>
      <c r="E119" s="184"/>
      <c r="F119" s="184"/>
      <c r="G119" s="184"/>
      <c r="H119" s="184"/>
      <c r="I119" s="184"/>
    </row>
  </sheetData>
  <autoFilter ref="I12:I61"/>
  <mergeCells count="29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8:I28"/>
    <mergeCell ref="A46:I46"/>
    <mergeCell ref="A57:I57"/>
    <mergeCell ref="A99:I99"/>
    <mergeCell ref="B100:G100"/>
    <mergeCell ref="B101:G101"/>
    <mergeCell ref="A103:I103"/>
    <mergeCell ref="A104:I104"/>
    <mergeCell ref="A88:I88"/>
    <mergeCell ref="R66:U66"/>
    <mergeCell ref="A84:I84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2"/>
  <sheetViews>
    <sheetView topLeftCell="A101" workbookViewId="0">
      <selection activeCell="I122" sqref="I12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184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305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97"/>
      <c r="C6" s="97"/>
      <c r="D6" s="97"/>
      <c r="E6" s="97"/>
      <c r="F6" s="97"/>
      <c r="G6" s="97"/>
      <c r="H6" s="97"/>
      <c r="I6" s="30">
        <v>44165</v>
      </c>
      <c r="J6" s="2"/>
      <c r="K6" s="2"/>
      <c r="L6" s="2"/>
      <c r="M6" s="2"/>
    </row>
    <row r="7" spans="1:13" ht="15.75" customHeight="1">
      <c r="B7" s="95"/>
      <c r="C7" s="95"/>
      <c r="D7" s="9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295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220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" hidden="1" customHeight="1">
      <c r="A28" s="29">
        <v>5</v>
      </c>
      <c r="B28" s="75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73" t="s">
        <v>85</v>
      </c>
      <c r="B29" s="173"/>
      <c r="C29" s="173"/>
      <c r="D29" s="173"/>
      <c r="E29" s="173"/>
      <c r="F29" s="173"/>
      <c r="G29" s="173"/>
      <c r="H29" s="173"/>
      <c r="I29" s="173"/>
      <c r="J29" s="22"/>
      <c r="K29" s="8"/>
      <c r="L29" s="8"/>
      <c r="M29" s="8"/>
    </row>
    <row r="30" spans="1:13" ht="15" hidden="1" customHeight="1">
      <c r="A30" s="29"/>
      <c r="B30" s="87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113</v>
      </c>
      <c r="C31" s="68" t="s">
        <v>114</v>
      </c>
      <c r="D31" s="67" t="s">
        <v>115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169</v>
      </c>
      <c r="C32" s="68" t="s">
        <v>114</v>
      </c>
      <c r="D32" s="67" t="s">
        <v>116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114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147</v>
      </c>
      <c r="C34" s="68" t="s">
        <v>41</v>
      </c>
      <c r="D34" s="67" t="s">
        <v>64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117</v>
      </c>
      <c r="C35" s="68" t="s">
        <v>30</v>
      </c>
      <c r="D35" s="67" t="s">
        <v>64</v>
      </c>
      <c r="E35" s="74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87" t="s">
        <v>5</v>
      </c>
      <c r="C38" s="68"/>
      <c r="D38" s="67"/>
      <c r="E38" s="69"/>
      <c r="F38" s="70"/>
      <c r="G38" s="70"/>
      <c r="H38" s="71" t="s">
        <v>132</v>
      </c>
      <c r="I38" s="13"/>
      <c r="J38" s="23"/>
    </row>
    <row r="39" spans="1:14" ht="15" hidden="1" customHeight="1">
      <c r="A39" s="29">
        <v>7</v>
      </c>
      <c r="B39" s="150" t="s">
        <v>26</v>
      </c>
      <c r="C39" s="121" t="s">
        <v>32</v>
      </c>
      <c r="D39" s="120"/>
      <c r="E39" s="122"/>
      <c r="F39" s="123">
        <v>6</v>
      </c>
      <c r="G39" s="123">
        <v>1855</v>
      </c>
      <c r="H39" s="71">
        <f t="shared" ref="H39:H46" si="3">SUM(F39*G39/1000)</f>
        <v>11.13</v>
      </c>
      <c r="I39" s="13">
        <f>G39*0.5</f>
        <v>927.5</v>
      </c>
      <c r="J39" s="23"/>
    </row>
    <row r="40" spans="1:14" ht="15" customHeight="1">
      <c r="A40" s="29">
        <v>7</v>
      </c>
      <c r="B40" s="150" t="s">
        <v>225</v>
      </c>
      <c r="C40" s="151" t="s">
        <v>29</v>
      </c>
      <c r="D40" s="150" t="s">
        <v>210</v>
      </c>
      <c r="E40" s="153">
        <v>68</v>
      </c>
      <c r="F40" s="153">
        <f>SUM(E40*30/1000)</f>
        <v>2.04</v>
      </c>
      <c r="G40" s="153">
        <v>3014.36</v>
      </c>
      <c r="H40" s="71">
        <f t="shared" si="3"/>
        <v>6.1492944000000005</v>
      </c>
      <c r="I40" s="13">
        <f>F40/6*G40</f>
        <v>1024.8824000000002</v>
      </c>
      <c r="J40" s="23"/>
      <c r="L40" s="19"/>
      <c r="M40" s="20"/>
      <c r="N40" s="21"/>
    </row>
    <row r="41" spans="1:14" ht="15" hidden="1" customHeight="1">
      <c r="A41" s="29">
        <v>7</v>
      </c>
      <c r="B41" s="120" t="s">
        <v>94</v>
      </c>
      <c r="C41" s="121" t="s">
        <v>119</v>
      </c>
      <c r="D41" s="120" t="s">
        <v>149</v>
      </c>
      <c r="E41" s="122"/>
      <c r="F41" s="153">
        <v>39</v>
      </c>
      <c r="G41" s="123">
        <v>330</v>
      </c>
      <c r="H41" s="71">
        <f>SUM(F41*G41/1000)</f>
        <v>12.87</v>
      </c>
      <c r="I41" s="13">
        <f>F41/6*G41</f>
        <v>2145</v>
      </c>
      <c r="J41" s="23"/>
      <c r="L41" s="19"/>
      <c r="M41" s="20"/>
      <c r="N41" s="21"/>
    </row>
    <row r="42" spans="1:14" ht="17.25" customHeight="1">
      <c r="A42" s="29">
        <v>8</v>
      </c>
      <c r="B42" s="120" t="s">
        <v>68</v>
      </c>
      <c r="C42" s="121" t="s">
        <v>29</v>
      </c>
      <c r="D42" s="120" t="s">
        <v>215</v>
      </c>
      <c r="E42" s="123">
        <v>68</v>
      </c>
      <c r="F42" s="153">
        <f>SUM(E42*72/1000)</f>
        <v>4.8959999999999999</v>
      </c>
      <c r="G42" s="123">
        <v>502.82</v>
      </c>
      <c r="H42" s="71">
        <f>SUM(F42*G42/1000)</f>
        <v>2.4618067200000002</v>
      </c>
      <c r="I42" s="13">
        <f>G42*F42/6</f>
        <v>410.30112000000003</v>
      </c>
      <c r="J42" s="23"/>
      <c r="L42" s="19"/>
      <c r="M42" s="20"/>
      <c r="N42" s="21"/>
    </row>
    <row r="43" spans="1:14" ht="42.75" customHeight="1">
      <c r="A43" s="29">
        <v>9</v>
      </c>
      <c r="B43" s="120" t="s">
        <v>83</v>
      </c>
      <c r="C43" s="121" t="s">
        <v>114</v>
      </c>
      <c r="D43" s="120" t="s">
        <v>211</v>
      </c>
      <c r="E43" s="123">
        <v>68</v>
      </c>
      <c r="F43" s="153">
        <f>SUM(E43*24/1000)</f>
        <v>1.6319999999999999</v>
      </c>
      <c r="G43" s="123">
        <v>8319.2999999999993</v>
      </c>
      <c r="H43" s="71">
        <f t="shared" si="3"/>
        <v>13.577097599999997</v>
      </c>
      <c r="I43" s="13">
        <f>F43/6*G43</f>
        <v>2262.8495999999996</v>
      </c>
      <c r="J43" s="23"/>
      <c r="L43" s="19"/>
      <c r="M43" s="20"/>
      <c r="N43" s="21"/>
    </row>
    <row r="44" spans="1:14" ht="15.75" customHeight="1">
      <c r="A44" s="29">
        <v>10</v>
      </c>
      <c r="B44" s="120" t="s">
        <v>121</v>
      </c>
      <c r="C44" s="121" t="s">
        <v>114</v>
      </c>
      <c r="D44" s="120" t="s">
        <v>306</v>
      </c>
      <c r="E44" s="123">
        <v>68</v>
      </c>
      <c r="F44" s="153">
        <f>SUM(E44*45/1000)</f>
        <v>3.06</v>
      </c>
      <c r="G44" s="123">
        <v>614.55999999999995</v>
      </c>
      <c r="H44" s="71">
        <f t="shared" si="3"/>
        <v>1.8805536</v>
      </c>
      <c r="I44" s="13">
        <f>G44*F44/45*3</f>
        <v>125.37024</v>
      </c>
      <c r="J44" s="23"/>
      <c r="L44" s="19"/>
      <c r="M44" s="20"/>
      <c r="N44" s="21"/>
    </row>
    <row r="45" spans="1:14" ht="15" customHeight="1">
      <c r="A45" s="29">
        <v>11</v>
      </c>
      <c r="B45" s="150" t="s">
        <v>70</v>
      </c>
      <c r="C45" s="151" t="s">
        <v>33</v>
      </c>
      <c r="D45" s="150"/>
      <c r="E45" s="152"/>
      <c r="F45" s="153">
        <v>0.9</v>
      </c>
      <c r="G45" s="153">
        <v>800</v>
      </c>
      <c r="H45" s="71">
        <f t="shared" si="3"/>
        <v>0.72</v>
      </c>
      <c r="I45" s="13">
        <f>G45*F45/45*3</f>
        <v>48</v>
      </c>
      <c r="J45" s="23"/>
      <c r="L45" s="19"/>
      <c r="M45" s="20"/>
      <c r="N45" s="21"/>
    </row>
    <row r="46" spans="1:14" ht="28.5" customHeight="1">
      <c r="A46" s="29">
        <v>12</v>
      </c>
      <c r="B46" s="150" t="s">
        <v>224</v>
      </c>
      <c r="C46" s="151" t="s">
        <v>114</v>
      </c>
      <c r="D46" s="150" t="s">
        <v>220</v>
      </c>
      <c r="E46" s="152">
        <v>3</v>
      </c>
      <c r="F46" s="153">
        <f>E46*12/1000</f>
        <v>3.5999999999999997E-2</v>
      </c>
      <c r="G46" s="153">
        <v>19757.060000000001</v>
      </c>
      <c r="H46" s="71">
        <f t="shared" si="3"/>
        <v>0.71125415999999997</v>
      </c>
      <c r="I46" s="13">
        <f>G46*F46/6</f>
        <v>118.54235999999999</v>
      </c>
      <c r="J46" s="23"/>
      <c r="L46" s="19"/>
      <c r="M46" s="20"/>
      <c r="N46" s="21"/>
    </row>
    <row r="47" spans="1:14" ht="15" customHeight="1">
      <c r="A47" s="148"/>
      <c r="B47" s="19"/>
      <c r="C47" s="154"/>
      <c r="D47" s="19"/>
      <c r="E47" s="62"/>
      <c r="F47" s="61"/>
      <c r="G47" s="61"/>
      <c r="H47" s="61"/>
      <c r="I47" s="149"/>
      <c r="J47" s="23"/>
      <c r="L47" s="19"/>
      <c r="M47" s="20"/>
      <c r="N47" s="21"/>
    </row>
    <row r="48" spans="1:14" ht="15.75" hidden="1" customHeight="1">
      <c r="A48" s="174" t="s">
        <v>143</v>
      </c>
      <c r="B48" s="175"/>
      <c r="C48" s="175"/>
      <c r="D48" s="175"/>
      <c r="E48" s="175"/>
      <c r="F48" s="175"/>
      <c r="G48" s="175"/>
      <c r="H48" s="175"/>
      <c r="I48" s="176"/>
      <c r="J48" s="23"/>
      <c r="L48" s="19"/>
      <c r="M48" s="20"/>
      <c r="N48" s="21"/>
    </row>
    <row r="49" spans="1:14" ht="15" hidden="1" customHeight="1">
      <c r="A49" s="29"/>
      <c r="B49" s="67" t="s">
        <v>139</v>
      </c>
      <c r="C49" s="68" t="s">
        <v>114</v>
      </c>
      <c r="D49" s="67" t="s">
        <v>43</v>
      </c>
      <c r="E49" s="69">
        <v>1061.3</v>
      </c>
      <c r="F49" s="70">
        <f>SUM(E49*2/1000)</f>
        <v>2.1225999999999998</v>
      </c>
      <c r="G49" s="13">
        <v>809.74</v>
      </c>
      <c r="H49" s="71">
        <f t="shared" ref="H49:H58" si="4">SUM(F49*G49/1000)</f>
        <v>1.7187541239999997</v>
      </c>
      <c r="I49" s="13">
        <v>0</v>
      </c>
      <c r="J49" s="23"/>
      <c r="L49" s="19"/>
      <c r="M49" s="20"/>
      <c r="N49" s="21"/>
    </row>
    <row r="50" spans="1:14" ht="15" hidden="1" customHeight="1">
      <c r="A50" s="29"/>
      <c r="B50" s="67" t="s">
        <v>36</v>
      </c>
      <c r="C50" s="68" t="s">
        <v>114</v>
      </c>
      <c r="D50" s="67" t="s">
        <v>43</v>
      </c>
      <c r="E50" s="69">
        <v>52</v>
      </c>
      <c r="F50" s="70">
        <f>SUM(E50*2/1000)</f>
        <v>0.104</v>
      </c>
      <c r="G50" s="13">
        <v>579.48</v>
      </c>
      <c r="H50" s="71">
        <f t="shared" si="4"/>
        <v>6.0265920000000001E-2</v>
      </c>
      <c r="I50" s="13">
        <v>0</v>
      </c>
      <c r="J50" s="23"/>
      <c r="L50" s="19"/>
      <c r="M50" s="20"/>
      <c r="N50" s="21"/>
    </row>
    <row r="51" spans="1:14" ht="15" hidden="1" customHeight="1">
      <c r="A51" s="29"/>
      <c r="B51" s="67" t="s">
        <v>37</v>
      </c>
      <c r="C51" s="68" t="s">
        <v>114</v>
      </c>
      <c r="D51" s="67" t="s">
        <v>43</v>
      </c>
      <c r="E51" s="69">
        <v>1238.8</v>
      </c>
      <c r="F51" s="70">
        <f>SUM(E51*2/1000)</f>
        <v>2.4775999999999998</v>
      </c>
      <c r="G51" s="13">
        <v>579.48</v>
      </c>
      <c r="H51" s="71">
        <f t="shared" si="4"/>
        <v>1.4357196480000001</v>
      </c>
      <c r="I51" s="13">
        <v>0</v>
      </c>
      <c r="J51" s="23"/>
      <c r="L51" s="19"/>
      <c r="M51" s="20"/>
      <c r="N51" s="21"/>
    </row>
    <row r="52" spans="1:14" ht="15" hidden="1" customHeight="1">
      <c r="A52" s="29"/>
      <c r="B52" s="67" t="s">
        <v>38</v>
      </c>
      <c r="C52" s="68" t="s">
        <v>114</v>
      </c>
      <c r="D52" s="67" t="s">
        <v>43</v>
      </c>
      <c r="E52" s="69">
        <v>1794.01</v>
      </c>
      <c r="F52" s="70">
        <f>SUM(E52*2/1000)</f>
        <v>3.5880199999999998</v>
      </c>
      <c r="G52" s="13">
        <v>606.77</v>
      </c>
      <c r="H52" s="71">
        <f t="shared" si="4"/>
        <v>2.1771028954</v>
      </c>
      <c r="I52" s="13">
        <v>0</v>
      </c>
      <c r="J52" s="23"/>
      <c r="L52" s="19"/>
      <c r="M52" s="20"/>
      <c r="N52" s="21"/>
    </row>
    <row r="53" spans="1:14" ht="15" hidden="1" customHeight="1">
      <c r="A53" s="29"/>
      <c r="B53" s="67" t="s">
        <v>34</v>
      </c>
      <c r="C53" s="68" t="s">
        <v>35</v>
      </c>
      <c r="D53" s="67" t="s">
        <v>150</v>
      </c>
      <c r="E53" s="69">
        <v>85.78</v>
      </c>
      <c r="F53" s="70">
        <f>SUM(E53*2/100)</f>
        <v>1.7156</v>
      </c>
      <c r="G53" s="13">
        <v>72.81</v>
      </c>
      <c r="H53" s="71">
        <f t="shared" si="4"/>
        <v>0.124912836</v>
      </c>
      <c r="I53" s="13">
        <v>0</v>
      </c>
      <c r="J53" s="23"/>
      <c r="L53" s="19"/>
      <c r="M53" s="20"/>
      <c r="N53" s="21"/>
    </row>
    <row r="54" spans="1:14" ht="15" hidden="1" customHeight="1">
      <c r="A54" s="29">
        <v>13</v>
      </c>
      <c r="B54" s="67" t="s">
        <v>57</v>
      </c>
      <c r="C54" s="68" t="s">
        <v>114</v>
      </c>
      <c r="D54" s="67" t="s">
        <v>170</v>
      </c>
      <c r="E54" s="69">
        <v>884</v>
      </c>
      <c r="F54" s="70">
        <f>SUM(E54*5/1000)</f>
        <v>4.42</v>
      </c>
      <c r="G54" s="13">
        <v>1213.55</v>
      </c>
      <c r="H54" s="71">
        <f t="shared" si="4"/>
        <v>5.3638909999999997</v>
      </c>
      <c r="I54" s="13">
        <f>F54/5*G54</f>
        <v>1072.7782</v>
      </c>
      <c r="J54" s="23"/>
      <c r="L54" s="19"/>
      <c r="M54" s="20"/>
      <c r="N54" s="21"/>
    </row>
    <row r="55" spans="1:14" ht="31.5" hidden="1" customHeight="1">
      <c r="A55" s="29">
        <v>10</v>
      </c>
      <c r="B55" s="67" t="s">
        <v>122</v>
      </c>
      <c r="C55" s="68" t="s">
        <v>114</v>
      </c>
      <c r="D55" s="67" t="s">
        <v>43</v>
      </c>
      <c r="E55" s="69">
        <v>884</v>
      </c>
      <c r="F55" s="70">
        <f>SUM(E55*2/1000)</f>
        <v>1.768</v>
      </c>
      <c r="G55" s="13">
        <v>1213.55</v>
      </c>
      <c r="H55" s="71">
        <f t="shared" si="4"/>
        <v>2.1455563999999998</v>
      </c>
      <c r="I55" s="13">
        <f>F55/2*G55</f>
        <v>1072.7782</v>
      </c>
      <c r="J55" s="23"/>
      <c r="L55" s="19"/>
      <c r="M55" s="20"/>
      <c r="N55" s="21"/>
    </row>
    <row r="56" spans="1:14" ht="31.5" hidden="1" customHeight="1">
      <c r="A56" s="29">
        <v>11</v>
      </c>
      <c r="B56" s="67" t="s">
        <v>123</v>
      </c>
      <c r="C56" s="68" t="s">
        <v>39</v>
      </c>
      <c r="D56" s="67" t="s">
        <v>43</v>
      </c>
      <c r="E56" s="69">
        <v>20</v>
      </c>
      <c r="F56" s="70">
        <f>SUM(E56*2/100)</f>
        <v>0.4</v>
      </c>
      <c r="G56" s="13">
        <v>2730.49</v>
      </c>
      <c r="H56" s="71">
        <f t="shared" si="4"/>
        <v>1.0921959999999999</v>
      </c>
      <c r="I56" s="13">
        <f t="shared" ref="I56:I57" si="5">F56/2*G56</f>
        <v>546.09799999999996</v>
      </c>
      <c r="J56" s="23"/>
      <c r="L56" s="19"/>
      <c r="M56" s="20"/>
      <c r="N56" s="21"/>
    </row>
    <row r="57" spans="1:14" ht="15" hidden="1" customHeight="1">
      <c r="A57" s="29">
        <v>12</v>
      </c>
      <c r="B57" s="67" t="s">
        <v>40</v>
      </c>
      <c r="C57" s="68" t="s">
        <v>41</v>
      </c>
      <c r="D57" s="67" t="s">
        <v>43</v>
      </c>
      <c r="E57" s="69">
        <v>1</v>
      </c>
      <c r="F57" s="70">
        <v>0.02</v>
      </c>
      <c r="G57" s="13">
        <v>5652.13</v>
      </c>
      <c r="H57" s="71">
        <f t="shared" si="4"/>
        <v>0.11304260000000001</v>
      </c>
      <c r="I57" s="13">
        <f t="shared" si="5"/>
        <v>56.521300000000004</v>
      </c>
      <c r="J57" s="23"/>
      <c r="L57" s="19"/>
      <c r="M57" s="20"/>
      <c r="N57" s="21"/>
    </row>
    <row r="58" spans="1:14" ht="15" hidden="1" customHeight="1">
      <c r="A58" s="29">
        <v>13</v>
      </c>
      <c r="B58" s="67" t="s">
        <v>42</v>
      </c>
      <c r="C58" s="68" t="s">
        <v>30</v>
      </c>
      <c r="D58" s="67" t="s">
        <v>71</v>
      </c>
      <c r="E58" s="69">
        <v>136</v>
      </c>
      <c r="F58" s="70">
        <f>SUM(E58)*3</f>
        <v>408</v>
      </c>
      <c r="G58" s="13">
        <v>65.67</v>
      </c>
      <c r="H58" s="71">
        <f t="shared" si="4"/>
        <v>26.79336</v>
      </c>
      <c r="I58" s="13">
        <f>E58*G58</f>
        <v>8931.1200000000008</v>
      </c>
      <c r="J58" s="23"/>
      <c r="L58" s="19"/>
      <c r="M58" s="20"/>
      <c r="N58" s="21"/>
    </row>
    <row r="59" spans="1:14" ht="15.75" customHeight="1">
      <c r="A59" s="174" t="s">
        <v>173</v>
      </c>
      <c r="B59" s="175"/>
      <c r="C59" s="175"/>
      <c r="D59" s="175"/>
      <c r="E59" s="175"/>
      <c r="F59" s="175"/>
      <c r="G59" s="175"/>
      <c r="H59" s="175"/>
      <c r="I59" s="176"/>
      <c r="J59" s="23"/>
      <c r="L59" s="19"/>
      <c r="M59" s="20"/>
      <c r="N59" s="21"/>
    </row>
    <row r="60" spans="1:14" ht="15" hidden="1" customHeight="1">
      <c r="A60" s="29"/>
      <c r="B60" s="87" t="s">
        <v>44</v>
      </c>
      <c r="C60" s="68"/>
      <c r="D60" s="67"/>
      <c r="E60" s="69"/>
      <c r="F60" s="70"/>
      <c r="G60" s="70"/>
      <c r="H60" s="71"/>
      <c r="I60" s="13"/>
      <c r="J60" s="23"/>
      <c r="L60" s="19"/>
      <c r="M60" s="20"/>
      <c r="N60" s="21"/>
    </row>
    <row r="61" spans="1:14" ht="31.5" hidden="1" customHeight="1">
      <c r="A61" s="29">
        <v>13</v>
      </c>
      <c r="B61" s="67" t="s">
        <v>125</v>
      </c>
      <c r="C61" s="68" t="s">
        <v>99</v>
      </c>
      <c r="D61" s="67" t="s">
        <v>72</v>
      </c>
      <c r="E61" s="69">
        <v>106.13</v>
      </c>
      <c r="F61" s="70">
        <f>E61*6/100</f>
        <v>6.3677999999999999</v>
      </c>
      <c r="G61" s="76">
        <v>1547.28</v>
      </c>
      <c r="H61" s="71">
        <f>F61*G61/1000</f>
        <v>9.8527695839999989</v>
      </c>
      <c r="I61" s="13">
        <f>F61/6*G61</f>
        <v>1642.1282639999999</v>
      </c>
      <c r="J61" s="23"/>
      <c r="L61" s="19"/>
    </row>
    <row r="62" spans="1:14" ht="15" customHeight="1">
      <c r="A62" s="29"/>
      <c r="B62" s="88" t="s">
        <v>45</v>
      </c>
      <c r="C62" s="77"/>
      <c r="D62" s="78"/>
      <c r="E62" s="79"/>
      <c r="F62" s="80"/>
      <c r="G62" s="81"/>
      <c r="H62" s="89"/>
      <c r="I62" s="13"/>
    </row>
    <row r="63" spans="1:14" ht="15" hidden="1" customHeight="1">
      <c r="A63" s="29"/>
      <c r="B63" s="78" t="s">
        <v>46</v>
      </c>
      <c r="C63" s="77" t="s">
        <v>54</v>
      </c>
      <c r="D63" s="78" t="s">
        <v>55</v>
      </c>
      <c r="E63" s="79">
        <v>884</v>
      </c>
      <c r="F63" s="80">
        <f>E63/100</f>
        <v>8.84</v>
      </c>
      <c r="G63" s="70">
        <v>793.61</v>
      </c>
      <c r="H63" s="89">
        <f>G63*F63/1000</f>
        <v>7.0155123999999995</v>
      </c>
      <c r="I63" s="13">
        <v>0</v>
      </c>
    </row>
    <row r="64" spans="1:14" ht="15" customHeight="1">
      <c r="A64" s="29">
        <v>13</v>
      </c>
      <c r="B64" s="78" t="s">
        <v>95</v>
      </c>
      <c r="C64" s="77" t="s">
        <v>25</v>
      </c>
      <c r="D64" s="78"/>
      <c r="E64" s="79">
        <v>176.8</v>
      </c>
      <c r="F64" s="80">
        <v>1200</v>
      </c>
      <c r="G64" s="70">
        <v>1.4</v>
      </c>
      <c r="H64" s="89">
        <f>G64*F64</f>
        <v>1680</v>
      </c>
      <c r="I64" s="13">
        <f>F64/12*G64</f>
        <v>140</v>
      </c>
    </row>
    <row r="65" spans="1:22" ht="15" customHeight="1">
      <c r="A65" s="29"/>
      <c r="B65" s="88" t="s">
        <v>47</v>
      </c>
      <c r="C65" s="77"/>
      <c r="D65" s="78"/>
      <c r="E65" s="79"/>
      <c r="F65" s="80"/>
      <c r="G65" s="70"/>
      <c r="H65" s="89" t="s">
        <v>132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customHeight="1">
      <c r="A66" s="29">
        <v>14</v>
      </c>
      <c r="B66" s="14" t="s">
        <v>48</v>
      </c>
      <c r="C66" s="16" t="s">
        <v>124</v>
      </c>
      <c r="D66" s="14" t="s">
        <v>211</v>
      </c>
      <c r="E66" s="18">
        <v>20</v>
      </c>
      <c r="F66" s="70">
        <v>20</v>
      </c>
      <c r="G66" s="112">
        <v>318.82</v>
      </c>
      <c r="H66" s="90">
        <f t="shared" ref="H66:H83" si="6">SUM(F66*G66/1000)</f>
        <v>6.3763999999999994</v>
      </c>
      <c r="I66" s="13">
        <f>G66*4</f>
        <v>1275.28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" hidden="1" customHeight="1">
      <c r="A67" s="29">
        <v>17</v>
      </c>
      <c r="B67" s="14" t="s">
        <v>49</v>
      </c>
      <c r="C67" s="16" t="s">
        <v>124</v>
      </c>
      <c r="D67" s="14" t="s">
        <v>67</v>
      </c>
      <c r="E67" s="14" t="s">
        <v>67</v>
      </c>
      <c r="F67" s="14" t="s">
        <v>67</v>
      </c>
      <c r="G67" s="13">
        <v>76.25</v>
      </c>
      <c r="H67" s="82" t="e">
        <f t="shared" si="6"/>
        <v>#VALUE!</v>
      </c>
      <c r="I67" s="13">
        <f>G67</f>
        <v>76.25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" hidden="1" customHeight="1">
      <c r="A68" s="29"/>
      <c r="B68" s="14" t="s">
        <v>50</v>
      </c>
      <c r="C68" s="16" t="s">
        <v>126</v>
      </c>
      <c r="D68" s="14" t="s">
        <v>55</v>
      </c>
      <c r="E68" s="69">
        <v>12647</v>
      </c>
      <c r="F68" s="13">
        <f>SUM(E68/100)</f>
        <v>126.47</v>
      </c>
      <c r="G68" s="13">
        <v>212.15</v>
      </c>
      <c r="H68" s="82">
        <f t="shared" si="6"/>
        <v>26.830610499999999</v>
      </c>
      <c r="I68" s="13">
        <f>F68*G68</f>
        <v>26830.610499999999</v>
      </c>
      <c r="J68" s="5"/>
      <c r="K68" s="5"/>
      <c r="L68" s="5"/>
      <c r="M68" s="5"/>
      <c r="N68" s="5"/>
      <c r="O68" s="5"/>
      <c r="P68" s="5"/>
      <c r="Q68" s="5"/>
      <c r="R68" s="162"/>
      <c r="S68" s="162"/>
      <c r="T68" s="162"/>
      <c r="U68" s="162"/>
    </row>
    <row r="69" spans="1:22" ht="15" hidden="1" customHeight="1">
      <c r="A69" s="29"/>
      <c r="B69" s="14" t="s">
        <v>51</v>
      </c>
      <c r="C69" s="16" t="s">
        <v>127</v>
      </c>
      <c r="D69" s="14"/>
      <c r="E69" s="69">
        <v>12647</v>
      </c>
      <c r="F69" s="13">
        <f>SUM(E69/1000)</f>
        <v>12.647</v>
      </c>
      <c r="G69" s="13">
        <v>165.21</v>
      </c>
      <c r="H69" s="82">
        <f t="shared" si="6"/>
        <v>2.08941087</v>
      </c>
      <c r="I69" s="13">
        <f t="shared" ref="I69:I73" si="7">F69*G69</f>
        <v>2089.4108700000002</v>
      </c>
    </row>
    <row r="70" spans="1:22" ht="15" hidden="1" customHeight="1">
      <c r="A70" s="29"/>
      <c r="B70" s="14" t="s">
        <v>52</v>
      </c>
      <c r="C70" s="16" t="s">
        <v>78</v>
      </c>
      <c r="D70" s="14" t="s">
        <v>55</v>
      </c>
      <c r="E70" s="69">
        <v>1900</v>
      </c>
      <c r="F70" s="13">
        <f>SUM(E70/100)</f>
        <v>19</v>
      </c>
      <c r="G70" s="13">
        <v>2074.63</v>
      </c>
      <c r="H70" s="82">
        <f t="shared" si="6"/>
        <v>39.417970000000004</v>
      </c>
      <c r="I70" s="13">
        <f t="shared" si="7"/>
        <v>39417.97</v>
      </c>
    </row>
    <row r="71" spans="1:22" ht="15" hidden="1" customHeight="1">
      <c r="A71" s="29"/>
      <c r="B71" s="83" t="s">
        <v>128</v>
      </c>
      <c r="C71" s="16" t="s">
        <v>33</v>
      </c>
      <c r="D71" s="14"/>
      <c r="E71" s="69">
        <v>11.3</v>
      </c>
      <c r="F71" s="13">
        <f>SUM(E71)</f>
        <v>11.3</v>
      </c>
      <c r="G71" s="13">
        <v>42.67</v>
      </c>
      <c r="H71" s="82">
        <f t="shared" si="6"/>
        <v>0.48217100000000007</v>
      </c>
      <c r="I71" s="13">
        <f t="shared" si="7"/>
        <v>482.17100000000005</v>
      </c>
    </row>
    <row r="72" spans="1:22" ht="15" hidden="1" customHeight="1">
      <c r="A72" s="29"/>
      <c r="B72" s="83" t="s">
        <v>129</v>
      </c>
      <c r="C72" s="16" t="s">
        <v>33</v>
      </c>
      <c r="D72" s="14"/>
      <c r="E72" s="69">
        <v>11.3</v>
      </c>
      <c r="F72" s="13">
        <f>SUM(E72)</f>
        <v>11.3</v>
      </c>
      <c r="G72" s="13">
        <v>39.81</v>
      </c>
      <c r="H72" s="82">
        <f t="shared" si="6"/>
        <v>0.44985300000000006</v>
      </c>
      <c r="I72" s="13">
        <f t="shared" si="7"/>
        <v>449.85300000000007</v>
      </c>
    </row>
    <row r="73" spans="1:22" ht="15" hidden="1" customHeight="1">
      <c r="A73" s="29"/>
      <c r="B73" s="14" t="s">
        <v>58</v>
      </c>
      <c r="C73" s="16" t="s">
        <v>59</v>
      </c>
      <c r="D73" s="14" t="s">
        <v>55</v>
      </c>
      <c r="E73" s="18">
        <v>6</v>
      </c>
      <c r="F73" s="70">
        <f>SUM(E73)</f>
        <v>6</v>
      </c>
      <c r="G73" s="13">
        <v>49.88</v>
      </c>
      <c r="H73" s="82">
        <f t="shared" si="6"/>
        <v>0.29928000000000005</v>
      </c>
      <c r="I73" s="13">
        <f t="shared" si="7"/>
        <v>299.28000000000003</v>
      </c>
    </row>
    <row r="74" spans="1:22" ht="15" customHeight="1">
      <c r="A74" s="29"/>
      <c r="B74" s="31" t="s">
        <v>202</v>
      </c>
      <c r="C74" s="16"/>
      <c r="D74" s="14"/>
      <c r="E74" s="18"/>
      <c r="F74" s="13"/>
      <c r="G74" s="116"/>
      <c r="H74" s="116"/>
      <c r="I74" s="117"/>
    </row>
    <row r="75" spans="1:22" ht="31.5" customHeight="1">
      <c r="A75" s="29">
        <v>15</v>
      </c>
      <c r="B75" s="102" t="s">
        <v>200</v>
      </c>
      <c r="C75" s="133" t="s">
        <v>201</v>
      </c>
      <c r="D75" s="134"/>
      <c r="E75" s="17">
        <v>3031.3</v>
      </c>
      <c r="F75" s="35">
        <f>E75*12</f>
        <v>36375.600000000006</v>
      </c>
      <c r="G75" s="35">
        <v>2.4900000000000002</v>
      </c>
      <c r="H75" s="116"/>
      <c r="I75" s="117">
        <f>G75*F75/12</f>
        <v>7547.9370000000017</v>
      </c>
    </row>
    <row r="76" spans="1:22" ht="15" hidden="1" customHeight="1">
      <c r="A76" s="29"/>
      <c r="B76" s="147" t="s">
        <v>73</v>
      </c>
      <c r="C76" s="16"/>
      <c r="D76" s="14"/>
      <c r="E76" s="18"/>
      <c r="F76" s="13"/>
      <c r="G76" s="13"/>
      <c r="H76" s="82" t="s">
        <v>132</v>
      </c>
      <c r="I76" s="13"/>
    </row>
    <row r="77" spans="1:22" ht="15" hidden="1" customHeight="1">
      <c r="A77" s="29">
        <v>15</v>
      </c>
      <c r="B77" s="14" t="s">
        <v>74</v>
      </c>
      <c r="C77" s="16" t="s">
        <v>31</v>
      </c>
      <c r="D77" s="14"/>
      <c r="E77" s="18">
        <v>5</v>
      </c>
      <c r="F77" s="61">
        <v>0.5</v>
      </c>
      <c r="G77" s="13">
        <v>501.62</v>
      </c>
      <c r="H77" s="82">
        <v>0.251</v>
      </c>
      <c r="I77" s="13">
        <f>G77*0.1</f>
        <v>50.162000000000006</v>
      </c>
    </row>
    <row r="78" spans="1:22" ht="15" hidden="1" customHeight="1">
      <c r="A78" s="29"/>
      <c r="B78" s="14" t="s">
        <v>140</v>
      </c>
      <c r="C78" s="16" t="s">
        <v>30</v>
      </c>
      <c r="D78" s="14"/>
      <c r="E78" s="18">
        <v>2</v>
      </c>
      <c r="F78" s="13">
        <v>2</v>
      </c>
      <c r="G78" s="13">
        <v>99.85</v>
      </c>
      <c r="H78" s="82">
        <v>0.1</v>
      </c>
      <c r="I78" s="13">
        <v>0</v>
      </c>
    </row>
    <row r="79" spans="1:22" ht="15" hidden="1" customHeight="1">
      <c r="A79" s="29"/>
      <c r="B79" s="14" t="s">
        <v>141</v>
      </c>
      <c r="C79" s="16" t="s">
        <v>30</v>
      </c>
      <c r="D79" s="14"/>
      <c r="E79" s="18">
        <v>1</v>
      </c>
      <c r="F79" s="61">
        <v>1</v>
      </c>
      <c r="G79" s="13">
        <v>120.26</v>
      </c>
      <c r="H79" s="82">
        <v>0.12</v>
      </c>
      <c r="I79" s="13">
        <v>0</v>
      </c>
    </row>
    <row r="80" spans="1:22" ht="15" hidden="1" customHeight="1">
      <c r="A80" s="29"/>
      <c r="B80" s="14" t="s">
        <v>87</v>
      </c>
      <c r="C80" s="16" t="s">
        <v>30</v>
      </c>
      <c r="D80" s="14"/>
      <c r="E80" s="18">
        <v>1</v>
      </c>
      <c r="F80" s="70">
        <f>SUM(E80)</f>
        <v>1</v>
      </c>
      <c r="G80" s="13">
        <v>358.51</v>
      </c>
      <c r="H80" s="82">
        <f t="shared" si="6"/>
        <v>0.35851</v>
      </c>
      <c r="I80" s="13">
        <v>0</v>
      </c>
    </row>
    <row r="81" spans="1:9" ht="15" hidden="1" customHeight="1">
      <c r="A81" s="29"/>
      <c r="B81" s="14" t="s">
        <v>75</v>
      </c>
      <c r="C81" s="16" t="s">
        <v>30</v>
      </c>
      <c r="D81" s="14"/>
      <c r="E81" s="18">
        <v>1</v>
      </c>
      <c r="F81" s="13">
        <v>1</v>
      </c>
      <c r="G81" s="13">
        <v>852.99</v>
      </c>
      <c r="H81" s="82">
        <f>F81*G81/1000</f>
        <v>0.85299000000000003</v>
      </c>
      <c r="I81" s="13">
        <v>0</v>
      </c>
    </row>
    <row r="82" spans="1:9" ht="15" hidden="1" customHeight="1">
      <c r="A82" s="29"/>
      <c r="B82" s="84" t="s">
        <v>77</v>
      </c>
      <c r="C82" s="16"/>
      <c r="D82" s="14"/>
      <c r="E82" s="18"/>
      <c r="F82" s="13"/>
      <c r="G82" s="13" t="s">
        <v>132</v>
      </c>
      <c r="H82" s="82" t="s">
        <v>132</v>
      </c>
      <c r="I82" s="13"/>
    </row>
    <row r="83" spans="1:9" ht="15" hidden="1" customHeight="1">
      <c r="A83" s="29"/>
      <c r="B83" s="44" t="s">
        <v>133</v>
      </c>
      <c r="C83" s="16" t="s">
        <v>78</v>
      </c>
      <c r="D83" s="14"/>
      <c r="E83" s="18"/>
      <c r="F83" s="13">
        <v>0.2</v>
      </c>
      <c r="G83" s="13">
        <v>2759.44</v>
      </c>
      <c r="H83" s="82">
        <f t="shared" si="6"/>
        <v>0.55188800000000005</v>
      </c>
      <c r="I83" s="13">
        <v>0</v>
      </c>
    </row>
    <row r="84" spans="1:9" ht="15" hidden="1" customHeight="1">
      <c r="A84" s="29"/>
      <c r="B84" s="72" t="s">
        <v>130</v>
      </c>
      <c r="C84" s="84"/>
      <c r="D84" s="31"/>
      <c r="E84" s="32"/>
      <c r="F84" s="73"/>
      <c r="G84" s="73"/>
      <c r="H84" s="85" t="e">
        <f>SUM(H61:H83)</f>
        <v>#VALUE!</v>
      </c>
      <c r="I84" s="73"/>
    </row>
    <row r="85" spans="1:9" ht="15" hidden="1" customHeight="1">
      <c r="A85" s="29"/>
      <c r="B85" s="67" t="s">
        <v>131</v>
      </c>
      <c r="C85" s="16"/>
      <c r="D85" s="14"/>
      <c r="E85" s="62"/>
      <c r="F85" s="13">
        <v>1</v>
      </c>
      <c r="G85" s="13">
        <v>13437.4</v>
      </c>
      <c r="H85" s="82">
        <f>G85*F85/1000</f>
        <v>13.4374</v>
      </c>
      <c r="I85" s="13">
        <v>0</v>
      </c>
    </row>
    <row r="86" spans="1:9" ht="15.75" customHeight="1">
      <c r="A86" s="163" t="s">
        <v>177</v>
      </c>
      <c r="B86" s="164"/>
      <c r="C86" s="164"/>
      <c r="D86" s="164"/>
      <c r="E86" s="164"/>
      <c r="F86" s="164"/>
      <c r="G86" s="164"/>
      <c r="H86" s="164"/>
      <c r="I86" s="165"/>
    </row>
    <row r="87" spans="1:9" ht="15" customHeight="1">
      <c r="A87" s="29">
        <v>16</v>
      </c>
      <c r="B87" s="102" t="s">
        <v>134</v>
      </c>
      <c r="C87" s="110" t="s">
        <v>56</v>
      </c>
      <c r="D87" s="139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17</v>
      </c>
      <c r="B88" s="102" t="s">
        <v>203</v>
      </c>
      <c r="C88" s="110" t="s">
        <v>25</v>
      </c>
      <c r="D88" s="137"/>
      <c r="E88" s="138">
        <f>E87</f>
        <v>3031.3</v>
      </c>
      <c r="F88" s="135">
        <f>E88*12</f>
        <v>36375.600000000006</v>
      </c>
      <c r="G88" s="135">
        <v>3.05</v>
      </c>
      <c r="H88" s="82">
        <f>F88*G88/1000</f>
        <v>110.94558000000002</v>
      </c>
      <c r="I88" s="13">
        <f>F88/12*G88</f>
        <v>9245.465000000002</v>
      </c>
    </row>
    <row r="89" spans="1:9" ht="15.75" customHeight="1">
      <c r="A89" s="146"/>
      <c r="B89" s="36" t="s">
        <v>80</v>
      </c>
      <c r="C89" s="37"/>
      <c r="D89" s="15"/>
      <c r="E89" s="15"/>
      <c r="F89" s="15"/>
      <c r="G89" s="18"/>
      <c r="H89" s="18"/>
      <c r="I89" s="32">
        <f>I88+I87+I75+I66+I64+I46+I45+I44+I43+I42+I40+I27+I21+I20+I18+I17+I16</f>
        <v>43159.523388666668</v>
      </c>
    </row>
    <row r="90" spans="1:9" ht="15.75" customHeight="1">
      <c r="A90" s="177" t="s">
        <v>61</v>
      </c>
      <c r="B90" s="178"/>
      <c r="C90" s="178"/>
      <c r="D90" s="178"/>
      <c r="E90" s="178"/>
      <c r="F90" s="178"/>
      <c r="G90" s="178"/>
      <c r="H90" s="178"/>
      <c r="I90" s="179"/>
    </row>
    <row r="91" spans="1:9" ht="18.75" customHeight="1">
      <c r="A91" s="29">
        <v>18</v>
      </c>
      <c r="B91" s="52" t="s">
        <v>216</v>
      </c>
      <c r="C91" s="53" t="s">
        <v>124</v>
      </c>
      <c r="D91" s="48"/>
      <c r="E91" s="34"/>
      <c r="F91" s="34">
        <v>8</v>
      </c>
      <c r="G91" s="34">
        <v>60.72</v>
      </c>
      <c r="H91" s="99"/>
      <c r="I91" s="13">
        <f>G91*1</f>
        <v>60.72</v>
      </c>
    </row>
    <row r="92" spans="1:9" ht="34.5" customHeight="1">
      <c r="A92" s="29">
        <v>19</v>
      </c>
      <c r="B92" s="52" t="s">
        <v>256</v>
      </c>
      <c r="C92" s="53" t="s">
        <v>124</v>
      </c>
      <c r="D92" s="48" t="s">
        <v>316</v>
      </c>
      <c r="E92" s="34"/>
      <c r="F92" s="34">
        <v>2</v>
      </c>
      <c r="G92" s="34">
        <v>764.83</v>
      </c>
      <c r="H92" s="99"/>
      <c r="I92" s="13">
        <f>G92*1</f>
        <v>764.83</v>
      </c>
    </row>
    <row r="93" spans="1:9" ht="18" customHeight="1">
      <c r="A93" s="29">
        <v>20</v>
      </c>
      <c r="B93" s="52" t="s">
        <v>258</v>
      </c>
      <c r="C93" s="53" t="s">
        <v>124</v>
      </c>
      <c r="D93" s="48"/>
      <c r="E93" s="34"/>
      <c r="F93" s="34">
        <v>2</v>
      </c>
      <c r="G93" s="34">
        <v>49</v>
      </c>
      <c r="H93" s="99"/>
      <c r="I93" s="13">
        <f>G93*1</f>
        <v>49</v>
      </c>
    </row>
    <row r="94" spans="1:9" ht="18" customHeight="1">
      <c r="A94" s="29">
        <v>21</v>
      </c>
      <c r="B94" s="52" t="s">
        <v>307</v>
      </c>
      <c r="C94" s="53"/>
      <c r="D94" s="48"/>
      <c r="E94" s="34"/>
      <c r="F94" s="34">
        <v>1</v>
      </c>
      <c r="G94" s="34">
        <v>27.36</v>
      </c>
      <c r="H94" s="99"/>
      <c r="I94" s="13">
        <f>G94*1</f>
        <v>27.36</v>
      </c>
    </row>
    <row r="95" spans="1:9" ht="18" customHeight="1">
      <c r="A95" s="29">
        <v>22</v>
      </c>
      <c r="B95" s="52" t="s">
        <v>230</v>
      </c>
      <c r="C95" s="53" t="s">
        <v>124</v>
      </c>
      <c r="D95" s="48"/>
      <c r="E95" s="34"/>
      <c r="F95" s="34">
        <v>2</v>
      </c>
      <c r="G95" s="34">
        <v>235</v>
      </c>
      <c r="H95" s="99"/>
      <c r="I95" s="13">
        <f>G95*1</f>
        <v>235</v>
      </c>
    </row>
    <row r="96" spans="1:9" ht="18" customHeight="1">
      <c r="A96" s="29">
        <v>23</v>
      </c>
      <c r="B96" s="52" t="s">
        <v>232</v>
      </c>
      <c r="C96" s="53" t="s">
        <v>124</v>
      </c>
      <c r="D96" s="48"/>
      <c r="E96" s="34"/>
      <c r="F96" s="34">
        <v>3</v>
      </c>
      <c r="G96" s="34">
        <v>67</v>
      </c>
      <c r="H96" s="99"/>
      <c r="I96" s="13">
        <f>G96*2</f>
        <v>134</v>
      </c>
    </row>
    <row r="97" spans="1:9" ht="18" customHeight="1">
      <c r="A97" s="29">
        <v>24</v>
      </c>
      <c r="B97" s="52" t="s">
        <v>308</v>
      </c>
      <c r="C97" s="53" t="s">
        <v>124</v>
      </c>
      <c r="D97" s="48"/>
      <c r="E97" s="34"/>
      <c r="F97" s="34">
        <v>1</v>
      </c>
      <c r="G97" s="34">
        <v>37.450000000000003</v>
      </c>
      <c r="H97" s="99"/>
      <c r="I97" s="13">
        <f>G97*1</f>
        <v>37.450000000000003</v>
      </c>
    </row>
    <row r="98" spans="1:9" ht="18" customHeight="1">
      <c r="A98" s="29">
        <v>25</v>
      </c>
      <c r="B98" s="52" t="s">
        <v>309</v>
      </c>
      <c r="C98" s="53" t="s">
        <v>124</v>
      </c>
      <c r="D98" s="48"/>
      <c r="E98" s="34"/>
      <c r="F98" s="34">
        <v>1</v>
      </c>
      <c r="G98" s="34">
        <v>15.51</v>
      </c>
      <c r="H98" s="99"/>
      <c r="I98" s="13">
        <f>G98*1</f>
        <v>15.51</v>
      </c>
    </row>
    <row r="99" spans="1:9" ht="32.25" customHeight="1">
      <c r="A99" s="29">
        <v>26</v>
      </c>
      <c r="B99" s="52" t="s">
        <v>194</v>
      </c>
      <c r="C99" s="53" t="s">
        <v>186</v>
      </c>
      <c r="D99" s="102" t="s">
        <v>318</v>
      </c>
      <c r="E99" s="34"/>
      <c r="F99" s="34">
        <v>23</v>
      </c>
      <c r="G99" s="34">
        <v>1421.68</v>
      </c>
      <c r="H99" s="99"/>
      <c r="I99" s="13">
        <f>G99*20</f>
        <v>28433.600000000002</v>
      </c>
    </row>
    <row r="100" spans="1:9" ht="31.5" customHeight="1">
      <c r="A100" s="29">
        <v>27</v>
      </c>
      <c r="B100" s="52" t="s">
        <v>223</v>
      </c>
      <c r="C100" s="53" t="s">
        <v>186</v>
      </c>
      <c r="D100" s="102" t="s">
        <v>318</v>
      </c>
      <c r="E100" s="34"/>
      <c r="F100" s="34">
        <v>20.5</v>
      </c>
      <c r="G100" s="34">
        <v>1523.6</v>
      </c>
      <c r="H100" s="99"/>
      <c r="I100" s="13">
        <f>G100*20</f>
        <v>30472</v>
      </c>
    </row>
    <row r="101" spans="1:9" ht="18" customHeight="1">
      <c r="A101" s="29">
        <v>28</v>
      </c>
      <c r="B101" s="52" t="s">
        <v>275</v>
      </c>
      <c r="C101" s="53" t="s">
        <v>167</v>
      </c>
      <c r="D101" s="48"/>
      <c r="E101" s="34"/>
      <c r="F101" s="34">
        <v>0.2</v>
      </c>
      <c r="G101" s="34">
        <v>1599.93</v>
      </c>
      <c r="H101" s="99"/>
      <c r="I101" s="13">
        <f>G101*0.1</f>
        <v>159.99300000000002</v>
      </c>
    </row>
    <row r="102" spans="1:9" ht="18" customHeight="1">
      <c r="A102" s="29">
        <v>29</v>
      </c>
      <c r="B102" s="52" t="s">
        <v>157</v>
      </c>
      <c r="C102" s="53" t="s">
        <v>84</v>
      </c>
      <c r="D102" s="48" t="s">
        <v>317</v>
      </c>
      <c r="E102" s="34"/>
      <c r="F102" s="34">
        <v>5</v>
      </c>
      <c r="G102" s="34">
        <v>222.63</v>
      </c>
      <c r="H102" s="99"/>
      <c r="I102" s="13">
        <f>G102*1</f>
        <v>222.63</v>
      </c>
    </row>
    <row r="103" spans="1:9" ht="18" customHeight="1">
      <c r="A103" s="29">
        <v>30</v>
      </c>
      <c r="B103" s="52" t="s">
        <v>234</v>
      </c>
      <c r="C103" s="53" t="s">
        <v>190</v>
      </c>
      <c r="D103" s="48" t="s">
        <v>213</v>
      </c>
      <c r="E103" s="34"/>
      <c r="F103" s="34">
        <v>0.03</v>
      </c>
      <c r="G103" s="34">
        <v>27139.18</v>
      </c>
      <c r="H103" s="99"/>
      <c r="I103" s="13">
        <v>0</v>
      </c>
    </row>
    <row r="104" spans="1:9" ht="18" customHeight="1">
      <c r="A104" s="29">
        <v>31</v>
      </c>
      <c r="B104" s="52" t="s">
        <v>310</v>
      </c>
      <c r="C104" s="53" t="s">
        <v>54</v>
      </c>
      <c r="D104" s="48"/>
      <c r="E104" s="34"/>
      <c r="F104" s="158">
        <v>4.0000000000000001E-3</v>
      </c>
      <c r="G104" s="34">
        <v>58109.85</v>
      </c>
      <c r="H104" s="99"/>
      <c r="I104" s="13">
        <f>G104*0.004</f>
        <v>232.43940000000001</v>
      </c>
    </row>
    <row r="105" spans="1:9" ht="28.5" customHeight="1">
      <c r="A105" s="29">
        <v>32</v>
      </c>
      <c r="B105" s="52" t="s">
        <v>311</v>
      </c>
      <c r="C105" s="53" t="s">
        <v>96</v>
      </c>
      <c r="D105" s="48"/>
      <c r="E105" s="34"/>
      <c r="F105" s="158">
        <v>6.3E-2</v>
      </c>
      <c r="G105" s="34">
        <v>11682.48</v>
      </c>
      <c r="H105" s="99"/>
      <c r="I105" s="13">
        <f>G105*0.063</f>
        <v>735.99623999999994</v>
      </c>
    </row>
    <row r="106" spans="1:9" ht="18" customHeight="1">
      <c r="A106" s="29">
        <v>33</v>
      </c>
      <c r="B106" s="52" t="s">
        <v>312</v>
      </c>
      <c r="C106" s="53" t="s">
        <v>96</v>
      </c>
      <c r="D106" s="48"/>
      <c r="E106" s="34"/>
      <c r="F106" s="158">
        <v>6.3E-2</v>
      </c>
      <c r="G106" s="34">
        <v>2731.25</v>
      </c>
      <c r="H106" s="99"/>
      <c r="I106" s="13">
        <f>G106*0.063</f>
        <v>172.06874999999999</v>
      </c>
    </row>
    <row r="107" spans="1:9" ht="18" customHeight="1">
      <c r="A107" s="29">
        <v>34</v>
      </c>
      <c r="B107" s="159" t="s">
        <v>313</v>
      </c>
      <c r="C107" s="160" t="s">
        <v>90</v>
      </c>
      <c r="D107" s="48"/>
      <c r="E107" s="34"/>
      <c r="F107" s="158">
        <f>0.5/3</f>
        <v>0.16666666666666666</v>
      </c>
      <c r="G107" s="34">
        <v>1274.19</v>
      </c>
      <c r="H107" s="99"/>
      <c r="I107" s="13">
        <f>G107*0.5/3</f>
        <v>212.36500000000001</v>
      </c>
    </row>
    <row r="108" spans="1:9" ht="18" customHeight="1">
      <c r="A108" s="29">
        <v>35</v>
      </c>
      <c r="B108" s="52" t="s">
        <v>314</v>
      </c>
      <c r="C108" s="53" t="s">
        <v>91</v>
      </c>
      <c r="D108" s="48" t="s">
        <v>315</v>
      </c>
      <c r="E108" s="34"/>
      <c r="F108" s="158">
        <v>1</v>
      </c>
      <c r="G108" s="34">
        <v>9269.44</v>
      </c>
      <c r="H108" s="99"/>
      <c r="I108" s="13">
        <f>G108*1</f>
        <v>9269.44</v>
      </c>
    </row>
    <row r="109" spans="1:9" ht="15.75" customHeight="1">
      <c r="A109" s="29"/>
      <c r="B109" s="42" t="s">
        <v>53</v>
      </c>
      <c r="C109" s="38"/>
      <c r="D109" s="46"/>
      <c r="E109" s="38">
        <v>1</v>
      </c>
      <c r="F109" s="38"/>
      <c r="G109" s="38"/>
      <c r="H109" s="38"/>
      <c r="I109" s="32">
        <f>SUM(I91:I108)</f>
        <v>71234.402390000003</v>
      </c>
    </row>
    <row r="110" spans="1:9" ht="15.75" customHeight="1">
      <c r="A110" s="29"/>
      <c r="B110" s="44" t="s">
        <v>79</v>
      </c>
      <c r="C110" s="15"/>
      <c r="D110" s="15"/>
      <c r="E110" s="39"/>
      <c r="F110" s="39"/>
      <c r="G110" s="40"/>
      <c r="H110" s="40"/>
      <c r="I110" s="17">
        <v>0</v>
      </c>
    </row>
    <row r="111" spans="1:9" ht="15.75" customHeight="1">
      <c r="A111" s="47"/>
      <c r="B111" s="43" t="s">
        <v>182</v>
      </c>
      <c r="C111" s="33"/>
      <c r="D111" s="33"/>
      <c r="E111" s="33"/>
      <c r="F111" s="33"/>
      <c r="G111" s="33"/>
      <c r="H111" s="33"/>
      <c r="I111" s="41">
        <f>I89+I109</f>
        <v>114393.92577866667</v>
      </c>
    </row>
    <row r="112" spans="1:9" ht="15.75">
      <c r="A112" s="180" t="s">
        <v>335</v>
      </c>
      <c r="B112" s="180"/>
      <c r="C112" s="180"/>
      <c r="D112" s="180"/>
      <c r="E112" s="180"/>
      <c r="F112" s="180"/>
      <c r="G112" s="180"/>
      <c r="H112" s="180"/>
      <c r="I112" s="180"/>
    </row>
    <row r="113" spans="1:9" ht="15.75">
      <c r="A113" s="60"/>
      <c r="B113" s="181" t="s">
        <v>336</v>
      </c>
      <c r="C113" s="181"/>
      <c r="D113" s="181"/>
      <c r="E113" s="181"/>
      <c r="F113" s="181"/>
      <c r="G113" s="181"/>
      <c r="H113" s="65"/>
      <c r="I113" s="3"/>
    </row>
    <row r="114" spans="1:9">
      <c r="A114" s="94"/>
      <c r="B114" s="182" t="s">
        <v>6</v>
      </c>
      <c r="C114" s="182"/>
      <c r="D114" s="182"/>
      <c r="E114" s="182"/>
      <c r="F114" s="182"/>
      <c r="G114" s="182"/>
      <c r="H114" s="24"/>
      <c r="I114" s="5"/>
    </row>
    <row r="115" spans="1:9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5.75">
      <c r="A116" s="183" t="s">
        <v>7</v>
      </c>
      <c r="B116" s="183"/>
      <c r="C116" s="183"/>
      <c r="D116" s="183"/>
      <c r="E116" s="183"/>
      <c r="F116" s="183"/>
      <c r="G116" s="183"/>
      <c r="H116" s="183"/>
      <c r="I116" s="183"/>
    </row>
    <row r="117" spans="1:9" ht="15.75">
      <c r="A117" s="183" t="s">
        <v>8</v>
      </c>
      <c r="B117" s="183"/>
      <c r="C117" s="183"/>
      <c r="D117" s="183"/>
      <c r="E117" s="183"/>
      <c r="F117" s="183"/>
      <c r="G117" s="183"/>
      <c r="H117" s="183"/>
      <c r="I117" s="183"/>
    </row>
    <row r="118" spans="1:9" ht="15.75">
      <c r="A118" s="172" t="s">
        <v>62</v>
      </c>
      <c r="B118" s="172"/>
      <c r="C118" s="172"/>
      <c r="D118" s="172"/>
      <c r="E118" s="172"/>
      <c r="F118" s="172"/>
      <c r="G118" s="172"/>
      <c r="H118" s="172"/>
      <c r="I118" s="172"/>
    </row>
    <row r="119" spans="1:9" ht="15.75">
      <c r="A119" s="11"/>
    </row>
    <row r="120" spans="1:9" ht="15.75">
      <c r="A120" s="185" t="s">
        <v>9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15.75">
      <c r="A121" s="4"/>
    </row>
    <row r="122" spans="1:9" ht="15.75">
      <c r="B122" s="95" t="s">
        <v>10</v>
      </c>
      <c r="C122" s="186" t="s">
        <v>303</v>
      </c>
      <c r="D122" s="186"/>
      <c r="E122" s="186"/>
      <c r="F122" s="63"/>
      <c r="I122" s="93"/>
    </row>
    <row r="123" spans="1:9">
      <c r="A123" s="94"/>
      <c r="C123" s="182" t="s">
        <v>11</v>
      </c>
      <c r="D123" s="182"/>
      <c r="E123" s="182"/>
      <c r="F123" s="24"/>
      <c r="I123" s="92" t="s">
        <v>12</v>
      </c>
    </row>
    <row r="124" spans="1:9" ht="15.75">
      <c r="A124" s="25"/>
      <c r="C124" s="12"/>
      <c r="D124" s="12"/>
      <c r="G124" s="12"/>
      <c r="H124" s="12"/>
    </row>
    <row r="125" spans="1:9" ht="15.75">
      <c r="B125" s="95" t="s">
        <v>13</v>
      </c>
      <c r="C125" s="187"/>
      <c r="D125" s="187"/>
      <c r="E125" s="187"/>
      <c r="F125" s="64"/>
      <c r="I125" s="93"/>
    </row>
    <row r="126" spans="1:9">
      <c r="A126" s="94"/>
      <c r="C126" s="162" t="s">
        <v>11</v>
      </c>
      <c r="D126" s="162"/>
      <c r="E126" s="162"/>
      <c r="F126" s="94"/>
      <c r="I126" s="92" t="s">
        <v>12</v>
      </c>
    </row>
    <row r="127" spans="1:9" ht="15.75">
      <c r="A127" s="4" t="s">
        <v>14</v>
      </c>
    </row>
    <row r="128" spans="1:9">
      <c r="A128" s="188" t="s">
        <v>15</v>
      </c>
      <c r="B128" s="188"/>
      <c r="C128" s="188"/>
      <c r="D128" s="188"/>
      <c r="E128" s="188"/>
      <c r="F128" s="188"/>
      <c r="G128" s="188"/>
      <c r="H128" s="188"/>
      <c r="I128" s="188"/>
    </row>
    <row r="129" spans="1:9" ht="45" customHeight="1">
      <c r="A129" s="184" t="s">
        <v>16</v>
      </c>
      <c r="B129" s="184"/>
      <c r="C129" s="184"/>
      <c r="D129" s="184"/>
      <c r="E129" s="184"/>
      <c r="F129" s="184"/>
      <c r="G129" s="184"/>
      <c r="H129" s="184"/>
      <c r="I129" s="184"/>
    </row>
    <row r="130" spans="1:9" ht="30" customHeight="1">
      <c r="A130" s="184" t="s">
        <v>17</v>
      </c>
      <c r="B130" s="184"/>
      <c r="C130" s="184"/>
      <c r="D130" s="184"/>
      <c r="E130" s="184"/>
      <c r="F130" s="184"/>
      <c r="G130" s="184"/>
      <c r="H130" s="184"/>
      <c r="I130" s="184"/>
    </row>
    <row r="131" spans="1:9" ht="30" customHeight="1">
      <c r="A131" s="184" t="s">
        <v>21</v>
      </c>
      <c r="B131" s="184"/>
      <c r="C131" s="184"/>
      <c r="D131" s="184"/>
      <c r="E131" s="184"/>
      <c r="F131" s="184"/>
      <c r="G131" s="184"/>
      <c r="H131" s="184"/>
      <c r="I131" s="184"/>
    </row>
    <row r="132" spans="1:9" ht="15.75">
      <c r="A132" s="184" t="s">
        <v>20</v>
      </c>
      <c r="B132" s="184"/>
      <c r="C132" s="184"/>
      <c r="D132" s="184"/>
      <c r="E132" s="184"/>
      <c r="F132" s="184"/>
      <c r="G132" s="184"/>
      <c r="H132" s="184"/>
      <c r="I132" s="184"/>
    </row>
  </sheetData>
  <autoFilter ref="I12:I63"/>
  <mergeCells count="29">
    <mergeCell ref="A128:I128"/>
    <mergeCell ref="A129:I129"/>
    <mergeCell ref="A130:I130"/>
    <mergeCell ref="A131:I131"/>
    <mergeCell ref="A132:I132"/>
    <mergeCell ref="R68:U68"/>
    <mergeCell ref="C126:E126"/>
    <mergeCell ref="A90:I90"/>
    <mergeCell ref="A112:I112"/>
    <mergeCell ref="B113:G113"/>
    <mergeCell ref="B114:G114"/>
    <mergeCell ref="A116:I116"/>
    <mergeCell ref="A117:I117"/>
    <mergeCell ref="A118:I118"/>
    <mergeCell ref="A120:I120"/>
    <mergeCell ref="C122:E122"/>
    <mergeCell ref="C123:E123"/>
    <mergeCell ref="C125:E125"/>
    <mergeCell ref="A86:I86"/>
    <mergeCell ref="A3:I3"/>
    <mergeCell ref="A4:I4"/>
    <mergeCell ref="A5:I5"/>
    <mergeCell ref="A8:I8"/>
    <mergeCell ref="A10:I10"/>
    <mergeCell ref="A14:I14"/>
    <mergeCell ref="A15:I15"/>
    <mergeCell ref="A29:I29"/>
    <mergeCell ref="A48:I48"/>
    <mergeCell ref="A59:I5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7"/>
  <sheetViews>
    <sheetView tabSelected="1" topLeftCell="A65" workbookViewId="0">
      <selection activeCell="G100" sqref="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319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97"/>
      <c r="C6" s="97"/>
      <c r="D6" s="97"/>
      <c r="E6" s="97"/>
      <c r="F6" s="97"/>
      <c r="G6" s="97"/>
      <c r="H6" s="97"/>
      <c r="I6" s="30">
        <v>44196</v>
      </c>
      <c r="J6" s="2"/>
      <c r="K6" s="2"/>
      <c r="L6" s="2"/>
      <c r="M6" s="2"/>
    </row>
    <row r="7" spans="1:13" ht="15.75" customHeight="1">
      <c r="B7" s="95"/>
      <c r="C7" s="95"/>
      <c r="D7" s="9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295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213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" hidden="1" customHeight="1">
      <c r="A28" s="29">
        <v>5</v>
      </c>
      <c r="B28" s="75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73" t="s">
        <v>85</v>
      </c>
      <c r="B29" s="173"/>
      <c r="C29" s="173"/>
      <c r="D29" s="173"/>
      <c r="E29" s="173"/>
      <c r="F29" s="173"/>
      <c r="G29" s="173"/>
      <c r="H29" s="173"/>
      <c r="I29" s="173"/>
      <c r="J29" s="22"/>
      <c r="K29" s="8"/>
      <c r="L29" s="8"/>
      <c r="M29" s="8"/>
    </row>
    <row r="30" spans="1:13" ht="15" hidden="1" customHeight="1">
      <c r="A30" s="29"/>
      <c r="B30" s="87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113</v>
      </c>
      <c r="C31" s="68" t="s">
        <v>114</v>
      </c>
      <c r="D31" s="67" t="s">
        <v>115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169</v>
      </c>
      <c r="C32" s="68" t="s">
        <v>114</v>
      </c>
      <c r="D32" s="67" t="s">
        <v>116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114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147</v>
      </c>
      <c r="C34" s="68" t="s">
        <v>41</v>
      </c>
      <c r="D34" s="67" t="s">
        <v>64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117</v>
      </c>
      <c r="C35" s="68" t="s">
        <v>30</v>
      </c>
      <c r="D35" s="67" t="s">
        <v>64</v>
      </c>
      <c r="E35" s="74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87" t="s">
        <v>5</v>
      </c>
      <c r="C38" s="68"/>
      <c r="D38" s="67"/>
      <c r="E38" s="69"/>
      <c r="F38" s="70"/>
      <c r="G38" s="70"/>
      <c r="H38" s="71" t="s">
        <v>132</v>
      </c>
      <c r="I38" s="13"/>
      <c r="J38" s="23"/>
    </row>
    <row r="39" spans="1:14" ht="15" customHeight="1">
      <c r="A39" s="29">
        <v>7</v>
      </c>
      <c r="B39" s="150" t="s">
        <v>26</v>
      </c>
      <c r="C39" s="121" t="s">
        <v>32</v>
      </c>
      <c r="D39" s="120" t="s">
        <v>320</v>
      </c>
      <c r="E39" s="122"/>
      <c r="F39" s="123">
        <v>6</v>
      </c>
      <c r="G39" s="123">
        <v>1855</v>
      </c>
      <c r="H39" s="71">
        <f t="shared" ref="H39:H46" si="3">SUM(F39*G39/1000)</f>
        <v>11.13</v>
      </c>
      <c r="I39" s="13">
        <f>G39*0.8</f>
        <v>1484</v>
      </c>
      <c r="J39" s="23"/>
    </row>
    <row r="40" spans="1:14" ht="15" customHeight="1">
      <c r="A40" s="29">
        <v>8</v>
      </c>
      <c r="B40" s="150" t="s">
        <v>225</v>
      </c>
      <c r="C40" s="151" t="s">
        <v>29</v>
      </c>
      <c r="D40" s="150" t="s">
        <v>210</v>
      </c>
      <c r="E40" s="153">
        <v>68</v>
      </c>
      <c r="F40" s="153">
        <f>SUM(E40*30/1000)</f>
        <v>2.04</v>
      </c>
      <c r="G40" s="153">
        <v>3014.36</v>
      </c>
      <c r="H40" s="71">
        <f t="shared" si="3"/>
        <v>6.1492944000000005</v>
      </c>
      <c r="I40" s="13">
        <f>F40/6*G40</f>
        <v>1024.8824000000002</v>
      </c>
      <c r="J40" s="23"/>
      <c r="L40" s="19"/>
      <c r="M40" s="20"/>
      <c r="N40" s="21"/>
    </row>
    <row r="41" spans="1:14" ht="15" hidden="1" customHeight="1">
      <c r="A41" s="29">
        <v>7</v>
      </c>
      <c r="B41" s="120" t="s">
        <v>94</v>
      </c>
      <c r="C41" s="121" t="s">
        <v>119</v>
      </c>
      <c r="D41" s="120" t="s">
        <v>149</v>
      </c>
      <c r="E41" s="122"/>
      <c r="F41" s="153">
        <v>39</v>
      </c>
      <c r="G41" s="123">
        <v>330</v>
      </c>
      <c r="H41" s="71">
        <f>SUM(F41*G41/1000)</f>
        <v>12.87</v>
      </c>
      <c r="I41" s="13">
        <f>F41/6*G41</f>
        <v>2145</v>
      </c>
      <c r="J41" s="23"/>
      <c r="L41" s="19"/>
      <c r="M41" s="20"/>
      <c r="N41" s="21"/>
    </row>
    <row r="42" spans="1:14" ht="18" customHeight="1">
      <c r="A42" s="29">
        <v>9</v>
      </c>
      <c r="B42" s="120" t="s">
        <v>68</v>
      </c>
      <c r="C42" s="121" t="s">
        <v>29</v>
      </c>
      <c r="D42" s="120" t="s">
        <v>215</v>
      </c>
      <c r="E42" s="123">
        <v>68</v>
      </c>
      <c r="F42" s="153">
        <f>SUM(E42*72/1000)</f>
        <v>4.8959999999999999</v>
      </c>
      <c r="G42" s="123">
        <v>502.82</v>
      </c>
      <c r="H42" s="71">
        <f>SUM(F42*G42/1000)</f>
        <v>2.4618067200000002</v>
      </c>
      <c r="I42" s="13">
        <f>G42*F42/6</f>
        <v>410.30112000000003</v>
      </c>
      <c r="J42" s="23"/>
      <c r="L42" s="19"/>
      <c r="M42" s="20"/>
      <c r="N42" s="21"/>
    </row>
    <row r="43" spans="1:14" ht="15" customHeight="1">
      <c r="A43" s="29">
        <v>10</v>
      </c>
      <c r="B43" s="120" t="s">
        <v>83</v>
      </c>
      <c r="C43" s="121" t="s">
        <v>114</v>
      </c>
      <c r="D43" s="120" t="s">
        <v>211</v>
      </c>
      <c r="E43" s="123">
        <v>68</v>
      </c>
      <c r="F43" s="153">
        <f>SUM(E43*24/1000)</f>
        <v>1.6319999999999999</v>
      </c>
      <c r="G43" s="123">
        <v>8319.2999999999993</v>
      </c>
      <c r="H43" s="71">
        <f t="shared" si="3"/>
        <v>13.577097599999997</v>
      </c>
      <c r="I43" s="13">
        <f>F43/6*G43</f>
        <v>2262.8495999999996</v>
      </c>
      <c r="J43" s="23"/>
      <c r="L43" s="19"/>
      <c r="M43" s="20"/>
      <c r="N43" s="21"/>
    </row>
    <row r="44" spans="1:14" ht="21.75" hidden="1" customHeight="1">
      <c r="A44" s="29">
        <v>11</v>
      </c>
      <c r="B44" s="120" t="s">
        <v>121</v>
      </c>
      <c r="C44" s="121" t="s">
        <v>114</v>
      </c>
      <c r="D44" s="120" t="s">
        <v>212</v>
      </c>
      <c r="E44" s="123">
        <v>68</v>
      </c>
      <c r="F44" s="153">
        <f>SUM(E44*45/1000)</f>
        <v>3.06</v>
      </c>
      <c r="G44" s="123">
        <v>614.55999999999995</v>
      </c>
      <c r="H44" s="71">
        <f t="shared" si="3"/>
        <v>1.8805536</v>
      </c>
      <c r="I44" s="13">
        <f>F44/7.5*G44</f>
        <v>250.74047999999999</v>
      </c>
      <c r="J44" s="23"/>
      <c r="L44" s="19"/>
      <c r="M44" s="20"/>
      <c r="N44" s="21"/>
    </row>
    <row r="45" spans="1:14" ht="15" hidden="1" customHeight="1">
      <c r="A45" s="29">
        <v>12</v>
      </c>
      <c r="B45" s="150" t="s">
        <v>70</v>
      </c>
      <c r="C45" s="151" t="s">
        <v>33</v>
      </c>
      <c r="D45" s="150"/>
      <c r="E45" s="152"/>
      <c r="F45" s="153">
        <v>0.9</v>
      </c>
      <c r="G45" s="153">
        <v>800</v>
      </c>
      <c r="H45" s="71">
        <f t="shared" si="3"/>
        <v>0.72</v>
      </c>
      <c r="I45" s="13">
        <f>F45/7.5*G45</f>
        <v>96.000000000000014</v>
      </c>
      <c r="J45" s="23"/>
      <c r="L45" s="19"/>
      <c r="M45" s="20"/>
      <c r="N45" s="21"/>
    </row>
    <row r="46" spans="1:14" ht="34.5" customHeight="1">
      <c r="A46" s="144">
        <v>11</v>
      </c>
      <c r="B46" s="150" t="s">
        <v>224</v>
      </c>
      <c r="C46" s="151" t="s">
        <v>114</v>
      </c>
      <c r="D46" s="150" t="s">
        <v>220</v>
      </c>
      <c r="E46" s="152">
        <v>3</v>
      </c>
      <c r="F46" s="153">
        <f>E46*12/1000</f>
        <v>3.5999999999999997E-2</v>
      </c>
      <c r="G46" s="153">
        <v>19757.060000000001</v>
      </c>
      <c r="H46" s="71">
        <f t="shared" si="3"/>
        <v>0.71125415999999997</v>
      </c>
      <c r="I46" s="13">
        <f>G46*F46/6</f>
        <v>118.54235999999999</v>
      </c>
      <c r="J46" s="23"/>
      <c r="L46" s="19"/>
      <c r="M46" s="20"/>
      <c r="N46" s="21"/>
    </row>
    <row r="47" spans="1:14" ht="15" customHeight="1">
      <c r="A47" s="29"/>
      <c r="B47" s="14"/>
      <c r="C47" s="16"/>
      <c r="D47" s="14"/>
      <c r="E47" s="18"/>
      <c r="F47" s="13"/>
      <c r="G47" s="13"/>
      <c r="H47" s="13"/>
      <c r="I47" s="13"/>
      <c r="J47" s="23"/>
      <c r="L47" s="19"/>
      <c r="M47" s="20"/>
      <c r="N47" s="21"/>
    </row>
    <row r="48" spans="1:14" ht="15.75" customHeight="1">
      <c r="A48" s="174" t="s">
        <v>143</v>
      </c>
      <c r="B48" s="175"/>
      <c r="C48" s="175"/>
      <c r="D48" s="175"/>
      <c r="E48" s="175"/>
      <c r="F48" s="175"/>
      <c r="G48" s="175"/>
      <c r="H48" s="175"/>
      <c r="I48" s="176"/>
      <c r="J48" s="23"/>
      <c r="L48" s="19"/>
      <c r="M48" s="20"/>
      <c r="N48" s="21"/>
    </row>
    <row r="49" spans="1:14" ht="15" hidden="1" customHeight="1">
      <c r="A49" s="29"/>
      <c r="B49" s="67" t="s">
        <v>139</v>
      </c>
      <c r="C49" s="68" t="s">
        <v>114</v>
      </c>
      <c r="D49" s="67" t="s">
        <v>43</v>
      </c>
      <c r="E49" s="69">
        <v>1061.3</v>
      </c>
      <c r="F49" s="70">
        <f>SUM(E49*2/1000)</f>
        <v>2.1225999999999998</v>
      </c>
      <c r="G49" s="13">
        <v>809.74</v>
      </c>
      <c r="H49" s="71">
        <f t="shared" ref="H49:H58" si="4">SUM(F49*G49/1000)</f>
        <v>1.7187541239999997</v>
      </c>
      <c r="I49" s="13">
        <v>0</v>
      </c>
      <c r="J49" s="23"/>
      <c r="L49" s="19"/>
      <c r="M49" s="20"/>
      <c r="N49" s="21"/>
    </row>
    <row r="50" spans="1:14" ht="15" hidden="1" customHeight="1">
      <c r="A50" s="29"/>
      <c r="B50" s="67" t="s">
        <v>36</v>
      </c>
      <c r="C50" s="68" t="s">
        <v>114</v>
      </c>
      <c r="D50" s="67" t="s">
        <v>43</v>
      </c>
      <c r="E50" s="69">
        <v>52</v>
      </c>
      <c r="F50" s="70">
        <f>SUM(E50*2/1000)</f>
        <v>0.104</v>
      </c>
      <c r="G50" s="13">
        <v>579.48</v>
      </c>
      <c r="H50" s="71">
        <f t="shared" si="4"/>
        <v>6.0265920000000001E-2</v>
      </c>
      <c r="I50" s="13">
        <v>0</v>
      </c>
      <c r="J50" s="23"/>
      <c r="L50" s="19"/>
      <c r="M50" s="20"/>
      <c r="N50" s="21"/>
    </row>
    <row r="51" spans="1:14" ht="15" hidden="1" customHeight="1">
      <c r="A51" s="29"/>
      <c r="B51" s="67" t="s">
        <v>37</v>
      </c>
      <c r="C51" s="68" t="s">
        <v>114</v>
      </c>
      <c r="D51" s="67" t="s">
        <v>43</v>
      </c>
      <c r="E51" s="69">
        <v>1238.8</v>
      </c>
      <c r="F51" s="70">
        <f>SUM(E51*2/1000)</f>
        <v>2.4775999999999998</v>
      </c>
      <c r="G51" s="13">
        <v>579.48</v>
      </c>
      <c r="H51" s="71">
        <f t="shared" si="4"/>
        <v>1.4357196480000001</v>
      </c>
      <c r="I51" s="13">
        <v>0</v>
      </c>
      <c r="J51" s="23"/>
      <c r="L51" s="19"/>
      <c r="M51" s="20"/>
      <c r="N51" s="21"/>
    </row>
    <row r="52" spans="1:14" ht="15" hidden="1" customHeight="1">
      <c r="A52" s="29"/>
      <c r="B52" s="67" t="s">
        <v>38</v>
      </c>
      <c r="C52" s="68" t="s">
        <v>114</v>
      </c>
      <c r="D52" s="67" t="s">
        <v>43</v>
      </c>
      <c r="E52" s="69">
        <v>1794.01</v>
      </c>
      <c r="F52" s="70">
        <f>SUM(E52*2/1000)</f>
        <v>3.5880199999999998</v>
      </c>
      <c r="G52" s="13">
        <v>606.77</v>
      </c>
      <c r="H52" s="71">
        <f t="shared" si="4"/>
        <v>2.1771028954</v>
      </c>
      <c r="I52" s="13">
        <v>0</v>
      </c>
      <c r="J52" s="23"/>
      <c r="L52" s="19"/>
      <c r="M52" s="20"/>
      <c r="N52" s="21"/>
    </row>
    <row r="53" spans="1:14" ht="15" hidden="1" customHeight="1">
      <c r="A53" s="29"/>
      <c r="B53" s="67" t="s">
        <v>34</v>
      </c>
      <c r="C53" s="68" t="s">
        <v>35</v>
      </c>
      <c r="D53" s="67" t="s">
        <v>150</v>
      </c>
      <c r="E53" s="69">
        <v>85.78</v>
      </c>
      <c r="F53" s="70">
        <f>SUM(E53*2/100)</f>
        <v>1.7156</v>
      </c>
      <c r="G53" s="13">
        <v>72.81</v>
      </c>
      <c r="H53" s="71">
        <f t="shared" si="4"/>
        <v>0.124912836</v>
      </c>
      <c r="I53" s="13">
        <v>0</v>
      </c>
      <c r="J53" s="23"/>
      <c r="L53" s="19"/>
      <c r="M53" s="20"/>
      <c r="N53" s="21"/>
    </row>
    <row r="54" spans="1:14" ht="15" customHeight="1">
      <c r="A54" s="29">
        <v>12</v>
      </c>
      <c r="B54" s="67" t="s">
        <v>57</v>
      </c>
      <c r="C54" s="68" t="s">
        <v>114</v>
      </c>
      <c r="D54" s="67" t="s">
        <v>213</v>
      </c>
      <c r="E54" s="69">
        <v>884</v>
      </c>
      <c r="F54" s="70">
        <f>SUM(E54*5/1000)</f>
        <v>4.42</v>
      </c>
      <c r="G54" s="112">
        <v>1739.68</v>
      </c>
      <c r="H54" s="71">
        <f t="shared" si="4"/>
        <v>7.6893856000000005</v>
      </c>
      <c r="I54" s="13">
        <f>F54/5*G54</f>
        <v>1537.8771200000001</v>
      </c>
      <c r="J54" s="23"/>
      <c r="L54" s="19"/>
      <c r="M54" s="20"/>
      <c r="N54" s="21"/>
    </row>
    <row r="55" spans="1:14" ht="31.5" hidden="1" customHeight="1">
      <c r="A55" s="29">
        <v>10</v>
      </c>
      <c r="B55" s="67" t="s">
        <v>122</v>
      </c>
      <c r="C55" s="68" t="s">
        <v>114</v>
      </c>
      <c r="D55" s="67" t="s">
        <v>43</v>
      </c>
      <c r="E55" s="69">
        <v>884</v>
      </c>
      <c r="F55" s="70">
        <f>SUM(E55*2/1000)</f>
        <v>1.768</v>
      </c>
      <c r="G55" s="13">
        <v>1213.55</v>
      </c>
      <c r="H55" s="71">
        <f t="shared" si="4"/>
        <v>2.1455563999999998</v>
      </c>
      <c r="I55" s="13">
        <f>F55/2*G55</f>
        <v>1072.7782</v>
      </c>
      <c r="J55" s="23"/>
      <c r="L55" s="19"/>
      <c r="M55" s="20"/>
      <c r="N55" s="21"/>
    </row>
    <row r="56" spans="1:14" ht="31.5" hidden="1" customHeight="1">
      <c r="A56" s="29">
        <v>11</v>
      </c>
      <c r="B56" s="67" t="s">
        <v>123</v>
      </c>
      <c r="C56" s="68" t="s">
        <v>39</v>
      </c>
      <c r="D56" s="67" t="s">
        <v>43</v>
      </c>
      <c r="E56" s="69">
        <v>20</v>
      </c>
      <c r="F56" s="70">
        <f>SUM(E56*2/100)</f>
        <v>0.4</v>
      </c>
      <c r="G56" s="13">
        <v>2730.49</v>
      </c>
      <c r="H56" s="71">
        <f t="shared" si="4"/>
        <v>1.0921959999999999</v>
      </c>
      <c r="I56" s="13">
        <f t="shared" ref="I56:I57" si="5">F56/2*G56</f>
        <v>546.09799999999996</v>
      </c>
      <c r="J56" s="23"/>
      <c r="L56" s="19"/>
      <c r="M56" s="20"/>
      <c r="N56" s="21"/>
    </row>
    <row r="57" spans="1:14" ht="15" hidden="1" customHeight="1">
      <c r="A57" s="29">
        <v>12</v>
      </c>
      <c r="B57" s="67" t="s">
        <v>40</v>
      </c>
      <c r="C57" s="68" t="s">
        <v>41</v>
      </c>
      <c r="D57" s="67" t="s">
        <v>43</v>
      </c>
      <c r="E57" s="69">
        <v>1</v>
      </c>
      <c r="F57" s="70">
        <v>0.02</v>
      </c>
      <c r="G57" s="13">
        <v>5652.13</v>
      </c>
      <c r="H57" s="71">
        <f t="shared" si="4"/>
        <v>0.11304260000000001</v>
      </c>
      <c r="I57" s="13">
        <f t="shared" si="5"/>
        <v>56.521300000000004</v>
      </c>
      <c r="J57" s="23"/>
      <c r="L57" s="19"/>
      <c r="M57" s="20"/>
      <c r="N57" s="21"/>
    </row>
    <row r="58" spans="1:14" ht="15" customHeight="1">
      <c r="A58" s="29">
        <v>13</v>
      </c>
      <c r="B58" s="67" t="s">
        <v>42</v>
      </c>
      <c r="C58" s="68" t="s">
        <v>30</v>
      </c>
      <c r="D58" s="140">
        <v>44190</v>
      </c>
      <c r="E58" s="69">
        <v>136</v>
      </c>
      <c r="F58" s="70">
        <f>SUM(E58)*3</f>
        <v>408</v>
      </c>
      <c r="G58" s="161">
        <v>87.32</v>
      </c>
      <c r="H58" s="71">
        <f t="shared" si="4"/>
        <v>35.626559999999998</v>
      </c>
      <c r="I58" s="13">
        <f>E58*G58</f>
        <v>11875.519999999999</v>
      </c>
      <c r="J58" s="23"/>
      <c r="L58" s="19"/>
      <c r="M58" s="20"/>
      <c r="N58" s="21"/>
    </row>
    <row r="59" spans="1:14" ht="15.75" customHeight="1">
      <c r="A59" s="174" t="s">
        <v>144</v>
      </c>
      <c r="B59" s="175"/>
      <c r="C59" s="175"/>
      <c r="D59" s="175"/>
      <c r="E59" s="175"/>
      <c r="F59" s="175"/>
      <c r="G59" s="175"/>
      <c r="H59" s="175"/>
      <c r="I59" s="176"/>
      <c r="J59" s="23"/>
      <c r="L59" s="19"/>
      <c r="M59" s="20"/>
      <c r="N59" s="21"/>
    </row>
    <row r="60" spans="1:14" ht="15" hidden="1" customHeight="1">
      <c r="A60" s="29"/>
      <c r="B60" s="87" t="s">
        <v>44</v>
      </c>
      <c r="C60" s="68"/>
      <c r="D60" s="67"/>
      <c r="E60" s="69"/>
      <c r="F60" s="70"/>
      <c r="G60" s="70"/>
      <c r="H60" s="71"/>
      <c r="I60" s="13"/>
      <c r="J60" s="23"/>
      <c r="L60" s="19"/>
      <c r="M60" s="20"/>
      <c r="N60" s="21"/>
    </row>
    <row r="61" spans="1:14" ht="31.5" hidden="1" customHeight="1">
      <c r="A61" s="29">
        <v>13</v>
      </c>
      <c r="B61" s="67" t="s">
        <v>125</v>
      </c>
      <c r="C61" s="68" t="s">
        <v>99</v>
      </c>
      <c r="D61" s="67" t="s">
        <v>72</v>
      </c>
      <c r="E61" s="69">
        <v>106.13</v>
      </c>
      <c r="F61" s="70">
        <f>E61*6/100</f>
        <v>6.3677999999999999</v>
      </c>
      <c r="G61" s="76">
        <v>1547.28</v>
      </c>
      <c r="H61" s="71">
        <f>F61*G61/1000</f>
        <v>9.8527695839999989</v>
      </c>
      <c r="I61" s="13">
        <f>F61/6*G61</f>
        <v>1642.1282639999999</v>
      </c>
      <c r="J61" s="23"/>
      <c r="L61" s="19"/>
    </row>
    <row r="62" spans="1:14" ht="15" customHeight="1">
      <c r="A62" s="29"/>
      <c r="B62" s="88" t="s">
        <v>45</v>
      </c>
      <c r="C62" s="77"/>
      <c r="D62" s="78"/>
      <c r="E62" s="79"/>
      <c r="F62" s="80"/>
      <c r="G62" s="81"/>
      <c r="H62" s="89"/>
      <c r="I62" s="13"/>
    </row>
    <row r="63" spans="1:14" ht="15" hidden="1" customHeight="1">
      <c r="A63" s="29"/>
      <c r="B63" s="78" t="s">
        <v>46</v>
      </c>
      <c r="C63" s="77" t="s">
        <v>54</v>
      </c>
      <c r="D63" s="78" t="s">
        <v>55</v>
      </c>
      <c r="E63" s="79">
        <v>884</v>
      </c>
      <c r="F63" s="80">
        <f>E63/100</f>
        <v>8.84</v>
      </c>
      <c r="G63" s="70">
        <v>793.61</v>
      </c>
      <c r="H63" s="89">
        <f>G63*F63/1000</f>
        <v>7.0155123999999995</v>
      </c>
      <c r="I63" s="13">
        <v>0</v>
      </c>
    </row>
    <row r="64" spans="1:14" ht="15" customHeight="1">
      <c r="A64" s="29">
        <v>14</v>
      </c>
      <c r="B64" s="78" t="s">
        <v>95</v>
      </c>
      <c r="C64" s="77" t="s">
        <v>25</v>
      </c>
      <c r="D64" s="78"/>
      <c r="E64" s="79">
        <v>176.8</v>
      </c>
      <c r="F64" s="80">
        <v>1200</v>
      </c>
      <c r="G64" s="70">
        <v>1.4</v>
      </c>
      <c r="H64" s="89">
        <f>G64*F64</f>
        <v>1680</v>
      </c>
      <c r="I64" s="13">
        <f>F64/12*G64</f>
        <v>140</v>
      </c>
    </row>
    <row r="65" spans="1:22" ht="15" customHeight="1">
      <c r="A65" s="29"/>
      <c r="B65" s="88" t="s">
        <v>47</v>
      </c>
      <c r="C65" s="77"/>
      <c r="D65" s="78"/>
      <c r="E65" s="79"/>
      <c r="F65" s="80"/>
      <c r="G65" s="70"/>
      <c r="H65" s="89" t="s">
        <v>132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customHeight="1">
      <c r="A66" s="29">
        <v>15</v>
      </c>
      <c r="B66" s="14" t="s">
        <v>48</v>
      </c>
      <c r="C66" s="16" t="s">
        <v>124</v>
      </c>
      <c r="D66" s="14" t="s">
        <v>213</v>
      </c>
      <c r="E66" s="18">
        <v>20</v>
      </c>
      <c r="F66" s="70">
        <v>20</v>
      </c>
      <c r="G66" s="112">
        <v>318.82</v>
      </c>
      <c r="H66" s="90">
        <f t="shared" ref="H66:H83" si="6">SUM(F66*G66/1000)</f>
        <v>6.3763999999999994</v>
      </c>
      <c r="I66" s="13">
        <f>G66</f>
        <v>318.82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" hidden="1" customHeight="1">
      <c r="A67" s="29">
        <v>17</v>
      </c>
      <c r="B67" s="14" t="s">
        <v>49</v>
      </c>
      <c r="C67" s="16" t="s">
        <v>124</v>
      </c>
      <c r="D67" s="14" t="s">
        <v>67</v>
      </c>
      <c r="E67" s="14" t="s">
        <v>67</v>
      </c>
      <c r="F67" s="14" t="s">
        <v>67</v>
      </c>
      <c r="G67" s="13">
        <v>76.25</v>
      </c>
      <c r="H67" s="82" t="e">
        <f t="shared" si="6"/>
        <v>#VALUE!</v>
      </c>
      <c r="I67" s="13">
        <f>G67</f>
        <v>76.25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" hidden="1" customHeight="1">
      <c r="A68" s="29"/>
      <c r="B68" s="14" t="s">
        <v>50</v>
      </c>
      <c r="C68" s="16" t="s">
        <v>126</v>
      </c>
      <c r="D68" s="14" t="s">
        <v>55</v>
      </c>
      <c r="E68" s="69">
        <v>12647</v>
      </c>
      <c r="F68" s="13">
        <f>SUM(E68/100)</f>
        <v>126.47</v>
      </c>
      <c r="G68" s="13">
        <v>212.15</v>
      </c>
      <c r="H68" s="82">
        <f t="shared" si="6"/>
        <v>26.830610499999999</v>
      </c>
      <c r="I68" s="13">
        <f>F68*G68</f>
        <v>26830.610499999999</v>
      </c>
      <c r="J68" s="5"/>
      <c r="K68" s="5"/>
      <c r="L68" s="5"/>
      <c r="M68" s="5"/>
      <c r="N68" s="5"/>
      <c r="O68" s="5"/>
      <c r="P68" s="5"/>
      <c r="Q68" s="5"/>
      <c r="R68" s="162"/>
      <c r="S68" s="162"/>
      <c r="T68" s="162"/>
      <c r="U68" s="162"/>
    </row>
    <row r="69" spans="1:22" ht="15" hidden="1" customHeight="1">
      <c r="A69" s="29"/>
      <c r="B69" s="14" t="s">
        <v>51</v>
      </c>
      <c r="C69" s="16" t="s">
        <v>127</v>
      </c>
      <c r="D69" s="14"/>
      <c r="E69" s="69">
        <v>12647</v>
      </c>
      <c r="F69" s="13">
        <f>SUM(E69/1000)</f>
        <v>12.647</v>
      </c>
      <c r="G69" s="13">
        <v>165.21</v>
      </c>
      <c r="H69" s="82">
        <f t="shared" si="6"/>
        <v>2.08941087</v>
      </c>
      <c r="I69" s="13">
        <f t="shared" ref="I69:I73" si="7">F69*G69</f>
        <v>2089.4108700000002</v>
      </c>
    </row>
    <row r="70" spans="1:22" ht="15" hidden="1" customHeight="1">
      <c r="A70" s="29"/>
      <c r="B70" s="14" t="s">
        <v>52</v>
      </c>
      <c r="C70" s="16" t="s">
        <v>78</v>
      </c>
      <c r="D70" s="14" t="s">
        <v>55</v>
      </c>
      <c r="E70" s="69">
        <v>1900</v>
      </c>
      <c r="F70" s="13">
        <f>SUM(E70/100)</f>
        <v>19</v>
      </c>
      <c r="G70" s="13">
        <v>2074.63</v>
      </c>
      <c r="H70" s="82">
        <f t="shared" si="6"/>
        <v>39.417970000000004</v>
      </c>
      <c r="I70" s="13">
        <f t="shared" si="7"/>
        <v>39417.97</v>
      </c>
    </row>
    <row r="71" spans="1:22" ht="15" hidden="1" customHeight="1">
      <c r="A71" s="29"/>
      <c r="B71" s="83" t="s">
        <v>128</v>
      </c>
      <c r="C71" s="16" t="s">
        <v>33</v>
      </c>
      <c r="D71" s="14"/>
      <c r="E71" s="69">
        <v>11.3</v>
      </c>
      <c r="F71" s="13">
        <f>SUM(E71)</f>
        <v>11.3</v>
      </c>
      <c r="G71" s="13">
        <v>42.67</v>
      </c>
      <c r="H71" s="82">
        <f t="shared" si="6"/>
        <v>0.48217100000000007</v>
      </c>
      <c r="I71" s="13">
        <f t="shared" si="7"/>
        <v>482.17100000000005</v>
      </c>
    </row>
    <row r="72" spans="1:22" ht="15" hidden="1" customHeight="1">
      <c r="A72" s="29"/>
      <c r="B72" s="83" t="s">
        <v>129</v>
      </c>
      <c r="C72" s="16" t="s">
        <v>33</v>
      </c>
      <c r="D72" s="14"/>
      <c r="E72" s="69">
        <v>11.3</v>
      </c>
      <c r="F72" s="13">
        <f>SUM(E72)</f>
        <v>11.3</v>
      </c>
      <c r="G72" s="13">
        <v>39.81</v>
      </c>
      <c r="H72" s="82">
        <f t="shared" si="6"/>
        <v>0.44985300000000006</v>
      </c>
      <c r="I72" s="13">
        <f t="shared" si="7"/>
        <v>449.85300000000007</v>
      </c>
    </row>
    <row r="73" spans="1:22" ht="15" hidden="1" customHeight="1">
      <c r="A73" s="29"/>
      <c r="B73" s="14" t="s">
        <v>58</v>
      </c>
      <c r="C73" s="16" t="s">
        <v>59</v>
      </c>
      <c r="D73" s="14" t="s">
        <v>55</v>
      </c>
      <c r="E73" s="18">
        <v>6</v>
      </c>
      <c r="F73" s="70">
        <f>SUM(E73)</f>
        <v>6</v>
      </c>
      <c r="G73" s="13">
        <v>49.88</v>
      </c>
      <c r="H73" s="82">
        <f t="shared" si="6"/>
        <v>0.29928000000000005</v>
      </c>
      <c r="I73" s="13">
        <f t="shared" si="7"/>
        <v>299.28000000000003</v>
      </c>
    </row>
    <row r="74" spans="1:22" ht="15" customHeight="1">
      <c r="A74" s="29"/>
      <c r="B74" s="31" t="s">
        <v>202</v>
      </c>
      <c r="C74" s="16"/>
      <c r="D74" s="14"/>
      <c r="E74" s="18"/>
      <c r="F74" s="13"/>
      <c r="G74" s="116"/>
      <c r="H74" s="116"/>
      <c r="I74" s="117"/>
    </row>
    <row r="75" spans="1:22" ht="31.5" customHeight="1">
      <c r="A75" s="29">
        <v>16</v>
      </c>
      <c r="B75" s="102" t="s">
        <v>200</v>
      </c>
      <c r="C75" s="133" t="s">
        <v>201</v>
      </c>
      <c r="D75" s="134"/>
      <c r="E75" s="17">
        <v>3031.3</v>
      </c>
      <c r="F75" s="35">
        <f>E75*12</f>
        <v>36375.600000000006</v>
      </c>
      <c r="G75" s="35">
        <v>2.4900000000000002</v>
      </c>
      <c r="H75" s="116"/>
      <c r="I75" s="117">
        <f>G75*F75/12</f>
        <v>7547.9370000000017</v>
      </c>
    </row>
    <row r="76" spans="1:22" ht="15" hidden="1" customHeight="1">
      <c r="A76" s="29"/>
      <c r="B76" s="98" t="s">
        <v>73</v>
      </c>
      <c r="C76" s="16"/>
      <c r="D76" s="14"/>
      <c r="E76" s="18"/>
      <c r="F76" s="13"/>
      <c r="G76" s="13"/>
      <c r="H76" s="82" t="s">
        <v>132</v>
      </c>
      <c r="I76" s="13"/>
    </row>
    <row r="77" spans="1:22" ht="15" hidden="1" customHeight="1">
      <c r="A77" s="29">
        <v>15</v>
      </c>
      <c r="B77" s="14" t="s">
        <v>74</v>
      </c>
      <c r="C77" s="16" t="s">
        <v>31</v>
      </c>
      <c r="D77" s="14"/>
      <c r="E77" s="18">
        <v>5</v>
      </c>
      <c r="F77" s="61">
        <v>0.5</v>
      </c>
      <c r="G77" s="13">
        <v>501.62</v>
      </c>
      <c r="H77" s="82">
        <v>0.251</v>
      </c>
      <c r="I77" s="13">
        <f>G77*0.1</f>
        <v>50.162000000000006</v>
      </c>
    </row>
    <row r="78" spans="1:22" ht="15" hidden="1" customHeight="1">
      <c r="A78" s="29"/>
      <c r="B78" s="14" t="s">
        <v>140</v>
      </c>
      <c r="C78" s="16" t="s">
        <v>30</v>
      </c>
      <c r="D78" s="14"/>
      <c r="E78" s="18">
        <v>2</v>
      </c>
      <c r="F78" s="13">
        <v>2</v>
      </c>
      <c r="G78" s="13">
        <v>99.85</v>
      </c>
      <c r="H78" s="82">
        <v>0.1</v>
      </c>
      <c r="I78" s="13">
        <v>0</v>
      </c>
    </row>
    <row r="79" spans="1:22" ht="15" hidden="1" customHeight="1">
      <c r="A79" s="29"/>
      <c r="B79" s="14" t="s">
        <v>141</v>
      </c>
      <c r="C79" s="16" t="s">
        <v>30</v>
      </c>
      <c r="D79" s="14"/>
      <c r="E79" s="18">
        <v>1</v>
      </c>
      <c r="F79" s="61">
        <v>1</v>
      </c>
      <c r="G79" s="13">
        <v>120.26</v>
      </c>
      <c r="H79" s="82">
        <v>0.12</v>
      </c>
      <c r="I79" s="13">
        <v>0</v>
      </c>
    </row>
    <row r="80" spans="1:22" ht="15" hidden="1" customHeight="1">
      <c r="A80" s="29"/>
      <c r="B80" s="14" t="s">
        <v>87</v>
      </c>
      <c r="C80" s="16" t="s">
        <v>30</v>
      </c>
      <c r="D80" s="14"/>
      <c r="E80" s="18">
        <v>1</v>
      </c>
      <c r="F80" s="70">
        <f>SUM(E80)</f>
        <v>1</v>
      </c>
      <c r="G80" s="13">
        <v>358.51</v>
      </c>
      <c r="H80" s="82">
        <f t="shared" si="6"/>
        <v>0.35851</v>
      </c>
      <c r="I80" s="13">
        <v>0</v>
      </c>
    </row>
    <row r="81" spans="1:9" ht="15" hidden="1" customHeight="1">
      <c r="A81" s="29"/>
      <c r="B81" s="14" t="s">
        <v>75</v>
      </c>
      <c r="C81" s="16" t="s">
        <v>30</v>
      </c>
      <c r="D81" s="14"/>
      <c r="E81" s="18">
        <v>1</v>
      </c>
      <c r="F81" s="13">
        <v>1</v>
      </c>
      <c r="G81" s="13">
        <v>852.99</v>
      </c>
      <c r="H81" s="82">
        <f>F81*G81/1000</f>
        <v>0.85299000000000003</v>
      </c>
      <c r="I81" s="13">
        <v>0</v>
      </c>
    </row>
    <row r="82" spans="1:9" ht="15" hidden="1" customHeight="1">
      <c r="A82" s="29"/>
      <c r="B82" s="84" t="s">
        <v>77</v>
      </c>
      <c r="C82" s="16"/>
      <c r="D82" s="14"/>
      <c r="E82" s="18"/>
      <c r="F82" s="13"/>
      <c r="G82" s="13" t="s">
        <v>132</v>
      </c>
      <c r="H82" s="82" t="s">
        <v>132</v>
      </c>
      <c r="I82" s="13"/>
    </row>
    <row r="83" spans="1:9" ht="15" hidden="1" customHeight="1">
      <c r="A83" s="29"/>
      <c r="B83" s="44" t="s">
        <v>133</v>
      </c>
      <c r="C83" s="16" t="s">
        <v>78</v>
      </c>
      <c r="D83" s="14"/>
      <c r="E83" s="18"/>
      <c r="F83" s="13">
        <v>0.2</v>
      </c>
      <c r="G83" s="13">
        <v>2759.44</v>
      </c>
      <c r="H83" s="82">
        <f t="shared" si="6"/>
        <v>0.55188800000000005</v>
      </c>
      <c r="I83" s="13">
        <v>0</v>
      </c>
    </row>
    <row r="84" spans="1:9" ht="22.5" hidden="1" customHeight="1">
      <c r="A84" s="29"/>
      <c r="B84" s="72" t="s">
        <v>130</v>
      </c>
      <c r="C84" s="84"/>
      <c r="D84" s="31"/>
      <c r="E84" s="32"/>
      <c r="F84" s="73"/>
      <c r="G84" s="73"/>
      <c r="H84" s="85" t="e">
        <f>SUM(H61:H83)</f>
        <v>#VALUE!</v>
      </c>
      <c r="I84" s="73"/>
    </row>
    <row r="85" spans="1:9" ht="20.25" hidden="1" customHeight="1">
      <c r="A85" s="29">
        <v>15</v>
      </c>
      <c r="B85" s="67" t="s">
        <v>131</v>
      </c>
      <c r="C85" s="16"/>
      <c r="D85" s="14"/>
      <c r="E85" s="62"/>
      <c r="F85" s="13">
        <v>1</v>
      </c>
      <c r="G85" s="13">
        <v>5567.8</v>
      </c>
      <c r="H85" s="82">
        <f>G85*F85/1000</f>
        <v>5.5678000000000001</v>
      </c>
      <c r="I85" s="13">
        <f>G85*1</f>
        <v>5567.8</v>
      </c>
    </row>
    <row r="86" spans="1:9" ht="15.75" customHeight="1">
      <c r="A86" s="163" t="s">
        <v>145</v>
      </c>
      <c r="B86" s="164"/>
      <c r="C86" s="164"/>
      <c r="D86" s="164"/>
      <c r="E86" s="164"/>
      <c r="F86" s="164"/>
      <c r="G86" s="164"/>
      <c r="H86" s="164"/>
      <c r="I86" s="165"/>
    </row>
    <row r="87" spans="1:9" ht="15" customHeight="1">
      <c r="A87" s="29">
        <v>17</v>
      </c>
      <c r="B87" s="102" t="s">
        <v>134</v>
      </c>
      <c r="C87" s="110" t="s">
        <v>56</v>
      </c>
      <c r="D87" s="139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18</v>
      </c>
      <c r="B88" s="102" t="s">
        <v>203</v>
      </c>
      <c r="C88" s="110" t="s">
        <v>25</v>
      </c>
      <c r="D88" s="137"/>
      <c r="E88" s="138">
        <f>E87</f>
        <v>3031.3</v>
      </c>
      <c r="F88" s="135">
        <f>E88*12</f>
        <v>36375.600000000006</v>
      </c>
      <c r="G88" s="135">
        <v>3.05</v>
      </c>
      <c r="H88" s="82">
        <f>F88*G88/1000</f>
        <v>110.94558000000002</v>
      </c>
      <c r="I88" s="13">
        <f>F88/12*G88</f>
        <v>9245.465000000002</v>
      </c>
    </row>
    <row r="89" spans="1:9" ht="15.75" customHeight="1">
      <c r="A89" s="96"/>
      <c r="B89" s="36" t="s">
        <v>80</v>
      </c>
      <c r="C89" s="37"/>
      <c r="D89" s="15"/>
      <c r="E89" s="15"/>
      <c r="F89" s="15"/>
      <c r="G89" s="18"/>
      <c r="H89" s="18"/>
      <c r="I89" s="32">
        <f>I88+I87+I75+I66+I64+I58+I54+I46+I43+I42+I40+I39+I27+I21+I20+I18+I17+I16</f>
        <v>56927.090268666667</v>
      </c>
    </row>
    <row r="90" spans="1:9" ht="15.75" customHeight="1">
      <c r="A90" s="177" t="s">
        <v>61</v>
      </c>
      <c r="B90" s="178"/>
      <c r="C90" s="178"/>
      <c r="D90" s="178"/>
      <c r="E90" s="178"/>
      <c r="F90" s="178"/>
      <c r="G90" s="178"/>
      <c r="H90" s="178"/>
      <c r="I90" s="179"/>
    </row>
    <row r="91" spans="1:9" ht="18" customHeight="1">
      <c r="A91" s="29">
        <v>19</v>
      </c>
      <c r="B91" s="52" t="s">
        <v>216</v>
      </c>
      <c r="C91" s="53" t="s">
        <v>124</v>
      </c>
      <c r="D91" s="48"/>
      <c r="E91" s="34"/>
      <c r="F91" s="34">
        <v>8</v>
      </c>
      <c r="G91" s="34">
        <v>60.72</v>
      </c>
      <c r="H91" s="99"/>
      <c r="I91" s="13">
        <f>G91*1</f>
        <v>60.72</v>
      </c>
    </row>
    <row r="92" spans="1:9" ht="16.5" customHeight="1">
      <c r="A92" s="29">
        <v>20</v>
      </c>
      <c r="B92" s="52" t="s">
        <v>234</v>
      </c>
      <c r="C92" s="53" t="s">
        <v>190</v>
      </c>
      <c r="D92" s="48" t="s">
        <v>213</v>
      </c>
      <c r="E92" s="34"/>
      <c r="F92" s="34">
        <v>0.04</v>
      </c>
      <c r="G92" s="34">
        <v>27139.18</v>
      </c>
      <c r="H92" s="99"/>
      <c r="I92" s="13">
        <v>0</v>
      </c>
    </row>
    <row r="93" spans="1:9" ht="29.25" customHeight="1">
      <c r="A93" s="29">
        <v>21</v>
      </c>
      <c r="B93" s="52" t="s">
        <v>205</v>
      </c>
      <c r="C93" s="53" t="s">
        <v>39</v>
      </c>
      <c r="D93" s="48" t="s">
        <v>213</v>
      </c>
      <c r="E93" s="34"/>
      <c r="F93" s="34">
        <v>0.06</v>
      </c>
      <c r="G93" s="34">
        <v>4070.89</v>
      </c>
      <c r="H93" s="99"/>
      <c r="I93" s="13">
        <v>0</v>
      </c>
    </row>
    <row r="94" spans="1:9" ht="15.75" customHeight="1">
      <c r="A94" s="29"/>
      <c r="B94" s="42" t="s">
        <v>53</v>
      </c>
      <c r="C94" s="38"/>
      <c r="D94" s="46"/>
      <c r="E94" s="38">
        <v>1</v>
      </c>
      <c r="F94" s="38"/>
      <c r="G94" s="38"/>
      <c r="H94" s="38"/>
      <c r="I94" s="32">
        <f>SUM(I91:I93)</f>
        <v>60.72</v>
      </c>
    </row>
    <row r="95" spans="1:9" ht="15.75" customHeight="1">
      <c r="A95" s="29"/>
      <c r="B95" s="44" t="s">
        <v>79</v>
      </c>
      <c r="C95" s="15"/>
      <c r="D95" s="15"/>
      <c r="E95" s="39"/>
      <c r="F95" s="39"/>
      <c r="G95" s="40"/>
      <c r="H95" s="40"/>
      <c r="I95" s="17">
        <v>0</v>
      </c>
    </row>
    <row r="96" spans="1:9" ht="15.75" customHeight="1">
      <c r="A96" s="47"/>
      <c r="B96" s="43" t="s">
        <v>182</v>
      </c>
      <c r="C96" s="33"/>
      <c r="D96" s="33"/>
      <c r="E96" s="33"/>
      <c r="F96" s="33"/>
      <c r="G96" s="33"/>
      <c r="H96" s="33"/>
      <c r="I96" s="41">
        <f>I89+I94</f>
        <v>56987.810268666668</v>
      </c>
    </row>
    <row r="97" spans="1:9" ht="15.75">
      <c r="A97" s="180" t="s">
        <v>337</v>
      </c>
      <c r="B97" s="180"/>
      <c r="C97" s="180"/>
      <c r="D97" s="180"/>
      <c r="E97" s="180"/>
      <c r="F97" s="180"/>
      <c r="G97" s="180"/>
      <c r="H97" s="180"/>
      <c r="I97" s="180"/>
    </row>
    <row r="98" spans="1:9" ht="15.75">
      <c r="A98" s="60"/>
      <c r="B98" s="181" t="s">
        <v>338</v>
      </c>
      <c r="C98" s="181"/>
      <c r="D98" s="181"/>
      <c r="E98" s="181"/>
      <c r="F98" s="181"/>
      <c r="G98" s="181"/>
      <c r="H98" s="65"/>
      <c r="I98" s="3"/>
    </row>
    <row r="99" spans="1:9">
      <c r="A99" s="94"/>
      <c r="B99" s="182" t="s">
        <v>6</v>
      </c>
      <c r="C99" s="182"/>
      <c r="D99" s="182"/>
      <c r="E99" s="182"/>
      <c r="F99" s="182"/>
      <c r="G99" s="182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3" t="s">
        <v>7</v>
      </c>
      <c r="B101" s="183"/>
      <c r="C101" s="183"/>
      <c r="D101" s="183"/>
      <c r="E101" s="183"/>
      <c r="F101" s="183"/>
      <c r="G101" s="183"/>
      <c r="H101" s="183"/>
      <c r="I101" s="183"/>
    </row>
    <row r="102" spans="1:9" ht="15.75">
      <c r="A102" s="183" t="s">
        <v>8</v>
      </c>
      <c r="B102" s="183"/>
      <c r="C102" s="183"/>
      <c r="D102" s="183"/>
      <c r="E102" s="183"/>
      <c r="F102" s="183"/>
      <c r="G102" s="183"/>
      <c r="H102" s="183"/>
      <c r="I102" s="183"/>
    </row>
    <row r="103" spans="1:9" ht="15.75">
      <c r="A103" s="172" t="s">
        <v>62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>
      <c r="A104" s="11"/>
    </row>
    <row r="105" spans="1:9" ht="15.75">
      <c r="A105" s="185" t="s">
        <v>9</v>
      </c>
      <c r="B105" s="185"/>
      <c r="C105" s="185"/>
      <c r="D105" s="185"/>
      <c r="E105" s="185"/>
      <c r="F105" s="185"/>
      <c r="G105" s="185"/>
      <c r="H105" s="185"/>
      <c r="I105" s="185"/>
    </row>
    <row r="106" spans="1:9" ht="15.75">
      <c r="A106" s="4"/>
    </row>
    <row r="107" spans="1:9" ht="15.75">
      <c r="B107" s="95" t="s">
        <v>10</v>
      </c>
      <c r="C107" s="186" t="s">
        <v>303</v>
      </c>
      <c r="D107" s="186"/>
      <c r="E107" s="186"/>
      <c r="F107" s="63"/>
      <c r="I107" s="93"/>
    </row>
    <row r="108" spans="1:9">
      <c r="A108" s="94"/>
      <c r="C108" s="182" t="s">
        <v>11</v>
      </c>
      <c r="D108" s="182"/>
      <c r="E108" s="182"/>
      <c r="F108" s="24"/>
      <c r="I108" s="92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95" t="s">
        <v>13</v>
      </c>
      <c r="C110" s="187"/>
      <c r="D110" s="187"/>
      <c r="E110" s="187"/>
      <c r="F110" s="64"/>
      <c r="I110" s="93"/>
    </row>
    <row r="111" spans="1:9">
      <c r="A111" s="94"/>
      <c r="C111" s="162" t="s">
        <v>11</v>
      </c>
      <c r="D111" s="162"/>
      <c r="E111" s="162"/>
      <c r="F111" s="94"/>
      <c r="I111" s="92" t="s">
        <v>12</v>
      </c>
    </row>
    <row r="112" spans="1:9" ht="15.75">
      <c r="A112" s="4" t="s">
        <v>14</v>
      </c>
    </row>
    <row r="113" spans="1:9">
      <c r="A113" s="188" t="s">
        <v>15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45" customHeight="1">
      <c r="A114" s="184" t="s">
        <v>16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30" customHeight="1">
      <c r="A115" s="184" t="s">
        <v>17</v>
      </c>
      <c r="B115" s="184"/>
      <c r="C115" s="184"/>
      <c r="D115" s="184"/>
      <c r="E115" s="184"/>
      <c r="F115" s="184"/>
      <c r="G115" s="184"/>
      <c r="H115" s="184"/>
      <c r="I115" s="184"/>
    </row>
    <row r="116" spans="1:9" ht="30" customHeight="1">
      <c r="A116" s="184" t="s">
        <v>21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15.75">
      <c r="A117" s="184" t="s">
        <v>20</v>
      </c>
      <c r="B117" s="184"/>
      <c r="C117" s="184"/>
      <c r="D117" s="184"/>
      <c r="E117" s="184"/>
      <c r="F117" s="184"/>
      <c r="G117" s="184"/>
      <c r="H117" s="184"/>
      <c r="I117" s="184"/>
    </row>
  </sheetData>
  <autoFilter ref="I12:I63"/>
  <mergeCells count="29">
    <mergeCell ref="A113:I113"/>
    <mergeCell ref="A114:I114"/>
    <mergeCell ref="A115:I115"/>
    <mergeCell ref="A116:I116"/>
    <mergeCell ref="A117:I117"/>
    <mergeCell ref="R68:U68"/>
    <mergeCell ref="C111:E111"/>
    <mergeCell ref="A90:I90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6:I86"/>
    <mergeCell ref="A3:I3"/>
    <mergeCell ref="A4:I4"/>
    <mergeCell ref="A5:I5"/>
    <mergeCell ref="A8:I8"/>
    <mergeCell ref="A10:I10"/>
    <mergeCell ref="A14:I14"/>
    <mergeCell ref="A15:I15"/>
    <mergeCell ref="A29:I29"/>
    <mergeCell ref="A48:I48"/>
    <mergeCell ref="A59:I5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43"/>
  <sheetViews>
    <sheetView topLeftCell="A89" workbookViewId="0">
      <selection activeCell="I126" sqref="I1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171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227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43889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219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239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F16*G16/156*10</f>
        <v>1507.3344399999999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238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F17/12*G17-1205.87</f>
        <v>4019.556058666667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220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113</v>
      </c>
      <c r="C30" s="68" t="s">
        <v>114</v>
      </c>
      <c r="D30" s="67" t="s">
        <v>115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1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169</v>
      </c>
      <c r="C31" s="68" t="s">
        <v>114</v>
      </c>
      <c r="D31" s="67" t="s">
        <v>116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1"/>
        <v>1.3717735199999999</v>
      </c>
      <c r="I31" s="13">
        <f t="shared" ref="I31:I34" si="2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114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1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147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2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148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2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1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1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132</v>
      </c>
      <c r="I37" s="13"/>
      <c r="J37" s="23"/>
    </row>
    <row r="38" spans="1:14" ht="15" customHeight="1">
      <c r="A38" s="29">
        <v>7</v>
      </c>
      <c r="B38" s="150" t="s">
        <v>26</v>
      </c>
      <c r="C38" s="121" t="s">
        <v>32</v>
      </c>
      <c r="D38" s="120"/>
      <c r="E38" s="122"/>
      <c r="F38" s="123">
        <v>6</v>
      </c>
      <c r="G38" s="123">
        <v>1855</v>
      </c>
      <c r="H38" s="71">
        <f t="shared" ref="H38:H45" si="3">SUM(F38*G38/1000)</f>
        <v>11.13</v>
      </c>
      <c r="I38" s="13">
        <f>G38*0.4</f>
        <v>742</v>
      </c>
      <c r="J38" s="23"/>
    </row>
    <row r="39" spans="1:14" ht="15" customHeight="1">
      <c r="A39" s="29">
        <v>8</v>
      </c>
      <c r="B39" s="150" t="s">
        <v>225</v>
      </c>
      <c r="C39" s="151" t="s">
        <v>29</v>
      </c>
      <c r="D39" s="150" t="s">
        <v>210</v>
      </c>
      <c r="E39" s="153">
        <v>68</v>
      </c>
      <c r="F39" s="153">
        <f>SUM(E39*30/1000)</f>
        <v>2.04</v>
      </c>
      <c r="G39" s="153">
        <v>3014.36</v>
      </c>
      <c r="H39" s="71">
        <f t="shared" si="3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7</v>
      </c>
      <c r="B40" s="120" t="s">
        <v>94</v>
      </c>
      <c r="C40" s="121" t="s">
        <v>119</v>
      </c>
      <c r="D40" s="120" t="s">
        <v>149</v>
      </c>
      <c r="E40" s="122"/>
      <c r="F40" s="153">
        <v>39</v>
      </c>
      <c r="G40" s="123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15.75" customHeight="1">
      <c r="A41" s="29">
        <v>9</v>
      </c>
      <c r="B41" s="120" t="s">
        <v>68</v>
      </c>
      <c r="C41" s="121" t="s">
        <v>29</v>
      </c>
      <c r="D41" s="120" t="s">
        <v>215</v>
      </c>
      <c r="E41" s="123">
        <v>68</v>
      </c>
      <c r="F41" s="153">
        <f>SUM(E41*72/1000)</f>
        <v>4.8959999999999999</v>
      </c>
      <c r="G41" s="123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15" customHeight="1">
      <c r="A42" s="29">
        <v>10</v>
      </c>
      <c r="B42" s="120" t="s">
        <v>83</v>
      </c>
      <c r="C42" s="121" t="s">
        <v>114</v>
      </c>
      <c r="D42" s="120" t="s">
        <v>211</v>
      </c>
      <c r="E42" s="123">
        <v>68</v>
      </c>
      <c r="F42" s="153">
        <f>SUM(E42*24/1000)</f>
        <v>1.6319999999999999</v>
      </c>
      <c r="G42" s="123">
        <v>8319.2999999999993</v>
      </c>
      <c r="H42" s="71">
        <f t="shared" si="3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47.25" hidden="1" customHeight="1">
      <c r="A43" s="29">
        <v>9</v>
      </c>
      <c r="B43" s="120" t="s">
        <v>121</v>
      </c>
      <c r="C43" s="121" t="s">
        <v>114</v>
      </c>
      <c r="D43" s="120" t="s">
        <v>212</v>
      </c>
      <c r="E43" s="123">
        <v>68</v>
      </c>
      <c r="F43" s="153">
        <f>SUM(E43*45/1000)</f>
        <v>3.06</v>
      </c>
      <c r="G43" s="123">
        <v>614.55999999999995</v>
      </c>
      <c r="H43" s="71">
        <f t="shared" si="3"/>
        <v>1.8805536</v>
      </c>
      <c r="I43" s="13">
        <f>F43/7.5*G43</f>
        <v>250.74047999999999</v>
      </c>
      <c r="J43" s="23"/>
      <c r="L43" s="19"/>
      <c r="M43" s="20"/>
      <c r="N43" s="21"/>
    </row>
    <row r="44" spans="1:14" ht="15" hidden="1" customHeight="1">
      <c r="A44" s="29">
        <v>10</v>
      </c>
      <c r="B44" s="150" t="s">
        <v>70</v>
      </c>
      <c r="C44" s="151" t="s">
        <v>33</v>
      </c>
      <c r="D44" s="150"/>
      <c r="E44" s="152"/>
      <c r="F44" s="153">
        <v>0.9</v>
      </c>
      <c r="G44" s="153">
        <v>800</v>
      </c>
      <c r="H44" s="71">
        <f t="shared" si="3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7.5" customHeight="1">
      <c r="A45" s="29">
        <v>11</v>
      </c>
      <c r="B45" s="150" t="s">
        <v>224</v>
      </c>
      <c r="C45" s="151" t="s">
        <v>114</v>
      </c>
      <c r="D45" s="150" t="s">
        <v>220</v>
      </c>
      <c r="E45" s="152">
        <v>3</v>
      </c>
      <c r="F45" s="153">
        <f>E45*12/1000</f>
        <v>3.5999999999999997E-2</v>
      </c>
      <c r="G45" s="153">
        <v>19757.060000000001</v>
      </c>
      <c r="H45" s="71">
        <f t="shared" si="3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15.75" customHeight="1">
      <c r="A46" s="174" t="s">
        <v>143</v>
      </c>
      <c r="B46" s="175"/>
      <c r="C46" s="175"/>
      <c r="D46" s="175"/>
      <c r="E46" s="175"/>
      <c r="F46" s="175"/>
      <c r="G46" s="175"/>
      <c r="H46" s="175"/>
      <c r="I46" s="176"/>
      <c r="J46" s="23"/>
      <c r="L46" s="19"/>
      <c r="M46" s="20"/>
      <c r="N46" s="21"/>
    </row>
    <row r="47" spans="1:14" ht="15" hidden="1" customHeight="1">
      <c r="A47" s="29"/>
      <c r="B47" s="67" t="s">
        <v>139</v>
      </c>
      <c r="C47" s="68" t="s">
        <v>114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4">SUM(F47*G47/1000)</f>
        <v>1.7187541239999997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36</v>
      </c>
      <c r="C48" s="68" t="s">
        <v>114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4"/>
        <v>6.0265920000000001E-2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37</v>
      </c>
      <c r="C49" s="68" t="s">
        <v>114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4"/>
        <v>1.4357196480000001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38</v>
      </c>
      <c r="C50" s="68" t="s">
        <v>114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4"/>
        <v>2.1771028954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34</v>
      </c>
      <c r="C51" s="68" t="s">
        <v>35</v>
      </c>
      <c r="D51" s="67" t="s">
        <v>150</v>
      </c>
      <c r="E51" s="69">
        <v>85.78</v>
      </c>
      <c r="F51" s="70">
        <f>SUM(E51*2/100)</f>
        <v>1.7156</v>
      </c>
      <c r="G51" s="13">
        <v>72.81</v>
      </c>
      <c r="H51" s="71">
        <f t="shared" si="4"/>
        <v>0.124912836</v>
      </c>
      <c r="I51" s="13">
        <v>0</v>
      </c>
      <c r="J51" s="23"/>
      <c r="L51" s="19"/>
      <c r="M51" s="20"/>
      <c r="N51" s="21"/>
    </row>
    <row r="52" spans="1:22" ht="15" customHeight="1">
      <c r="A52" s="29">
        <v>12</v>
      </c>
      <c r="B52" s="67" t="s">
        <v>57</v>
      </c>
      <c r="C52" s="68" t="s">
        <v>114</v>
      </c>
      <c r="D52" s="67" t="s">
        <v>213</v>
      </c>
      <c r="E52" s="69">
        <v>884</v>
      </c>
      <c r="F52" s="70">
        <f>SUM(E52*5/1000)</f>
        <v>4.42</v>
      </c>
      <c r="G52" s="112">
        <v>1739.68</v>
      </c>
      <c r="H52" s="71">
        <f t="shared" si="4"/>
        <v>7.6893856000000005</v>
      </c>
      <c r="I52" s="13">
        <f>F52/5*G52</f>
        <v>1537.8771200000001</v>
      </c>
      <c r="J52" s="23"/>
      <c r="L52" s="19"/>
      <c r="M52" s="20"/>
      <c r="N52" s="21"/>
    </row>
    <row r="53" spans="1:22" ht="31.5" hidden="1" customHeight="1">
      <c r="A53" s="29"/>
      <c r="B53" s="67" t="s">
        <v>122</v>
      </c>
      <c r="C53" s="68" t="s">
        <v>114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4"/>
        <v>2.1455563999999998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7" t="s">
        <v>123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4"/>
        <v>1.0921959999999999</v>
      </c>
      <c r="I54" s="13">
        <v>0</v>
      </c>
      <c r="J54" s="23"/>
      <c r="L54" s="19"/>
      <c r="M54" s="20"/>
      <c r="N54" s="21"/>
    </row>
    <row r="55" spans="1:22" ht="15" hidden="1" customHeight="1">
      <c r="A55" s="29"/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4"/>
        <v>0.11304260000000001</v>
      </c>
      <c r="I55" s="13">
        <v>0</v>
      </c>
      <c r="J55" s="23"/>
      <c r="L55" s="19"/>
      <c r="M55" s="20"/>
      <c r="N55" s="21"/>
    </row>
    <row r="56" spans="1:22" ht="15" hidden="1" customHeight="1">
      <c r="A56" s="29">
        <v>14</v>
      </c>
      <c r="B56" s="67" t="s">
        <v>42</v>
      </c>
      <c r="C56" s="68" t="s">
        <v>30</v>
      </c>
      <c r="D56" s="67" t="s">
        <v>71</v>
      </c>
      <c r="E56" s="69">
        <v>136</v>
      </c>
      <c r="F56" s="70">
        <f>SUM(E56)*3</f>
        <v>408</v>
      </c>
      <c r="G56" s="13">
        <v>65.67</v>
      </c>
      <c r="H56" s="71">
        <f t="shared" si="4"/>
        <v>26.79336</v>
      </c>
      <c r="I56" s="13">
        <f>E56*G56</f>
        <v>8931.1200000000008</v>
      </c>
      <c r="J56" s="23"/>
      <c r="L56" s="19"/>
      <c r="M56" s="20"/>
      <c r="N56" s="21"/>
    </row>
    <row r="57" spans="1:22" ht="15.75" customHeight="1">
      <c r="A57" s="174" t="s">
        <v>144</v>
      </c>
      <c r="B57" s="175"/>
      <c r="C57" s="175"/>
      <c r="D57" s="175"/>
      <c r="E57" s="175"/>
      <c r="F57" s="175"/>
      <c r="G57" s="175"/>
      <c r="H57" s="175"/>
      <c r="I57" s="176"/>
      <c r="J57" s="23"/>
      <c r="L57" s="19"/>
      <c r="M57" s="20"/>
      <c r="N57" s="21"/>
    </row>
    <row r="58" spans="1:22" ht="15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customHeight="1">
      <c r="A59" s="29">
        <v>13</v>
      </c>
      <c r="B59" s="67" t="s">
        <v>125</v>
      </c>
      <c r="C59" s="68" t="s">
        <v>99</v>
      </c>
      <c r="D59" s="67"/>
      <c r="E59" s="69">
        <v>106.13</v>
      </c>
      <c r="F59" s="70">
        <f>E59*6/100</f>
        <v>6.3677999999999999</v>
      </c>
      <c r="G59" s="155">
        <v>2218.11</v>
      </c>
      <c r="H59" s="71">
        <f>F59*G59/1000</f>
        <v>14.124480858</v>
      </c>
      <c r="I59" s="13">
        <f>G59*0.12</f>
        <v>266.17320000000001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14</v>
      </c>
      <c r="B62" s="103" t="s">
        <v>95</v>
      </c>
      <c r="C62" s="104" t="s">
        <v>25</v>
      </c>
      <c r="D62" s="103" t="s">
        <v>213</v>
      </c>
      <c r="E62" s="105">
        <v>100</v>
      </c>
      <c r="F62" s="106">
        <f>E62*12</f>
        <v>1200</v>
      </c>
      <c r="G62" s="107">
        <v>1.4</v>
      </c>
      <c r="H62" s="89">
        <f>G62*F62</f>
        <v>1680</v>
      </c>
      <c r="I62" s="13">
        <f>F62/12*G62</f>
        <v>140</v>
      </c>
    </row>
    <row r="63" spans="1:22" ht="14.25" hidden="1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132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9.5" hidden="1" customHeight="1">
      <c r="A64" s="29">
        <v>14</v>
      </c>
      <c r="B64" s="14" t="s">
        <v>48</v>
      </c>
      <c r="C64" s="16" t="s">
        <v>124</v>
      </c>
      <c r="D64" s="14" t="s">
        <v>213</v>
      </c>
      <c r="E64" s="18">
        <v>20</v>
      </c>
      <c r="F64" s="70">
        <v>20</v>
      </c>
      <c r="G64" s="91">
        <v>222.4</v>
      </c>
      <c r="H64" s="90">
        <f t="shared" ref="H64:H82" si="5">SUM(F64*G64/1000)</f>
        <v>4.4480000000000004</v>
      </c>
      <c r="I64" s="13">
        <f>G64*1</f>
        <v>222.4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6.5" hidden="1" customHeight="1">
      <c r="A65" s="29">
        <v>17</v>
      </c>
      <c r="B65" s="14" t="s">
        <v>49</v>
      </c>
      <c r="C65" s="16" t="s">
        <v>124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5"/>
        <v>#VALUE!</v>
      </c>
      <c r="I65" s="13">
        <f>G65</f>
        <v>76.25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" hidden="1" customHeight="1">
      <c r="A66" s="29"/>
      <c r="B66" s="14" t="s">
        <v>50</v>
      </c>
      <c r="C66" s="16" t="s">
        <v>126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5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2"/>
      <c r="S66" s="162"/>
      <c r="T66" s="162"/>
      <c r="U66" s="162"/>
    </row>
    <row r="67" spans="1:21" ht="21.75" hidden="1" customHeight="1">
      <c r="A67" s="29"/>
      <c r="B67" s="14" t="s">
        <v>51</v>
      </c>
      <c r="C67" s="16" t="s">
        <v>127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5"/>
        <v>2.08941087</v>
      </c>
      <c r="I67" s="13">
        <f t="shared" ref="I67:I71" si="6">F67*G67</f>
        <v>2089.4108700000002</v>
      </c>
    </row>
    <row r="68" spans="1:21" ht="21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5"/>
        <v>39.417970000000004</v>
      </c>
      <c r="I68" s="13">
        <f t="shared" si="6"/>
        <v>39417.97</v>
      </c>
    </row>
    <row r="69" spans="1:21" ht="18.75" hidden="1" customHeight="1">
      <c r="A69" s="29"/>
      <c r="B69" s="83" t="s">
        <v>128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5"/>
        <v>0.48217100000000007</v>
      </c>
      <c r="I69" s="13">
        <f t="shared" si="6"/>
        <v>482.17100000000005</v>
      </c>
    </row>
    <row r="70" spans="1:21" ht="20.25" hidden="1" customHeight="1">
      <c r="A70" s="29"/>
      <c r="B70" s="83" t="s">
        <v>129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5"/>
        <v>0.44985300000000006</v>
      </c>
      <c r="I70" s="13">
        <f t="shared" si="6"/>
        <v>449.85300000000007</v>
      </c>
    </row>
    <row r="71" spans="1:21" ht="19.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5"/>
        <v>0.29928000000000005</v>
      </c>
      <c r="I71" s="13">
        <f t="shared" si="6"/>
        <v>299.28000000000003</v>
      </c>
    </row>
    <row r="72" spans="1:21" ht="19.5" customHeight="1">
      <c r="A72" s="29"/>
      <c r="B72" s="31" t="s">
        <v>202</v>
      </c>
      <c r="C72" s="16"/>
      <c r="D72" s="14"/>
      <c r="E72" s="18"/>
      <c r="F72" s="13"/>
      <c r="G72" s="116"/>
      <c r="H72" s="116"/>
      <c r="I72" s="117"/>
    </row>
    <row r="73" spans="1:21" ht="36.75" customHeight="1">
      <c r="A73" s="29">
        <v>15</v>
      </c>
      <c r="B73" s="102" t="s">
        <v>200</v>
      </c>
      <c r="C73" s="133" t="s">
        <v>201</v>
      </c>
      <c r="D73" s="134"/>
      <c r="E73" s="17">
        <v>3031.3</v>
      </c>
      <c r="F73" s="35">
        <f>E73*12</f>
        <v>36375.600000000006</v>
      </c>
      <c r="G73" s="35">
        <v>2.4900000000000002</v>
      </c>
      <c r="H73" s="116"/>
      <c r="I73" s="117">
        <f>G73*F73/12</f>
        <v>7547.9370000000017</v>
      </c>
    </row>
    <row r="74" spans="1:21" ht="20.25" hidden="1" customHeight="1">
      <c r="A74" s="29"/>
      <c r="B74" s="57" t="s">
        <v>73</v>
      </c>
      <c r="C74" s="16"/>
      <c r="D74" s="14"/>
      <c r="E74" s="18"/>
      <c r="F74" s="13"/>
      <c r="G74" s="13"/>
      <c r="H74" s="82" t="s">
        <v>132</v>
      </c>
      <c r="I74" s="13"/>
    </row>
    <row r="75" spans="1:21" ht="19.5" hidden="1" customHeight="1">
      <c r="A75" s="29"/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v>0</v>
      </c>
    </row>
    <row r="76" spans="1:21" ht="18.75" hidden="1" customHeight="1">
      <c r="A76" s="29"/>
      <c r="B76" s="14" t="s">
        <v>140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18.75" hidden="1" customHeight="1">
      <c r="A77" s="29"/>
      <c r="B77" s="14" t="s">
        <v>141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19.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5"/>
        <v>0.35851</v>
      </c>
      <c r="I78" s="13">
        <v>0</v>
      </c>
    </row>
    <row r="79" spans="1:21" ht="21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21" hidden="1" customHeight="1">
      <c r="A80" s="29"/>
      <c r="B80" s="14"/>
      <c r="C80" s="16"/>
      <c r="D80" s="14"/>
      <c r="E80" s="18"/>
      <c r="F80" s="13"/>
      <c r="G80" s="13"/>
      <c r="H80" s="82"/>
      <c r="I80" s="13"/>
    </row>
    <row r="81" spans="1:9" ht="24.75" hidden="1" customHeight="1">
      <c r="A81" s="29"/>
      <c r="B81" s="84" t="s">
        <v>77</v>
      </c>
      <c r="C81" s="16"/>
      <c r="D81" s="14"/>
      <c r="E81" s="18"/>
      <c r="F81" s="13"/>
      <c r="G81" s="13" t="s">
        <v>132</v>
      </c>
      <c r="H81" s="82" t="s">
        <v>132</v>
      </c>
      <c r="I81" s="13"/>
    </row>
    <row r="82" spans="1:9" ht="17.25" hidden="1" customHeight="1">
      <c r="A82" s="29"/>
      <c r="B82" s="44" t="s">
        <v>133</v>
      </c>
      <c r="C82" s="16" t="s">
        <v>78</v>
      </c>
      <c r="D82" s="14"/>
      <c r="E82" s="18"/>
      <c r="F82" s="13">
        <v>0.2</v>
      </c>
      <c r="G82" s="13">
        <v>2759.44</v>
      </c>
      <c r="H82" s="82">
        <f t="shared" si="5"/>
        <v>0.55188800000000005</v>
      </c>
      <c r="I82" s="13">
        <v>0</v>
      </c>
    </row>
    <row r="83" spans="1:9" ht="18" hidden="1" customHeight="1">
      <c r="A83" s="29"/>
      <c r="B83" s="72" t="s">
        <v>130</v>
      </c>
      <c r="C83" s="84"/>
      <c r="D83" s="31"/>
      <c r="E83" s="32"/>
      <c r="F83" s="73"/>
      <c r="G83" s="73"/>
      <c r="H83" s="85" t="e">
        <f>SUM(H59:H82)</f>
        <v>#VALUE!</v>
      </c>
      <c r="I83" s="73"/>
    </row>
    <row r="84" spans="1:9" ht="19.5" hidden="1" customHeight="1">
      <c r="A84" s="29"/>
      <c r="B84" s="67" t="s">
        <v>131</v>
      </c>
      <c r="C84" s="16"/>
      <c r="D84" s="14"/>
      <c r="E84" s="62"/>
      <c r="F84" s="13">
        <v>1</v>
      </c>
      <c r="G84" s="13">
        <v>13437.4</v>
      </c>
      <c r="H84" s="82">
        <f>G84*F84/1000</f>
        <v>13.4374</v>
      </c>
      <c r="I84" s="13">
        <v>0</v>
      </c>
    </row>
    <row r="85" spans="1:9" ht="15.75" customHeight="1">
      <c r="A85" s="163" t="s">
        <v>145</v>
      </c>
      <c r="B85" s="164"/>
      <c r="C85" s="164"/>
      <c r="D85" s="164"/>
      <c r="E85" s="164"/>
      <c r="F85" s="164"/>
      <c r="G85" s="164"/>
      <c r="H85" s="164"/>
      <c r="I85" s="165"/>
    </row>
    <row r="86" spans="1:9" ht="15" customHeight="1">
      <c r="A86" s="29">
        <v>16</v>
      </c>
      <c r="B86" s="102" t="s">
        <v>134</v>
      </c>
      <c r="C86" s="110" t="s">
        <v>56</v>
      </c>
      <c r="D86" s="139"/>
      <c r="E86" s="34">
        <v>3031.3</v>
      </c>
      <c r="F86" s="34">
        <f>SUM(E86*12)</f>
        <v>36375.600000000006</v>
      </c>
      <c r="G86" s="34">
        <v>3.38</v>
      </c>
      <c r="H86" s="82">
        <f>SUM(F86*G86/1000)</f>
        <v>122.94952800000002</v>
      </c>
      <c r="I86" s="13">
        <f>F86/12*G86</f>
        <v>10245.794000000002</v>
      </c>
    </row>
    <row r="87" spans="1:9" ht="31.5" customHeight="1">
      <c r="A87" s="29">
        <v>17</v>
      </c>
      <c r="B87" s="102" t="s">
        <v>203</v>
      </c>
      <c r="C87" s="110" t="s">
        <v>25</v>
      </c>
      <c r="D87" s="137"/>
      <c r="E87" s="138">
        <f>E86</f>
        <v>3031.3</v>
      </c>
      <c r="F87" s="135">
        <f>E87*12</f>
        <v>36375.600000000006</v>
      </c>
      <c r="G87" s="135">
        <v>3.05</v>
      </c>
      <c r="H87" s="82">
        <f>F87*G87/1000</f>
        <v>110.94558000000002</v>
      </c>
      <c r="I87" s="13">
        <f>F87/12*G87</f>
        <v>9245.465000000002</v>
      </c>
    </row>
    <row r="88" spans="1:9" ht="15.75" customHeight="1">
      <c r="A88" s="45"/>
      <c r="B88" s="36" t="s">
        <v>80</v>
      </c>
      <c r="C88" s="37"/>
      <c r="D88" s="15"/>
      <c r="E88" s="15"/>
      <c r="F88" s="15"/>
      <c r="G88" s="18"/>
      <c r="H88" s="18"/>
      <c r="I88" s="32">
        <f>I87+I86+I73+I62+I52+I45+++I42+I41+I39+I38+I27+I21+I20+I18+I17+I16+I59</f>
        <v>42598.853136666672</v>
      </c>
    </row>
    <row r="89" spans="1:9" ht="15.75" customHeight="1">
      <c r="A89" s="177" t="s">
        <v>61</v>
      </c>
      <c r="B89" s="178"/>
      <c r="C89" s="178"/>
      <c r="D89" s="178"/>
      <c r="E89" s="178"/>
      <c r="F89" s="178"/>
      <c r="G89" s="178"/>
      <c r="H89" s="178"/>
      <c r="I89" s="179"/>
    </row>
    <row r="90" spans="1:9" ht="15" hidden="1" customHeight="1">
      <c r="A90" s="29"/>
      <c r="B90" s="86" t="s">
        <v>151</v>
      </c>
      <c r="C90" s="51" t="s">
        <v>152</v>
      </c>
      <c r="D90" s="44"/>
      <c r="E90" s="13"/>
      <c r="F90" s="13">
        <v>1</v>
      </c>
      <c r="G90" s="13">
        <v>3651</v>
      </c>
      <c r="H90" s="82">
        <f t="shared" ref="H90:H106" si="7">G90*F90/1000</f>
        <v>3.6509999999999998</v>
      </c>
      <c r="I90" s="13">
        <v>0</v>
      </c>
    </row>
    <row r="91" spans="1:9" ht="31.5" hidden="1" customHeight="1">
      <c r="A91" s="29"/>
      <c r="B91" s="49" t="s">
        <v>153</v>
      </c>
      <c r="C91" s="51" t="s">
        <v>102</v>
      </c>
      <c r="D91" s="44"/>
      <c r="E91" s="13"/>
      <c r="F91" s="13">
        <v>1</v>
      </c>
      <c r="G91" s="13">
        <v>51.39</v>
      </c>
      <c r="H91" s="82">
        <f t="shared" si="7"/>
        <v>5.1389999999999998E-2</v>
      </c>
      <c r="I91" s="13">
        <v>0</v>
      </c>
    </row>
    <row r="92" spans="1:9" ht="15" hidden="1" customHeight="1">
      <c r="A92" s="29"/>
      <c r="B92" s="49" t="s">
        <v>154</v>
      </c>
      <c r="C92" s="66" t="s">
        <v>81</v>
      </c>
      <c r="D92" s="44"/>
      <c r="E92" s="13"/>
      <c r="F92" s="13">
        <v>1</v>
      </c>
      <c r="G92" s="13">
        <v>18</v>
      </c>
      <c r="H92" s="82">
        <f t="shared" si="7"/>
        <v>1.7999999999999999E-2</v>
      </c>
      <c r="I92" s="13">
        <v>0</v>
      </c>
    </row>
    <row r="93" spans="1:9" ht="31.5" hidden="1" customHeight="1">
      <c r="A93" s="29"/>
      <c r="B93" s="50" t="s">
        <v>155</v>
      </c>
      <c r="C93" s="29" t="s">
        <v>142</v>
      </c>
      <c r="D93" s="44"/>
      <c r="E93" s="13"/>
      <c r="F93" s="13">
        <v>1</v>
      </c>
      <c r="G93" s="13">
        <v>383.01</v>
      </c>
      <c r="H93" s="82">
        <f t="shared" si="7"/>
        <v>0.38301000000000002</v>
      </c>
      <c r="I93" s="13">
        <v>0</v>
      </c>
    </row>
    <row r="94" spans="1:9" ht="15" hidden="1" customHeight="1">
      <c r="A94" s="29"/>
      <c r="B94" s="49" t="s">
        <v>156</v>
      </c>
      <c r="C94" s="51" t="s">
        <v>152</v>
      </c>
      <c r="D94" s="44"/>
      <c r="E94" s="13"/>
      <c r="F94" s="13">
        <v>2</v>
      </c>
      <c r="G94" s="13">
        <v>4879</v>
      </c>
      <c r="H94" s="82">
        <f t="shared" si="7"/>
        <v>9.7579999999999991</v>
      </c>
      <c r="I94" s="13">
        <v>0</v>
      </c>
    </row>
    <row r="95" spans="1:9" ht="15" hidden="1" customHeight="1">
      <c r="A95" s="29"/>
      <c r="B95" s="49" t="s">
        <v>157</v>
      </c>
      <c r="C95" s="51" t="s">
        <v>84</v>
      </c>
      <c r="D95" s="44"/>
      <c r="E95" s="13"/>
      <c r="F95" s="13">
        <v>4</v>
      </c>
      <c r="G95" s="13">
        <v>185.81</v>
      </c>
      <c r="H95" s="82">
        <f t="shared" si="7"/>
        <v>0.74324000000000001</v>
      </c>
      <c r="I95" s="13">
        <v>0</v>
      </c>
    </row>
    <row r="96" spans="1:9" ht="15" hidden="1" customHeight="1">
      <c r="A96" s="29"/>
      <c r="B96" s="49" t="s">
        <v>82</v>
      </c>
      <c r="C96" s="51" t="s">
        <v>124</v>
      </c>
      <c r="D96" s="44"/>
      <c r="E96" s="13"/>
      <c r="F96" s="13">
        <v>3</v>
      </c>
      <c r="G96" s="13">
        <v>180.15</v>
      </c>
      <c r="H96" s="82">
        <f t="shared" si="7"/>
        <v>0.5404500000000001</v>
      </c>
      <c r="I96" s="13">
        <v>0</v>
      </c>
    </row>
    <row r="97" spans="1:9" ht="31.5" hidden="1" customHeight="1">
      <c r="A97" s="29"/>
      <c r="B97" s="49" t="s">
        <v>158</v>
      </c>
      <c r="C97" s="51" t="s">
        <v>96</v>
      </c>
      <c r="D97" s="44"/>
      <c r="E97" s="13"/>
      <c r="F97" s="13">
        <f>3.11/10</f>
        <v>0.311</v>
      </c>
      <c r="G97" s="13">
        <v>5641.28</v>
      </c>
      <c r="H97" s="82">
        <f t="shared" si="7"/>
        <v>1.7544380799999999</v>
      </c>
      <c r="I97" s="13">
        <v>0</v>
      </c>
    </row>
    <row r="98" spans="1:9" ht="15" hidden="1" customHeight="1">
      <c r="A98" s="29"/>
      <c r="B98" s="49" t="s">
        <v>159</v>
      </c>
      <c r="C98" s="51" t="s">
        <v>160</v>
      </c>
      <c r="D98" s="44"/>
      <c r="E98" s="13"/>
      <c r="F98" s="13">
        <v>1</v>
      </c>
      <c r="G98" s="13">
        <v>755</v>
      </c>
      <c r="H98" s="82">
        <f t="shared" si="7"/>
        <v>0.755</v>
      </c>
      <c r="I98" s="13">
        <v>0</v>
      </c>
    </row>
    <row r="99" spans="1:9" ht="47.25" hidden="1" customHeight="1">
      <c r="A99" s="29"/>
      <c r="B99" s="50" t="s">
        <v>161</v>
      </c>
      <c r="C99" s="29" t="s">
        <v>96</v>
      </c>
      <c r="D99" s="44"/>
      <c r="E99" s="13"/>
      <c r="F99" s="13">
        <f>2/10</f>
        <v>0.2</v>
      </c>
      <c r="G99" s="13">
        <v>18308.990000000002</v>
      </c>
      <c r="H99" s="82">
        <f t="shared" si="7"/>
        <v>3.6617980000000006</v>
      </c>
      <c r="I99" s="13">
        <v>0</v>
      </c>
    </row>
    <row r="100" spans="1:9" ht="47.25" hidden="1" customHeight="1">
      <c r="A100" s="29"/>
      <c r="B100" s="49" t="s">
        <v>162</v>
      </c>
      <c r="C100" s="51" t="s">
        <v>96</v>
      </c>
      <c r="D100" s="44"/>
      <c r="E100" s="13"/>
      <c r="F100" s="13">
        <f>6/10</f>
        <v>0.6</v>
      </c>
      <c r="G100" s="13">
        <v>9068.24</v>
      </c>
      <c r="H100" s="82">
        <f t="shared" si="7"/>
        <v>5.4409439999999991</v>
      </c>
      <c r="I100" s="13">
        <v>0</v>
      </c>
    </row>
    <row r="101" spans="1:9" ht="15" hidden="1" customHeight="1">
      <c r="A101" s="29"/>
      <c r="B101" s="49" t="s">
        <v>163</v>
      </c>
      <c r="C101" s="51" t="s">
        <v>164</v>
      </c>
      <c r="D101" s="44"/>
      <c r="E101" s="13"/>
      <c r="F101" s="13">
        <v>1</v>
      </c>
      <c r="G101" s="13">
        <v>195.95</v>
      </c>
      <c r="H101" s="82">
        <f t="shared" si="7"/>
        <v>0.19594999999999999</v>
      </c>
      <c r="I101" s="13">
        <v>0</v>
      </c>
    </row>
    <row r="102" spans="1:9" ht="31.5" hidden="1" customHeight="1">
      <c r="A102" s="29"/>
      <c r="B102" s="49" t="s">
        <v>165</v>
      </c>
      <c r="C102" s="51" t="s">
        <v>102</v>
      </c>
      <c r="D102" s="44"/>
      <c r="E102" s="13"/>
      <c r="F102" s="13">
        <v>1</v>
      </c>
      <c r="G102" s="13">
        <v>122.55</v>
      </c>
      <c r="H102" s="82">
        <f t="shared" si="7"/>
        <v>0.12254999999999999</v>
      </c>
      <c r="I102" s="13">
        <v>0</v>
      </c>
    </row>
    <row r="103" spans="1:9" ht="15" hidden="1" customHeight="1">
      <c r="A103" s="29"/>
      <c r="B103" s="49" t="s">
        <v>89</v>
      </c>
      <c r="C103" s="51" t="s">
        <v>90</v>
      </c>
      <c r="D103" s="44"/>
      <c r="E103" s="13"/>
      <c r="F103" s="13">
        <f>45/3</f>
        <v>15</v>
      </c>
      <c r="G103" s="13">
        <v>1063.47</v>
      </c>
      <c r="H103" s="82">
        <f>G103*F103/1000</f>
        <v>15.952050000000002</v>
      </c>
      <c r="I103" s="13">
        <v>0</v>
      </c>
    </row>
    <row r="104" spans="1:9" ht="15" hidden="1" customHeight="1">
      <c r="A104" s="29"/>
      <c r="B104" s="49" t="s">
        <v>166</v>
      </c>
      <c r="C104" s="51" t="s">
        <v>167</v>
      </c>
      <c r="D104" s="44"/>
      <c r="E104" s="13"/>
      <c r="F104" s="13">
        <v>1</v>
      </c>
      <c r="G104" s="13">
        <v>4627.21</v>
      </c>
      <c r="H104" s="82">
        <f>G104*F104/1000</f>
        <v>4.6272099999999998</v>
      </c>
      <c r="I104" s="13">
        <v>0</v>
      </c>
    </row>
    <row r="105" spans="1:9" ht="15" hidden="1" customHeight="1">
      <c r="A105" s="29"/>
      <c r="B105" s="50" t="s">
        <v>105</v>
      </c>
      <c r="C105" s="29" t="s">
        <v>124</v>
      </c>
      <c r="D105" s="44"/>
      <c r="E105" s="13"/>
      <c r="F105" s="13">
        <v>2</v>
      </c>
      <c r="G105" s="13">
        <v>470</v>
      </c>
      <c r="H105" s="82">
        <f t="shared" ref="H105" si="8">G105*F105/1000</f>
        <v>0.94</v>
      </c>
      <c r="I105" s="13">
        <v>0</v>
      </c>
    </row>
    <row r="106" spans="1:9" ht="15" hidden="1" customHeight="1">
      <c r="A106" s="29"/>
      <c r="B106" s="49" t="s">
        <v>103</v>
      </c>
      <c r="C106" s="51" t="s">
        <v>124</v>
      </c>
      <c r="D106" s="44"/>
      <c r="E106" s="13"/>
      <c r="F106" s="13">
        <v>1</v>
      </c>
      <c r="G106" s="13">
        <v>81.73</v>
      </c>
      <c r="H106" s="82">
        <f t="shared" si="7"/>
        <v>8.1729999999999997E-2</v>
      </c>
      <c r="I106" s="13">
        <v>0</v>
      </c>
    </row>
    <row r="107" spans="1:9" ht="15" hidden="1" customHeight="1">
      <c r="A107" s="29"/>
      <c r="B107" s="86" t="s">
        <v>168</v>
      </c>
      <c r="C107" s="66" t="s">
        <v>76</v>
      </c>
      <c r="D107" s="44"/>
      <c r="E107" s="13"/>
      <c r="F107" s="13">
        <f>1/10</f>
        <v>0.1</v>
      </c>
      <c r="G107" s="13">
        <v>9767.5</v>
      </c>
      <c r="H107" s="82">
        <f>G107*F107/1000</f>
        <v>0.97675000000000001</v>
      </c>
      <c r="I107" s="13">
        <v>0</v>
      </c>
    </row>
    <row r="108" spans="1:9" ht="15" customHeight="1">
      <c r="A108" s="29">
        <v>18</v>
      </c>
      <c r="B108" s="52" t="s">
        <v>216</v>
      </c>
      <c r="C108" s="53" t="s">
        <v>124</v>
      </c>
      <c r="D108" s="44"/>
      <c r="E108" s="13"/>
      <c r="F108" s="13"/>
      <c r="G108" s="34">
        <v>60.72</v>
      </c>
      <c r="H108" s="82"/>
      <c r="I108" s="13">
        <f t="shared" ref="I108:I114" si="9">G108*1</f>
        <v>60.72</v>
      </c>
    </row>
    <row r="109" spans="1:9" ht="32.25" customHeight="1">
      <c r="A109" s="29">
        <v>19</v>
      </c>
      <c r="B109" s="52" t="s">
        <v>228</v>
      </c>
      <c r="C109" s="53" t="s">
        <v>124</v>
      </c>
      <c r="D109" s="44" t="s">
        <v>235</v>
      </c>
      <c r="E109" s="13"/>
      <c r="F109" s="13"/>
      <c r="G109" s="34">
        <v>1179.28</v>
      </c>
      <c r="H109" s="82"/>
      <c r="I109" s="13">
        <f t="shared" si="9"/>
        <v>1179.28</v>
      </c>
    </row>
    <row r="110" spans="1:9" ht="14.25" customHeight="1">
      <c r="A110" s="29">
        <v>20</v>
      </c>
      <c r="B110" s="52" t="s">
        <v>229</v>
      </c>
      <c r="C110" s="53" t="s">
        <v>124</v>
      </c>
      <c r="D110" s="44"/>
      <c r="E110" s="13"/>
      <c r="F110" s="13"/>
      <c r="G110" s="34">
        <v>81</v>
      </c>
      <c r="H110" s="82"/>
      <c r="I110" s="13">
        <f t="shared" si="9"/>
        <v>81</v>
      </c>
    </row>
    <row r="111" spans="1:9" ht="14.25" customHeight="1">
      <c r="A111" s="29">
        <v>21</v>
      </c>
      <c r="B111" s="52" t="s">
        <v>230</v>
      </c>
      <c r="C111" s="53" t="s">
        <v>124</v>
      </c>
      <c r="D111" s="102"/>
      <c r="E111" s="17"/>
      <c r="F111" s="34"/>
      <c r="G111" s="34">
        <v>235</v>
      </c>
      <c r="H111" s="82"/>
      <c r="I111" s="109">
        <f t="shared" si="9"/>
        <v>235</v>
      </c>
    </row>
    <row r="112" spans="1:9" ht="14.25" customHeight="1">
      <c r="A112" s="29">
        <v>22</v>
      </c>
      <c r="B112" s="52" t="s">
        <v>231</v>
      </c>
      <c r="C112" s="53" t="s">
        <v>124</v>
      </c>
      <c r="D112" s="102"/>
      <c r="E112" s="17"/>
      <c r="F112" s="34"/>
      <c r="G112" s="34">
        <v>110</v>
      </c>
      <c r="H112" s="82"/>
      <c r="I112" s="109">
        <f t="shared" si="9"/>
        <v>110</v>
      </c>
    </row>
    <row r="113" spans="1:9" ht="14.25" customHeight="1">
      <c r="A113" s="29">
        <v>23</v>
      </c>
      <c r="B113" s="52" t="s">
        <v>232</v>
      </c>
      <c r="C113" s="53" t="s">
        <v>124</v>
      </c>
      <c r="D113" s="102"/>
      <c r="E113" s="17"/>
      <c r="F113" s="34"/>
      <c r="G113" s="34">
        <v>67</v>
      </c>
      <c r="H113" s="82"/>
      <c r="I113" s="109">
        <f t="shared" si="9"/>
        <v>67</v>
      </c>
    </row>
    <row r="114" spans="1:9" ht="14.25" customHeight="1">
      <c r="A114" s="29">
        <v>24</v>
      </c>
      <c r="B114" s="52" t="s">
        <v>221</v>
      </c>
      <c r="C114" s="53" t="s">
        <v>124</v>
      </c>
      <c r="D114" s="102"/>
      <c r="E114" s="17"/>
      <c r="F114" s="34"/>
      <c r="G114" s="34">
        <v>98</v>
      </c>
      <c r="H114" s="82"/>
      <c r="I114" s="109">
        <f t="shared" si="9"/>
        <v>98</v>
      </c>
    </row>
    <row r="115" spans="1:9" ht="48.75" customHeight="1">
      <c r="A115" s="29">
        <v>25</v>
      </c>
      <c r="B115" s="101" t="s">
        <v>189</v>
      </c>
      <c r="C115" s="37" t="s">
        <v>108</v>
      </c>
      <c r="D115" s="102" t="s">
        <v>237</v>
      </c>
      <c r="E115" s="17"/>
      <c r="F115" s="34"/>
      <c r="G115" s="34">
        <v>46994.9</v>
      </c>
      <c r="H115" s="82"/>
      <c r="I115" s="109">
        <f>G115*0.05</f>
        <v>2349.7450000000003</v>
      </c>
    </row>
    <row r="116" spans="1:9" ht="14.25" customHeight="1">
      <c r="A116" s="29">
        <v>26</v>
      </c>
      <c r="B116" s="52" t="s">
        <v>40</v>
      </c>
      <c r="C116" s="53" t="s">
        <v>233</v>
      </c>
      <c r="D116" s="102" t="s">
        <v>213</v>
      </c>
      <c r="E116" s="17"/>
      <c r="F116" s="34"/>
      <c r="G116" s="34">
        <v>8426.7199999999993</v>
      </c>
      <c r="H116" s="82"/>
      <c r="I116" s="109">
        <v>0</v>
      </c>
    </row>
    <row r="117" spans="1:9" ht="14.25" customHeight="1">
      <c r="A117" s="29">
        <v>27</v>
      </c>
      <c r="B117" s="52" t="s">
        <v>157</v>
      </c>
      <c r="C117" s="53" t="s">
        <v>84</v>
      </c>
      <c r="D117" s="102" t="s">
        <v>236</v>
      </c>
      <c r="E117" s="17"/>
      <c r="F117" s="34"/>
      <c r="G117" s="34">
        <v>222.63</v>
      </c>
      <c r="H117" s="82"/>
      <c r="I117" s="109">
        <f>G117*1</f>
        <v>222.63</v>
      </c>
    </row>
    <row r="118" spans="1:9" ht="14.25" customHeight="1">
      <c r="A118" s="29">
        <v>29</v>
      </c>
      <c r="B118" s="52" t="s">
        <v>234</v>
      </c>
      <c r="C118" s="53" t="s">
        <v>190</v>
      </c>
      <c r="D118" s="102" t="s">
        <v>213</v>
      </c>
      <c r="E118" s="17"/>
      <c r="F118" s="34"/>
      <c r="G118" s="34">
        <v>27139.18</v>
      </c>
      <c r="H118" s="82"/>
      <c r="I118" s="109">
        <v>0</v>
      </c>
    </row>
    <row r="119" spans="1:9" ht="27.75" customHeight="1">
      <c r="A119" s="29">
        <v>30</v>
      </c>
      <c r="B119" s="52" t="s">
        <v>205</v>
      </c>
      <c r="C119" s="53" t="s">
        <v>39</v>
      </c>
      <c r="D119" s="102" t="s">
        <v>213</v>
      </c>
      <c r="E119" s="17"/>
      <c r="F119" s="34"/>
      <c r="G119" s="34">
        <v>4070.89</v>
      </c>
      <c r="H119" s="82"/>
      <c r="I119" s="109">
        <v>0</v>
      </c>
    </row>
    <row r="120" spans="1:9" ht="15.75" customHeight="1">
      <c r="A120" s="29"/>
      <c r="B120" s="42" t="s">
        <v>53</v>
      </c>
      <c r="C120" s="38"/>
      <c r="D120" s="46"/>
      <c r="E120" s="38">
        <v>1</v>
      </c>
      <c r="F120" s="38"/>
      <c r="G120" s="38"/>
      <c r="H120" s="38"/>
      <c r="I120" s="32">
        <f>SUM(I90:I119)</f>
        <v>4403.3750000000009</v>
      </c>
    </row>
    <row r="121" spans="1:9" ht="15.75" customHeight="1">
      <c r="A121" s="29"/>
      <c r="B121" s="44" t="s">
        <v>79</v>
      </c>
      <c r="C121" s="15"/>
      <c r="D121" s="15"/>
      <c r="E121" s="39"/>
      <c r="F121" s="39"/>
      <c r="G121" s="40"/>
      <c r="H121" s="40"/>
      <c r="I121" s="17">
        <v>0</v>
      </c>
    </row>
    <row r="122" spans="1:9" ht="15.75" customHeight="1">
      <c r="A122" s="47"/>
      <c r="B122" s="43" t="s">
        <v>182</v>
      </c>
      <c r="C122" s="33"/>
      <c r="D122" s="33"/>
      <c r="E122" s="33"/>
      <c r="F122" s="33"/>
      <c r="G122" s="33"/>
      <c r="H122" s="33"/>
      <c r="I122" s="41">
        <f>I88+I120</f>
        <v>47002.228136666672</v>
      </c>
    </row>
    <row r="123" spans="1:9" ht="15.75">
      <c r="A123" s="180" t="s">
        <v>323</v>
      </c>
      <c r="B123" s="180"/>
      <c r="C123" s="180"/>
      <c r="D123" s="180"/>
      <c r="E123" s="180"/>
      <c r="F123" s="180"/>
      <c r="G123" s="180"/>
      <c r="H123" s="180"/>
      <c r="I123" s="180"/>
    </row>
    <row r="124" spans="1:9" ht="15.75">
      <c r="A124" s="60"/>
      <c r="B124" s="181" t="s">
        <v>324</v>
      </c>
      <c r="C124" s="181"/>
      <c r="D124" s="181"/>
      <c r="E124" s="181"/>
      <c r="F124" s="181"/>
      <c r="G124" s="181"/>
      <c r="H124" s="65"/>
      <c r="I124" s="3"/>
    </row>
    <row r="125" spans="1:9">
      <c r="A125" s="56"/>
      <c r="B125" s="182" t="s">
        <v>6</v>
      </c>
      <c r="C125" s="182"/>
      <c r="D125" s="182"/>
      <c r="E125" s="182"/>
      <c r="F125" s="182"/>
      <c r="G125" s="182"/>
      <c r="H125" s="24"/>
      <c r="I125" s="5"/>
    </row>
    <row r="126" spans="1:9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ht="15.75">
      <c r="A127" s="183" t="s">
        <v>7</v>
      </c>
      <c r="B127" s="183"/>
      <c r="C127" s="183"/>
      <c r="D127" s="183"/>
      <c r="E127" s="183"/>
      <c r="F127" s="183"/>
      <c r="G127" s="183"/>
      <c r="H127" s="183"/>
      <c r="I127" s="183"/>
    </row>
    <row r="128" spans="1:9" ht="15.75">
      <c r="A128" s="183" t="s">
        <v>8</v>
      </c>
      <c r="B128" s="183"/>
      <c r="C128" s="183"/>
      <c r="D128" s="183"/>
      <c r="E128" s="183"/>
      <c r="F128" s="183"/>
      <c r="G128" s="183"/>
      <c r="H128" s="183"/>
      <c r="I128" s="183"/>
    </row>
    <row r="129" spans="1:9" ht="15.75">
      <c r="A129" s="172" t="s">
        <v>62</v>
      </c>
      <c r="B129" s="172"/>
      <c r="C129" s="172"/>
      <c r="D129" s="172"/>
      <c r="E129" s="172"/>
      <c r="F129" s="172"/>
      <c r="G129" s="172"/>
      <c r="H129" s="172"/>
      <c r="I129" s="172"/>
    </row>
    <row r="130" spans="1:9" ht="15.75">
      <c r="A130" s="11"/>
    </row>
    <row r="131" spans="1:9" ht="15.75">
      <c r="A131" s="185" t="s">
        <v>9</v>
      </c>
      <c r="B131" s="185"/>
      <c r="C131" s="185"/>
      <c r="D131" s="185"/>
      <c r="E131" s="185"/>
      <c r="F131" s="185"/>
      <c r="G131" s="185"/>
      <c r="H131" s="185"/>
      <c r="I131" s="185"/>
    </row>
    <row r="132" spans="1:9" ht="15.75">
      <c r="A132" s="4"/>
    </row>
    <row r="133" spans="1:9" ht="15.75">
      <c r="B133" s="59" t="s">
        <v>10</v>
      </c>
      <c r="C133" s="186" t="s">
        <v>88</v>
      </c>
      <c r="D133" s="186"/>
      <c r="E133" s="186"/>
      <c r="F133" s="63"/>
      <c r="I133" s="55"/>
    </row>
    <row r="134" spans="1:9">
      <c r="A134" s="56"/>
      <c r="C134" s="182" t="s">
        <v>11</v>
      </c>
      <c r="D134" s="182"/>
      <c r="E134" s="182"/>
      <c r="F134" s="24"/>
      <c r="I134" s="54" t="s">
        <v>12</v>
      </c>
    </row>
    <row r="135" spans="1:9" ht="15.75">
      <c r="A135" s="25"/>
      <c r="C135" s="12"/>
      <c r="D135" s="12"/>
      <c r="G135" s="12"/>
      <c r="H135" s="12"/>
    </row>
    <row r="136" spans="1:9" ht="15.75">
      <c r="B136" s="59" t="s">
        <v>13</v>
      </c>
      <c r="C136" s="187"/>
      <c r="D136" s="187"/>
      <c r="E136" s="187"/>
      <c r="F136" s="64"/>
      <c r="I136" s="55"/>
    </row>
    <row r="137" spans="1:9">
      <c r="A137" s="56"/>
      <c r="C137" s="162" t="s">
        <v>11</v>
      </c>
      <c r="D137" s="162"/>
      <c r="E137" s="162"/>
      <c r="F137" s="56"/>
      <c r="I137" s="54" t="s">
        <v>12</v>
      </c>
    </row>
    <row r="138" spans="1:9" ht="15.75">
      <c r="A138" s="4" t="s">
        <v>14</v>
      </c>
    </row>
    <row r="139" spans="1:9">
      <c r="A139" s="188" t="s">
        <v>15</v>
      </c>
      <c r="B139" s="188"/>
      <c r="C139" s="188"/>
      <c r="D139" s="188"/>
      <c r="E139" s="188"/>
      <c r="F139" s="188"/>
      <c r="G139" s="188"/>
      <c r="H139" s="188"/>
      <c r="I139" s="188"/>
    </row>
    <row r="140" spans="1:9" ht="45" customHeight="1">
      <c r="A140" s="184" t="s">
        <v>16</v>
      </c>
      <c r="B140" s="184"/>
      <c r="C140" s="184"/>
      <c r="D140" s="184"/>
      <c r="E140" s="184"/>
      <c r="F140" s="184"/>
      <c r="G140" s="184"/>
      <c r="H140" s="184"/>
      <c r="I140" s="184"/>
    </row>
    <row r="141" spans="1:9" ht="30" customHeight="1">
      <c r="A141" s="184" t="s">
        <v>17</v>
      </c>
      <c r="B141" s="184"/>
      <c r="C141" s="184"/>
      <c r="D141" s="184"/>
      <c r="E141" s="184"/>
      <c r="F141" s="184"/>
      <c r="G141" s="184"/>
      <c r="H141" s="184"/>
      <c r="I141" s="184"/>
    </row>
    <row r="142" spans="1:9" ht="30" customHeight="1">
      <c r="A142" s="184" t="s">
        <v>21</v>
      </c>
      <c r="B142" s="184"/>
      <c r="C142" s="184"/>
      <c r="D142" s="184"/>
      <c r="E142" s="184"/>
      <c r="F142" s="184"/>
      <c r="G142" s="184"/>
      <c r="H142" s="184"/>
      <c r="I142" s="184"/>
    </row>
    <row r="143" spans="1:9" ht="15.75">
      <c r="A143" s="184" t="s">
        <v>20</v>
      </c>
      <c r="B143" s="184"/>
      <c r="C143" s="184"/>
      <c r="D143" s="184"/>
      <c r="E143" s="184"/>
      <c r="F143" s="184"/>
      <c r="G143" s="184"/>
      <c r="H143" s="184"/>
      <c r="I143" s="184"/>
    </row>
  </sheetData>
  <autoFilter ref="I12:I61"/>
  <mergeCells count="29">
    <mergeCell ref="A140:I140"/>
    <mergeCell ref="A141:I141"/>
    <mergeCell ref="A142:I142"/>
    <mergeCell ref="A143:I143"/>
    <mergeCell ref="A131:I131"/>
    <mergeCell ref="C133:E133"/>
    <mergeCell ref="C134:E134"/>
    <mergeCell ref="C136:E136"/>
    <mergeCell ref="C137:E137"/>
    <mergeCell ref="A139:I139"/>
    <mergeCell ref="A129:I129"/>
    <mergeCell ref="A15:I15"/>
    <mergeCell ref="A28:I28"/>
    <mergeCell ref="A46:I46"/>
    <mergeCell ref="A57:I57"/>
    <mergeCell ref="A89:I89"/>
    <mergeCell ref="A123:I123"/>
    <mergeCell ref="B124:G124"/>
    <mergeCell ref="B125:G125"/>
    <mergeCell ref="A127:I127"/>
    <mergeCell ref="A128:I128"/>
    <mergeCell ref="R66:U66"/>
    <mergeCell ref="A85:I8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topLeftCell="A85" workbookViewId="0">
      <selection activeCell="B86" sqref="B86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172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240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43921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219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239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F16*G16/156*10</f>
        <v>1507.3344399999999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238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F17/12*G17-1205.87</f>
        <v>4019.556058666667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220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113</v>
      </c>
      <c r="C30" s="68" t="s">
        <v>114</v>
      </c>
      <c r="D30" s="67" t="s">
        <v>115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1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169</v>
      </c>
      <c r="C31" s="68" t="s">
        <v>114</v>
      </c>
      <c r="D31" s="67" t="s">
        <v>116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1"/>
        <v>1.3717735199999999</v>
      </c>
      <c r="I31" s="13">
        <f t="shared" ref="I31:I34" si="2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114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1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147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2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148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2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1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1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132</v>
      </c>
      <c r="I37" s="13"/>
      <c r="J37" s="23"/>
    </row>
    <row r="38" spans="1:14" ht="15" hidden="1" customHeight="1">
      <c r="A38" s="29">
        <v>7</v>
      </c>
      <c r="B38" s="150" t="s">
        <v>26</v>
      </c>
      <c r="C38" s="121" t="s">
        <v>32</v>
      </c>
      <c r="D38" s="120"/>
      <c r="E38" s="122"/>
      <c r="F38" s="123">
        <v>6</v>
      </c>
      <c r="G38" s="123">
        <v>1855</v>
      </c>
      <c r="H38" s="71">
        <f t="shared" ref="H38:H45" si="3">SUM(F38*G38/1000)</f>
        <v>11.13</v>
      </c>
      <c r="I38" s="13">
        <f>G38*0.4</f>
        <v>742</v>
      </c>
      <c r="J38" s="23"/>
    </row>
    <row r="39" spans="1:14" ht="15" customHeight="1">
      <c r="A39" s="29">
        <v>7</v>
      </c>
      <c r="B39" s="150" t="s">
        <v>225</v>
      </c>
      <c r="C39" s="151" t="s">
        <v>29</v>
      </c>
      <c r="D39" s="150" t="s">
        <v>210</v>
      </c>
      <c r="E39" s="153">
        <v>68</v>
      </c>
      <c r="F39" s="153">
        <f>SUM(E39*30/1000)</f>
        <v>2.04</v>
      </c>
      <c r="G39" s="153">
        <v>3014.36</v>
      </c>
      <c r="H39" s="71">
        <f t="shared" si="3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7</v>
      </c>
      <c r="B40" s="120" t="s">
        <v>94</v>
      </c>
      <c r="C40" s="121" t="s">
        <v>119</v>
      </c>
      <c r="D40" s="120" t="s">
        <v>149</v>
      </c>
      <c r="E40" s="122"/>
      <c r="F40" s="153">
        <v>39</v>
      </c>
      <c r="G40" s="123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18" customHeight="1">
      <c r="A41" s="29">
        <v>8</v>
      </c>
      <c r="B41" s="120" t="s">
        <v>68</v>
      </c>
      <c r="C41" s="121" t="s">
        <v>29</v>
      </c>
      <c r="D41" s="120" t="s">
        <v>215</v>
      </c>
      <c r="E41" s="123">
        <v>68</v>
      </c>
      <c r="F41" s="153">
        <f>SUM(E41*72/1000)</f>
        <v>4.8959999999999999</v>
      </c>
      <c r="G41" s="123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33" customHeight="1">
      <c r="A42" s="29">
        <v>9</v>
      </c>
      <c r="B42" s="120" t="s">
        <v>83</v>
      </c>
      <c r="C42" s="121" t="s">
        <v>114</v>
      </c>
      <c r="D42" s="120" t="s">
        <v>211</v>
      </c>
      <c r="E42" s="123">
        <v>68</v>
      </c>
      <c r="F42" s="153">
        <f>SUM(E42*24/1000)</f>
        <v>1.6319999999999999</v>
      </c>
      <c r="G42" s="123">
        <v>8319.2999999999993</v>
      </c>
      <c r="H42" s="71">
        <f t="shared" si="3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47.25" hidden="1" customHeight="1">
      <c r="A43" s="29">
        <v>9</v>
      </c>
      <c r="B43" s="120" t="s">
        <v>121</v>
      </c>
      <c r="C43" s="121" t="s">
        <v>114</v>
      </c>
      <c r="D43" s="120" t="s">
        <v>212</v>
      </c>
      <c r="E43" s="123">
        <v>68</v>
      </c>
      <c r="F43" s="153">
        <f>SUM(E43*45/1000)</f>
        <v>3.06</v>
      </c>
      <c r="G43" s="123">
        <v>614.55999999999995</v>
      </c>
      <c r="H43" s="71">
        <f t="shared" si="3"/>
        <v>1.8805536</v>
      </c>
      <c r="I43" s="13">
        <f>F43/7.5*G43</f>
        <v>250.74047999999999</v>
      </c>
      <c r="J43" s="23"/>
      <c r="L43" s="19"/>
      <c r="M43" s="20"/>
      <c r="N43" s="21"/>
    </row>
    <row r="44" spans="1:14" ht="15" hidden="1" customHeight="1">
      <c r="A44" s="29">
        <v>10</v>
      </c>
      <c r="B44" s="150" t="s">
        <v>70</v>
      </c>
      <c r="C44" s="151" t="s">
        <v>33</v>
      </c>
      <c r="D44" s="150"/>
      <c r="E44" s="152"/>
      <c r="F44" s="153">
        <v>0.9</v>
      </c>
      <c r="G44" s="153">
        <v>800</v>
      </c>
      <c r="H44" s="71">
        <f t="shared" si="3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0" customHeight="1">
      <c r="A45" s="29">
        <v>10</v>
      </c>
      <c r="B45" s="150" t="s">
        <v>224</v>
      </c>
      <c r="C45" s="151" t="s">
        <v>114</v>
      </c>
      <c r="D45" s="150" t="s">
        <v>220</v>
      </c>
      <c r="E45" s="152">
        <v>3</v>
      </c>
      <c r="F45" s="153">
        <f>E45*12/1000</f>
        <v>3.5999999999999997E-2</v>
      </c>
      <c r="G45" s="153">
        <v>19757.060000000001</v>
      </c>
      <c r="H45" s="71">
        <f t="shared" si="3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15.75" hidden="1" customHeight="1">
      <c r="A46" s="174" t="s">
        <v>143</v>
      </c>
      <c r="B46" s="175"/>
      <c r="C46" s="175"/>
      <c r="D46" s="175"/>
      <c r="E46" s="175"/>
      <c r="F46" s="175"/>
      <c r="G46" s="175"/>
      <c r="H46" s="175"/>
      <c r="I46" s="176"/>
      <c r="J46" s="23"/>
      <c r="L46" s="19"/>
      <c r="M46" s="20"/>
      <c r="N46" s="21"/>
    </row>
    <row r="47" spans="1:14" ht="15" hidden="1" customHeight="1">
      <c r="A47" s="29"/>
      <c r="B47" s="67" t="s">
        <v>139</v>
      </c>
      <c r="C47" s="68" t="s">
        <v>114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4">SUM(F47*G47/1000)</f>
        <v>1.7187541239999997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36</v>
      </c>
      <c r="C48" s="68" t="s">
        <v>114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4"/>
        <v>6.0265920000000001E-2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37</v>
      </c>
      <c r="C49" s="68" t="s">
        <v>114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4"/>
        <v>1.4357196480000001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38</v>
      </c>
      <c r="C50" s="68" t="s">
        <v>114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4"/>
        <v>2.1771028954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34</v>
      </c>
      <c r="C51" s="68" t="s">
        <v>35</v>
      </c>
      <c r="D51" s="67" t="s">
        <v>150</v>
      </c>
      <c r="E51" s="69">
        <v>85.78</v>
      </c>
      <c r="F51" s="70">
        <f>SUM(E51*2/100)</f>
        <v>1.7156</v>
      </c>
      <c r="G51" s="13">
        <v>72.81</v>
      </c>
      <c r="H51" s="71">
        <f t="shared" si="4"/>
        <v>0.124912836</v>
      </c>
      <c r="I51" s="13">
        <v>0</v>
      </c>
      <c r="J51" s="23"/>
      <c r="L51" s="19"/>
      <c r="M51" s="20"/>
      <c r="N51" s="21"/>
    </row>
    <row r="52" spans="1:22" ht="15" hidden="1" customHeight="1">
      <c r="A52" s="29">
        <v>13</v>
      </c>
      <c r="B52" s="67" t="s">
        <v>57</v>
      </c>
      <c r="C52" s="68" t="s">
        <v>114</v>
      </c>
      <c r="D52" s="67" t="s">
        <v>170</v>
      </c>
      <c r="E52" s="69">
        <v>884</v>
      </c>
      <c r="F52" s="70">
        <f>SUM(E52*5/1000)</f>
        <v>4.42</v>
      </c>
      <c r="G52" s="13">
        <v>1213.55</v>
      </c>
      <c r="H52" s="71">
        <f t="shared" si="4"/>
        <v>5.3638909999999997</v>
      </c>
      <c r="I52" s="13">
        <f>F52/5*G52</f>
        <v>1072.7782</v>
      </c>
      <c r="J52" s="23"/>
      <c r="L52" s="19"/>
      <c r="M52" s="20"/>
      <c r="N52" s="21"/>
    </row>
    <row r="53" spans="1:22" ht="31.5" hidden="1" customHeight="1">
      <c r="A53" s="29"/>
      <c r="B53" s="67" t="s">
        <v>122</v>
      </c>
      <c r="C53" s="68" t="s">
        <v>114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4"/>
        <v>2.1455563999999998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7" t="s">
        <v>123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4"/>
        <v>1.0921959999999999</v>
      </c>
      <c r="I54" s="13">
        <v>0</v>
      </c>
      <c r="J54" s="23"/>
      <c r="L54" s="19"/>
      <c r="M54" s="20"/>
      <c r="N54" s="21"/>
    </row>
    <row r="55" spans="1:22" ht="15" hidden="1" customHeight="1">
      <c r="A55" s="29"/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4"/>
        <v>0.11304260000000001</v>
      </c>
      <c r="I55" s="13">
        <v>0</v>
      </c>
      <c r="J55" s="23"/>
      <c r="L55" s="19"/>
      <c r="M55" s="20"/>
      <c r="N55" s="21"/>
    </row>
    <row r="56" spans="1:22" ht="15" hidden="1" customHeight="1">
      <c r="A56" s="29">
        <v>14</v>
      </c>
      <c r="B56" s="67" t="s">
        <v>42</v>
      </c>
      <c r="C56" s="68" t="s">
        <v>30</v>
      </c>
      <c r="D56" s="67" t="s">
        <v>71</v>
      </c>
      <c r="E56" s="69">
        <v>136</v>
      </c>
      <c r="F56" s="70">
        <f>SUM(E56)*3</f>
        <v>408</v>
      </c>
      <c r="G56" s="13">
        <v>65.67</v>
      </c>
      <c r="H56" s="71">
        <f t="shared" si="4"/>
        <v>26.79336</v>
      </c>
      <c r="I56" s="13">
        <f>E56*G56</f>
        <v>8931.1200000000008</v>
      </c>
      <c r="J56" s="23"/>
      <c r="L56" s="19"/>
      <c r="M56" s="20"/>
      <c r="N56" s="21"/>
    </row>
    <row r="57" spans="1:22" ht="15.75" customHeight="1">
      <c r="A57" s="174" t="s">
        <v>173</v>
      </c>
      <c r="B57" s="175"/>
      <c r="C57" s="175"/>
      <c r="D57" s="175"/>
      <c r="E57" s="175"/>
      <c r="F57" s="175"/>
      <c r="G57" s="175"/>
      <c r="H57" s="175"/>
      <c r="I57" s="176"/>
      <c r="J57" s="23"/>
      <c r="L57" s="19"/>
      <c r="M57" s="20"/>
      <c r="N57" s="21"/>
    </row>
    <row r="58" spans="1:22" ht="15" hidden="1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hidden="1" customHeight="1">
      <c r="A59" s="29">
        <v>12</v>
      </c>
      <c r="B59" s="67" t="s">
        <v>125</v>
      </c>
      <c r="C59" s="68" t="s">
        <v>99</v>
      </c>
      <c r="D59" s="67"/>
      <c r="E59" s="69">
        <v>106.13</v>
      </c>
      <c r="F59" s="70">
        <f>E59*6/100</f>
        <v>6.3677999999999999</v>
      </c>
      <c r="G59" s="76">
        <v>1547.28</v>
      </c>
      <c r="H59" s="71">
        <f>F59*G59/1000</f>
        <v>9.8527695839999989</v>
      </c>
      <c r="I59" s="13">
        <f>G59*0.4718</f>
        <v>730.00670400000001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11</v>
      </c>
      <c r="B62" s="78" t="s">
        <v>95</v>
      </c>
      <c r="C62" s="77" t="s">
        <v>25</v>
      </c>
      <c r="D62" s="103" t="s">
        <v>213</v>
      </c>
      <c r="E62" s="105">
        <v>100</v>
      </c>
      <c r="F62" s="106">
        <f>E62*12</f>
        <v>1200</v>
      </c>
      <c r="G62" s="107">
        <v>1.4</v>
      </c>
      <c r="H62" s="89">
        <f>G62*F62</f>
        <v>1680</v>
      </c>
      <c r="I62" s="13">
        <f>F62/12*G62</f>
        <v>140</v>
      </c>
    </row>
    <row r="63" spans="1:22" ht="17.25" hidden="1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132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" hidden="1" customHeight="1">
      <c r="A64" s="29">
        <v>14</v>
      </c>
      <c r="B64" s="14" t="s">
        <v>48</v>
      </c>
      <c r="C64" s="16" t="s">
        <v>124</v>
      </c>
      <c r="D64" s="14" t="s">
        <v>213</v>
      </c>
      <c r="E64" s="18">
        <v>20</v>
      </c>
      <c r="F64" s="70">
        <v>20</v>
      </c>
      <c r="G64" s="91">
        <v>222.4</v>
      </c>
      <c r="H64" s="90">
        <f t="shared" ref="H64:H82" si="5">SUM(F64*G64/1000)</f>
        <v>4.4480000000000004</v>
      </c>
      <c r="I64" s="13">
        <f>G64</f>
        <v>222.4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3.5" hidden="1" customHeight="1">
      <c r="A65" s="29">
        <v>16</v>
      </c>
      <c r="B65" s="14" t="s">
        <v>49</v>
      </c>
      <c r="C65" s="16" t="s">
        <v>124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5"/>
        <v>#VALUE!</v>
      </c>
      <c r="I65" s="13">
        <f>G65</f>
        <v>76.25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idden="1">
      <c r="A66" s="29"/>
      <c r="B66" s="14" t="s">
        <v>50</v>
      </c>
      <c r="C66" s="16" t="s">
        <v>126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5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2"/>
      <c r="S66" s="162"/>
      <c r="T66" s="162"/>
      <c r="U66" s="162"/>
    </row>
    <row r="67" spans="1:21" ht="15" hidden="1" customHeight="1">
      <c r="A67" s="29"/>
      <c r="B67" s="14" t="s">
        <v>51</v>
      </c>
      <c r="C67" s="16" t="s">
        <v>127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5"/>
        <v>2.08941087</v>
      </c>
      <c r="I67" s="13">
        <f t="shared" ref="I67:I71" si="6">F67*G67</f>
        <v>2089.4108700000002</v>
      </c>
    </row>
    <row r="68" spans="1:21" ht="15.75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5"/>
        <v>39.417970000000004</v>
      </c>
      <c r="I68" s="13">
        <f t="shared" si="6"/>
        <v>39417.97</v>
      </c>
    </row>
    <row r="69" spans="1:21" ht="17.25" hidden="1" customHeight="1">
      <c r="A69" s="29"/>
      <c r="B69" s="83" t="s">
        <v>128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5"/>
        <v>0.48217100000000007</v>
      </c>
      <c r="I69" s="13">
        <f t="shared" si="6"/>
        <v>482.17100000000005</v>
      </c>
    </row>
    <row r="70" spans="1:21" ht="19.5" hidden="1" customHeight="1">
      <c r="A70" s="29"/>
      <c r="B70" s="83" t="s">
        <v>129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5"/>
        <v>0.44985300000000006</v>
      </c>
      <c r="I70" s="13">
        <f t="shared" si="6"/>
        <v>449.85300000000007</v>
      </c>
    </row>
    <row r="71" spans="1:21" ht="22.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5"/>
        <v>0.29928000000000005</v>
      </c>
      <c r="I71" s="13">
        <f t="shared" si="6"/>
        <v>299.28000000000003</v>
      </c>
    </row>
    <row r="72" spans="1:21" ht="18" customHeight="1">
      <c r="A72" s="29"/>
      <c r="B72" s="31" t="s">
        <v>202</v>
      </c>
      <c r="C72" s="16"/>
      <c r="D72" s="14"/>
      <c r="E72" s="18"/>
      <c r="F72" s="13"/>
      <c r="G72" s="116"/>
      <c r="H72" s="116"/>
      <c r="I72" s="117"/>
    </row>
    <row r="73" spans="1:21" ht="30.75" customHeight="1">
      <c r="A73" s="29">
        <v>12</v>
      </c>
      <c r="B73" s="102" t="s">
        <v>200</v>
      </c>
      <c r="C73" s="133" t="s">
        <v>201</v>
      </c>
      <c r="D73" s="134"/>
      <c r="E73" s="17">
        <v>3031.3</v>
      </c>
      <c r="F73" s="35">
        <f>E73*12</f>
        <v>36375.600000000006</v>
      </c>
      <c r="G73" s="35">
        <v>2.4900000000000002</v>
      </c>
      <c r="H73" s="116"/>
      <c r="I73" s="117">
        <f>G73*F73/12</f>
        <v>7547.9370000000017</v>
      </c>
    </row>
    <row r="74" spans="1:21" ht="20.25" hidden="1" customHeight="1">
      <c r="A74" s="29"/>
      <c r="B74" s="57" t="s">
        <v>73</v>
      </c>
      <c r="C74" s="16"/>
      <c r="D74" s="14"/>
      <c r="E74" s="18"/>
      <c r="F74" s="13"/>
      <c r="G74" s="13"/>
      <c r="H74" s="82" t="s">
        <v>132</v>
      </c>
      <c r="I74" s="13"/>
    </row>
    <row r="75" spans="1:21" ht="19.5" hidden="1" customHeight="1">
      <c r="A75" s="29"/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v>0</v>
      </c>
    </row>
    <row r="76" spans="1:21" ht="20.25" hidden="1" customHeight="1">
      <c r="A76" s="29"/>
      <c r="B76" s="14" t="s">
        <v>140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18.75" hidden="1" customHeight="1">
      <c r="A77" s="29"/>
      <c r="B77" s="14" t="s">
        <v>141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15.7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5"/>
        <v>0.35851</v>
      </c>
      <c r="I78" s="13">
        <v>0</v>
      </c>
    </row>
    <row r="79" spans="1:21" ht="16.5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16.5" hidden="1" customHeight="1">
      <c r="A80" s="29"/>
      <c r="B80" s="14"/>
      <c r="C80" s="16"/>
      <c r="D80" s="14"/>
      <c r="E80" s="18"/>
      <c r="F80" s="13"/>
      <c r="G80" s="13"/>
      <c r="H80" s="82"/>
      <c r="I80" s="13"/>
    </row>
    <row r="81" spans="1:9" ht="21" hidden="1" customHeight="1">
      <c r="A81" s="29"/>
      <c r="B81" s="84" t="s">
        <v>77</v>
      </c>
      <c r="C81" s="16"/>
      <c r="D81" s="14"/>
      <c r="E81" s="18"/>
      <c r="F81" s="13"/>
      <c r="G81" s="13" t="s">
        <v>132</v>
      </c>
      <c r="H81" s="82" t="s">
        <v>132</v>
      </c>
      <c r="I81" s="13"/>
    </row>
    <row r="82" spans="1:9" ht="17.25" hidden="1" customHeight="1">
      <c r="A82" s="29"/>
      <c r="B82" s="44" t="s">
        <v>133</v>
      </c>
      <c r="C82" s="16" t="s">
        <v>78</v>
      </c>
      <c r="D82" s="14"/>
      <c r="E82" s="18"/>
      <c r="F82" s="13">
        <v>0.2</v>
      </c>
      <c r="G82" s="13">
        <v>2759.44</v>
      </c>
      <c r="H82" s="82">
        <f t="shared" si="5"/>
        <v>0.55188800000000005</v>
      </c>
      <c r="I82" s="13">
        <v>0</v>
      </c>
    </row>
    <row r="83" spans="1:9" ht="13.5" hidden="1" customHeight="1">
      <c r="A83" s="29"/>
      <c r="B83" s="72" t="s">
        <v>130</v>
      </c>
      <c r="C83" s="84"/>
      <c r="D83" s="31"/>
      <c r="E83" s="32"/>
      <c r="F83" s="73"/>
      <c r="G83" s="73"/>
      <c r="H83" s="85" t="e">
        <f>SUM(H59:H82)</f>
        <v>#VALUE!</v>
      </c>
      <c r="I83" s="73"/>
    </row>
    <row r="84" spans="1:9" ht="14.25" hidden="1" customHeight="1">
      <c r="A84" s="29">
        <v>15</v>
      </c>
      <c r="B84" s="67" t="s">
        <v>131</v>
      </c>
      <c r="C84" s="16"/>
      <c r="D84" s="14"/>
      <c r="E84" s="62"/>
      <c r="F84" s="13">
        <v>1</v>
      </c>
      <c r="G84" s="35">
        <v>14621.4</v>
      </c>
      <c r="H84" s="82">
        <f>G84*F84/1000</f>
        <v>14.6214</v>
      </c>
      <c r="I84" s="13">
        <f>G84</f>
        <v>14621.4</v>
      </c>
    </row>
    <row r="85" spans="1:9" ht="15.75" customHeight="1">
      <c r="A85" s="163" t="s">
        <v>177</v>
      </c>
      <c r="B85" s="164"/>
      <c r="C85" s="164"/>
      <c r="D85" s="164"/>
      <c r="E85" s="164"/>
      <c r="F85" s="164"/>
      <c r="G85" s="164"/>
      <c r="H85" s="164"/>
      <c r="I85" s="165"/>
    </row>
    <row r="86" spans="1:9" ht="15" customHeight="1">
      <c r="A86" s="29">
        <v>13</v>
      </c>
      <c r="B86" s="102" t="s">
        <v>134</v>
      </c>
      <c r="C86" s="110" t="s">
        <v>56</v>
      </c>
      <c r="D86" s="139"/>
      <c r="E86" s="34">
        <v>3031.3</v>
      </c>
      <c r="F86" s="34">
        <f>SUM(E86*12)</f>
        <v>36375.600000000006</v>
      </c>
      <c r="G86" s="34">
        <v>3.38</v>
      </c>
      <c r="H86" s="82">
        <f>SUM(F86*G86/1000)</f>
        <v>122.94952800000002</v>
      </c>
      <c r="I86" s="13">
        <f>F86/12*G86</f>
        <v>10245.794000000002</v>
      </c>
    </row>
    <row r="87" spans="1:9" ht="31.5" customHeight="1">
      <c r="A87" s="29">
        <v>14</v>
      </c>
      <c r="B87" s="102" t="s">
        <v>203</v>
      </c>
      <c r="C87" s="110" t="s">
        <v>25</v>
      </c>
      <c r="D87" s="137"/>
      <c r="E87" s="138">
        <f>E86</f>
        <v>3031.3</v>
      </c>
      <c r="F87" s="135">
        <f>E87*12</f>
        <v>36375.600000000006</v>
      </c>
      <c r="G87" s="135">
        <v>3.05</v>
      </c>
      <c r="H87" s="82">
        <f>F87*G87/1000</f>
        <v>110.94558000000002</v>
      </c>
      <c r="I87" s="13">
        <f>F87/12*G87</f>
        <v>9245.465000000002</v>
      </c>
    </row>
    <row r="88" spans="1:9" ht="15.75" customHeight="1">
      <c r="A88" s="45"/>
      <c r="B88" s="36" t="s">
        <v>80</v>
      </c>
      <c r="C88" s="37"/>
      <c r="D88" s="15"/>
      <c r="E88" s="15"/>
      <c r="F88" s="15"/>
      <c r="G88" s="18"/>
      <c r="H88" s="18"/>
      <c r="I88" s="32">
        <f>I87+I86+I73+I62+I45+I42+I41+I39+I27+I21+I20+I18+I17+I16</f>
        <v>40052.80281666667</v>
      </c>
    </row>
    <row r="89" spans="1:9" ht="15.75" customHeight="1">
      <c r="A89" s="177" t="s">
        <v>61</v>
      </c>
      <c r="B89" s="178"/>
      <c r="C89" s="178"/>
      <c r="D89" s="178"/>
      <c r="E89" s="178"/>
      <c r="F89" s="178"/>
      <c r="G89" s="178"/>
      <c r="H89" s="178"/>
      <c r="I89" s="179"/>
    </row>
    <row r="90" spans="1:9" ht="31.5" customHeight="1">
      <c r="A90" s="29">
        <v>15</v>
      </c>
      <c r="B90" s="101" t="s">
        <v>189</v>
      </c>
      <c r="C90" s="37" t="s">
        <v>108</v>
      </c>
      <c r="D90" s="48" t="s">
        <v>242</v>
      </c>
      <c r="E90" s="34"/>
      <c r="F90" s="34">
        <f>0.05+0.012</f>
        <v>6.2E-2</v>
      </c>
      <c r="G90" s="34">
        <v>46994.9</v>
      </c>
      <c r="H90" s="99">
        <f t="shared" ref="H90" si="7">G90*F90/1000</f>
        <v>2.9136838000000003</v>
      </c>
      <c r="I90" s="100">
        <f>G90*0.012</f>
        <v>563.93880000000001</v>
      </c>
    </row>
    <row r="91" spans="1:9" ht="19.5" customHeight="1">
      <c r="A91" s="29">
        <v>16</v>
      </c>
      <c r="B91" s="52" t="s">
        <v>241</v>
      </c>
      <c r="C91" s="53" t="s">
        <v>81</v>
      </c>
      <c r="D91" s="48" t="s">
        <v>243</v>
      </c>
      <c r="E91" s="34"/>
      <c r="F91" s="34">
        <v>1.5</v>
      </c>
      <c r="G91" s="34">
        <v>1032.48</v>
      </c>
      <c r="H91" s="99">
        <f>G91*F91/1000</f>
        <v>1.5487200000000001</v>
      </c>
      <c r="I91" s="13">
        <f>G91*1.5</f>
        <v>1548.72</v>
      </c>
    </row>
    <row r="92" spans="1:9" ht="15.75" customHeight="1">
      <c r="A92" s="29">
        <v>17</v>
      </c>
      <c r="B92" s="52" t="s">
        <v>82</v>
      </c>
      <c r="C92" s="53" t="s">
        <v>124</v>
      </c>
      <c r="D92" s="48"/>
      <c r="E92" s="34"/>
      <c r="F92" s="34">
        <v>1</v>
      </c>
      <c r="G92" s="34">
        <v>215.85</v>
      </c>
      <c r="H92" s="99"/>
      <c r="I92" s="13">
        <f>G92*1</f>
        <v>215.85</v>
      </c>
    </row>
    <row r="93" spans="1:9" ht="15.75" customHeight="1">
      <c r="A93" s="29">
        <v>18</v>
      </c>
      <c r="B93" s="52" t="s">
        <v>216</v>
      </c>
      <c r="C93" s="53" t="s">
        <v>124</v>
      </c>
      <c r="D93" s="44"/>
      <c r="E93" s="13"/>
      <c r="F93" s="13"/>
      <c r="G93" s="34">
        <v>60.72</v>
      </c>
      <c r="H93" s="82"/>
      <c r="I93" s="13">
        <f t="shared" ref="I93" si="8">G93*1</f>
        <v>60.72</v>
      </c>
    </row>
    <row r="94" spans="1:9" ht="15.75" customHeight="1">
      <c r="A94" s="29"/>
      <c r="B94" s="42" t="s">
        <v>53</v>
      </c>
      <c r="C94" s="38"/>
      <c r="D94" s="46"/>
      <c r="E94" s="38">
        <v>1</v>
      </c>
      <c r="F94" s="38"/>
      <c r="G94" s="38"/>
      <c r="H94" s="38"/>
      <c r="I94" s="32">
        <f>SUM(I90:I93)</f>
        <v>2389.2287999999999</v>
      </c>
    </row>
    <row r="95" spans="1:9" ht="15.75" customHeight="1">
      <c r="A95" s="29"/>
      <c r="B95" s="44" t="s">
        <v>79</v>
      </c>
      <c r="C95" s="15"/>
      <c r="D95" s="15"/>
      <c r="E95" s="39"/>
      <c r="F95" s="39"/>
      <c r="G95" s="40"/>
      <c r="H95" s="40"/>
      <c r="I95" s="17">
        <v>0</v>
      </c>
    </row>
    <row r="96" spans="1:9" ht="15.75" customHeight="1">
      <c r="A96" s="47"/>
      <c r="B96" s="43" t="s">
        <v>182</v>
      </c>
      <c r="C96" s="33"/>
      <c r="D96" s="33"/>
      <c r="E96" s="33"/>
      <c r="F96" s="33"/>
      <c r="G96" s="33"/>
      <c r="H96" s="33"/>
      <c r="I96" s="41">
        <f>I88+I94</f>
        <v>42442.031616666667</v>
      </c>
    </row>
    <row r="97" spans="1:9" ht="15.75">
      <c r="A97" s="180" t="s">
        <v>245</v>
      </c>
      <c r="B97" s="180"/>
      <c r="C97" s="180"/>
      <c r="D97" s="180"/>
      <c r="E97" s="180"/>
      <c r="F97" s="180"/>
      <c r="G97" s="180"/>
      <c r="H97" s="180"/>
      <c r="I97" s="180"/>
    </row>
    <row r="98" spans="1:9" ht="15.75">
      <c r="A98" s="60"/>
      <c r="B98" s="181" t="s">
        <v>246</v>
      </c>
      <c r="C98" s="181"/>
      <c r="D98" s="181"/>
      <c r="E98" s="181"/>
      <c r="F98" s="181"/>
      <c r="G98" s="181"/>
      <c r="H98" s="65"/>
      <c r="I98" s="3"/>
    </row>
    <row r="99" spans="1:9">
      <c r="A99" s="56"/>
      <c r="B99" s="182" t="s">
        <v>6</v>
      </c>
      <c r="C99" s="182"/>
      <c r="D99" s="182"/>
      <c r="E99" s="182"/>
      <c r="F99" s="182"/>
      <c r="G99" s="182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3" t="s">
        <v>7</v>
      </c>
      <c r="B101" s="183"/>
      <c r="C101" s="183"/>
      <c r="D101" s="183"/>
      <c r="E101" s="183"/>
      <c r="F101" s="183"/>
      <c r="G101" s="183"/>
      <c r="H101" s="183"/>
      <c r="I101" s="183"/>
    </row>
    <row r="102" spans="1:9" ht="15.75">
      <c r="A102" s="183" t="s">
        <v>8</v>
      </c>
      <c r="B102" s="183"/>
      <c r="C102" s="183"/>
      <c r="D102" s="183"/>
      <c r="E102" s="183"/>
      <c r="F102" s="183"/>
      <c r="G102" s="183"/>
      <c r="H102" s="183"/>
      <c r="I102" s="183"/>
    </row>
    <row r="103" spans="1:9" ht="15.75">
      <c r="A103" s="172" t="s">
        <v>62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>
      <c r="A104" s="11"/>
    </row>
    <row r="105" spans="1:9" ht="15.75">
      <c r="A105" s="185" t="s">
        <v>9</v>
      </c>
      <c r="B105" s="185"/>
      <c r="C105" s="185"/>
      <c r="D105" s="185"/>
      <c r="E105" s="185"/>
      <c r="F105" s="185"/>
      <c r="G105" s="185"/>
      <c r="H105" s="185"/>
      <c r="I105" s="185"/>
    </row>
    <row r="106" spans="1:9" ht="15.75">
      <c r="A106" s="4"/>
    </row>
    <row r="107" spans="1:9" ht="15.75">
      <c r="B107" s="59" t="s">
        <v>10</v>
      </c>
      <c r="C107" s="186" t="s">
        <v>88</v>
      </c>
      <c r="D107" s="186"/>
      <c r="E107" s="186"/>
      <c r="F107" s="63"/>
      <c r="I107" s="55"/>
    </row>
    <row r="108" spans="1:9">
      <c r="A108" s="56"/>
      <c r="C108" s="182" t="s">
        <v>11</v>
      </c>
      <c r="D108" s="182"/>
      <c r="E108" s="182"/>
      <c r="F108" s="24"/>
      <c r="I108" s="54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9" t="s">
        <v>13</v>
      </c>
      <c r="C110" s="187"/>
      <c r="D110" s="187"/>
      <c r="E110" s="187"/>
      <c r="F110" s="64"/>
      <c r="I110" s="55"/>
    </row>
    <row r="111" spans="1:9">
      <c r="A111" s="56"/>
      <c r="C111" s="162" t="s">
        <v>11</v>
      </c>
      <c r="D111" s="162"/>
      <c r="E111" s="162"/>
      <c r="F111" s="56"/>
      <c r="I111" s="54" t="s">
        <v>12</v>
      </c>
    </row>
    <row r="112" spans="1:9" ht="15.75">
      <c r="A112" s="4" t="s">
        <v>14</v>
      </c>
    </row>
    <row r="113" spans="1:9">
      <c r="A113" s="188" t="s">
        <v>15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45" customHeight="1">
      <c r="A114" s="184" t="s">
        <v>16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30" customHeight="1">
      <c r="A115" s="184" t="s">
        <v>17</v>
      </c>
      <c r="B115" s="184"/>
      <c r="C115" s="184"/>
      <c r="D115" s="184"/>
      <c r="E115" s="184"/>
      <c r="F115" s="184"/>
      <c r="G115" s="184"/>
      <c r="H115" s="184"/>
      <c r="I115" s="184"/>
    </row>
    <row r="116" spans="1:9" ht="30" customHeight="1">
      <c r="A116" s="184" t="s">
        <v>21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15.75">
      <c r="A117" s="184" t="s">
        <v>20</v>
      </c>
      <c r="B117" s="184"/>
      <c r="C117" s="184"/>
      <c r="D117" s="184"/>
      <c r="E117" s="184"/>
      <c r="F117" s="184"/>
      <c r="G117" s="184"/>
      <c r="H117" s="184"/>
      <c r="I117" s="184"/>
    </row>
  </sheetData>
  <autoFilter ref="I12:I61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6:I46"/>
    <mergeCell ref="A57:I57"/>
    <mergeCell ref="A89:I89"/>
    <mergeCell ref="A97:I97"/>
    <mergeCell ref="B98:G98"/>
    <mergeCell ref="B99:G99"/>
    <mergeCell ref="A101:I101"/>
    <mergeCell ref="A102:I102"/>
    <mergeCell ref="R66:U66"/>
    <mergeCell ref="A85:I8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5"/>
  <sheetViews>
    <sheetView topLeftCell="A57" workbookViewId="0">
      <selection activeCell="B81" sqref="B81:I8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174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244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43951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219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ref="H17" si="1">SUM(F17*G17/1000)</f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213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ref="H18:H26" si="2">SUM(F18*G18/1000)</f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2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2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2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2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2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113</v>
      </c>
      <c r="C30" s="68" t="s">
        <v>114</v>
      </c>
      <c r="D30" s="67" t="s">
        <v>115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3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169</v>
      </c>
      <c r="C31" s="68" t="s">
        <v>114</v>
      </c>
      <c r="D31" s="67" t="s">
        <v>116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3"/>
        <v>1.3717735199999999</v>
      </c>
      <c r="I31" s="13">
        <f t="shared" ref="I31:I34" si="4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114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3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147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4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148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4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3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3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132</v>
      </c>
      <c r="I37" s="13"/>
      <c r="J37" s="23"/>
    </row>
    <row r="38" spans="1:14" ht="15" hidden="1" customHeight="1">
      <c r="A38" s="29">
        <v>6</v>
      </c>
      <c r="B38" s="67" t="s">
        <v>26</v>
      </c>
      <c r="C38" s="68" t="s">
        <v>32</v>
      </c>
      <c r="D38" s="67"/>
      <c r="E38" s="69"/>
      <c r="F38" s="70">
        <v>6</v>
      </c>
      <c r="G38" s="70">
        <v>1527.22</v>
      </c>
      <c r="H38" s="71">
        <f t="shared" ref="H38:H45" si="5">SUM(F38*G38/1000)</f>
        <v>9.1633200000000006</v>
      </c>
      <c r="I38" s="13">
        <f>F38/6*G38</f>
        <v>1527.22</v>
      </c>
      <c r="J38" s="23"/>
    </row>
    <row r="39" spans="1:14" ht="15" customHeight="1">
      <c r="A39" s="29">
        <v>7</v>
      </c>
      <c r="B39" s="150" t="s">
        <v>225</v>
      </c>
      <c r="C39" s="151" t="s">
        <v>29</v>
      </c>
      <c r="D39" s="150" t="s">
        <v>210</v>
      </c>
      <c r="E39" s="153">
        <v>68</v>
      </c>
      <c r="F39" s="153">
        <f>SUM(E39*30/1000)</f>
        <v>2.04</v>
      </c>
      <c r="G39" s="153">
        <v>3014.36</v>
      </c>
      <c r="H39" s="71">
        <f t="shared" si="5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6</v>
      </c>
      <c r="B40" s="120" t="s">
        <v>94</v>
      </c>
      <c r="C40" s="121" t="s">
        <v>119</v>
      </c>
      <c r="D40" s="120" t="s">
        <v>149</v>
      </c>
      <c r="E40" s="122"/>
      <c r="F40" s="153">
        <v>39</v>
      </c>
      <c r="G40" s="123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21" customHeight="1">
      <c r="A41" s="29">
        <v>8</v>
      </c>
      <c r="B41" s="120" t="s">
        <v>68</v>
      </c>
      <c r="C41" s="121" t="s">
        <v>29</v>
      </c>
      <c r="D41" s="120" t="s">
        <v>215</v>
      </c>
      <c r="E41" s="123">
        <v>68</v>
      </c>
      <c r="F41" s="153">
        <f>SUM(E41*72/1000)</f>
        <v>4.8959999999999999</v>
      </c>
      <c r="G41" s="123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30" customHeight="1">
      <c r="A42" s="29">
        <v>9</v>
      </c>
      <c r="B42" s="120" t="s">
        <v>83</v>
      </c>
      <c r="C42" s="121" t="s">
        <v>114</v>
      </c>
      <c r="D42" s="120" t="s">
        <v>211</v>
      </c>
      <c r="E42" s="123">
        <v>68</v>
      </c>
      <c r="F42" s="153">
        <f>SUM(E42*24/1000)</f>
        <v>1.6319999999999999</v>
      </c>
      <c r="G42" s="123">
        <v>8319.2999999999993</v>
      </c>
      <c r="H42" s="71">
        <f t="shared" si="5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16.5" hidden="1" customHeight="1">
      <c r="A43" s="29">
        <v>8</v>
      </c>
      <c r="B43" s="120" t="s">
        <v>121</v>
      </c>
      <c r="C43" s="121" t="s">
        <v>114</v>
      </c>
      <c r="D43" s="120" t="s">
        <v>212</v>
      </c>
      <c r="E43" s="123">
        <v>68</v>
      </c>
      <c r="F43" s="153">
        <f>SUM(E43*45/1000)</f>
        <v>3.06</v>
      </c>
      <c r="G43" s="123">
        <v>614.55999999999995</v>
      </c>
      <c r="H43" s="71">
        <f t="shared" si="5"/>
        <v>1.8805536</v>
      </c>
      <c r="I43" s="13">
        <f>F43/7.5*G43</f>
        <v>250.74047999999999</v>
      </c>
      <c r="J43" s="23"/>
      <c r="L43" s="19"/>
      <c r="M43" s="20"/>
      <c r="N43" s="21"/>
    </row>
    <row r="44" spans="1:14" ht="15" hidden="1" customHeight="1">
      <c r="A44" s="29">
        <v>9</v>
      </c>
      <c r="B44" s="150" t="s">
        <v>70</v>
      </c>
      <c r="C44" s="151" t="s">
        <v>33</v>
      </c>
      <c r="D44" s="150"/>
      <c r="E44" s="152"/>
      <c r="F44" s="153">
        <v>0.9</v>
      </c>
      <c r="G44" s="153">
        <v>800</v>
      </c>
      <c r="H44" s="71">
        <f t="shared" si="5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5.25" customHeight="1">
      <c r="A45" s="29">
        <v>10</v>
      </c>
      <c r="B45" s="150" t="s">
        <v>224</v>
      </c>
      <c r="C45" s="151" t="s">
        <v>114</v>
      </c>
      <c r="D45" s="150" t="s">
        <v>220</v>
      </c>
      <c r="E45" s="152">
        <v>3</v>
      </c>
      <c r="F45" s="153">
        <f>E45*12/1000</f>
        <v>3.5999999999999997E-2</v>
      </c>
      <c r="G45" s="153">
        <v>19757.060000000001</v>
      </c>
      <c r="H45" s="71">
        <f t="shared" si="5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20.25" hidden="1" customHeight="1">
      <c r="A46" s="174" t="s">
        <v>143</v>
      </c>
      <c r="B46" s="175"/>
      <c r="C46" s="175"/>
      <c r="D46" s="175"/>
      <c r="E46" s="175"/>
      <c r="F46" s="175"/>
      <c r="G46" s="175"/>
      <c r="H46" s="175"/>
      <c r="I46" s="176"/>
      <c r="J46" s="23"/>
      <c r="L46" s="19"/>
      <c r="M46" s="20"/>
      <c r="N46" s="21"/>
    </row>
    <row r="47" spans="1:14" ht="32.25" hidden="1" customHeight="1">
      <c r="A47" s="29"/>
      <c r="B47" s="67" t="s">
        <v>139</v>
      </c>
      <c r="C47" s="68" t="s">
        <v>114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6">SUM(F47*G47/1000)</f>
        <v>1.7187541239999997</v>
      </c>
      <c r="I47" s="13">
        <v>0</v>
      </c>
      <c r="J47" s="23"/>
      <c r="L47" s="19"/>
      <c r="M47" s="20"/>
      <c r="N47" s="21"/>
    </row>
    <row r="48" spans="1:14" ht="32.25" hidden="1" customHeight="1">
      <c r="A48" s="29"/>
      <c r="B48" s="67" t="s">
        <v>36</v>
      </c>
      <c r="C48" s="68" t="s">
        <v>114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6"/>
        <v>6.0265920000000001E-2</v>
      </c>
      <c r="I48" s="13">
        <v>0</v>
      </c>
      <c r="J48" s="23"/>
      <c r="L48" s="19"/>
      <c r="M48" s="20"/>
      <c r="N48" s="21"/>
    </row>
    <row r="49" spans="1:22" ht="30" hidden="1" customHeight="1">
      <c r="A49" s="29"/>
      <c r="B49" s="67" t="s">
        <v>37</v>
      </c>
      <c r="C49" s="68" t="s">
        <v>114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6"/>
        <v>1.4357196480000001</v>
      </c>
      <c r="I49" s="13">
        <v>0</v>
      </c>
      <c r="J49" s="23"/>
      <c r="L49" s="19"/>
      <c r="M49" s="20"/>
      <c r="N49" s="21"/>
    </row>
    <row r="50" spans="1:22" ht="39" hidden="1" customHeight="1">
      <c r="A50" s="29"/>
      <c r="B50" s="67" t="s">
        <v>38</v>
      </c>
      <c r="C50" s="68" t="s">
        <v>114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6"/>
        <v>2.1771028954</v>
      </c>
      <c r="I50" s="13">
        <v>0</v>
      </c>
      <c r="J50" s="23"/>
      <c r="L50" s="19"/>
      <c r="M50" s="20"/>
      <c r="N50" s="21"/>
    </row>
    <row r="51" spans="1:22" ht="44.25" hidden="1" customHeight="1">
      <c r="A51" s="29"/>
      <c r="B51" s="67" t="s">
        <v>34</v>
      </c>
      <c r="C51" s="68" t="s">
        <v>35</v>
      </c>
      <c r="D51" s="67" t="s">
        <v>150</v>
      </c>
      <c r="E51" s="69">
        <v>85.78</v>
      </c>
      <c r="F51" s="70">
        <f>SUM(E51*2/100)</f>
        <v>1.7156</v>
      </c>
      <c r="G51" s="13">
        <v>72.81</v>
      </c>
      <c r="H51" s="71">
        <f t="shared" si="6"/>
        <v>0.124912836</v>
      </c>
      <c r="I51" s="13">
        <v>0</v>
      </c>
      <c r="J51" s="23"/>
      <c r="L51" s="19"/>
      <c r="M51" s="20"/>
      <c r="N51" s="21"/>
    </row>
    <row r="52" spans="1:22" ht="45" hidden="1" customHeight="1">
      <c r="A52" s="29">
        <v>13</v>
      </c>
      <c r="B52" s="67" t="s">
        <v>57</v>
      </c>
      <c r="C52" s="68" t="s">
        <v>114</v>
      </c>
      <c r="D52" s="67" t="s">
        <v>170</v>
      </c>
      <c r="E52" s="69">
        <v>884</v>
      </c>
      <c r="F52" s="70">
        <f>SUM(E52*5/1000)</f>
        <v>4.42</v>
      </c>
      <c r="G52" s="13">
        <v>1213.55</v>
      </c>
      <c r="H52" s="71">
        <f t="shared" si="6"/>
        <v>5.3638909999999997</v>
      </c>
      <c r="I52" s="13">
        <f>F52/5*G52</f>
        <v>1072.7782</v>
      </c>
      <c r="J52" s="23"/>
      <c r="L52" s="19"/>
      <c r="M52" s="20"/>
      <c r="N52" s="21"/>
    </row>
    <row r="53" spans="1:22" ht="39" hidden="1" customHeight="1">
      <c r="A53" s="29">
        <v>13</v>
      </c>
      <c r="B53" s="67" t="s">
        <v>122</v>
      </c>
      <c r="C53" s="68" t="s">
        <v>114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6"/>
        <v>2.1455563999999998</v>
      </c>
      <c r="I53" s="13">
        <f>F53/2*G53</f>
        <v>1072.7782</v>
      </c>
      <c r="J53" s="23"/>
      <c r="L53" s="19"/>
      <c r="M53" s="20"/>
      <c r="N53" s="21"/>
    </row>
    <row r="54" spans="1:22" ht="32.25" hidden="1" customHeight="1">
      <c r="A54" s="29">
        <v>14</v>
      </c>
      <c r="B54" s="67" t="s">
        <v>123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6"/>
        <v>1.0921959999999999</v>
      </c>
      <c r="I54" s="13">
        <f>F54/2*G54</f>
        <v>546.09799999999996</v>
      </c>
      <c r="J54" s="23"/>
      <c r="L54" s="19"/>
      <c r="M54" s="20"/>
      <c r="N54" s="21"/>
    </row>
    <row r="55" spans="1:22" ht="18.75" hidden="1" customHeight="1">
      <c r="A55" s="29">
        <v>15</v>
      </c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6"/>
        <v>0.11304260000000001</v>
      </c>
      <c r="I55" s="13">
        <f>F55/2*G55</f>
        <v>56.521300000000004</v>
      </c>
      <c r="J55" s="23"/>
      <c r="L55" s="19"/>
      <c r="M55" s="20"/>
      <c r="N55" s="21"/>
    </row>
    <row r="56" spans="1:22" ht="25.5" hidden="1" customHeight="1">
      <c r="A56" s="29">
        <v>13</v>
      </c>
      <c r="B56" s="67" t="s">
        <v>42</v>
      </c>
      <c r="C56" s="68" t="s">
        <v>30</v>
      </c>
      <c r="D56" s="67" t="s">
        <v>71</v>
      </c>
      <c r="E56" s="69">
        <v>136</v>
      </c>
      <c r="F56" s="70">
        <f>SUM(E56)*3</f>
        <v>408</v>
      </c>
      <c r="G56" s="13">
        <v>65.67</v>
      </c>
      <c r="H56" s="71">
        <f t="shared" si="6"/>
        <v>26.79336</v>
      </c>
      <c r="I56" s="13">
        <f>E56*G56</f>
        <v>8931.1200000000008</v>
      </c>
      <c r="J56" s="23"/>
      <c r="L56" s="19"/>
      <c r="M56" s="20"/>
      <c r="N56" s="21"/>
    </row>
    <row r="57" spans="1:22" ht="15.75" customHeight="1">
      <c r="A57" s="174" t="s">
        <v>173</v>
      </c>
      <c r="B57" s="175"/>
      <c r="C57" s="175"/>
      <c r="D57" s="175"/>
      <c r="E57" s="175"/>
      <c r="F57" s="175"/>
      <c r="G57" s="175"/>
      <c r="H57" s="175"/>
      <c r="I57" s="176"/>
      <c r="J57" s="23"/>
      <c r="L57" s="19"/>
      <c r="M57" s="20"/>
      <c r="N57" s="21"/>
    </row>
    <row r="58" spans="1:22" ht="15" hidden="1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7" t="s">
        <v>125</v>
      </c>
      <c r="C59" s="68" t="s">
        <v>99</v>
      </c>
      <c r="D59" s="67" t="s">
        <v>72</v>
      </c>
      <c r="E59" s="69">
        <v>106.13</v>
      </c>
      <c r="F59" s="70">
        <f>E59*6/100</f>
        <v>6.3677999999999999</v>
      </c>
      <c r="G59" s="76">
        <v>1547.28</v>
      </c>
      <c r="H59" s="71">
        <f>F59*G59/1000</f>
        <v>9.8527695839999989</v>
      </c>
      <c r="I59" s="13">
        <f>F59/6*G59</f>
        <v>1642.1282639999999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11</v>
      </c>
      <c r="B62" s="78" t="s">
        <v>95</v>
      </c>
      <c r="C62" s="77" t="s">
        <v>25</v>
      </c>
      <c r="D62" s="78" t="s">
        <v>213</v>
      </c>
      <c r="E62" s="79">
        <v>176.8</v>
      </c>
      <c r="F62" s="80">
        <f>E62*12</f>
        <v>2121.6000000000004</v>
      </c>
      <c r="G62" s="70">
        <v>1.4</v>
      </c>
      <c r="H62" s="89">
        <f>G62*F62</f>
        <v>2970.2400000000002</v>
      </c>
      <c r="I62" s="13">
        <f>1200/12*G62</f>
        <v>140</v>
      </c>
    </row>
    <row r="63" spans="1:22" ht="15" hidden="1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132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" hidden="1" customHeight="1">
      <c r="A64" s="29">
        <v>16</v>
      </c>
      <c r="B64" s="14" t="s">
        <v>48</v>
      </c>
      <c r="C64" s="16" t="s">
        <v>124</v>
      </c>
      <c r="D64" s="14" t="s">
        <v>67</v>
      </c>
      <c r="E64" s="18">
        <v>20</v>
      </c>
      <c r="F64" s="70">
        <v>20</v>
      </c>
      <c r="G64" s="91">
        <v>222.4</v>
      </c>
      <c r="H64" s="90">
        <f t="shared" ref="H64:H71" si="7">SUM(F64*G64/1000)</f>
        <v>4.4480000000000004</v>
      </c>
      <c r="I64" s="13">
        <f>G64</f>
        <v>222.4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hidden="1" customHeight="1">
      <c r="A65" s="29">
        <v>17</v>
      </c>
      <c r="B65" s="14" t="s">
        <v>49</v>
      </c>
      <c r="C65" s="16" t="s">
        <v>124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7"/>
        <v>#VALUE!</v>
      </c>
      <c r="I65" s="13">
        <f>G65*7</f>
        <v>533.75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" hidden="1" customHeight="1">
      <c r="A66" s="29"/>
      <c r="B66" s="14" t="s">
        <v>50</v>
      </c>
      <c r="C66" s="16" t="s">
        <v>126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7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2"/>
      <c r="S66" s="162"/>
      <c r="T66" s="162"/>
      <c r="U66" s="162"/>
    </row>
    <row r="67" spans="1:21" ht="15" hidden="1" customHeight="1">
      <c r="A67" s="29"/>
      <c r="B67" s="14" t="s">
        <v>51</v>
      </c>
      <c r="C67" s="16" t="s">
        <v>127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7"/>
        <v>2.08941087</v>
      </c>
      <c r="I67" s="13">
        <f t="shared" ref="I67:I71" si="8">F67*G67</f>
        <v>2089.4108700000002</v>
      </c>
    </row>
    <row r="68" spans="1:21" ht="15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7"/>
        <v>39.417970000000004</v>
      </c>
      <c r="I68" s="13">
        <f t="shared" si="8"/>
        <v>39417.97</v>
      </c>
    </row>
    <row r="69" spans="1:21" ht="15" hidden="1" customHeight="1">
      <c r="A69" s="29"/>
      <c r="B69" s="83" t="s">
        <v>128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7"/>
        <v>0.48217100000000007</v>
      </c>
      <c r="I69" s="13">
        <f t="shared" si="8"/>
        <v>482.17100000000005</v>
      </c>
    </row>
    <row r="70" spans="1:21" ht="15" hidden="1" customHeight="1">
      <c r="A70" s="29"/>
      <c r="B70" s="83" t="s">
        <v>129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7"/>
        <v>0.44985300000000006</v>
      </c>
      <c r="I70" s="13">
        <f t="shared" si="8"/>
        <v>449.85300000000007</v>
      </c>
    </row>
    <row r="71" spans="1:21" ht="1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7"/>
        <v>0.29928000000000005</v>
      </c>
      <c r="I71" s="13">
        <f t="shared" si="8"/>
        <v>299.28000000000003</v>
      </c>
    </row>
    <row r="72" spans="1:21" ht="15" customHeight="1">
      <c r="A72" s="29"/>
      <c r="B72" s="31" t="s">
        <v>202</v>
      </c>
      <c r="C72" s="16"/>
      <c r="D72" s="14"/>
      <c r="E72" s="18"/>
      <c r="F72" s="13"/>
      <c r="G72" s="116"/>
      <c r="H72" s="116"/>
      <c r="I72" s="117"/>
    </row>
    <row r="73" spans="1:21" ht="32.25" customHeight="1">
      <c r="A73" s="29">
        <v>12</v>
      </c>
      <c r="B73" s="102" t="s">
        <v>200</v>
      </c>
      <c r="C73" s="133" t="s">
        <v>201</v>
      </c>
      <c r="D73" s="134"/>
      <c r="E73" s="17">
        <v>3031.3</v>
      </c>
      <c r="F73" s="35">
        <f>E73*12</f>
        <v>36375.600000000006</v>
      </c>
      <c r="G73" s="35">
        <v>2.4900000000000002</v>
      </c>
      <c r="H73" s="116"/>
      <c r="I73" s="117">
        <f>G73*F73/12</f>
        <v>7547.9370000000017</v>
      </c>
    </row>
    <row r="74" spans="1:21" ht="15" hidden="1" customHeight="1">
      <c r="A74" s="29"/>
      <c r="B74" s="57" t="s">
        <v>73</v>
      </c>
      <c r="C74" s="16"/>
      <c r="D74" s="14"/>
      <c r="E74" s="18"/>
      <c r="F74" s="13"/>
      <c r="G74" s="13"/>
      <c r="H74" s="82" t="s">
        <v>132</v>
      </c>
      <c r="I74" s="13"/>
    </row>
    <row r="75" spans="1:21" ht="15" hidden="1" customHeight="1">
      <c r="A75" s="29">
        <v>15</v>
      </c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f>G75*0.1</f>
        <v>50.162000000000006</v>
      </c>
    </row>
    <row r="76" spans="1:21" ht="15.75" customHeight="1">
      <c r="A76" s="163" t="s">
        <v>177</v>
      </c>
      <c r="B76" s="164"/>
      <c r="C76" s="164"/>
      <c r="D76" s="164"/>
      <c r="E76" s="164"/>
      <c r="F76" s="164"/>
      <c r="G76" s="164"/>
      <c r="H76" s="164"/>
      <c r="I76" s="165"/>
    </row>
    <row r="77" spans="1:21" ht="15" customHeight="1">
      <c r="A77" s="29">
        <v>13</v>
      </c>
      <c r="B77" s="102" t="s">
        <v>134</v>
      </c>
      <c r="C77" s="110" t="s">
        <v>56</v>
      </c>
      <c r="D77" s="139"/>
      <c r="E77" s="34">
        <v>3031.3</v>
      </c>
      <c r="F77" s="34">
        <f>SUM(E77*12)</f>
        <v>36375.600000000006</v>
      </c>
      <c r="G77" s="34">
        <v>3.38</v>
      </c>
      <c r="H77" s="82">
        <f>SUM(F77*G77/1000)</f>
        <v>122.94952800000002</v>
      </c>
      <c r="I77" s="13">
        <f>F77/12*G77</f>
        <v>10245.794000000002</v>
      </c>
    </row>
    <row r="78" spans="1:21" ht="31.5" customHeight="1">
      <c r="A78" s="29">
        <v>14</v>
      </c>
      <c r="B78" s="102" t="s">
        <v>203</v>
      </c>
      <c r="C78" s="110" t="s">
        <v>25</v>
      </c>
      <c r="D78" s="137"/>
      <c r="E78" s="138">
        <f>E77</f>
        <v>3031.3</v>
      </c>
      <c r="F78" s="135">
        <f>E78*12</f>
        <v>36375.600000000006</v>
      </c>
      <c r="G78" s="135">
        <v>3.05</v>
      </c>
      <c r="H78" s="82">
        <f>F78*G78/1000</f>
        <v>110.94558000000002</v>
      </c>
      <c r="I78" s="13">
        <f>F78/12*G78</f>
        <v>9245.465000000002</v>
      </c>
    </row>
    <row r="79" spans="1:21" ht="15.75" customHeight="1">
      <c r="A79" s="45"/>
      <c r="B79" s="36" t="s">
        <v>80</v>
      </c>
      <c r="C79" s="37"/>
      <c r="D79" s="15"/>
      <c r="E79" s="15"/>
      <c r="F79" s="15"/>
      <c r="G79" s="18"/>
      <c r="H79" s="18"/>
      <c r="I79" s="32">
        <f>I78+I77+I73+I62+I45+I42+I41+I39+I27+I21+I20+I18+I17+I16</f>
        <v>41710.873148666666</v>
      </c>
    </row>
    <row r="80" spans="1:21" ht="15.75" customHeight="1">
      <c r="A80" s="177" t="s">
        <v>61</v>
      </c>
      <c r="B80" s="178"/>
      <c r="C80" s="178"/>
      <c r="D80" s="178"/>
      <c r="E80" s="178"/>
      <c r="F80" s="178"/>
      <c r="G80" s="178"/>
      <c r="H80" s="178"/>
      <c r="I80" s="179"/>
    </row>
    <row r="81" spans="1:9" ht="17.25" customHeight="1">
      <c r="A81" s="29">
        <v>15</v>
      </c>
      <c r="B81" s="52" t="s">
        <v>216</v>
      </c>
      <c r="C81" s="53" t="s">
        <v>124</v>
      </c>
      <c r="D81" s="44"/>
      <c r="E81" s="13"/>
      <c r="F81" s="13"/>
      <c r="G81" s="34">
        <v>60.72</v>
      </c>
      <c r="H81" s="82"/>
      <c r="I81" s="13">
        <f t="shared" ref="I81" si="9">G81*1</f>
        <v>60.72</v>
      </c>
    </row>
    <row r="82" spans="1:9" ht="15.75" customHeight="1">
      <c r="A82" s="29"/>
      <c r="B82" s="42" t="s">
        <v>53</v>
      </c>
      <c r="C82" s="38"/>
      <c r="D82" s="46"/>
      <c r="E82" s="38">
        <v>1</v>
      </c>
      <c r="F82" s="38"/>
      <c r="G82" s="38"/>
      <c r="H82" s="38"/>
      <c r="I82" s="32">
        <f>SUM(I81:I81)</f>
        <v>60.72</v>
      </c>
    </row>
    <row r="83" spans="1:9" ht="15.75" customHeight="1">
      <c r="A83" s="29"/>
      <c r="B83" s="44" t="s">
        <v>79</v>
      </c>
      <c r="C83" s="15"/>
      <c r="D83" s="15"/>
      <c r="E83" s="39"/>
      <c r="F83" s="39"/>
      <c r="G83" s="40"/>
      <c r="H83" s="40"/>
      <c r="I83" s="17">
        <v>0</v>
      </c>
    </row>
    <row r="84" spans="1:9" ht="15.75" customHeight="1">
      <c r="A84" s="47"/>
      <c r="B84" s="43" t="s">
        <v>182</v>
      </c>
      <c r="C84" s="33"/>
      <c r="D84" s="33"/>
      <c r="E84" s="33"/>
      <c r="F84" s="33"/>
      <c r="G84" s="33"/>
      <c r="H84" s="33"/>
      <c r="I84" s="41">
        <f>I79+I82</f>
        <v>41771.593148666667</v>
      </c>
    </row>
    <row r="85" spans="1:9" ht="15.75">
      <c r="A85" s="180" t="s">
        <v>247</v>
      </c>
      <c r="B85" s="180"/>
      <c r="C85" s="180"/>
      <c r="D85" s="180"/>
      <c r="E85" s="180"/>
      <c r="F85" s="180"/>
      <c r="G85" s="180"/>
      <c r="H85" s="180"/>
      <c r="I85" s="180"/>
    </row>
    <row r="86" spans="1:9" ht="15.75">
      <c r="A86" s="60"/>
      <c r="B86" s="181" t="s">
        <v>248</v>
      </c>
      <c r="C86" s="181"/>
      <c r="D86" s="181"/>
      <c r="E86" s="181"/>
      <c r="F86" s="181"/>
      <c r="G86" s="181"/>
      <c r="H86" s="65"/>
      <c r="I86" s="3"/>
    </row>
    <row r="87" spans="1:9">
      <c r="A87" s="56"/>
      <c r="B87" s="182" t="s">
        <v>6</v>
      </c>
      <c r="C87" s="182"/>
      <c r="D87" s="182"/>
      <c r="E87" s="182"/>
      <c r="F87" s="182"/>
      <c r="G87" s="182"/>
      <c r="H87" s="24"/>
      <c r="I87" s="5"/>
    </row>
    <row r="88" spans="1:9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5.75">
      <c r="A89" s="183" t="s">
        <v>7</v>
      </c>
      <c r="B89" s="183"/>
      <c r="C89" s="183"/>
      <c r="D89" s="183"/>
      <c r="E89" s="183"/>
      <c r="F89" s="183"/>
      <c r="G89" s="183"/>
      <c r="H89" s="183"/>
      <c r="I89" s="183"/>
    </row>
    <row r="90" spans="1:9" ht="15.75">
      <c r="A90" s="183" t="s">
        <v>8</v>
      </c>
      <c r="B90" s="183"/>
      <c r="C90" s="183"/>
      <c r="D90" s="183"/>
      <c r="E90" s="183"/>
      <c r="F90" s="183"/>
      <c r="G90" s="183"/>
      <c r="H90" s="183"/>
      <c r="I90" s="183"/>
    </row>
    <row r="91" spans="1:9" ht="15.75">
      <c r="A91" s="172" t="s">
        <v>62</v>
      </c>
      <c r="B91" s="172"/>
      <c r="C91" s="172"/>
      <c r="D91" s="172"/>
      <c r="E91" s="172"/>
      <c r="F91" s="172"/>
      <c r="G91" s="172"/>
      <c r="H91" s="172"/>
      <c r="I91" s="172"/>
    </row>
    <row r="92" spans="1:9" ht="15.75">
      <c r="A92" s="11"/>
    </row>
    <row r="93" spans="1:9" ht="15.75">
      <c r="A93" s="185" t="s">
        <v>9</v>
      </c>
      <c r="B93" s="185"/>
      <c r="C93" s="185"/>
      <c r="D93" s="185"/>
      <c r="E93" s="185"/>
      <c r="F93" s="185"/>
      <c r="G93" s="185"/>
      <c r="H93" s="185"/>
      <c r="I93" s="185"/>
    </row>
    <row r="94" spans="1:9" ht="15.75">
      <c r="A94" s="4"/>
    </row>
    <row r="95" spans="1:9" ht="15.75">
      <c r="B95" s="59" t="s">
        <v>10</v>
      </c>
      <c r="C95" s="186" t="s">
        <v>88</v>
      </c>
      <c r="D95" s="186"/>
      <c r="E95" s="186"/>
      <c r="F95" s="63"/>
      <c r="I95" s="55"/>
    </row>
    <row r="96" spans="1:9">
      <c r="A96" s="56"/>
      <c r="C96" s="182" t="s">
        <v>11</v>
      </c>
      <c r="D96" s="182"/>
      <c r="E96" s="182"/>
      <c r="F96" s="24"/>
      <c r="I96" s="54" t="s">
        <v>12</v>
      </c>
    </row>
    <row r="97" spans="1:9" ht="15.75">
      <c r="A97" s="25"/>
      <c r="C97" s="12"/>
      <c r="D97" s="12"/>
      <c r="G97" s="12"/>
      <c r="H97" s="12"/>
    </row>
    <row r="98" spans="1:9" ht="15.75">
      <c r="B98" s="59" t="s">
        <v>13</v>
      </c>
      <c r="C98" s="187"/>
      <c r="D98" s="187"/>
      <c r="E98" s="187"/>
      <c r="F98" s="64"/>
      <c r="I98" s="55"/>
    </row>
    <row r="99" spans="1:9">
      <c r="A99" s="56"/>
      <c r="C99" s="162" t="s">
        <v>11</v>
      </c>
      <c r="D99" s="162"/>
      <c r="E99" s="162"/>
      <c r="F99" s="56"/>
      <c r="I99" s="54" t="s">
        <v>12</v>
      </c>
    </row>
    <row r="100" spans="1:9" ht="15.75">
      <c r="A100" s="4" t="s">
        <v>14</v>
      </c>
    </row>
    <row r="101" spans="1:9">
      <c r="A101" s="188" t="s">
        <v>15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45" customHeight="1">
      <c r="A102" s="184" t="s">
        <v>16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30" customHeight="1">
      <c r="A103" s="184" t="s">
        <v>17</v>
      </c>
      <c r="B103" s="184"/>
      <c r="C103" s="184"/>
      <c r="D103" s="184"/>
      <c r="E103" s="184"/>
      <c r="F103" s="184"/>
      <c r="G103" s="184"/>
      <c r="H103" s="184"/>
      <c r="I103" s="184"/>
    </row>
    <row r="104" spans="1:9" ht="30" customHeight="1">
      <c r="A104" s="184" t="s">
        <v>21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184" t="s">
        <v>20</v>
      </c>
      <c r="B105" s="184"/>
      <c r="C105" s="184"/>
      <c r="D105" s="184"/>
      <c r="E105" s="184"/>
      <c r="F105" s="184"/>
      <c r="G105" s="184"/>
      <c r="H105" s="184"/>
      <c r="I105" s="184"/>
    </row>
  </sheetData>
  <autoFilter ref="I12:I61"/>
  <mergeCells count="29">
    <mergeCell ref="A102:I102"/>
    <mergeCell ref="A103:I103"/>
    <mergeCell ref="A104:I104"/>
    <mergeCell ref="A105:I105"/>
    <mergeCell ref="A93:I93"/>
    <mergeCell ref="C95:E95"/>
    <mergeCell ref="C96:E96"/>
    <mergeCell ref="C98:E98"/>
    <mergeCell ref="C99:E99"/>
    <mergeCell ref="A101:I101"/>
    <mergeCell ref="A91:I91"/>
    <mergeCell ref="A15:I15"/>
    <mergeCell ref="A28:I28"/>
    <mergeCell ref="A46:I46"/>
    <mergeCell ref="A57:I57"/>
    <mergeCell ref="A80:I80"/>
    <mergeCell ref="A85:I85"/>
    <mergeCell ref="B86:G86"/>
    <mergeCell ref="B87:G87"/>
    <mergeCell ref="A89:I89"/>
    <mergeCell ref="A90:I90"/>
    <mergeCell ref="R66:U66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topLeftCell="A71" workbookViewId="0">
      <selection activeCell="J10" sqref="J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175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249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43982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219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208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>
        <v>4</v>
      </c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>
        <v>7</v>
      </c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>
        <v>8</v>
      </c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>
        <v>9</v>
      </c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>
        <v>10</v>
      </c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>
        <v>11</v>
      </c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7</v>
      </c>
      <c r="B30" s="120" t="s">
        <v>113</v>
      </c>
      <c r="C30" s="121" t="s">
        <v>114</v>
      </c>
      <c r="D30" s="120" t="s">
        <v>211</v>
      </c>
      <c r="E30" s="123">
        <v>425</v>
      </c>
      <c r="F30" s="123">
        <f>SUM(E30*24/1000)</f>
        <v>10.199999999999999</v>
      </c>
      <c r="G30" s="123">
        <v>223.46</v>
      </c>
      <c r="H30" s="71">
        <f t="shared" ref="H30:H35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8</v>
      </c>
      <c r="B31" s="120" t="s">
        <v>169</v>
      </c>
      <c r="C31" s="121" t="s">
        <v>114</v>
      </c>
      <c r="D31" s="120" t="s">
        <v>207</v>
      </c>
      <c r="E31" s="123">
        <v>68</v>
      </c>
      <c r="F31" s="123">
        <f>SUM(E31*52/1000)</f>
        <v>3.536</v>
      </c>
      <c r="G31" s="123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customHeight="1">
      <c r="A32" s="29">
        <v>9</v>
      </c>
      <c r="B32" s="120" t="s">
        <v>27</v>
      </c>
      <c r="C32" s="121" t="s">
        <v>114</v>
      </c>
      <c r="D32" s="120" t="s">
        <v>214</v>
      </c>
      <c r="E32" s="123">
        <v>425</v>
      </c>
      <c r="F32" s="123">
        <f>SUM(E32/1000)</f>
        <v>0.42499999999999999</v>
      </c>
      <c r="G32" s="123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10</v>
      </c>
      <c r="B33" s="120" t="s">
        <v>147</v>
      </c>
      <c r="C33" s="121" t="s">
        <v>41</v>
      </c>
      <c r="D33" s="120" t="s">
        <v>215</v>
      </c>
      <c r="E33" s="123">
        <v>4</v>
      </c>
      <c r="F33" s="123">
        <f>E33*72/100</f>
        <v>2.88</v>
      </c>
      <c r="G33" s="123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si="1"/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1"/>
        <v>2.27264</v>
      </c>
      <c r="I35" s="13">
        <v>0</v>
      </c>
      <c r="J35" s="23"/>
    </row>
    <row r="36" spans="1:14" ht="20.2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132</v>
      </c>
      <c r="I36" s="13"/>
      <c r="J36" s="23"/>
    </row>
    <row r="37" spans="1:14" ht="26.2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3">SUM(F37*G37/1000)</f>
        <v>9.1633200000000006</v>
      </c>
      <c r="I37" s="13">
        <f>F37/6*G37</f>
        <v>1527.22</v>
      </c>
      <c r="J37" s="23"/>
    </row>
    <row r="38" spans="1:14" ht="23.25" hidden="1" customHeight="1">
      <c r="A38" s="29">
        <v>7</v>
      </c>
      <c r="B38" s="67" t="s">
        <v>104</v>
      </c>
      <c r="C38" s="68" t="s">
        <v>29</v>
      </c>
      <c r="D38" s="67" t="s">
        <v>136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3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24.75" hidden="1" customHeight="1">
      <c r="A39" s="29">
        <v>8</v>
      </c>
      <c r="B39" s="67" t="s">
        <v>137</v>
      </c>
      <c r="C39" s="68" t="s">
        <v>29</v>
      </c>
      <c r="D39" s="67" t="s">
        <v>118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34.5" hidden="1" customHeight="1">
      <c r="A40" s="29">
        <v>19</v>
      </c>
      <c r="B40" s="67" t="s">
        <v>94</v>
      </c>
      <c r="C40" s="68" t="s">
        <v>119</v>
      </c>
      <c r="D40" s="67" t="s">
        <v>149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f>G40*6</f>
        <v>1196.6399999999999</v>
      </c>
      <c r="J40" s="23"/>
      <c r="L40" s="19"/>
      <c r="M40" s="20"/>
      <c r="N40" s="21"/>
    </row>
    <row r="41" spans="1:14" ht="30" hidden="1" customHeight="1">
      <c r="A41" s="29">
        <v>9</v>
      </c>
      <c r="B41" s="67" t="s">
        <v>68</v>
      </c>
      <c r="C41" s="68" t="s">
        <v>29</v>
      </c>
      <c r="D41" s="67" t="s">
        <v>120</v>
      </c>
      <c r="E41" s="70">
        <v>68</v>
      </c>
      <c r="F41" s="70">
        <f>SUM(E41*155/1000)</f>
        <v>10.54</v>
      </c>
      <c r="G41" s="70">
        <v>350.75</v>
      </c>
      <c r="H41" s="71">
        <f t="shared" si="3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21.75" hidden="1" customHeight="1">
      <c r="A42" s="29">
        <v>10</v>
      </c>
      <c r="B42" s="67" t="s">
        <v>83</v>
      </c>
      <c r="C42" s="68" t="s">
        <v>114</v>
      </c>
      <c r="D42" s="67" t="s">
        <v>138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3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23.25" hidden="1" customHeight="1">
      <c r="A43" s="29">
        <v>11</v>
      </c>
      <c r="B43" s="67" t="s">
        <v>121</v>
      </c>
      <c r="C43" s="68" t="s">
        <v>114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3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20.2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3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74" t="s">
        <v>143</v>
      </c>
      <c r="B45" s="175"/>
      <c r="C45" s="175"/>
      <c r="D45" s="175"/>
      <c r="E45" s="175"/>
      <c r="F45" s="175"/>
      <c r="G45" s="175"/>
      <c r="H45" s="175"/>
      <c r="I45" s="176"/>
      <c r="J45" s="23"/>
      <c r="L45" s="19"/>
      <c r="M45" s="20"/>
      <c r="N45" s="21"/>
    </row>
    <row r="46" spans="1:14" ht="15" customHeight="1">
      <c r="A46" s="29">
        <v>11</v>
      </c>
      <c r="B46" s="120" t="s">
        <v>139</v>
      </c>
      <c r="C46" s="121" t="s">
        <v>114</v>
      </c>
      <c r="D46" s="120" t="s">
        <v>213</v>
      </c>
      <c r="E46" s="122">
        <v>1061.3</v>
      </c>
      <c r="F46" s="123">
        <f>SUM(E46*2/1000)</f>
        <v>2.1225999999999998</v>
      </c>
      <c r="G46" s="34">
        <v>1160.81</v>
      </c>
      <c r="H46" s="71">
        <f t="shared" ref="H46:H55" si="4">SUM(F46*G46/1000)</f>
        <v>2.4639353059999998</v>
      </c>
      <c r="I46" s="13">
        <f t="shared" ref="I46:I49" si="5">F46/2*G46</f>
        <v>1231.9676529999999</v>
      </c>
      <c r="J46" s="23"/>
      <c r="L46" s="19"/>
      <c r="M46" s="20"/>
      <c r="N46" s="21"/>
    </row>
    <row r="47" spans="1:14" ht="15" customHeight="1">
      <c r="A47" s="29">
        <v>12</v>
      </c>
      <c r="B47" s="120" t="s">
        <v>36</v>
      </c>
      <c r="C47" s="121" t="s">
        <v>114</v>
      </c>
      <c r="D47" s="120" t="s">
        <v>213</v>
      </c>
      <c r="E47" s="122">
        <v>52</v>
      </c>
      <c r="F47" s="123">
        <f>SUM(E47*2/1000)</f>
        <v>0.104</v>
      </c>
      <c r="G47" s="34">
        <v>830.69</v>
      </c>
      <c r="H47" s="71">
        <f t="shared" si="4"/>
        <v>8.6391760000000012E-2</v>
      </c>
      <c r="I47" s="13">
        <f t="shared" si="5"/>
        <v>43.195880000000002</v>
      </c>
      <c r="J47" s="23"/>
      <c r="L47" s="19"/>
      <c r="M47" s="20"/>
      <c r="N47" s="21"/>
    </row>
    <row r="48" spans="1:14" ht="15" customHeight="1">
      <c r="A48" s="29">
        <v>13</v>
      </c>
      <c r="B48" s="120" t="s">
        <v>37</v>
      </c>
      <c r="C48" s="121" t="s">
        <v>114</v>
      </c>
      <c r="D48" s="120" t="s">
        <v>213</v>
      </c>
      <c r="E48" s="122">
        <v>1238.8</v>
      </c>
      <c r="F48" s="123">
        <f>SUM(E48*2/1000)</f>
        <v>2.4775999999999998</v>
      </c>
      <c r="G48" s="34">
        <v>830.69</v>
      </c>
      <c r="H48" s="71">
        <f t="shared" si="4"/>
        <v>2.0581175440000004</v>
      </c>
      <c r="I48" s="13">
        <f t="shared" si="5"/>
        <v>1029.0587720000001</v>
      </c>
      <c r="J48" s="23"/>
      <c r="L48" s="19"/>
      <c r="M48" s="20"/>
      <c r="N48" s="21"/>
    </row>
    <row r="49" spans="1:22" ht="15" customHeight="1">
      <c r="A49" s="29">
        <v>14</v>
      </c>
      <c r="B49" s="120" t="s">
        <v>38</v>
      </c>
      <c r="C49" s="121" t="s">
        <v>114</v>
      </c>
      <c r="D49" s="120" t="s">
        <v>213</v>
      </c>
      <c r="E49" s="122">
        <v>1794.01</v>
      </c>
      <c r="F49" s="123">
        <f>SUM(E49*2/1000)</f>
        <v>3.5880199999999998</v>
      </c>
      <c r="G49" s="34">
        <v>869.86</v>
      </c>
      <c r="H49" s="71">
        <f t="shared" si="4"/>
        <v>3.1210750771999995</v>
      </c>
      <c r="I49" s="13">
        <f t="shared" si="5"/>
        <v>1560.5375385999998</v>
      </c>
      <c r="J49" s="23"/>
      <c r="L49" s="19"/>
      <c r="M49" s="20"/>
      <c r="N49" s="21"/>
    </row>
    <row r="50" spans="1:22" ht="15" customHeight="1">
      <c r="A50" s="29">
        <v>15</v>
      </c>
      <c r="B50" s="120" t="s">
        <v>34</v>
      </c>
      <c r="C50" s="121" t="s">
        <v>35</v>
      </c>
      <c r="D50" s="120" t="s">
        <v>213</v>
      </c>
      <c r="E50" s="122">
        <v>85.78</v>
      </c>
      <c r="F50" s="123">
        <f>SUM(E50*2/100)</f>
        <v>1.7156</v>
      </c>
      <c r="G50" s="34">
        <v>104.38</v>
      </c>
      <c r="H50" s="71">
        <f t="shared" si="4"/>
        <v>0.17907432799999998</v>
      </c>
      <c r="I50" s="13">
        <f>F50/2*G50</f>
        <v>89.53716399999999</v>
      </c>
      <c r="J50" s="23"/>
      <c r="L50" s="19"/>
      <c r="M50" s="20"/>
      <c r="N50" s="21"/>
    </row>
    <row r="51" spans="1:22" ht="15" customHeight="1">
      <c r="A51" s="29">
        <v>16</v>
      </c>
      <c r="B51" s="120" t="s">
        <v>57</v>
      </c>
      <c r="C51" s="121" t="s">
        <v>114</v>
      </c>
      <c r="D51" s="120" t="s">
        <v>213</v>
      </c>
      <c r="E51" s="122">
        <v>884</v>
      </c>
      <c r="F51" s="123">
        <f>SUM(E51*5/1000)</f>
        <v>4.42</v>
      </c>
      <c r="G51" s="34">
        <v>1739.68</v>
      </c>
      <c r="H51" s="71">
        <f t="shared" si="4"/>
        <v>7.6893856000000005</v>
      </c>
      <c r="I51" s="13">
        <f>F51/5*G51</f>
        <v>1537.8771200000001</v>
      </c>
      <c r="J51" s="23"/>
      <c r="L51" s="19"/>
      <c r="M51" s="20"/>
      <c r="N51" s="21"/>
    </row>
    <row r="52" spans="1:22" ht="30" customHeight="1">
      <c r="A52" s="29">
        <v>17</v>
      </c>
      <c r="B52" s="120" t="s">
        <v>122</v>
      </c>
      <c r="C52" s="121" t="s">
        <v>114</v>
      </c>
      <c r="D52" s="120" t="s">
        <v>213</v>
      </c>
      <c r="E52" s="122">
        <v>884</v>
      </c>
      <c r="F52" s="123">
        <f>SUM(E52*2/1000)</f>
        <v>1.768</v>
      </c>
      <c r="G52" s="34">
        <v>1739.68</v>
      </c>
      <c r="H52" s="71">
        <f t="shared" si="4"/>
        <v>3.0757542400000002</v>
      </c>
      <c r="I52" s="13">
        <f>F52/2*G52</f>
        <v>1537.8771200000001</v>
      </c>
      <c r="J52" s="23"/>
      <c r="L52" s="19"/>
      <c r="M52" s="20"/>
      <c r="N52" s="21"/>
    </row>
    <row r="53" spans="1:22" ht="31.5" customHeight="1">
      <c r="A53" s="29">
        <v>18</v>
      </c>
      <c r="B53" s="120" t="s">
        <v>123</v>
      </c>
      <c r="C53" s="121" t="s">
        <v>39</v>
      </c>
      <c r="D53" s="120" t="s">
        <v>213</v>
      </c>
      <c r="E53" s="122">
        <v>20</v>
      </c>
      <c r="F53" s="123">
        <f>SUM(E53*2/100)</f>
        <v>0.4</v>
      </c>
      <c r="G53" s="34">
        <v>3914.31</v>
      </c>
      <c r="H53" s="71">
        <f t="shared" si="4"/>
        <v>1.5657240000000001</v>
      </c>
      <c r="I53" s="13">
        <f t="shared" ref="I53:I54" si="6">F53/2*G53</f>
        <v>782.86200000000008</v>
      </c>
      <c r="J53" s="23"/>
      <c r="L53" s="19"/>
      <c r="M53" s="20"/>
      <c r="N53" s="21"/>
    </row>
    <row r="54" spans="1:22" ht="18.75" customHeight="1">
      <c r="A54" s="29">
        <v>19</v>
      </c>
      <c r="B54" s="120" t="s">
        <v>40</v>
      </c>
      <c r="C54" s="121" t="s">
        <v>41</v>
      </c>
      <c r="D54" s="120" t="s">
        <v>213</v>
      </c>
      <c r="E54" s="122">
        <v>1</v>
      </c>
      <c r="F54" s="123">
        <v>0.02</v>
      </c>
      <c r="G54" s="34">
        <v>8102.62</v>
      </c>
      <c r="H54" s="71">
        <f t="shared" si="4"/>
        <v>0.16205240000000001</v>
      </c>
      <c r="I54" s="13">
        <f t="shared" si="6"/>
        <v>81.026200000000003</v>
      </c>
      <c r="J54" s="23"/>
      <c r="L54" s="19"/>
      <c r="M54" s="20"/>
      <c r="N54" s="21"/>
    </row>
    <row r="55" spans="1:22" ht="17.25" customHeight="1">
      <c r="A55" s="29">
        <v>20</v>
      </c>
      <c r="B55" s="120" t="s">
        <v>42</v>
      </c>
      <c r="C55" s="121" t="s">
        <v>30</v>
      </c>
      <c r="D55" s="143">
        <v>43964</v>
      </c>
      <c r="E55" s="122">
        <v>136</v>
      </c>
      <c r="F55" s="123">
        <f>SUM(E55)*3</f>
        <v>408</v>
      </c>
      <c r="G55" s="127">
        <v>87.32</v>
      </c>
      <c r="H55" s="71">
        <f t="shared" si="4"/>
        <v>35.626559999999998</v>
      </c>
      <c r="I55" s="13">
        <f>E55*G55</f>
        <v>11875.519999999999</v>
      </c>
      <c r="J55" s="23"/>
      <c r="L55" s="19"/>
      <c r="M55" s="20"/>
      <c r="N55" s="21"/>
    </row>
    <row r="56" spans="1:22" ht="15.75" customHeight="1">
      <c r="A56" s="174" t="s">
        <v>144</v>
      </c>
      <c r="B56" s="175"/>
      <c r="C56" s="175"/>
      <c r="D56" s="175"/>
      <c r="E56" s="175"/>
      <c r="F56" s="175"/>
      <c r="G56" s="175"/>
      <c r="H56" s="175"/>
      <c r="I56" s="176"/>
      <c r="J56" s="23"/>
      <c r="L56" s="19"/>
      <c r="M56" s="20"/>
      <c r="N56" s="21"/>
    </row>
    <row r="57" spans="1:22" ht="15" hidden="1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31.5" hidden="1" customHeight="1">
      <c r="A58" s="29">
        <v>15</v>
      </c>
      <c r="B58" s="67" t="s">
        <v>125</v>
      </c>
      <c r="C58" s="68" t="s">
        <v>99</v>
      </c>
      <c r="D58" s="67" t="s">
        <v>72</v>
      </c>
      <c r="E58" s="69">
        <v>106.13</v>
      </c>
      <c r="F58" s="70">
        <f>E58*6/100</f>
        <v>6.3677999999999999</v>
      </c>
      <c r="G58" s="76">
        <v>1547.28</v>
      </c>
      <c r="H58" s="71">
        <f>F58*G58/1000</f>
        <v>9.8527695839999989</v>
      </c>
      <c r="I58" s="13">
        <f>F58/6*G58</f>
        <v>1642.1282639999999</v>
      </c>
      <c r="J58" s="23"/>
      <c r="L58" s="19"/>
    </row>
    <row r="59" spans="1:22" ht="15" customHeight="1">
      <c r="A59" s="29"/>
      <c r="B59" s="88" t="s">
        <v>45</v>
      </c>
      <c r="C59" s="77"/>
      <c r="D59" s="78"/>
      <c r="E59" s="79"/>
      <c r="F59" s="80"/>
      <c r="G59" s="81"/>
      <c r="H59" s="89"/>
      <c r="I59" s="13"/>
    </row>
    <row r="60" spans="1:22" ht="15" hidden="1" customHeight="1">
      <c r="A60" s="29"/>
      <c r="B60" s="78" t="s">
        <v>46</v>
      </c>
      <c r="C60" s="77" t="s">
        <v>54</v>
      </c>
      <c r="D60" s="78" t="s">
        <v>55</v>
      </c>
      <c r="E60" s="79">
        <v>884</v>
      </c>
      <c r="F60" s="80">
        <f>E60/100</f>
        <v>8.84</v>
      </c>
      <c r="G60" s="70">
        <v>793.61</v>
      </c>
      <c r="H60" s="89">
        <f>G60*F60/1000</f>
        <v>7.0155123999999995</v>
      </c>
      <c r="I60" s="13">
        <v>0</v>
      </c>
    </row>
    <row r="61" spans="1:22" ht="15" customHeight="1">
      <c r="A61" s="29">
        <v>21</v>
      </c>
      <c r="B61" s="78" t="s">
        <v>95</v>
      </c>
      <c r="C61" s="77" t="s">
        <v>25</v>
      </c>
      <c r="D61" s="78" t="s">
        <v>213</v>
      </c>
      <c r="E61" s="79">
        <v>176.8</v>
      </c>
      <c r="F61" s="80">
        <f>E61*12</f>
        <v>2121.6000000000004</v>
      </c>
      <c r="G61" s="70">
        <v>1.4</v>
      </c>
      <c r="H61" s="89">
        <f>G61*F61</f>
        <v>2970.2400000000002</v>
      </c>
      <c r="I61" s="13">
        <f>G61*100</f>
        <v>140</v>
      </c>
    </row>
    <row r="62" spans="1:22" ht="15" hidden="1" customHeight="1">
      <c r="A62" s="29"/>
      <c r="B62" s="88" t="s">
        <v>47</v>
      </c>
      <c r="C62" s="77"/>
      <c r="D62" s="78"/>
      <c r="E62" s="79"/>
      <c r="F62" s="80"/>
      <c r="G62" s="70"/>
      <c r="H62" s="89" t="s">
        <v>132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8" hidden="1" customHeight="1">
      <c r="A63" s="29">
        <v>28</v>
      </c>
      <c r="B63" s="14" t="s">
        <v>48</v>
      </c>
      <c r="C63" s="16" t="s">
        <v>124</v>
      </c>
      <c r="D63" s="14" t="s">
        <v>213</v>
      </c>
      <c r="E63" s="18">
        <v>20</v>
      </c>
      <c r="F63" s="70">
        <v>20</v>
      </c>
      <c r="G63" s="91">
        <v>222.4</v>
      </c>
      <c r="H63" s="90">
        <f t="shared" ref="H63:H80" si="7">SUM(F63*G63/1000)</f>
        <v>4.4480000000000004</v>
      </c>
      <c r="I63" s="13">
        <f>G63</f>
        <v>222.4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>
        <v>17</v>
      </c>
      <c r="B64" s="14" t="s">
        <v>49</v>
      </c>
      <c r="C64" s="16" t="s">
        <v>124</v>
      </c>
      <c r="D64" s="14" t="s">
        <v>67</v>
      </c>
      <c r="E64" s="14" t="s">
        <v>67</v>
      </c>
      <c r="F64" s="14" t="s">
        <v>67</v>
      </c>
      <c r="G64" s="13">
        <v>76.25</v>
      </c>
      <c r="H64" s="82" t="e">
        <f t="shared" si="7"/>
        <v>#VALUE!</v>
      </c>
      <c r="I64" s="13">
        <f>G64</f>
        <v>76.25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" hidden="1" customHeight="1">
      <c r="A65" s="29">
        <v>29</v>
      </c>
      <c r="B65" s="14" t="s">
        <v>50</v>
      </c>
      <c r="C65" s="16" t="s">
        <v>126</v>
      </c>
      <c r="D65" s="14" t="s">
        <v>55</v>
      </c>
      <c r="E65" s="69">
        <v>12647</v>
      </c>
      <c r="F65" s="13">
        <f>SUM(E65/100)</f>
        <v>126.47</v>
      </c>
      <c r="G65" s="13">
        <v>212.15</v>
      </c>
      <c r="H65" s="82">
        <f t="shared" si="7"/>
        <v>26.830610499999999</v>
      </c>
      <c r="I65" s="13">
        <f>F65*G65</f>
        <v>26830.610499999999</v>
      </c>
      <c r="J65" s="5"/>
      <c r="K65" s="5"/>
      <c r="L65" s="5"/>
      <c r="M65" s="5"/>
      <c r="N65" s="5"/>
      <c r="O65" s="5"/>
      <c r="P65" s="5"/>
      <c r="Q65" s="5"/>
      <c r="R65" s="162"/>
      <c r="S65" s="162"/>
      <c r="T65" s="162"/>
      <c r="U65" s="162"/>
    </row>
    <row r="66" spans="1:21" ht="15" hidden="1" customHeight="1">
      <c r="A66" s="29">
        <v>30</v>
      </c>
      <c r="B66" s="14" t="s">
        <v>51</v>
      </c>
      <c r="C66" s="16" t="s">
        <v>127</v>
      </c>
      <c r="D66" s="14"/>
      <c r="E66" s="69">
        <v>12647</v>
      </c>
      <c r="F66" s="13">
        <f>SUM(E66/1000)</f>
        <v>12.647</v>
      </c>
      <c r="G66" s="13">
        <v>165.21</v>
      </c>
      <c r="H66" s="82">
        <f t="shared" si="7"/>
        <v>2.08941087</v>
      </c>
      <c r="I66" s="13">
        <f t="shared" ref="I66:I70" si="8">F66*G66</f>
        <v>2089.4108700000002</v>
      </c>
    </row>
    <row r="67" spans="1:21" ht="15" hidden="1" customHeight="1">
      <c r="A67" s="29">
        <v>31</v>
      </c>
      <c r="B67" s="14" t="s">
        <v>52</v>
      </c>
      <c r="C67" s="16" t="s">
        <v>78</v>
      </c>
      <c r="D67" s="14" t="s">
        <v>55</v>
      </c>
      <c r="E67" s="69">
        <v>1900</v>
      </c>
      <c r="F67" s="13">
        <f>SUM(E67/100)</f>
        <v>19</v>
      </c>
      <c r="G67" s="13">
        <v>2074.63</v>
      </c>
      <c r="H67" s="82">
        <f t="shared" si="7"/>
        <v>39.417970000000004</v>
      </c>
      <c r="I67" s="13">
        <f t="shared" si="8"/>
        <v>39417.97</v>
      </c>
    </row>
    <row r="68" spans="1:21" ht="15" hidden="1" customHeight="1">
      <c r="A68" s="29">
        <v>32</v>
      </c>
      <c r="B68" s="83" t="s">
        <v>128</v>
      </c>
      <c r="C68" s="16" t="s">
        <v>33</v>
      </c>
      <c r="D68" s="14"/>
      <c r="E68" s="69">
        <v>11.3</v>
      </c>
      <c r="F68" s="13">
        <f>SUM(E68)</f>
        <v>11.3</v>
      </c>
      <c r="G68" s="13">
        <v>42.67</v>
      </c>
      <c r="H68" s="82">
        <f t="shared" si="7"/>
        <v>0.48217100000000007</v>
      </c>
      <c r="I68" s="13">
        <f t="shared" si="8"/>
        <v>482.17100000000005</v>
      </c>
    </row>
    <row r="69" spans="1:21" ht="25.5" hidden="1" customHeight="1">
      <c r="A69" s="29">
        <v>33</v>
      </c>
      <c r="B69" s="83" t="s">
        <v>129</v>
      </c>
      <c r="C69" s="16" t="s">
        <v>33</v>
      </c>
      <c r="D69" s="14"/>
      <c r="E69" s="69">
        <v>11.3</v>
      </c>
      <c r="F69" s="13">
        <f>SUM(E69)</f>
        <v>11.3</v>
      </c>
      <c r="G69" s="13">
        <v>39.81</v>
      </c>
      <c r="H69" s="82">
        <f t="shared" si="7"/>
        <v>0.44985300000000006</v>
      </c>
      <c r="I69" s="13">
        <f t="shared" si="8"/>
        <v>449.85300000000007</v>
      </c>
    </row>
    <row r="70" spans="1:21" ht="15" hidden="1" customHeight="1">
      <c r="A70" s="29"/>
      <c r="B70" s="14" t="s">
        <v>58</v>
      </c>
      <c r="C70" s="16" t="s">
        <v>59</v>
      </c>
      <c r="D70" s="14" t="s">
        <v>55</v>
      </c>
      <c r="E70" s="18">
        <v>6</v>
      </c>
      <c r="F70" s="70">
        <f>SUM(E70)</f>
        <v>6</v>
      </c>
      <c r="G70" s="13">
        <v>49.88</v>
      </c>
      <c r="H70" s="82">
        <f t="shared" si="7"/>
        <v>0.29928000000000005</v>
      </c>
      <c r="I70" s="13">
        <f t="shared" si="8"/>
        <v>299.28000000000003</v>
      </c>
    </row>
    <row r="71" spans="1:21" ht="15" customHeight="1">
      <c r="A71" s="29"/>
      <c r="B71" s="31" t="s">
        <v>202</v>
      </c>
      <c r="C71" s="16"/>
      <c r="D71" s="14"/>
      <c r="E71" s="18"/>
      <c r="F71" s="13"/>
      <c r="G71" s="116"/>
      <c r="H71" s="116"/>
      <c r="I71" s="117"/>
    </row>
    <row r="72" spans="1:21" ht="33" customHeight="1">
      <c r="A72" s="29">
        <v>22</v>
      </c>
      <c r="B72" s="102" t="s">
        <v>200</v>
      </c>
      <c r="C72" s="133" t="s">
        <v>201</v>
      </c>
      <c r="D72" s="134"/>
      <c r="E72" s="17">
        <v>3031.3</v>
      </c>
      <c r="F72" s="35">
        <f>E72*12</f>
        <v>36375.600000000006</v>
      </c>
      <c r="G72" s="35">
        <v>2.4900000000000002</v>
      </c>
      <c r="H72" s="116"/>
      <c r="I72" s="117">
        <f>G72*F72/12</f>
        <v>7547.9370000000017</v>
      </c>
    </row>
    <row r="73" spans="1:21" ht="18.75" hidden="1" customHeight="1">
      <c r="A73" s="29"/>
      <c r="B73" s="57" t="s">
        <v>73</v>
      </c>
      <c r="C73" s="16"/>
      <c r="D73" s="14"/>
      <c r="E73" s="18"/>
      <c r="F73" s="13"/>
      <c r="G73" s="13"/>
      <c r="H73" s="82" t="s">
        <v>132</v>
      </c>
      <c r="I73" s="13"/>
    </row>
    <row r="74" spans="1:21" ht="21" hidden="1" customHeight="1">
      <c r="A74" s="29">
        <v>32</v>
      </c>
      <c r="B74" s="14" t="s">
        <v>74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2">
        <v>0.251</v>
      </c>
      <c r="I74" s="13">
        <f>G74*0.1</f>
        <v>50.162000000000006</v>
      </c>
    </row>
    <row r="75" spans="1:21" ht="30.75" hidden="1" customHeight="1">
      <c r="A75" s="29"/>
      <c r="B75" s="14" t="s">
        <v>140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2">
        <v>0.1</v>
      </c>
      <c r="I75" s="13">
        <v>0</v>
      </c>
    </row>
    <row r="76" spans="1:21" ht="33" hidden="1" customHeight="1">
      <c r="A76" s="29"/>
      <c r="B76" s="14" t="s">
        <v>141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2">
        <v>0.12</v>
      </c>
      <c r="I76" s="13">
        <v>0</v>
      </c>
    </row>
    <row r="77" spans="1:21" ht="32.25" hidden="1" customHeight="1">
      <c r="A77" s="29"/>
      <c r="B77" s="14" t="s">
        <v>87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2">
        <f t="shared" si="7"/>
        <v>0.35851</v>
      </c>
      <c r="I77" s="13">
        <v>0</v>
      </c>
    </row>
    <row r="78" spans="1:21" ht="34.5" hidden="1" customHeight="1">
      <c r="A78" s="29">
        <v>34</v>
      </c>
      <c r="B78" s="14" t="s">
        <v>75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2">
        <f>F78*G78/1000</f>
        <v>0.85299000000000003</v>
      </c>
      <c r="I78" s="13">
        <f>G78*6</f>
        <v>5117.9400000000005</v>
      </c>
    </row>
    <row r="79" spans="1:21" ht="36.75" hidden="1" customHeight="1">
      <c r="A79" s="29"/>
      <c r="B79" s="84" t="s">
        <v>77</v>
      </c>
      <c r="C79" s="16"/>
      <c r="D79" s="14"/>
      <c r="E79" s="18"/>
      <c r="F79" s="13"/>
      <c r="G79" s="13" t="s">
        <v>132</v>
      </c>
      <c r="H79" s="82" t="s">
        <v>132</v>
      </c>
      <c r="I79" s="13"/>
    </row>
    <row r="80" spans="1:21" ht="36.75" hidden="1" customHeight="1">
      <c r="A80" s="29"/>
      <c r="B80" s="44" t="s">
        <v>133</v>
      </c>
      <c r="C80" s="16" t="s">
        <v>78</v>
      </c>
      <c r="D80" s="14"/>
      <c r="E80" s="18"/>
      <c r="F80" s="13">
        <v>0.2</v>
      </c>
      <c r="G80" s="13">
        <v>2759.44</v>
      </c>
      <c r="H80" s="82">
        <f t="shared" si="7"/>
        <v>0.55188800000000005</v>
      </c>
      <c r="I80" s="13">
        <v>0</v>
      </c>
    </row>
    <row r="81" spans="1:9" ht="22.5" hidden="1" customHeight="1">
      <c r="A81" s="29"/>
      <c r="B81" s="72" t="s">
        <v>130</v>
      </c>
      <c r="C81" s="84"/>
      <c r="D81" s="31"/>
      <c r="E81" s="32"/>
      <c r="F81" s="73"/>
      <c r="G81" s="73"/>
      <c r="H81" s="85" t="e">
        <f>SUM(H58:H80)</f>
        <v>#VALUE!</v>
      </c>
      <c r="I81" s="73"/>
    </row>
    <row r="82" spans="1:9" ht="17.25" hidden="1" customHeight="1">
      <c r="A82" s="29"/>
      <c r="B82" s="67" t="s">
        <v>131</v>
      </c>
      <c r="C82" s="16"/>
      <c r="D82" s="14"/>
      <c r="E82" s="62"/>
      <c r="F82" s="13">
        <v>1</v>
      </c>
      <c r="G82" s="13">
        <v>13437.4</v>
      </c>
      <c r="H82" s="82">
        <f>G82*F82/1000</f>
        <v>13.4374</v>
      </c>
      <c r="I82" s="13">
        <v>0</v>
      </c>
    </row>
    <row r="83" spans="1:9" ht="15.75" customHeight="1">
      <c r="A83" s="163" t="s">
        <v>145</v>
      </c>
      <c r="B83" s="164"/>
      <c r="C83" s="164"/>
      <c r="D83" s="164"/>
      <c r="E83" s="164"/>
      <c r="F83" s="164"/>
      <c r="G83" s="164"/>
      <c r="H83" s="164"/>
      <c r="I83" s="165"/>
    </row>
    <row r="84" spans="1:9" ht="15" customHeight="1">
      <c r="A84" s="29">
        <v>23</v>
      </c>
      <c r="B84" s="102" t="s">
        <v>134</v>
      </c>
      <c r="C84" s="110" t="s">
        <v>56</v>
      </c>
      <c r="D84" s="139"/>
      <c r="E84" s="34">
        <v>3031.3</v>
      </c>
      <c r="F84" s="34">
        <f>SUM(E84*12)</f>
        <v>36375.600000000006</v>
      </c>
      <c r="G84" s="34">
        <v>3.38</v>
      </c>
      <c r="H84" s="82">
        <f>SUM(F84*G84/1000)</f>
        <v>122.94952800000002</v>
      </c>
      <c r="I84" s="13">
        <f>F84/12*G84</f>
        <v>10245.794000000002</v>
      </c>
    </row>
    <row r="85" spans="1:9" ht="31.5" customHeight="1">
      <c r="A85" s="29">
        <v>24</v>
      </c>
      <c r="B85" s="102" t="s">
        <v>203</v>
      </c>
      <c r="C85" s="110" t="s">
        <v>25</v>
      </c>
      <c r="D85" s="137"/>
      <c r="E85" s="138">
        <f>E84</f>
        <v>3031.3</v>
      </c>
      <c r="F85" s="135">
        <f>E85*12</f>
        <v>36375.600000000006</v>
      </c>
      <c r="G85" s="135">
        <v>3.05</v>
      </c>
      <c r="H85" s="82">
        <f>F85*G85/1000</f>
        <v>110.94558000000002</v>
      </c>
      <c r="I85" s="13">
        <f>F85/12*G85</f>
        <v>9245.465000000002</v>
      </c>
    </row>
    <row r="86" spans="1:9" ht="15.75" customHeight="1">
      <c r="A86" s="45"/>
      <c r="B86" s="36" t="s">
        <v>80</v>
      </c>
      <c r="C86" s="37"/>
      <c r="D86" s="15"/>
      <c r="E86" s="15"/>
      <c r="F86" s="15"/>
      <c r="G86" s="18"/>
      <c r="H86" s="18"/>
      <c r="I86" s="32">
        <f>I85+I84+I72+I61+I55+I54+I53+I52+I51+I50+I49+I48+I47+I46+I33+I32+I31+I30+I27+I21+I20+I18+I17+I16</f>
        <v>63166.471076266658</v>
      </c>
    </row>
    <row r="87" spans="1:9" ht="15.75" customHeight="1">
      <c r="A87" s="177" t="s">
        <v>61</v>
      </c>
      <c r="B87" s="178"/>
      <c r="C87" s="178"/>
      <c r="D87" s="178"/>
      <c r="E87" s="178"/>
      <c r="F87" s="178"/>
      <c r="G87" s="178"/>
      <c r="H87" s="178"/>
      <c r="I87" s="179"/>
    </row>
    <row r="88" spans="1:9" ht="18.75" customHeight="1">
      <c r="A88" s="29">
        <v>25</v>
      </c>
      <c r="B88" s="52" t="s">
        <v>216</v>
      </c>
      <c r="C88" s="53" t="s">
        <v>124</v>
      </c>
      <c r="D88" s="44"/>
      <c r="E88" s="13"/>
      <c r="F88" s="13"/>
      <c r="G88" s="34">
        <v>60.72</v>
      </c>
      <c r="H88" s="82"/>
      <c r="I88" s="13">
        <f t="shared" ref="I88" si="9">G88*1</f>
        <v>60.72</v>
      </c>
    </row>
    <row r="89" spans="1:9" ht="15.75" customHeight="1">
      <c r="A89" s="29"/>
      <c r="B89" s="42" t="s">
        <v>53</v>
      </c>
      <c r="C89" s="38"/>
      <c r="D89" s="46"/>
      <c r="E89" s="38">
        <v>1</v>
      </c>
      <c r="F89" s="38"/>
      <c r="G89" s="38"/>
      <c r="H89" s="38"/>
      <c r="I89" s="32">
        <f>SUM(I88:I88)</f>
        <v>60.72</v>
      </c>
    </row>
    <row r="90" spans="1:9" ht="15.75" customHeight="1">
      <c r="A90" s="29"/>
      <c r="B90" s="44" t="s">
        <v>79</v>
      </c>
      <c r="C90" s="15"/>
      <c r="D90" s="15"/>
      <c r="E90" s="39"/>
      <c r="F90" s="39"/>
      <c r="G90" s="40"/>
      <c r="H90" s="40"/>
      <c r="I90" s="17">
        <v>0</v>
      </c>
    </row>
    <row r="91" spans="1:9" ht="15.75" customHeight="1">
      <c r="A91" s="47"/>
      <c r="B91" s="43" t="s">
        <v>182</v>
      </c>
      <c r="C91" s="33"/>
      <c r="D91" s="33"/>
      <c r="E91" s="33"/>
      <c r="F91" s="33"/>
      <c r="G91" s="33"/>
      <c r="H91" s="33"/>
      <c r="I91" s="41">
        <f>I86+I89</f>
        <v>63227.191076266659</v>
      </c>
    </row>
    <row r="92" spans="1:9" ht="15.75">
      <c r="A92" s="180" t="s">
        <v>250</v>
      </c>
      <c r="B92" s="180"/>
      <c r="C92" s="180"/>
      <c r="D92" s="180"/>
      <c r="E92" s="180"/>
      <c r="F92" s="180"/>
      <c r="G92" s="180"/>
      <c r="H92" s="180"/>
      <c r="I92" s="180"/>
    </row>
    <row r="93" spans="1:9" ht="15.75">
      <c r="A93" s="60"/>
      <c r="B93" s="181" t="s">
        <v>251</v>
      </c>
      <c r="C93" s="181"/>
      <c r="D93" s="181"/>
      <c r="E93" s="181"/>
      <c r="F93" s="181"/>
      <c r="G93" s="181"/>
      <c r="H93" s="65"/>
      <c r="I93" s="3"/>
    </row>
    <row r="94" spans="1:9">
      <c r="A94" s="56"/>
      <c r="B94" s="182" t="s">
        <v>6</v>
      </c>
      <c r="C94" s="182"/>
      <c r="D94" s="182"/>
      <c r="E94" s="182"/>
      <c r="F94" s="182"/>
      <c r="G94" s="182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83" t="s">
        <v>7</v>
      </c>
      <c r="B96" s="183"/>
      <c r="C96" s="183"/>
      <c r="D96" s="183"/>
      <c r="E96" s="183"/>
      <c r="F96" s="183"/>
      <c r="G96" s="183"/>
      <c r="H96" s="183"/>
      <c r="I96" s="183"/>
    </row>
    <row r="97" spans="1:9" ht="15.75">
      <c r="A97" s="183" t="s">
        <v>8</v>
      </c>
      <c r="B97" s="183"/>
      <c r="C97" s="183"/>
      <c r="D97" s="183"/>
      <c r="E97" s="183"/>
      <c r="F97" s="183"/>
      <c r="G97" s="183"/>
      <c r="H97" s="183"/>
      <c r="I97" s="183"/>
    </row>
    <row r="98" spans="1:9" ht="15.75">
      <c r="A98" s="172" t="s">
        <v>62</v>
      </c>
      <c r="B98" s="172"/>
      <c r="C98" s="172"/>
      <c r="D98" s="172"/>
      <c r="E98" s="172"/>
      <c r="F98" s="172"/>
      <c r="G98" s="172"/>
      <c r="H98" s="172"/>
      <c r="I98" s="172"/>
    </row>
    <row r="99" spans="1:9" ht="15.75">
      <c r="A99" s="11"/>
    </row>
    <row r="100" spans="1:9" ht="15.75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>
      <c r="A101" s="4"/>
    </row>
    <row r="102" spans="1:9" ht="15.75">
      <c r="B102" s="59" t="s">
        <v>10</v>
      </c>
      <c r="C102" s="186" t="s">
        <v>88</v>
      </c>
      <c r="D102" s="186"/>
      <c r="E102" s="186"/>
      <c r="F102" s="63"/>
      <c r="I102" s="55"/>
    </row>
    <row r="103" spans="1:9">
      <c r="A103" s="56"/>
      <c r="C103" s="182" t="s">
        <v>11</v>
      </c>
      <c r="D103" s="182"/>
      <c r="E103" s="182"/>
      <c r="F103" s="24"/>
      <c r="I103" s="54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59" t="s">
        <v>13</v>
      </c>
      <c r="C105" s="187"/>
      <c r="D105" s="187"/>
      <c r="E105" s="187"/>
      <c r="F105" s="64"/>
      <c r="I105" s="55"/>
    </row>
    <row r="106" spans="1:9">
      <c r="A106" s="56"/>
      <c r="C106" s="162" t="s">
        <v>11</v>
      </c>
      <c r="D106" s="162"/>
      <c r="E106" s="162"/>
      <c r="F106" s="56"/>
      <c r="I106" s="54" t="s">
        <v>12</v>
      </c>
    </row>
    <row r="107" spans="1:9" ht="15.75">
      <c r="A107" s="4" t="s">
        <v>14</v>
      </c>
    </row>
    <row r="108" spans="1:9">
      <c r="A108" s="188" t="s">
        <v>15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45" customHeight="1">
      <c r="A109" s="184" t="s">
        <v>16</v>
      </c>
      <c r="B109" s="184"/>
      <c r="C109" s="184"/>
      <c r="D109" s="184"/>
      <c r="E109" s="184"/>
      <c r="F109" s="184"/>
      <c r="G109" s="184"/>
      <c r="H109" s="184"/>
      <c r="I109" s="184"/>
    </row>
    <row r="110" spans="1:9" ht="30" customHeight="1">
      <c r="A110" s="184" t="s">
        <v>17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30" customHeight="1">
      <c r="A111" s="184" t="s">
        <v>21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15.75">
      <c r="A112" s="184" t="s">
        <v>20</v>
      </c>
      <c r="B112" s="184"/>
      <c r="C112" s="184"/>
      <c r="D112" s="184"/>
      <c r="E112" s="184"/>
      <c r="F112" s="184"/>
      <c r="G112" s="184"/>
      <c r="H112" s="184"/>
      <c r="I112" s="184"/>
    </row>
  </sheetData>
  <autoFilter ref="I12:I60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8:I28"/>
    <mergeCell ref="A45:I45"/>
    <mergeCell ref="A56:I56"/>
    <mergeCell ref="A87:I87"/>
    <mergeCell ref="A92:I92"/>
    <mergeCell ref="B93:G93"/>
    <mergeCell ref="B94:G94"/>
    <mergeCell ref="A96:I96"/>
    <mergeCell ref="A97:I97"/>
    <mergeCell ref="R65:U65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4"/>
  <sheetViews>
    <sheetView topLeftCell="A87" workbookViewId="0">
      <selection activeCell="D100" sqref="D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28515625" customWidth="1"/>
    <col min="5" max="5" width="11.8554687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176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252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44012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218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208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customHeight="1">
      <c r="A19" s="29">
        <v>4</v>
      </c>
      <c r="B19" s="120" t="s">
        <v>107</v>
      </c>
      <c r="C19" s="121" t="s">
        <v>108</v>
      </c>
      <c r="D19" s="120" t="s">
        <v>253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f>G19*F19</f>
        <v>995.27520000000004</v>
      </c>
      <c r="J19" s="22"/>
      <c r="K19" s="8"/>
      <c r="L19" s="8"/>
      <c r="M19" s="8"/>
    </row>
    <row r="20" spans="1:13" ht="14.25" customHeight="1">
      <c r="A20" s="29">
        <v>5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6</v>
      </c>
      <c r="B21" s="120" t="s">
        <v>98</v>
      </c>
      <c r="C21" s="121" t="s">
        <v>106</v>
      </c>
      <c r="D21" s="120" t="s">
        <v>214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.75" customHeight="1">
      <c r="A22" s="29">
        <v>7</v>
      </c>
      <c r="B22" s="120" t="s">
        <v>110</v>
      </c>
      <c r="C22" s="121" t="s">
        <v>54</v>
      </c>
      <c r="D22" s="120" t="s">
        <v>254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f>G22*F22</f>
        <v>1558.8223999999998</v>
      </c>
      <c r="J22" s="22"/>
      <c r="K22" s="8"/>
      <c r="L22" s="8"/>
      <c r="M22" s="8"/>
    </row>
    <row r="23" spans="1:13" ht="16.5" customHeight="1">
      <c r="A23" s="29">
        <v>8</v>
      </c>
      <c r="B23" s="120" t="s">
        <v>111</v>
      </c>
      <c r="C23" s="121" t="s">
        <v>54</v>
      </c>
      <c r="D23" s="120" t="s">
        <v>255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f>G23*F23</f>
        <v>44.798544</v>
      </c>
      <c r="J23" s="22"/>
      <c r="K23" s="8"/>
      <c r="L23" s="8"/>
      <c r="M23" s="8"/>
    </row>
    <row r="24" spans="1:13" ht="16.5" customHeight="1">
      <c r="A24" s="29">
        <v>9</v>
      </c>
      <c r="B24" s="120" t="s">
        <v>100</v>
      </c>
      <c r="C24" s="121" t="s">
        <v>54</v>
      </c>
      <c r="D24" s="120" t="s">
        <v>254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f>G24*F24</f>
        <v>78.213800000000006</v>
      </c>
      <c r="J24" s="22"/>
      <c r="K24" s="8"/>
      <c r="L24" s="8"/>
      <c r="M24" s="8"/>
    </row>
    <row r="25" spans="1:13" ht="33" customHeight="1">
      <c r="A25" s="29">
        <v>10</v>
      </c>
      <c r="B25" s="120" t="s">
        <v>112</v>
      </c>
      <c r="C25" s="121" t="s">
        <v>54</v>
      </c>
      <c r="D25" s="120" t="s">
        <v>253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f>G25*F25</f>
        <v>99.139200000000002</v>
      </c>
      <c r="J25" s="22"/>
      <c r="K25" s="8"/>
      <c r="L25" s="8"/>
      <c r="M25" s="8"/>
    </row>
    <row r="26" spans="1:13" ht="19.5" customHeight="1">
      <c r="A26" s="29">
        <v>11</v>
      </c>
      <c r="B26" s="120" t="s">
        <v>101</v>
      </c>
      <c r="C26" s="121" t="s">
        <v>54</v>
      </c>
      <c r="D26" s="120" t="s">
        <v>254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f>G26*F26</f>
        <v>210.69052000000002</v>
      </c>
      <c r="J26" s="22"/>
      <c r="K26" s="8"/>
      <c r="L26" s="8"/>
      <c r="M26" s="8"/>
    </row>
    <row r="27" spans="1:13" ht="15" customHeight="1">
      <c r="A27" s="29">
        <v>12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13</v>
      </c>
      <c r="B30" s="120" t="s">
        <v>113</v>
      </c>
      <c r="C30" s="121" t="s">
        <v>114</v>
      </c>
      <c r="D30" s="120" t="s">
        <v>211</v>
      </c>
      <c r="E30" s="123">
        <v>425</v>
      </c>
      <c r="F30" s="123">
        <f>SUM(E30*24/1000)</f>
        <v>10.199999999999999</v>
      </c>
      <c r="G30" s="123">
        <v>223.46</v>
      </c>
      <c r="H30" s="71">
        <f t="shared" ref="H30:H35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14</v>
      </c>
      <c r="B31" s="120" t="s">
        <v>169</v>
      </c>
      <c r="C31" s="121" t="s">
        <v>114</v>
      </c>
      <c r="D31" s="120" t="s">
        <v>207</v>
      </c>
      <c r="E31" s="123">
        <v>68</v>
      </c>
      <c r="F31" s="123">
        <f>SUM(E31*52/1000)</f>
        <v>3.536</v>
      </c>
      <c r="G31" s="123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8" hidden="1" customHeight="1">
      <c r="A32" s="29">
        <v>16</v>
      </c>
      <c r="B32" s="120" t="s">
        <v>27</v>
      </c>
      <c r="C32" s="121" t="s">
        <v>114</v>
      </c>
      <c r="D32" s="120" t="s">
        <v>55</v>
      </c>
      <c r="E32" s="123">
        <v>425</v>
      </c>
      <c r="F32" s="123">
        <f>SUM(E32/1000)</f>
        <v>0.42499999999999999</v>
      </c>
      <c r="G32" s="123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15</v>
      </c>
      <c r="B33" s="120" t="s">
        <v>147</v>
      </c>
      <c r="C33" s="121" t="s">
        <v>41</v>
      </c>
      <c r="D33" s="120" t="s">
        <v>215</v>
      </c>
      <c r="E33" s="123">
        <v>4</v>
      </c>
      <c r="F33" s="123">
        <f>E33*72/100</f>
        <v>2.88</v>
      </c>
      <c r="G33" s="123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si="1"/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1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132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3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104</v>
      </c>
      <c r="C38" s="68" t="s">
        <v>29</v>
      </c>
      <c r="D38" s="67" t="s">
        <v>136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3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137</v>
      </c>
      <c r="C39" s="68" t="s">
        <v>29</v>
      </c>
      <c r="D39" s="67" t="s">
        <v>118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94</v>
      </c>
      <c r="C40" s="68" t="s">
        <v>119</v>
      </c>
      <c r="D40" s="67" t="s">
        <v>149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120</v>
      </c>
      <c r="E41" s="70">
        <v>68</v>
      </c>
      <c r="F41" s="70">
        <f>SUM(E41*155/1000)</f>
        <v>10.54</v>
      </c>
      <c r="G41" s="70">
        <v>350.75</v>
      </c>
      <c r="H41" s="71">
        <f t="shared" si="3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114</v>
      </c>
      <c r="D42" s="67" t="s">
        <v>138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3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121</v>
      </c>
      <c r="C43" s="68" t="s">
        <v>114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3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3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hidden="1" customHeight="1">
      <c r="A45" s="174" t="s">
        <v>143</v>
      </c>
      <c r="B45" s="175"/>
      <c r="C45" s="175"/>
      <c r="D45" s="175"/>
      <c r="E45" s="175"/>
      <c r="F45" s="175"/>
      <c r="G45" s="175"/>
      <c r="H45" s="175"/>
      <c r="I45" s="176"/>
      <c r="J45" s="23"/>
      <c r="L45" s="19"/>
      <c r="M45" s="20"/>
      <c r="N45" s="21"/>
    </row>
    <row r="46" spans="1:14" ht="19.5" hidden="1" customHeight="1">
      <c r="A46" s="29"/>
      <c r="B46" s="120" t="s">
        <v>139</v>
      </c>
      <c r="C46" s="121" t="s">
        <v>114</v>
      </c>
      <c r="D46" s="120" t="s">
        <v>43</v>
      </c>
      <c r="E46" s="122">
        <v>1061.3</v>
      </c>
      <c r="F46" s="123">
        <f>SUM(E46*2/1000)</f>
        <v>2.1225999999999998</v>
      </c>
      <c r="G46" s="34">
        <v>1160.81</v>
      </c>
      <c r="H46" s="71">
        <f t="shared" ref="H46:H55" si="4">SUM(F46*G46/1000)</f>
        <v>2.4639353059999998</v>
      </c>
      <c r="I46" s="13">
        <v>0</v>
      </c>
      <c r="J46" s="23"/>
      <c r="L46" s="19"/>
      <c r="M46" s="20"/>
      <c r="N46" s="21"/>
    </row>
    <row r="47" spans="1:14" ht="20.25" hidden="1" customHeight="1">
      <c r="A47" s="29"/>
      <c r="B47" s="120" t="s">
        <v>36</v>
      </c>
      <c r="C47" s="121" t="s">
        <v>114</v>
      </c>
      <c r="D47" s="120" t="s">
        <v>43</v>
      </c>
      <c r="E47" s="122">
        <v>52</v>
      </c>
      <c r="F47" s="123">
        <f>SUM(E47*2/1000)</f>
        <v>0.104</v>
      </c>
      <c r="G47" s="34">
        <v>830.69</v>
      </c>
      <c r="H47" s="71">
        <f t="shared" si="4"/>
        <v>8.6391760000000012E-2</v>
      </c>
      <c r="I47" s="13">
        <v>0</v>
      </c>
      <c r="J47" s="23"/>
      <c r="L47" s="19"/>
      <c r="M47" s="20"/>
      <c r="N47" s="21"/>
    </row>
    <row r="48" spans="1:14" ht="21.75" hidden="1" customHeight="1">
      <c r="A48" s="29"/>
      <c r="B48" s="120" t="s">
        <v>37</v>
      </c>
      <c r="C48" s="121" t="s">
        <v>114</v>
      </c>
      <c r="D48" s="120" t="s">
        <v>43</v>
      </c>
      <c r="E48" s="122">
        <v>1238.8</v>
      </c>
      <c r="F48" s="123">
        <f>SUM(E48*2/1000)</f>
        <v>2.4775999999999998</v>
      </c>
      <c r="G48" s="34">
        <v>830.69</v>
      </c>
      <c r="H48" s="71">
        <f t="shared" si="4"/>
        <v>2.0581175440000004</v>
      </c>
      <c r="I48" s="13">
        <v>0</v>
      </c>
      <c r="J48" s="23"/>
      <c r="L48" s="19"/>
      <c r="M48" s="20"/>
      <c r="N48" s="21"/>
    </row>
    <row r="49" spans="1:22" ht="21" hidden="1" customHeight="1">
      <c r="A49" s="29"/>
      <c r="B49" s="120" t="s">
        <v>38</v>
      </c>
      <c r="C49" s="121" t="s">
        <v>114</v>
      </c>
      <c r="D49" s="120" t="s">
        <v>43</v>
      </c>
      <c r="E49" s="122">
        <v>1794.01</v>
      </c>
      <c r="F49" s="123">
        <f>SUM(E49*2/1000)</f>
        <v>3.5880199999999998</v>
      </c>
      <c r="G49" s="34">
        <v>869.86</v>
      </c>
      <c r="H49" s="71">
        <f t="shared" si="4"/>
        <v>3.1210750771999995</v>
      </c>
      <c r="I49" s="13">
        <v>0</v>
      </c>
      <c r="J49" s="23"/>
      <c r="L49" s="19"/>
      <c r="M49" s="20"/>
      <c r="N49" s="21"/>
    </row>
    <row r="50" spans="1:22" ht="21.75" hidden="1" customHeight="1">
      <c r="A50" s="29"/>
      <c r="B50" s="120" t="s">
        <v>34</v>
      </c>
      <c r="C50" s="121" t="s">
        <v>35</v>
      </c>
      <c r="D50" s="120" t="s">
        <v>150</v>
      </c>
      <c r="E50" s="122">
        <v>85.78</v>
      </c>
      <c r="F50" s="123">
        <f>SUM(E50*2/100)</f>
        <v>1.7156</v>
      </c>
      <c r="G50" s="34">
        <v>104.38</v>
      </c>
      <c r="H50" s="71">
        <f t="shared" si="4"/>
        <v>0.17907432799999998</v>
      </c>
      <c r="I50" s="13">
        <v>0</v>
      </c>
      <c r="J50" s="23"/>
      <c r="L50" s="19"/>
      <c r="M50" s="20"/>
      <c r="N50" s="21"/>
    </row>
    <row r="51" spans="1:22" ht="16.5" hidden="1" customHeight="1">
      <c r="A51" s="29">
        <v>13</v>
      </c>
      <c r="B51" s="120" t="s">
        <v>57</v>
      </c>
      <c r="C51" s="121" t="s">
        <v>114</v>
      </c>
      <c r="D51" s="120" t="s">
        <v>196</v>
      </c>
      <c r="E51" s="122">
        <v>884</v>
      </c>
      <c r="F51" s="123">
        <f>SUM(E51*5/1000)</f>
        <v>4.42</v>
      </c>
      <c r="G51" s="34">
        <v>1739.68</v>
      </c>
      <c r="H51" s="71">
        <f t="shared" si="4"/>
        <v>7.6893856000000005</v>
      </c>
      <c r="I51" s="13">
        <f>F51/5*G51</f>
        <v>1537.8771200000001</v>
      </c>
      <c r="J51" s="23"/>
      <c r="L51" s="19"/>
      <c r="M51" s="20"/>
      <c r="N51" s="21"/>
    </row>
    <row r="52" spans="1:22" ht="29.25" hidden="1" customHeight="1">
      <c r="A52" s="29"/>
      <c r="B52" s="120" t="s">
        <v>122</v>
      </c>
      <c r="C52" s="121" t="s">
        <v>114</v>
      </c>
      <c r="D52" s="120" t="s">
        <v>43</v>
      </c>
      <c r="E52" s="122">
        <v>884</v>
      </c>
      <c r="F52" s="123">
        <f>SUM(E52*2/1000)</f>
        <v>1.768</v>
      </c>
      <c r="G52" s="34">
        <v>1739.68</v>
      </c>
      <c r="H52" s="71">
        <f t="shared" si="4"/>
        <v>3.0757542400000002</v>
      </c>
      <c r="I52" s="13">
        <v>0</v>
      </c>
      <c r="J52" s="23"/>
      <c r="L52" s="19"/>
      <c r="M52" s="20"/>
      <c r="N52" s="21"/>
    </row>
    <row r="53" spans="1:22" ht="27.75" hidden="1" customHeight="1">
      <c r="A53" s="29"/>
      <c r="B53" s="120" t="s">
        <v>123</v>
      </c>
      <c r="C53" s="121" t="s">
        <v>39</v>
      </c>
      <c r="D53" s="120" t="s">
        <v>43</v>
      </c>
      <c r="E53" s="122">
        <v>20</v>
      </c>
      <c r="F53" s="123">
        <f>SUM(E53*2/100)</f>
        <v>0.4</v>
      </c>
      <c r="G53" s="34">
        <v>3914.31</v>
      </c>
      <c r="H53" s="71">
        <f t="shared" si="4"/>
        <v>1.5657240000000001</v>
      </c>
      <c r="I53" s="13">
        <v>0</v>
      </c>
      <c r="J53" s="23"/>
      <c r="L53" s="19"/>
      <c r="M53" s="20"/>
      <c r="N53" s="21"/>
    </row>
    <row r="54" spans="1:22" ht="17.25" hidden="1" customHeight="1">
      <c r="A54" s="29"/>
      <c r="B54" s="120" t="s">
        <v>40</v>
      </c>
      <c r="C54" s="121" t="s">
        <v>41</v>
      </c>
      <c r="D54" s="120" t="s">
        <v>43</v>
      </c>
      <c r="E54" s="122">
        <v>1</v>
      </c>
      <c r="F54" s="123">
        <v>0.02</v>
      </c>
      <c r="G54" s="34">
        <v>8102.62</v>
      </c>
      <c r="H54" s="71">
        <f t="shared" si="4"/>
        <v>0.16205240000000001</v>
      </c>
      <c r="I54" s="13">
        <v>0</v>
      </c>
      <c r="J54" s="23"/>
      <c r="L54" s="19"/>
      <c r="M54" s="20"/>
      <c r="N54" s="21"/>
    </row>
    <row r="55" spans="1:22" ht="15" hidden="1" customHeight="1">
      <c r="A55" s="29">
        <v>10</v>
      </c>
      <c r="B55" s="120" t="s">
        <v>42</v>
      </c>
      <c r="C55" s="121" t="s">
        <v>30</v>
      </c>
      <c r="D55" s="120" t="s">
        <v>71</v>
      </c>
      <c r="E55" s="122">
        <v>136</v>
      </c>
      <c r="F55" s="123">
        <f>SUM(E55)*3</f>
        <v>408</v>
      </c>
      <c r="G55" s="127">
        <v>87.32</v>
      </c>
      <c r="H55" s="71">
        <f t="shared" si="4"/>
        <v>35.626559999999998</v>
      </c>
      <c r="I55" s="13">
        <f>E55*G55</f>
        <v>11875.519999999999</v>
      </c>
      <c r="J55" s="23"/>
      <c r="L55" s="19"/>
      <c r="M55" s="20"/>
      <c r="N55" s="21"/>
    </row>
    <row r="56" spans="1:22" ht="15.75" customHeight="1">
      <c r="A56" s="174" t="s">
        <v>173</v>
      </c>
      <c r="B56" s="175"/>
      <c r="C56" s="175"/>
      <c r="D56" s="175"/>
      <c r="E56" s="175"/>
      <c r="F56" s="175"/>
      <c r="G56" s="175"/>
      <c r="H56" s="175"/>
      <c r="I56" s="176"/>
      <c r="J56" s="23"/>
      <c r="L56" s="19"/>
      <c r="M56" s="20"/>
      <c r="N56" s="21"/>
    </row>
    <row r="57" spans="1:22" ht="16.5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32.25" hidden="1" customHeight="1">
      <c r="A58" s="29">
        <v>15</v>
      </c>
      <c r="B58" s="120" t="s">
        <v>125</v>
      </c>
      <c r="C58" s="121" t="s">
        <v>99</v>
      </c>
      <c r="D58" s="120" t="s">
        <v>72</v>
      </c>
      <c r="E58" s="122">
        <v>97.36</v>
      </c>
      <c r="F58" s="123">
        <f>E58*6/100</f>
        <v>5.8415999999999997</v>
      </c>
      <c r="G58" s="128">
        <v>2218.11</v>
      </c>
      <c r="H58" s="71">
        <f>F58*G58/1000</f>
        <v>12.957311376</v>
      </c>
      <c r="I58" s="13">
        <f>F58/6*G58</f>
        <v>2159.5518959999999</v>
      </c>
      <c r="J58" s="23"/>
      <c r="L58" s="19"/>
    </row>
    <row r="59" spans="1:22" ht="18" customHeight="1">
      <c r="A59" s="29">
        <v>16</v>
      </c>
      <c r="B59" s="103" t="s">
        <v>192</v>
      </c>
      <c r="C59" s="104" t="s">
        <v>193</v>
      </c>
      <c r="D59" s="103" t="s">
        <v>262</v>
      </c>
      <c r="E59" s="105"/>
      <c r="F59" s="106">
        <v>6</v>
      </c>
      <c r="G59" s="129">
        <v>1730</v>
      </c>
      <c r="H59" s="89"/>
      <c r="I59" s="13">
        <f>G59*2</f>
        <v>3460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17</v>
      </c>
      <c r="B62" s="78" t="s">
        <v>95</v>
      </c>
      <c r="C62" s="77" t="s">
        <v>25</v>
      </c>
      <c r="D62" s="78" t="s">
        <v>213</v>
      </c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8.75" hidden="1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132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23.25" hidden="1" customHeight="1">
      <c r="A64" s="29">
        <v>12</v>
      </c>
      <c r="B64" s="130" t="s">
        <v>48</v>
      </c>
      <c r="C64" s="110" t="s">
        <v>124</v>
      </c>
      <c r="D64" s="102" t="s">
        <v>149</v>
      </c>
      <c r="E64" s="17">
        <v>20</v>
      </c>
      <c r="F64" s="123">
        <v>20</v>
      </c>
      <c r="G64" s="34">
        <v>318.82</v>
      </c>
      <c r="H64" s="90">
        <f t="shared" ref="H64:H81" si="5">SUM(F64*G64/1000)</f>
        <v>6.3763999999999994</v>
      </c>
      <c r="I64" s="13">
        <f>G64*2</f>
        <v>637.64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3.25" hidden="1" customHeight="1">
      <c r="A65" s="29">
        <v>17</v>
      </c>
      <c r="B65" s="130" t="s">
        <v>49</v>
      </c>
      <c r="C65" s="110" t="s">
        <v>124</v>
      </c>
      <c r="D65" s="102" t="s">
        <v>149</v>
      </c>
      <c r="E65" s="17">
        <v>10</v>
      </c>
      <c r="F65" s="123">
        <f>E65*1</f>
        <v>10</v>
      </c>
      <c r="G65" s="34">
        <v>109.32</v>
      </c>
      <c r="H65" s="82">
        <f t="shared" si="5"/>
        <v>1.0931999999999997</v>
      </c>
      <c r="I65" s="13">
        <f>G65</f>
        <v>109.32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>
        <v>11</v>
      </c>
      <c r="B66" s="130" t="s">
        <v>50</v>
      </c>
      <c r="C66" s="131" t="s">
        <v>126</v>
      </c>
      <c r="D66" s="102"/>
      <c r="E66" s="122">
        <v>12647</v>
      </c>
      <c r="F66" s="127">
        <f>SUM(E66/100)</f>
        <v>126.47</v>
      </c>
      <c r="G66" s="34">
        <v>304.13</v>
      </c>
      <c r="H66" s="82">
        <f t="shared" si="5"/>
        <v>38.463321100000002</v>
      </c>
      <c r="I66" s="13">
        <f>F66*G66</f>
        <v>38463.321100000001</v>
      </c>
      <c r="J66" s="5"/>
      <c r="K66" s="5"/>
      <c r="L66" s="5"/>
      <c r="M66" s="5"/>
      <c r="N66" s="5"/>
      <c r="O66" s="5"/>
      <c r="P66" s="5"/>
      <c r="Q66" s="5"/>
      <c r="R66" s="162"/>
      <c r="S66" s="162"/>
      <c r="T66" s="162"/>
      <c r="U66" s="162"/>
    </row>
    <row r="67" spans="1:21" ht="17.25" hidden="1" customHeight="1">
      <c r="A67" s="29">
        <v>12</v>
      </c>
      <c r="B67" s="130" t="s">
        <v>51</v>
      </c>
      <c r="C67" s="110" t="s">
        <v>127</v>
      </c>
      <c r="D67" s="102"/>
      <c r="E67" s="122">
        <v>12647</v>
      </c>
      <c r="F67" s="34">
        <f>SUM(E67/1000)</f>
        <v>12.647</v>
      </c>
      <c r="G67" s="34">
        <v>236.84</v>
      </c>
      <c r="H67" s="82">
        <f t="shared" si="5"/>
        <v>2.9953154800000004</v>
      </c>
      <c r="I67" s="13">
        <f t="shared" ref="I67:I71" si="6">F67*G67</f>
        <v>2995.3154800000002</v>
      </c>
    </row>
    <row r="68" spans="1:21" ht="15.75" hidden="1" customHeight="1">
      <c r="A68" s="29">
        <v>13</v>
      </c>
      <c r="B68" s="130" t="s">
        <v>52</v>
      </c>
      <c r="C68" s="110" t="s">
        <v>78</v>
      </c>
      <c r="D68" s="102"/>
      <c r="E68" s="122">
        <v>1900</v>
      </c>
      <c r="F68" s="34">
        <f>SUM(E68/100)</f>
        <v>19</v>
      </c>
      <c r="G68" s="34">
        <v>2974.1</v>
      </c>
      <c r="H68" s="82">
        <f t="shared" si="5"/>
        <v>56.507899999999999</v>
      </c>
      <c r="I68" s="13">
        <f t="shared" si="6"/>
        <v>56507.9</v>
      </c>
    </row>
    <row r="69" spans="1:21" ht="16.5" hidden="1" customHeight="1">
      <c r="A69" s="29">
        <v>14</v>
      </c>
      <c r="B69" s="132" t="s">
        <v>128</v>
      </c>
      <c r="C69" s="110" t="s">
        <v>33</v>
      </c>
      <c r="D69" s="102"/>
      <c r="E69" s="122">
        <v>11.3</v>
      </c>
      <c r="F69" s="34">
        <f>SUM(E69)</f>
        <v>11.3</v>
      </c>
      <c r="G69" s="34">
        <v>47.98</v>
      </c>
      <c r="H69" s="82">
        <f t="shared" si="5"/>
        <v>0.54217399999999993</v>
      </c>
      <c r="I69" s="13">
        <f t="shared" si="6"/>
        <v>542.17399999999998</v>
      </c>
    </row>
    <row r="70" spans="1:21" ht="24" hidden="1" customHeight="1">
      <c r="A70" s="29">
        <v>15</v>
      </c>
      <c r="B70" s="132" t="s">
        <v>129</v>
      </c>
      <c r="C70" s="110" t="s">
        <v>33</v>
      </c>
      <c r="D70" s="102"/>
      <c r="E70" s="122">
        <v>11.3</v>
      </c>
      <c r="F70" s="34">
        <f>SUM(E70)</f>
        <v>11.3</v>
      </c>
      <c r="G70" s="34">
        <v>51.75</v>
      </c>
      <c r="H70" s="82">
        <f t="shared" si="5"/>
        <v>0.58477500000000004</v>
      </c>
      <c r="I70" s="13">
        <f t="shared" si="6"/>
        <v>584.77500000000009</v>
      </c>
    </row>
    <row r="71" spans="1:21" ht="21.75" hidden="1" customHeight="1">
      <c r="A71" s="29"/>
      <c r="B71" s="102" t="s">
        <v>58</v>
      </c>
      <c r="C71" s="110" t="s">
        <v>59</v>
      </c>
      <c r="D71" s="102" t="s">
        <v>55</v>
      </c>
      <c r="E71" s="17">
        <v>3</v>
      </c>
      <c r="F71" s="123">
        <f>SUM(E71)</f>
        <v>3</v>
      </c>
      <c r="G71" s="34">
        <v>71.510000000000005</v>
      </c>
      <c r="H71" s="82">
        <f t="shared" si="5"/>
        <v>0.21453000000000003</v>
      </c>
      <c r="I71" s="13">
        <f t="shared" si="6"/>
        <v>214.53000000000003</v>
      </c>
    </row>
    <row r="72" spans="1:21" ht="29.25" hidden="1" customHeight="1">
      <c r="A72" s="29"/>
      <c r="B72" s="102" t="s">
        <v>197</v>
      </c>
      <c r="C72" s="110" t="s">
        <v>124</v>
      </c>
      <c r="D72" s="102" t="s">
        <v>55</v>
      </c>
      <c r="E72" s="17">
        <v>2</v>
      </c>
      <c r="F72" s="129">
        <v>2</v>
      </c>
      <c r="G72" s="34">
        <v>1459.06</v>
      </c>
      <c r="H72" s="82"/>
      <c r="I72" s="13"/>
    </row>
    <row r="73" spans="1:21" ht="28.5" hidden="1" customHeight="1">
      <c r="A73" s="29"/>
      <c r="B73" s="52" t="s">
        <v>198</v>
      </c>
      <c r="C73" s="110" t="s">
        <v>199</v>
      </c>
      <c r="D73" s="102" t="s">
        <v>149</v>
      </c>
      <c r="E73" s="17">
        <v>8</v>
      </c>
      <c r="F73" s="34">
        <f>E73*1</f>
        <v>8</v>
      </c>
      <c r="G73" s="34">
        <v>968.66</v>
      </c>
      <c r="H73" s="82"/>
      <c r="I73" s="13"/>
    </row>
    <row r="74" spans="1:21" ht="15" customHeight="1">
      <c r="A74" s="29"/>
      <c r="B74" s="114" t="s">
        <v>73</v>
      </c>
      <c r="C74" s="16"/>
      <c r="D74" s="14"/>
      <c r="E74" s="18"/>
      <c r="F74" s="13"/>
      <c r="G74" s="13"/>
      <c r="H74" s="82" t="s">
        <v>132</v>
      </c>
      <c r="I74" s="13"/>
    </row>
    <row r="75" spans="1:21" ht="20.25" customHeight="1">
      <c r="A75" s="29">
        <v>18</v>
      </c>
      <c r="B75" s="14" t="s">
        <v>74</v>
      </c>
      <c r="C75" s="16" t="s">
        <v>31</v>
      </c>
      <c r="D75" s="14" t="s">
        <v>264</v>
      </c>
      <c r="E75" s="18">
        <v>5</v>
      </c>
      <c r="F75" s="61">
        <v>0.5</v>
      </c>
      <c r="G75" s="112">
        <v>719.08</v>
      </c>
      <c r="H75" s="82">
        <v>0.251</v>
      </c>
      <c r="I75" s="13">
        <f>G75*0.1</f>
        <v>71.908000000000001</v>
      </c>
    </row>
    <row r="76" spans="1:21" ht="36.75" hidden="1" customHeight="1">
      <c r="A76" s="29"/>
      <c r="B76" s="14" t="s">
        <v>140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33" hidden="1" customHeight="1">
      <c r="A77" s="29"/>
      <c r="B77" s="14" t="s">
        <v>141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30.7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5"/>
        <v>0.35851</v>
      </c>
      <c r="I78" s="13">
        <v>0</v>
      </c>
    </row>
    <row r="79" spans="1:21" ht="31.5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30.75" hidden="1" customHeight="1">
      <c r="A80" s="29"/>
      <c r="B80" s="84" t="s">
        <v>77</v>
      </c>
      <c r="C80" s="16"/>
      <c r="D80" s="14"/>
      <c r="E80" s="18"/>
      <c r="F80" s="13"/>
      <c r="G80" s="13" t="s">
        <v>132</v>
      </c>
      <c r="H80" s="82" t="s">
        <v>132</v>
      </c>
      <c r="I80" s="13"/>
    </row>
    <row r="81" spans="1:9" ht="24.75" hidden="1" customHeight="1">
      <c r="A81" s="29"/>
      <c r="B81" s="44" t="s">
        <v>133</v>
      </c>
      <c r="C81" s="16" t="s">
        <v>78</v>
      </c>
      <c r="D81" s="14"/>
      <c r="E81" s="18"/>
      <c r="F81" s="13">
        <v>0.2</v>
      </c>
      <c r="G81" s="13">
        <v>2759.44</v>
      </c>
      <c r="H81" s="82">
        <f t="shared" si="5"/>
        <v>0.55188800000000005</v>
      </c>
      <c r="I81" s="13">
        <v>0</v>
      </c>
    </row>
    <row r="82" spans="1:9" ht="22.5" hidden="1" customHeight="1">
      <c r="A82" s="29"/>
      <c r="B82" s="72" t="s">
        <v>130</v>
      </c>
      <c r="C82" s="84"/>
      <c r="D82" s="31"/>
      <c r="E82" s="32"/>
      <c r="F82" s="73"/>
      <c r="G82" s="73"/>
      <c r="H82" s="85">
        <f>SUM(H58:H81)</f>
        <v>1808.9848273560001</v>
      </c>
      <c r="I82" s="73"/>
    </row>
    <row r="83" spans="1:9" ht="19.5" hidden="1" customHeight="1">
      <c r="A83" s="29"/>
      <c r="B83" s="78" t="s">
        <v>131</v>
      </c>
      <c r="C83" s="118"/>
      <c r="D83" s="119"/>
      <c r="E83" s="62"/>
      <c r="F83" s="109">
        <v>1</v>
      </c>
      <c r="G83" s="13">
        <v>13437.4</v>
      </c>
      <c r="H83" s="82">
        <f>G83*F83/1000</f>
        <v>13.4374</v>
      </c>
      <c r="I83" s="13">
        <v>0</v>
      </c>
    </row>
    <row r="84" spans="1:9" ht="19.5" customHeight="1">
      <c r="A84" s="115"/>
      <c r="B84" s="31" t="s">
        <v>202</v>
      </c>
      <c r="C84" s="16"/>
      <c r="D84" s="14"/>
      <c r="E84" s="18"/>
      <c r="F84" s="13"/>
      <c r="G84" s="116"/>
      <c r="H84" s="116"/>
      <c r="I84" s="117"/>
    </row>
    <row r="85" spans="1:9" ht="31.5" customHeight="1">
      <c r="A85" s="115">
        <v>19</v>
      </c>
      <c r="B85" s="102" t="s">
        <v>200</v>
      </c>
      <c r="C85" s="133" t="s">
        <v>201</v>
      </c>
      <c r="D85" s="134"/>
      <c r="E85" s="17">
        <v>3031.3</v>
      </c>
      <c r="F85" s="35">
        <f>E85*12</f>
        <v>36375.600000000006</v>
      </c>
      <c r="G85" s="35">
        <v>2.4900000000000002</v>
      </c>
      <c r="H85" s="116"/>
      <c r="I85" s="117">
        <f>G85*F85/12</f>
        <v>7547.9370000000017</v>
      </c>
    </row>
    <row r="86" spans="1:9" ht="15.75" customHeight="1">
      <c r="A86" s="163" t="s">
        <v>177</v>
      </c>
      <c r="B86" s="164"/>
      <c r="C86" s="164"/>
      <c r="D86" s="164"/>
      <c r="E86" s="164"/>
      <c r="F86" s="164"/>
      <c r="G86" s="164"/>
      <c r="H86" s="164"/>
      <c r="I86" s="165"/>
    </row>
    <row r="87" spans="1:9" ht="15" customHeight="1">
      <c r="A87" s="29">
        <v>20</v>
      </c>
      <c r="B87" s="102" t="s">
        <v>134</v>
      </c>
      <c r="C87" s="110" t="s">
        <v>56</v>
      </c>
      <c r="D87" s="139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21</v>
      </c>
      <c r="B88" s="102" t="s">
        <v>203</v>
      </c>
      <c r="C88" s="110" t="s">
        <v>25</v>
      </c>
      <c r="D88" s="137"/>
      <c r="E88" s="138">
        <f>E87</f>
        <v>3031.3</v>
      </c>
      <c r="F88" s="135">
        <f>E88*12</f>
        <v>36375.600000000006</v>
      </c>
      <c r="G88" s="135">
        <v>3.05</v>
      </c>
      <c r="H88" s="82">
        <f>F88*G88/1000</f>
        <v>110.94558000000002</v>
      </c>
      <c r="I88" s="13">
        <f>F88/12*G88</f>
        <v>9245.465000000002</v>
      </c>
    </row>
    <row r="89" spans="1:9" ht="31.5" hidden="1" customHeight="1">
      <c r="A89" s="29">
        <v>19</v>
      </c>
      <c r="B89" s="102" t="s">
        <v>204</v>
      </c>
      <c r="C89" s="110" t="s">
        <v>25</v>
      </c>
      <c r="D89" s="48"/>
      <c r="E89" s="136">
        <v>3031.3</v>
      </c>
      <c r="F89" s="34">
        <f>E89*1</f>
        <v>3031.3</v>
      </c>
      <c r="G89" s="34">
        <v>3.05</v>
      </c>
      <c r="H89" s="82"/>
      <c r="I89" s="13">
        <f>G89*F89</f>
        <v>9245.4650000000001</v>
      </c>
    </row>
    <row r="90" spans="1:9" ht="15.75" customHeight="1">
      <c r="A90" s="113"/>
      <c r="B90" s="36" t="s">
        <v>80</v>
      </c>
      <c r="C90" s="37"/>
      <c r="D90" s="15"/>
      <c r="E90" s="15"/>
      <c r="F90" s="15"/>
      <c r="G90" s="18"/>
      <c r="H90" s="18"/>
      <c r="I90" s="32">
        <f>I87+I88+I85+I62+I59+I33+I31+I30+I27+I26+I25+I24+I23+I22+I21+I20+I19+I18+I17+I16+I75</f>
        <v>48075.702792666663</v>
      </c>
    </row>
    <row r="91" spans="1:9" ht="15.75" customHeight="1">
      <c r="A91" s="177" t="s">
        <v>61</v>
      </c>
      <c r="B91" s="178"/>
      <c r="C91" s="178"/>
      <c r="D91" s="178"/>
      <c r="E91" s="178"/>
      <c r="F91" s="178"/>
      <c r="G91" s="178"/>
      <c r="H91" s="178"/>
      <c r="I91" s="179"/>
    </row>
    <row r="92" spans="1:9" ht="19.5" customHeight="1">
      <c r="A92" s="29">
        <v>22</v>
      </c>
      <c r="B92" s="52" t="s">
        <v>216</v>
      </c>
      <c r="C92" s="53" t="s">
        <v>124</v>
      </c>
      <c r="D92" s="48"/>
      <c r="E92" s="34"/>
      <c r="F92" s="34">
        <v>4</v>
      </c>
      <c r="G92" s="34">
        <v>60.72</v>
      </c>
      <c r="H92" s="82">
        <f t="shared" ref="H92" si="7">G92*F92/1000</f>
        <v>0.24287999999999998</v>
      </c>
      <c r="I92" s="13">
        <f>G92*1</f>
        <v>60.72</v>
      </c>
    </row>
    <row r="93" spans="1:9" ht="27.75" customHeight="1">
      <c r="A93" s="29">
        <v>23</v>
      </c>
      <c r="B93" s="52" t="s">
        <v>256</v>
      </c>
      <c r="C93" s="53" t="s">
        <v>124</v>
      </c>
      <c r="D93" s="48" t="s">
        <v>263</v>
      </c>
      <c r="E93" s="34"/>
      <c r="F93" s="34">
        <v>1</v>
      </c>
      <c r="G93" s="34">
        <v>764.83</v>
      </c>
      <c r="H93" s="82"/>
      <c r="I93" s="13">
        <f>G93*1</f>
        <v>764.83</v>
      </c>
    </row>
    <row r="94" spans="1:9" ht="18" customHeight="1">
      <c r="A94" s="29">
        <v>24</v>
      </c>
      <c r="B94" s="52" t="s">
        <v>257</v>
      </c>
      <c r="C94" s="53" t="s">
        <v>124</v>
      </c>
      <c r="D94" s="48"/>
      <c r="E94" s="34"/>
      <c r="F94" s="34">
        <v>1</v>
      </c>
      <c r="G94" s="34">
        <v>22</v>
      </c>
      <c r="H94" s="82"/>
      <c r="I94" s="13">
        <f>G94*1</f>
        <v>22</v>
      </c>
    </row>
    <row r="95" spans="1:9" ht="16.5" customHeight="1">
      <c r="A95" s="29">
        <v>25</v>
      </c>
      <c r="B95" s="52" t="s">
        <v>258</v>
      </c>
      <c r="C95" s="53" t="s">
        <v>124</v>
      </c>
      <c r="D95" s="48"/>
      <c r="E95" s="34"/>
      <c r="F95" s="34">
        <v>1</v>
      </c>
      <c r="G95" s="34">
        <v>49</v>
      </c>
      <c r="H95" s="82"/>
      <c r="I95" s="13">
        <f>G95*1</f>
        <v>49</v>
      </c>
    </row>
    <row r="96" spans="1:9" ht="16.5" customHeight="1">
      <c r="A96" s="29">
        <v>26</v>
      </c>
      <c r="B96" s="52" t="s">
        <v>259</v>
      </c>
      <c r="C96" s="53" t="s">
        <v>124</v>
      </c>
      <c r="D96" s="48"/>
      <c r="E96" s="34"/>
      <c r="F96" s="34">
        <v>1</v>
      </c>
      <c r="G96" s="34">
        <v>39</v>
      </c>
      <c r="H96" s="82"/>
      <c r="I96" s="13">
        <f>G96*1</f>
        <v>39</v>
      </c>
    </row>
    <row r="97" spans="1:9" ht="16.5" customHeight="1">
      <c r="A97" s="29">
        <v>27</v>
      </c>
      <c r="B97" s="52" t="s">
        <v>260</v>
      </c>
      <c r="C97" s="53" t="s">
        <v>81</v>
      </c>
      <c r="D97" s="48" t="s">
        <v>266</v>
      </c>
      <c r="E97" s="34"/>
      <c r="F97" s="34">
        <v>2</v>
      </c>
      <c r="G97" s="34">
        <v>154</v>
      </c>
      <c r="H97" s="82"/>
      <c r="I97" s="13">
        <f>G97*2</f>
        <v>308</v>
      </c>
    </row>
    <row r="98" spans="1:9" ht="31.5" customHeight="1">
      <c r="A98" s="29">
        <v>28</v>
      </c>
      <c r="B98" s="52" t="s">
        <v>158</v>
      </c>
      <c r="C98" s="53" t="s">
        <v>96</v>
      </c>
      <c r="D98" s="48" t="s">
        <v>265</v>
      </c>
      <c r="E98" s="34"/>
      <c r="F98" s="34">
        <v>0.39</v>
      </c>
      <c r="G98" s="34">
        <v>5002.7299999999996</v>
      </c>
      <c r="H98" s="82"/>
      <c r="I98" s="13">
        <f>G98*0.39</f>
        <v>1951.0646999999999</v>
      </c>
    </row>
    <row r="99" spans="1:9" ht="15" customHeight="1">
      <c r="A99" s="29">
        <v>29</v>
      </c>
      <c r="B99" s="52" t="s">
        <v>261</v>
      </c>
      <c r="C99" s="53" t="s">
        <v>124</v>
      </c>
      <c r="D99" s="48" t="s">
        <v>267</v>
      </c>
      <c r="E99" s="34"/>
      <c r="F99" s="34">
        <v>2.5</v>
      </c>
      <c r="G99" s="34">
        <v>330</v>
      </c>
      <c r="H99" s="82"/>
      <c r="I99" s="13">
        <f>G99*2.5</f>
        <v>825</v>
      </c>
    </row>
    <row r="100" spans="1:9" ht="15" customHeight="1">
      <c r="A100" s="29">
        <v>30</v>
      </c>
      <c r="B100" s="52" t="s">
        <v>270</v>
      </c>
      <c r="C100" s="53"/>
      <c r="D100" s="48" t="s">
        <v>271</v>
      </c>
      <c r="E100" s="34"/>
      <c r="F100" s="34">
        <v>5</v>
      </c>
      <c r="G100" s="34">
        <v>845</v>
      </c>
      <c r="H100" s="82"/>
      <c r="I100" s="13">
        <f>G100*5</f>
        <v>4225</v>
      </c>
    </row>
    <row r="101" spans="1:9" ht="15.75" customHeight="1">
      <c r="A101" s="29"/>
      <c r="B101" s="42" t="s">
        <v>53</v>
      </c>
      <c r="C101" s="38"/>
      <c r="D101" s="46"/>
      <c r="E101" s="38">
        <v>1</v>
      </c>
      <c r="F101" s="38"/>
      <c r="G101" s="38"/>
      <c r="H101" s="38"/>
      <c r="I101" s="32">
        <f>SUM(I92:I100)</f>
        <v>8244.6147000000001</v>
      </c>
    </row>
    <row r="102" spans="1:9" ht="15.75" customHeight="1">
      <c r="A102" s="29"/>
      <c r="B102" s="44" t="s">
        <v>79</v>
      </c>
      <c r="C102" s="15"/>
      <c r="D102" s="15"/>
      <c r="E102" s="39"/>
      <c r="F102" s="39"/>
      <c r="G102" s="40"/>
      <c r="H102" s="40"/>
      <c r="I102" s="17">
        <v>0</v>
      </c>
    </row>
    <row r="103" spans="1:9" ht="15.75" customHeight="1">
      <c r="A103" s="47"/>
      <c r="B103" s="43" t="s">
        <v>182</v>
      </c>
      <c r="C103" s="33"/>
      <c r="D103" s="33"/>
      <c r="E103" s="33"/>
      <c r="F103" s="33"/>
      <c r="G103" s="33"/>
      <c r="H103" s="33"/>
      <c r="I103" s="41">
        <f>I90+I101</f>
        <v>56320.317492666662</v>
      </c>
    </row>
    <row r="104" spans="1:9" ht="15.75">
      <c r="A104" s="180" t="s">
        <v>272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>
      <c r="A105" s="60"/>
      <c r="B105" s="181" t="s">
        <v>273</v>
      </c>
      <c r="C105" s="181"/>
      <c r="D105" s="181"/>
      <c r="E105" s="181"/>
      <c r="F105" s="181"/>
      <c r="G105" s="181"/>
      <c r="H105" s="65"/>
      <c r="I105" s="3"/>
    </row>
    <row r="106" spans="1:9">
      <c r="A106" s="56"/>
      <c r="B106" s="182" t="s">
        <v>6</v>
      </c>
      <c r="C106" s="182"/>
      <c r="D106" s="182"/>
      <c r="E106" s="182"/>
      <c r="F106" s="182"/>
      <c r="G106" s="182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83" t="s">
        <v>7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>
      <c r="A109" s="183" t="s">
        <v>8</v>
      </c>
      <c r="B109" s="183"/>
      <c r="C109" s="183"/>
      <c r="D109" s="183"/>
      <c r="E109" s="183"/>
      <c r="F109" s="183"/>
      <c r="G109" s="183"/>
      <c r="H109" s="183"/>
      <c r="I109" s="183"/>
    </row>
    <row r="110" spans="1:9" ht="15.75">
      <c r="A110" s="172" t="s">
        <v>62</v>
      </c>
      <c r="B110" s="172"/>
      <c r="C110" s="172"/>
      <c r="D110" s="172"/>
      <c r="E110" s="172"/>
      <c r="F110" s="172"/>
      <c r="G110" s="172"/>
      <c r="H110" s="172"/>
      <c r="I110" s="172"/>
    </row>
    <row r="111" spans="1:9" ht="15.75">
      <c r="A111" s="11"/>
    </row>
    <row r="112" spans="1:9" ht="15.75">
      <c r="A112" s="185" t="s">
        <v>9</v>
      </c>
      <c r="B112" s="185"/>
      <c r="C112" s="185"/>
      <c r="D112" s="185"/>
      <c r="E112" s="185"/>
      <c r="F112" s="185"/>
      <c r="G112" s="185"/>
      <c r="H112" s="185"/>
      <c r="I112" s="185"/>
    </row>
    <row r="113" spans="1:9" ht="15.75">
      <c r="A113" s="4"/>
    </row>
    <row r="114" spans="1:9" ht="15.75">
      <c r="B114" s="59" t="s">
        <v>10</v>
      </c>
      <c r="C114" s="186" t="s">
        <v>88</v>
      </c>
      <c r="D114" s="186"/>
      <c r="E114" s="186"/>
      <c r="F114" s="63"/>
      <c r="I114" s="55"/>
    </row>
    <row r="115" spans="1:9">
      <c r="A115" s="56"/>
      <c r="C115" s="182" t="s">
        <v>11</v>
      </c>
      <c r="D115" s="182"/>
      <c r="E115" s="182"/>
      <c r="F115" s="24"/>
      <c r="I115" s="54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59" t="s">
        <v>13</v>
      </c>
      <c r="C117" s="187"/>
      <c r="D117" s="187"/>
      <c r="E117" s="187"/>
      <c r="F117" s="64"/>
      <c r="I117" s="55"/>
    </row>
    <row r="118" spans="1:9">
      <c r="A118" s="56"/>
      <c r="C118" s="162" t="s">
        <v>11</v>
      </c>
      <c r="D118" s="162"/>
      <c r="E118" s="162"/>
      <c r="F118" s="56"/>
      <c r="I118" s="54" t="s">
        <v>12</v>
      </c>
    </row>
    <row r="119" spans="1:9" ht="15.75">
      <c r="A119" s="4" t="s">
        <v>14</v>
      </c>
    </row>
    <row r="120" spans="1:9">
      <c r="A120" s="188" t="s">
        <v>15</v>
      </c>
      <c r="B120" s="188"/>
      <c r="C120" s="188"/>
      <c r="D120" s="188"/>
      <c r="E120" s="188"/>
      <c r="F120" s="188"/>
      <c r="G120" s="188"/>
      <c r="H120" s="188"/>
      <c r="I120" s="188"/>
    </row>
    <row r="121" spans="1:9" ht="45" customHeight="1">
      <c r="A121" s="184" t="s">
        <v>16</v>
      </c>
      <c r="B121" s="184"/>
      <c r="C121" s="184"/>
      <c r="D121" s="184"/>
      <c r="E121" s="184"/>
      <c r="F121" s="184"/>
      <c r="G121" s="184"/>
      <c r="H121" s="184"/>
      <c r="I121" s="184"/>
    </row>
    <row r="122" spans="1:9" ht="30" customHeight="1">
      <c r="A122" s="184" t="s">
        <v>17</v>
      </c>
      <c r="B122" s="184"/>
      <c r="C122" s="184"/>
      <c r="D122" s="184"/>
      <c r="E122" s="184"/>
      <c r="F122" s="184"/>
      <c r="G122" s="184"/>
      <c r="H122" s="184"/>
      <c r="I122" s="184"/>
    </row>
    <row r="123" spans="1:9" ht="30" customHeight="1">
      <c r="A123" s="184" t="s">
        <v>21</v>
      </c>
      <c r="B123" s="184"/>
      <c r="C123" s="184"/>
      <c r="D123" s="184"/>
      <c r="E123" s="184"/>
      <c r="F123" s="184"/>
      <c r="G123" s="184"/>
      <c r="H123" s="184"/>
      <c r="I123" s="184"/>
    </row>
    <row r="124" spans="1:9" ht="15.75">
      <c r="A124" s="184" t="s">
        <v>20</v>
      </c>
      <c r="B124" s="184"/>
      <c r="C124" s="184"/>
      <c r="D124" s="184"/>
      <c r="E124" s="184"/>
      <c r="F124" s="184"/>
      <c r="G124" s="184"/>
      <c r="H124" s="184"/>
      <c r="I124" s="184"/>
    </row>
  </sheetData>
  <autoFilter ref="I12:I61"/>
  <mergeCells count="29"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  <mergeCell ref="A110:I110"/>
    <mergeCell ref="A15:I15"/>
    <mergeCell ref="A28:I28"/>
    <mergeCell ref="A45:I45"/>
    <mergeCell ref="A56:I56"/>
    <mergeCell ref="A91:I91"/>
    <mergeCell ref="A104:I104"/>
    <mergeCell ref="B105:G105"/>
    <mergeCell ref="B106:G106"/>
    <mergeCell ref="A108:I108"/>
    <mergeCell ref="A109:I109"/>
    <mergeCell ref="R66:U66"/>
    <mergeCell ref="A86:I8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1"/>
  <sheetViews>
    <sheetView topLeftCell="A88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178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268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44043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218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208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214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7</v>
      </c>
      <c r="B30" s="120" t="s">
        <v>113</v>
      </c>
      <c r="C30" s="121" t="s">
        <v>114</v>
      </c>
      <c r="D30" s="120" t="s">
        <v>211</v>
      </c>
      <c r="E30" s="123">
        <v>425</v>
      </c>
      <c r="F30" s="123">
        <f>SUM(E30*24/1000)</f>
        <v>10.199999999999999</v>
      </c>
      <c r="G30" s="123">
        <v>223.46</v>
      </c>
      <c r="H30" s="71">
        <f t="shared" ref="H30:H32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8</v>
      </c>
      <c r="B31" s="120" t="s">
        <v>169</v>
      </c>
      <c r="C31" s="121" t="s">
        <v>114</v>
      </c>
      <c r="D31" s="120" t="s">
        <v>207</v>
      </c>
      <c r="E31" s="123">
        <v>68</v>
      </c>
      <c r="F31" s="123">
        <f>SUM(E31*52/1000)</f>
        <v>3.536</v>
      </c>
      <c r="G31" s="123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hidden="1" customHeight="1">
      <c r="A32" s="29">
        <v>16</v>
      </c>
      <c r="B32" s="120" t="s">
        <v>27</v>
      </c>
      <c r="C32" s="121" t="s">
        <v>114</v>
      </c>
      <c r="D32" s="120" t="s">
        <v>55</v>
      </c>
      <c r="E32" s="123">
        <v>425</v>
      </c>
      <c r="F32" s="123">
        <f>SUM(E32/1000)</f>
        <v>0.42499999999999999</v>
      </c>
      <c r="G32" s="123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9</v>
      </c>
      <c r="B33" s="120" t="s">
        <v>147</v>
      </c>
      <c r="C33" s="121" t="s">
        <v>41</v>
      </c>
      <c r="D33" s="120" t="s">
        <v>215</v>
      </c>
      <c r="E33" s="123">
        <v>4</v>
      </c>
      <c r="F33" s="123">
        <f>E33*72/100</f>
        <v>2.88</v>
      </c>
      <c r="G33" s="123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ref="H34:H35" si="3">SUM(F34*G34/1000)</f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3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132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4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104</v>
      </c>
      <c r="C38" s="68" t="s">
        <v>29</v>
      </c>
      <c r="D38" s="67" t="s">
        <v>136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4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137</v>
      </c>
      <c r="C39" s="68" t="s">
        <v>29</v>
      </c>
      <c r="D39" s="67" t="s">
        <v>118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94</v>
      </c>
      <c r="C40" s="68" t="s">
        <v>119</v>
      </c>
      <c r="D40" s="67" t="s">
        <v>149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120</v>
      </c>
      <c r="E41" s="70">
        <v>68</v>
      </c>
      <c r="F41" s="70">
        <f>SUM(E41*155/1000)</f>
        <v>10.54</v>
      </c>
      <c r="G41" s="70">
        <v>350.75</v>
      </c>
      <c r="H41" s="71">
        <f t="shared" si="4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114</v>
      </c>
      <c r="D42" s="67" t="s">
        <v>138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4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121</v>
      </c>
      <c r="C43" s="68" t="s">
        <v>114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4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4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hidden="1" customHeight="1">
      <c r="A45" s="174" t="s">
        <v>143</v>
      </c>
      <c r="B45" s="175"/>
      <c r="C45" s="175"/>
      <c r="D45" s="175"/>
      <c r="E45" s="175"/>
      <c r="F45" s="175"/>
      <c r="G45" s="175"/>
      <c r="H45" s="175"/>
      <c r="I45" s="176"/>
      <c r="J45" s="23"/>
      <c r="L45" s="19"/>
      <c r="M45" s="20"/>
      <c r="N45" s="21"/>
    </row>
    <row r="46" spans="1:14" ht="15" hidden="1" customHeight="1">
      <c r="A46" s="29"/>
      <c r="B46" s="67" t="s">
        <v>139</v>
      </c>
      <c r="C46" s="68" t="s">
        <v>114</v>
      </c>
      <c r="D46" s="67" t="s">
        <v>43</v>
      </c>
      <c r="E46" s="69">
        <v>1061.3</v>
      </c>
      <c r="F46" s="70">
        <f>SUM(E46*2/1000)</f>
        <v>2.1225999999999998</v>
      </c>
      <c r="G46" s="13">
        <v>809.74</v>
      </c>
      <c r="H46" s="71">
        <f t="shared" ref="H46:H55" si="5">SUM(F46*G46/1000)</f>
        <v>1.7187541239999997</v>
      </c>
      <c r="I46" s="13">
        <v>0</v>
      </c>
      <c r="J46" s="23"/>
      <c r="L46" s="19"/>
      <c r="M46" s="20"/>
      <c r="N46" s="21"/>
    </row>
    <row r="47" spans="1:14" ht="15" hidden="1" customHeight="1">
      <c r="A47" s="29"/>
      <c r="B47" s="67" t="s">
        <v>36</v>
      </c>
      <c r="C47" s="68" t="s">
        <v>114</v>
      </c>
      <c r="D47" s="67" t="s">
        <v>43</v>
      </c>
      <c r="E47" s="69">
        <v>52</v>
      </c>
      <c r="F47" s="70">
        <f>SUM(E47*2/1000)</f>
        <v>0.104</v>
      </c>
      <c r="G47" s="13">
        <v>579.48</v>
      </c>
      <c r="H47" s="71">
        <f t="shared" si="5"/>
        <v>6.0265920000000001E-2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37</v>
      </c>
      <c r="C48" s="68" t="s">
        <v>114</v>
      </c>
      <c r="D48" s="67" t="s">
        <v>43</v>
      </c>
      <c r="E48" s="69">
        <v>1238.8</v>
      </c>
      <c r="F48" s="70">
        <f>SUM(E48*2/1000)</f>
        <v>2.4775999999999998</v>
      </c>
      <c r="G48" s="13">
        <v>579.48</v>
      </c>
      <c r="H48" s="71">
        <f t="shared" si="5"/>
        <v>1.4357196480000001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38</v>
      </c>
      <c r="C49" s="68" t="s">
        <v>114</v>
      </c>
      <c r="D49" s="67" t="s">
        <v>43</v>
      </c>
      <c r="E49" s="69">
        <v>1794.01</v>
      </c>
      <c r="F49" s="70">
        <f>SUM(E49*2/1000)</f>
        <v>3.5880199999999998</v>
      </c>
      <c r="G49" s="13">
        <v>606.77</v>
      </c>
      <c r="H49" s="71">
        <f t="shared" si="5"/>
        <v>2.1771028954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34</v>
      </c>
      <c r="C50" s="68" t="s">
        <v>35</v>
      </c>
      <c r="D50" s="67" t="s">
        <v>150</v>
      </c>
      <c r="E50" s="69">
        <v>85.78</v>
      </c>
      <c r="F50" s="70">
        <f>SUM(E50*2/100)</f>
        <v>1.7156</v>
      </c>
      <c r="G50" s="13">
        <v>72.81</v>
      </c>
      <c r="H50" s="71">
        <f t="shared" si="5"/>
        <v>0.124912836</v>
      </c>
      <c r="I50" s="13">
        <v>0</v>
      </c>
      <c r="J50" s="23"/>
      <c r="L50" s="19"/>
      <c r="M50" s="20"/>
      <c r="N50" s="21"/>
    </row>
    <row r="51" spans="1:22" ht="15" hidden="1" customHeight="1">
      <c r="A51" s="29">
        <v>13</v>
      </c>
      <c r="B51" s="67" t="s">
        <v>57</v>
      </c>
      <c r="C51" s="68" t="s">
        <v>114</v>
      </c>
      <c r="D51" s="67" t="s">
        <v>170</v>
      </c>
      <c r="E51" s="69">
        <v>884</v>
      </c>
      <c r="F51" s="70">
        <f>SUM(E51*5/1000)</f>
        <v>4.42</v>
      </c>
      <c r="G51" s="13">
        <v>1213.55</v>
      </c>
      <c r="H51" s="71">
        <f t="shared" si="5"/>
        <v>5.3638909999999997</v>
      </c>
      <c r="I51" s="13">
        <f>F51/5*G51</f>
        <v>1072.7782</v>
      </c>
      <c r="J51" s="23"/>
      <c r="L51" s="19"/>
      <c r="M51" s="20"/>
      <c r="N51" s="21"/>
    </row>
    <row r="52" spans="1:22" ht="31.5" hidden="1" customHeight="1">
      <c r="A52" s="29"/>
      <c r="B52" s="67" t="s">
        <v>122</v>
      </c>
      <c r="C52" s="68" t="s">
        <v>114</v>
      </c>
      <c r="D52" s="67" t="s">
        <v>43</v>
      </c>
      <c r="E52" s="69">
        <v>884</v>
      </c>
      <c r="F52" s="70">
        <f>SUM(E52*2/1000)</f>
        <v>1.768</v>
      </c>
      <c r="G52" s="13">
        <v>1213.55</v>
      </c>
      <c r="H52" s="71">
        <f t="shared" si="5"/>
        <v>2.1455563999999998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7" t="s">
        <v>123</v>
      </c>
      <c r="C53" s="68" t="s">
        <v>39</v>
      </c>
      <c r="D53" s="67" t="s">
        <v>43</v>
      </c>
      <c r="E53" s="69">
        <v>20</v>
      </c>
      <c r="F53" s="70">
        <f>SUM(E53*2/100)</f>
        <v>0.4</v>
      </c>
      <c r="G53" s="13">
        <v>2730.49</v>
      </c>
      <c r="H53" s="71">
        <f t="shared" si="5"/>
        <v>1.0921959999999999</v>
      </c>
      <c r="I53" s="13">
        <v>0</v>
      </c>
      <c r="J53" s="23"/>
      <c r="L53" s="19"/>
      <c r="M53" s="20"/>
      <c r="N53" s="21"/>
    </row>
    <row r="54" spans="1:22" ht="15" hidden="1" customHeight="1">
      <c r="A54" s="29"/>
      <c r="B54" s="67" t="s">
        <v>40</v>
      </c>
      <c r="C54" s="68" t="s">
        <v>41</v>
      </c>
      <c r="D54" s="67" t="s">
        <v>43</v>
      </c>
      <c r="E54" s="69">
        <v>1</v>
      </c>
      <c r="F54" s="70">
        <v>0.02</v>
      </c>
      <c r="G54" s="13">
        <v>5652.13</v>
      </c>
      <c r="H54" s="71">
        <f t="shared" si="5"/>
        <v>0.11304260000000001</v>
      </c>
      <c r="I54" s="13">
        <v>0</v>
      </c>
      <c r="J54" s="23"/>
      <c r="L54" s="19"/>
      <c r="M54" s="20"/>
      <c r="N54" s="21"/>
    </row>
    <row r="55" spans="1:22" ht="15" hidden="1" customHeight="1">
      <c r="A55" s="29">
        <v>14</v>
      </c>
      <c r="B55" s="67" t="s">
        <v>42</v>
      </c>
      <c r="C55" s="68" t="s">
        <v>30</v>
      </c>
      <c r="D55" s="67" t="s">
        <v>71</v>
      </c>
      <c r="E55" s="69">
        <v>136</v>
      </c>
      <c r="F55" s="70">
        <f>SUM(E55)*3</f>
        <v>408</v>
      </c>
      <c r="G55" s="13">
        <v>65.67</v>
      </c>
      <c r="H55" s="71">
        <f t="shared" si="5"/>
        <v>26.79336</v>
      </c>
      <c r="I55" s="13">
        <f>E55*G55</f>
        <v>8931.1200000000008</v>
      </c>
      <c r="J55" s="23"/>
      <c r="L55" s="19"/>
      <c r="M55" s="20"/>
      <c r="N55" s="21"/>
    </row>
    <row r="56" spans="1:22" ht="15.75" customHeight="1">
      <c r="A56" s="174" t="s">
        <v>173</v>
      </c>
      <c r="B56" s="175"/>
      <c r="C56" s="175"/>
      <c r="D56" s="175"/>
      <c r="E56" s="175"/>
      <c r="F56" s="175"/>
      <c r="G56" s="175"/>
      <c r="H56" s="175"/>
      <c r="I56" s="176"/>
      <c r="J56" s="23"/>
      <c r="L56" s="19"/>
      <c r="M56" s="20"/>
      <c r="N56" s="21"/>
    </row>
    <row r="57" spans="1:22" ht="17.25" hidden="1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19.5" hidden="1" customHeight="1">
      <c r="A58" s="29">
        <v>15</v>
      </c>
      <c r="B58" s="67" t="s">
        <v>125</v>
      </c>
      <c r="C58" s="68" t="s">
        <v>99</v>
      </c>
      <c r="D58" s="67" t="s">
        <v>72</v>
      </c>
      <c r="E58" s="69">
        <v>106.13</v>
      </c>
      <c r="F58" s="70">
        <f>E58*6/100</f>
        <v>6.3677999999999999</v>
      </c>
      <c r="G58" s="76">
        <v>1547.28</v>
      </c>
      <c r="H58" s="71">
        <f>F58*G58/1000</f>
        <v>9.8527695839999989</v>
      </c>
      <c r="I58" s="13">
        <f>F58/6*G58</f>
        <v>1642.1282639999999</v>
      </c>
      <c r="J58" s="23"/>
      <c r="L58" s="19"/>
    </row>
    <row r="59" spans="1:22" ht="19.5" hidden="1" customHeight="1">
      <c r="A59" s="29">
        <v>10</v>
      </c>
      <c r="B59" s="103" t="s">
        <v>192</v>
      </c>
      <c r="C59" s="104" t="s">
        <v>193</v>
      </c>
      <c r="D59" s="103" t="s">
        <v>217</v>
      </c>
      <c r="E59" s="105"/>
      <c r="F59" s="108">
        <v>6</v>
      </c>
      <c r="G59" s="34">
        <v>1730</v>
      </c>
      <c r="H59" s="89"/>
      <c r="I59" s="13">
        <f>G59*1</f>
        <v>1730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10</v>
      </c>
      <c r="B62" s="78" t="s">
        <v>95</v>
      </c>
      <c r="C62" s="77" t="s">
        <v>25</v>
      </c>
      <c r="D62" s="78"/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5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132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" hidden="1" customHeight="1">
      <c r="A64" s="29"/>
      <c r="B64" s="14" t="s">
        <v>48</v>
      </c>
      <c r="C64" s="16" t="s">
        <v>124</v>
      </c>
      <c r="D64" s="14" t="s">
        <v>67</v>
      </c>
      <c r="E64" s="18">
        <v>20</v>
      </c>
      <c r="F64" s="70">
        <v>20</v>
      </c>
      <c r="G64" s="91">
        <v>222.4</v>
      </c>
      <c r="H64" s="90">
        <f t="shared" ref="H64:H81" si="6">SUM(F64*G64/1000)</f>
        <v>4.4480000000000004</v>
      </c>
      <c r="I64" s="13">
        <v>0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hidden="1" customHeight="1">
      <c r="A65" s="29">
        <v>17</v>
      </c>
      <c r="B65" s="14" t="s">
        <v>49</v>
      </c>
      <c r="C65" s="16" t="s">
        <v>124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6"/>
        <v>#VALUE!</v>
      </c>
      <c r="I65" s="13">
        <f>G65</f>
        <v>76.25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" customHeight="1">
      <c r="A66" s="29">
        <v>11</v>
      </c>
      <c r="B66" s="130" t="s">
        <v>50</v>
      </c>
      <c r="C66" s="131" t="s">
        <v>126</v>
      </c>
      <c r="D66" s="102" t="s">
        <v>55</v>
      </c>
      <c r="E66" s="122">
        <v>12647</v>
      </c>
      <c r="F66" s="127">
        <f>SUM(E66/100)</f>
        <v>126.47</v>
      </c>
      <c r="G66" s="34">
        <v>304.13</v>
      </c>
      <c r="H66" s="82">
        <f t="shared" si="6"/>
        <v>38.463321100000002</v>
      </c>
      <c r="I66" s="13">
        <f>F66*G66</f>
        <v>38463.321100000001</v>
      </c>
      <c r="J66" s="5"/>
      <c r="K66" s="5"/>
      <c r="L66" s="5"/>
      <c r="M66" s="5"/>
      <c r="N66" s="5"/>
      <c r="O66" s="5"/>
      <c r="P66" s="5"/>
      <c r="Q66" s="5"/>
      <c r="R66" s="162"/>
      <c r="S66" s="162"/>
      <c r="T66" s="162"/>
      <c r="U66" s="162"/>
    </row>
    <row r="67" spans="1:21" ht="15" customHeight="1">
      <c r="A67" s="29">
        <v>12</v>
      </c>
      <c r="B67" s="130" t="s">
        <v>51</v>
      </c>
      <c r="C67" s="110" t="s">
        <v>127</v>
      </c>
      <c r="D67" s="102"/>
      <c r="E67" s="122">
        <v>12647</v>
      </c>
      <c r="F67" s="34">
        <f>SUM(E67/1000)</f>
        <v>12.647</v>
      </c>
      <c r="G67" s="34">
        <v>236.84</v>
      </c>
      <c r="H67" s="82">
        <f t="shared" si="6"/>
        <v>2.9953154800000004</v>
      </c>
      <c r="I67" s="13">
        <f t="shared" ref="I67:I71" si="7">F67*G67</f>
        <v>2995.3154800000002</v>
      </c>
    </row>
    <row r="68" spans="1:21" ht="15" customHeight="1">
      <c r="A68" s="29">
        <v>13</v>
      </c>
      <c r="B68" s="130" t="s">
        <v>52</v>
      </c>
      <c r="C68" s="110" t="s">
        <v>78</v>
      </c>
      <c r="D68" s="102" t="s">
        <v>55</v>
      </c>
      <c r="E68" s="122">
        <v>1900</v>
      </c>
      <c r="F68" s="34">
        <f>SUM(E68/100)</f>
        <v>19</v>
      </c>
      <c r="G68" s="34">
        <v>2974.1</v>
      </c>
      <c r="H68" s="82">
        <f t="shared" si="6"/>
        <v>56.507899999999999</v>
      </c>
      <c r="I68" s="13">
        <f t="shared" si="7"/>
        <v>56507.9</v>
      </c>
    </row>
    <row r="69" spans="1:21" ht="15" customHeight="1">
      <c r="A69" s="29">
        <v>14</v>
      </c>
      <c r="B69" s="132" t="s">
        <v>128</v>
      </c>
      <c r="C69" s="110" t="s">
        <v>33</v>
      </c>
      <c r="D69" s="102"/>
      <c r="E69" s="122">
        <v>11.3</v>
      </c>
      <c r="F69" s="34">
        <f>SUM(E69)</f>
        <v>11.3</v>
      </c>
      <c r="G69" s="34">
        <v>47.98</v>
      </c>
      <c r="H69" s="82">
        <f t="shared" si="6"/>
        <v>0.54217399999999993</v>
      </c>
      <c r="I69" s="13">
        <f t="shared" si="7"/>
        <v>542.17399999999998</v>
      </c>
    </row>
    <row r="70" spans="1:21" ht="15" customHeight="1">
      <c r="A70" s="29">
        <v>15</v>
      </c>
      <c r="B70" s="132" t="s">
        <v>129</v>
      </c>
      <c r="C70" s="110" t="s">
        <v>33</v>
      </c>
      <c r="D70" s="102"/>
      <c r="E70" s="122">
        <v>11.3</v>
      </c>
      <c r="F70" s="34">
        <f>SUM(E70)</f>
        <v>11.3</v>
      </c>
      <c r="G70" s="34">
        <v>51.75</v>
      </c>
      <c r="H70" s="82">
        <f t="shared" si="6"/>
        <v>0.58477500000000004</v>
      </c>
      <c r="I70" s="13">
        <f t="shared" si="7"/>
        <v>584.77500000000009</v>
      </c>
    </row>
    <row r="71" spans="1:21" ht="1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6"/>
        <v>0.29928000000000005</v>
      </c>
      <c r="I71" s="13">
        <f t="shared" si="7"/>
        <v>299.28000000000003</v>
      </c>
    </row>
    <row r="72" spans="1:21" ht="15" customHeight="1">
      <c r="A72" s="29"/>
      <c r="B72" s="31" t="s">
        <v>202</v>
      </c>
      <c r="C72" s="16"/>
      <c r="D72" s="14"/>
      <c r="E72" s="18"/>
      <c r="F72" s="13"/>
      <c r="G72" s="116"/>
      <c r="H72" s="116"/>
      <c r="I72" s="117"/>
    </row>
    <row r="73" spans="1:21" ht="30.75" customHeight="1">
      <c r="A73" s="29">
        <v>16</v>
      </c>
      <c r="B73" s="102" t="s">
        <v>200</v>
      </c>
      <c r="C73" s="133" t="s">
        <v>201</v>
      </c>
      <c r="D73" s="134"/>
      <c r="E73" s="17">
        <v>3031.3</v>
      </c>
      <c r="F73" s="35">
        <f>E73*12</f>
        <v>36375.600000000006</v>
      </c>
      <c r="G73" s="35">
        <v>2.4900000000000002</v>
      </c>
      <c r="H73" s="116"/>
      <c r="I73" s="117">
        <f>G73*F73/12</f>
        <v>7547.9370000000017</v>
      </c>
    </row>
    <row r="74" spans="1:21" ht="15" hidden="1" customHeight="1">
      <c r="A74" s="29"/>
      <c r="B74" s="57" t="s">
        <v>73</v>
      </c>
      <c r="C74" s="16"/>
      <c r="D74" s="14"/>
      <c r="E74" s="18"/>
      <c r="F74" s="13"/>
      <c r="G74" s="13"/>
      <c r="H74" s="82" t="s">
        <v>132</v>
      </c>
      <c r="I74" s="13"/>
    </row>
    <row r="75" spans="1:21" ht="15" hidden="1" customHeight="1">
      <c r="A75" s="29"/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v>0</v>
      </c>
    </row>
    <row r="76" spans="1:21" ht="15" hidden="1" customHeight="1">
      <c r="A76" s="29"/>
      <c r="B76" s="14" t="s">
        <v>140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15" hidden="1" customHeight="1">
      <c r="A77" s="29"/>
      <c r="B77" s="14" t="s">
        <v>141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1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6"/>
        <v>0.35851</v>
      </c>
      <c r="I78" s="13">
        <v>0</v>
      </c>
    </row>
    <row r="79" spans="1:21" ht="15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15" hidden="1" customHeight="1">
      <c r="A80" s="29"/>
      <c r="B80" s="84" t="s">
        <v>77</v>
      </c>
      <c r="C80" s="16"/>
      <c r="D80" s="14"/>
      <c r="E80" s="18"/>
      <c r="F80" s="13"/>
      <c r="G80" s="13" t="s">
        <v>132</v>
      </c>
      <c r="H80" s="82" t="s">
        <v>132</v>
      </c>
      <c r="I80" s="13"/>
    </row>
    <row r="81" spans="1:9" ht="15" hidden="1" customHeight="1">
      <c r="A81" s="29"/>
      <c r="B81" s="44" t="s">
        <v>133</v>
      </c>
      <c r="C81" s="16" t="s">
        <v>78</v>
      </c>
      <c r="D81" s="14"/>
      <c r="E81" s="18"/>
      <c r="F81" s="13">
        <v>0.2</v>
      </c>
      <c r="G81" s="13">
        <v>2759.44</v>
      </c>
      <c r="H81" s="82">
        <f t="shared" si="6"/>
        <v>0.55188800000000005</v>
      </c>
      <c r="I81" s="13">
        <v>0</v>
      </c>
    </row>
    <row r="82" spans="1:9" ht="15" customHeight="1">
      <c r="A82" s="29"/>
      <c r="B82" s="72" t="s">
        <v>130</v>
      </c>
      <c r="C82" s="84"/>
      <c r="D82" s="31"/>
      <c r="E82" s="32"/>
      <c r="F82" s="73"/>
      <c r="G82" s="73"/>
      <c r="H82" s="85" t="e">
        <f>SUM(H58:H81)</f>
        <v>#VALUE!</v>
      </c>
      <c r="I82" s="73"/>
    </row>
    <row r="83" spans="1:9" ht="15" customHeight="1">
      <c r="A83" s="29">
        <v>17</v>
      </c>
      <c r="B83" s="67" t="s">
        <v>131</v>
      </c>
      <c r="C83" s="16"/>
      <c r="D83" s="14"/>
      <c r="E83" s="62"/>
      <c r="F83" s="13">
        <v>1</v>
      </c>
      <c r="G83" s="13">
        <v>8161.8</v>
      </c>
      <c r="H83" s="82">
        <f>G83*F83/1000</f>
        <v>8.1617999999999995</v>
      </c>
      <c r="I83" s="13">
        <f>G83*1</f>
        <v>8161.8</v>
      </c>
    </row>
    <row r="84" spans="1:9" ht="15.75" customHeight="1">
      <c r="A84" s="163" t="s">
        <v>177</v>
      </c>
      <c r="B84" s="164"/>
      <c r="C84" s="164"/>
      <c r="D84" s="164"/>
      <c r="E84" s="164"/>
      <c r="F84" s="164"/>
      <c r="G84" s="164"/>
      <c r="H84" s="164"/>
      <c r="I84" s="165"/>
    </row>
    <row r="85" spans="1:9" ht="15" customHeight="1">
      <c r="A85" s="29">
        <v>18</v>
      </c>
      <c r="B85" s="102" t="s">
        <v>134</v>
      </c>
      <c r="C85" s="110" t="s">
        <v>56</v>
      </c>
      <c r="D85" s="139"/>
      <c r="E85" s="34">
        <v>3031.3</v>
      </c>
      <c r="F85" s="34">
        <f>SUM(E85*12)</f>
        <v>36375.600000000006</v>
      </c>
      <c r="G85" s="34">
        <v>3.38</v>
      </c>
      <c r="H85" s="82">
        <f>SUM(F85*G85/1000)</f>
        <v>122.94952800000002</v>
      </c>
      <c r="I85" s="13">
        <f>F85/12*G85</f>
        <v>10245.794000000002</v>
      </c>
    </row>
    <row r="86" spans="1:9" ht="31.5" customHeight="1">
      <c r="A86" s="29">
        <v>19</v>
      </c>
      <c r="B86" s="102" t="s">
        <v>203</v>
      </c>
      <c r="C86" s="110" t="s">
        <v>25</v>
      </c>
      <c r="D86" s="137"/>
      <c r="E86" s="138">
        <f>E85</f>
        <v>3031.3</v>
      </c>
      <c r="F86" s="135">
        <f>E86*12</f>
        <v>36375.600000000006</v>
      </c>
      <c r="G86" s="135">
        <v>3.05</v>
      </c>
      <c r="H86" s="82">
        <f>F86*G86/1000</f>
        <v>110.94558000000002</v>
      </c>
      <c r="I86" s="13">
        <f>F86/12*G86</f>
        <v>9245.465000000002</v>
      </c>
    </row>
    <row r="87" spans="1:9" ht="15.75" customHeight="1">
      <c r="A87" s="45"/>
      <c r="B87" s="36" t="s">
        <v>80</v>
      </c>
      <c r="C87" s="37"/>
      <c r="D87" s="15"/>
      <c r="E87" s="15"/>
      <c r="F87" s="15"/>
      <c r="G87" s="18"/>
      <c r="H87" s="18"/>
      <c r="I87" s="32">
        <f>I86+I85+I73+I70+I69+I68+I67+I66+I62+I33+I31+I30+I27+I21+I20+I18+I17+I16+I83</f>
        <v>148812.14070866667</v>
      </c>
    </row>
    <row r="88" spans="1:9" ht="15.75" customHeight="1">
      <c r="A88" s="177" t="s">
        <v>61</v>
      </c>
      <c r="B88" s="178"/>
      <c r="C88" s="178"/>
      <c r="D88" s="178"/>
      <c r="E88" s="178"/>
      <c r="F88" s="178"/>
      <c r="G88" s="178"/>
      <c r="H88" s="178"/>
      <c r="I88" s="179"/>
    </row>
    <row r="89" spans="1:9" ht="17.25" customHeight="1">
      <c r="A89" s="29">
        <v>20</v>
      </c>
      <c r="B89" s="52" t="s">
        <v>216</v>
      </c>
      <c r="C89" s="53" t="s">
        <v>124</v>
      </c>
      <c r="D89" s="48"/>
      <c r="E89" s="34"/>
      <c r="F89" s="34">
        <v>4</v>
      </c>
      <c r="G89" s="34">
        <v>60.72</v>
      </c>
      <c r="H89" s="82">
        <f t="shared" ref="H89" si="8">G89*F89/1000</f>
        <v>0.24287999999999998</v>
      </c>
      <c r="I89" s="13">
        <f>G89*1</f>
        <v>60.72</v>
      </c>
    </row>
    <row r="90" spans="1:9" ht="17.25" customHeight="1">
      <c r="A90" s="29">
        <v>21</v>
      </c>
      <c r="B90" s="52" t="s">
        <v>82</v>
      </c>
      <c r="C90" s="53" t="s">
        <v>124</v>
      </c>
      <c r="D90" s="48"/>
      <c r="E90" s="34"/>
      <c r="F90" s="34">
        <v>3</v>
      </c>
      <c r="G90" s="34">
        <v>215.85</v>
      </c>
      <c r="H90" s="99"/>
      <c r="I90" s="13">
        <f>G90*2</f>
        <v>431.7</v>
      </c>
    </row>
    <row r="91" spans="1:9" ht="17.25" customHeight="1">
      <c r="A91" s="29">
        <v>22</v>
      </c>
      <c r="B91" s="52" t="s">
        <v>269</v>
      </c>
      <c r="C91" s="53" t="s">
        <v>29</v>
      </c>
      <c r="D91" s="48" t="s">
        <v>213</v>
      </c>
      <c r="E91" s="34"/>
      <c r="F91" s="34">
        <v>0.1</v>
      </c>
      <c r="G91" s="34">
        <v>6468.16</v>
      </c>
      <c r="H91" s="99"/>
      <c r="I91" s="13">
        <v>0</v>
      </c>
    </row>
    <row r="92" spans="1:9" ht="36" customHeight="1">
      <c r="A92" s="29">
        <v>23</v>
      </c>
      <c r="B92" s="52" t="s">
        <v>153</v>
      </c>
      <c r="C92" s="53" t="s">
        <v>102</v>
      </c>
      <c r="D92" s="48"/>
      <c r="E92" s="34"/>
      <c r="F92" s="34">
        <v>1</v>
      </c>
      <c r="G92" s="34">
        <v>61.58</v>
      </c>
      <c r="H92" s="99"/>
      <c r="I92" s="13">
        <f>G92*1</f>
        <v>61.58</v>
      </c>
    </row>
    <row r="93" spans="1:9" ht="45.75" customHeight="1">
      <c r="A93" s="29">
        <v>24</v>
      </c>
      <c r="B93" s="52" t="s">
        <v>274</v>
      </c>
      <c r="C93" s="53" t="s">
        <v>91</v>
      </c>
      <c r="D93" s="102" t="s">
        <v>278</v>
      </c>
      <c r="E93" s="34"/>
      <c r="F93" s="34">
        <v>2</v>
      </c>
      <c r="G93" s="34">
        <v>776.13</v>
      </c>
      <c r="H93" s="99"/>
      <c r="I93" s="13">
        <f>G93*2</f>
        <v>1552.26</v>
      </c>
    </row>
    <row r="94" spans="1:9" ht="15.75" customHeight="1">
      <c r="A94" s="29">
        <v>25</v>
      </c>
      <c r="B94" s="52" t="s">
        <v>275</v>
      </c>
      <c r="C94" s="53" t="s">
        <v>167</v>
      </c>
      <c r="D94" s="48" t="s">
        <v>277</v>
      </c>
      <c r="E94" s="34"/>
      <c r="F94" s="34">
        <v>0.1</v>
      </c>
      <c r="G94" s="34">
        <v>1599.93</v>
      </c>
      <c r="H94" s="99"/>
      <c r="I94" s="13">
        <f>G94*0.1</f>
        <v>159.99300000000002</v>
      </c>
    </row>
    <row r="95" spans="1:9" ht="30.75" customHeight="1">
      <c r="A95" s="29">
        <v>26</v>
      </c>
      <c r="B95" s="52" t="s">
        <v>157</v>
      </c>
      <c r="C95" s="53" t="s">
        <v>84</v>
      </c>
      <c r="D95" s="102" t="s">
        <v>276</v>
      </c>
      <c r="E95" s="34"/>
      <c r="F95" s="34">
        <v>2</v>
      </c>
      <c r="G95" s="34">
        <v>222.63</v>
      </c>
      <c r="H95" s="99"/>
      <c r="I95" s="13">
        <f>G95*1</f>
        <v>222.63</v>
      </c>
    </row>
    <row r="96" spans="1:9" ht="18.75" customHeight="1">
      <c r="A96" s="29">
        <v>27</v>
      </c>
      <c r="B96" s="52" t="s">
        <v>279</v>
      </c>
      <c r="C96" s="53" t="s">
        <v>91</v>
      </c>
      <c r="D96" s="48" t="s">
        <v>280</v>
      </c>
      <c r="E96" s="34"/>
      <c r="F96" s="34">
        <v>1</v>
      </c>
      <c r="G96" s="34">
        <v>317.36</v>
      </c>
      <c r="H96" s="99"/>
      <c r="I96" s="13">
        <f>G96*1</f>
        <v>317.36</v>
      </c>
    </row>
    <row r="97" spans="1:9" ht="32.25" customHeight="1">
      <c r="A97" s="29">
        <v>28</v>
      </c>
      <c r="B97" s="52" t="s">
        <v>292</v>
      </c>
      <c r="C97" s="53" t="s">
        <v>290</v>
      </c>
      <c r="D97" s="102" t="s">
        <v>293</v>
      </c>
      <c r="E97" s="34"/>
      <c r="F97" s="34">
        <v>1</v>
      </c>
      <c r="G97" s="34">
        <v>647</v>
      </c>
      <c r="H97" s="99"/>
      <c r="I97" s="13">
        <f>G97*1</f>
        <v>647</v>
      </c>
    </row>
    <row r="98" spans="1:9" ht="15.75" customHeight="1">
      <c r="A98" s="29"/>
      <c r="B98" s="42" t="s">
        <v>53</v>
      </c>
      <c r="C98" s="38"/>
      <c r="D98" s="46"/>
      <c r="E98" s="38">
        <v>1</v>
      </c>
      <c r="F98" s="38"/>
      <c r="G98" s="38"/>
      <c r="H98" s="38"/>
      <c r="I98" s="32">
        <f>SUM(I89:I97)</f>
        <v>3453.2430000000004</v>
      </c>
    </row>
    <row r="99" spans="1:9" ht="15.75" customHeight="1">
      <c r="A99" s="29"/>
      <c r="B99" s="44" t="s">
        <v>79</v>
      </c>
      <c r="C99" s="15"/>
      <c r="D99" s="15"/>
      <c r="E99" s="39"/>
      <c r="F99" s="39"/>
      <c r="G99" s="40"/>
      <c r="H99" s="40"/>
      <c r="I99" s="17">
        <v>0</v>
      </c>
    </row>
    <row r="100" spans="1:9" ht="15.75" customHeight="1">
      <c r="A100" s="47"/>
      <c r="B100" s="43" t="s">
        <v>182</v>
      </c>
      <c r="C100" s="33"/>
      <c r="D100" s="33"/>
      <c r="E100" s="33"/>
      <c r="F100" s="33"/>
      <c r="G100" s="33"/>
      <c r="H100" s="33"/>
      <c r="I100" s="41">
        <f>I87+I98</f>
        <v>152265.38370866666</v>
      </c>
    </row>
    <row r="101" spans="1:9" ht="15.75">
      <c r="A101" s="180" t="s">
        <v>325</v>
      </c>
      <c r="B101" s="180"/>
      <c r="C101" s="180"/>
      <c r="D101" s="180"/>
      <c r="E101" s="180"/>
      <c r="F101" s="180"/>
      <c r="G101" s="180"/>
      <c r="H101" s="180"/>
      <c r="I101" s="180"/>
    </row>
    <row r="102" spans="1:9" ht="15.75">
      <c r="A102" s="60"/>
      <c r="B102" s="181" t="s">
        <v>326</v>
      </c>
      <c r="C102" s="181"/>
      <c r="D102" s="181"/>
      <c r="E102" s="181"/>
      <c r="F102" s="181"/>
      <c r="G102" s="181"/>
      <c r="H102" s="65"/>
      <c r="I102" s="3"/>
    </row>
    <row r="103" spans="1:9">
      <c r="A103" s="56"/>
      <c r="B103" s="182" t="s">
        <v>6</v>
      </c>
      <c r="C103" s="182"/>
      <c r="D103" s="182"/>
      <c r="E103" s="182"/>
      <c r="F103" s="182"/>
      <c r="G103" s="182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83" t="s">
        <v>7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>
      <c r="A106" s="183" t="s">
        <v>8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>
      <c r="A107" s="172" t="s">
        <v>62</v>
      </c>
      <c r="B107" s="172"/>
      <c r="C107" s="172"/>
      <c r="D107" s="172"/>
      <c r="E107" s="172"/>
      <c r="F107" s="172"/>
      <c r="G107" s="172"/>
      <c r="H107" s="172"/>
      <c r="I107" s="172"/>
    </row>
    <row r="108" spans="1:9" ht="15.75">
      <c r="A108" s="11"/>
    </row>
    <row r="109" spans="1:9" ht="15.75">
      <c r="A109" s="185" t="s">
        <v>9</v>
      </c>
      <c r="B109" s="185"/>
      <c r="C109" s="185"/>
      <c r="D109" s="185"/>
      <c r="E109" s="185"/>
      <c r="F109" s="185"/>
      <c r="G109" s="185"/>
      <c r="H109" s="185"/>
      <c r="I109" s="185"/>
    </row>
    <row r="110" spans="1:9" ht="15.75">
      <c r="A110" s="4"/>
    </row>
    <row r="111" spans="1:9" ht="15.75">
      <c r="B111" s="59" t="s">
        <v>10</v>
      </c>
      <c r="C111" s="186" t="s">
        <v>88</v>
      </c>
      <c r="D111" s="186"/>
      <c r="E111" s="186"/>
      <c r="F111" s="63"/>
      <c r="I111" s="55"/>
    </row>
    <row r="112" spans="1:9">
      <c r="A112" s="56"/>
      <c r="C112" s="182" t="s">
        <v>11</v>
      </c>
      <c r="D112" s="182"/>
      <c r="E112" s="182"/>
      <c r="F112" s="24"/>
      <c r="I112" s="54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59" t="s">
        <v>13</v>
      </c>
      <c r="C114" s="187"/>
      <c r="D114" s="187"/>
      <c r="E114" s="187"/>
      <c r="F114" s="64"/>
      <c r="I114" s="55"/>
    </row>
    <row r="115" spans="1:9">
      <c r="A115" s="56"/>
      <c r="C115" s="162" t="s">
        <v>11</v>
      </c>
      <c r="D115" s="162"/>
      <c r="E115" s="162"/>
      <c r="F115" s="56"/>
      <c r="I115" s="54" t="s">
        <v>12</v>
      </c>
    </row>
    <row r="116" spans="1:9" ht="15.75">
      <c r="A116" s="4" t="s">
        <v>14</v>
      </c>
    </row>
    <row r="117" spans="1:9">
      <c r="A117" s="188" t="s">
        <v>15</v>
      </c>
      <c r="B117" s="188"/>
      <c r="C117" s="188"/>
      <c r="D117" s="188"/>
      <c r="E117" s="188"/>
      <c r="F117" s="188"/>
      <c r="G117" s="188"/>
      <c r="H117" s="188"/>
      <c r="I117" s="188"/>
    </row>
    <row r="118" spans="1:9" ht="45" customHeight="1">
      <c r="A118" s="184" t="s">
        <v>16</v>
      </c>
      <c r="B118" s="184"/>
      <c r="C118" s="184"/>
      <c r="D118" s="184"/>
      <c r="E118" s="184"/>
      <c r="F118" s="184"/>
      <c r="G118" s="184"/>
      <c r="H118" s="184"/>
      <c r="I118" s="184"/>
    </row>
    <row r="119" spans="1:9" ht="30" customHeight="1">
      <c r="A119" s="184" t="s">
        <v>17</v>
      </c>
      <c r="B119" s="184"/>
      <c r="C119" s="184"/>
      <c r="D119" s="184"/>
      <c r="E119" s="184"/>
      <c r="F119" s="184"/>
      <c r="G119" s="184"/>
      <c r="H119" s="184"/>
      <c r="I119" s="184"/>
    </row>
    <row r="120" spans="1:9" ht="30" customHeight="1">
      <c r="A120" s="184" t="s">
        <v>21</v>
      </c>
      <c r="B120" s="184"/>
      <c r="C120" s="184"/>
      <c r="D120" s="184"/>
      <c r="E120" s="184"/>
      <c r="F120" s="184"/>
      <c r="G120" s="184"/>
      <c r="H120" s="184"/>
      <c r="I120" s="184"/>
    </row>
    <row r="121" spans="1:9" ht="15.75">
      <c r="A121" s="184" t="s">
        <v>20</v>
      </c>
      <c r="B121" s="184"/>
      <c r="C121" s="184"/>
      <c r="D121" s="184"/>
      <c r="E121" s="184"/>
      <c r="F121" s="184"/>
      <c r="G121" s="184"/>
      <c r="H121" s="184"/>
      <c r="I121" s="184"/>
    </row>
  </sheetData>
  <autoFilter ref="I12:I61"/>
  <mergeCells count="29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8:I28"/>
    <mergeCell ref="A45:I45"/>
    <mergeCell ref="A56:I56"/>
    <mergeCell ref="A88:I88"/>
    <mergeCell ref="A101:I101"/>
    <mergeCell ref="B102:G102"/>
    <mergeCell ref="B103:G103"/>
    <mergeCell ref="A105:I105"/>
    <mergeCell ref="A106:I106"/>
    <mergeCell ref="R66:U66"/>
    <mergeCell ref="A84:I84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2"/>
  <sheetViews>
    <sheetView view="pageBreakPreview" topLeftCell="A91" zoomScale="60" workbookViewId="0">
      <selection activeCell="J106" sqref="J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179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281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44074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219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220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/>
      <c r="B19" s="120" t="s">
        <v>107</v>
      </c>
      <c r="C19" s="121" t="s">
        <v>108</v>
      </c>
      <c r="D19" s="120" t="s">
        <v>109</v>
      </c>
      <c r="E19" s="122">
        <v>40.799999999999997</v>
      </c>
      <c r="F19" s="123">
        <f>SUM(E19/10)</f>
        <v>4.08</v>
      </c>
      <c r="G19" s="123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20" t="s">
        <v>97</v>
      </c>
      <c r="C20" s="121" t="s">
        <v>106</v>
      </c>
      <c r="D20" s="120" t="s">
        <v>214</v>
      </c>
      <c r="E20" s="122">
        <v>43.2</v>
      </c>
      <c r="F20" s="123">
        <f>SUM(E20*12/100)</f>
        <v>5.1840000000000011</v>
      </c>
      <c r="G20" s="123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20" t="s">
        <v>98</v>
      </c>
      <c r="C21" s="121" t="s">
        <v>106</v>
      </c>
      <c r="D21" s="120" t="s">
        <v>213</v>
      </c>
      <c r="E21" s="122">
        <v>10.08</v>
      </c>
      <c r="F21" s="123">
        <f>E21*12/100</f>
        <v>1.2096</v>
      </c>
      <c r="G21" s="123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20" t="s">
        <v>110</v>
      </c>
      <c r="C22" s="121" t="s">
        <v>54</v>
      </c>
      <c r="D22" s="120" t="s">
        <v>109</v>
      </c>
      <c r="E22" s="122">
        <v>403.84</v>
      </c>
      <c r="F22" s="123">
        <f>SUM(E22/100)</f>
        <v>4.0383999999999993</v>
      </c>
      <c r="G22" s="123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111</v>
      </c>
      <c r="C23" s="121" t="s">
        <v>54</v>
      </c>
      <c r="D23" s="120" t="s">
        <v>109</v>
      </c>
      <c r="E23" s="124">
        <v>70.56</v>
      </c>
      <c r="F23" s="123">
        <f>SUM(E23/100)</f>
        <v>0.7056</v>
      </c>
      <c r="G23" s="123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100</v>
      </c>
      <c r="C24" s="121" t="s">
        <v>54</v>
      </c>
      <c r="D24" s="120" t="s">
        <v>109</v>
      </c>
      <c r="E24" s="17">
        <v>14.4</v>
      </c>
      <c r="F24" s="125">
        <v>0.14000000000000001</v>
      </c>
      <c r="G24" s="123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112</v>
      </c>
      <c r="C25" s="121" t="s">
        <v>54</v>
      </c>
      <c r="D25" s="120" t="s">
        <v>109</v>
      </c>
      <c r="E25" s="124">
        <v>31.5</v>
      </c>
      <c r="F25" s="123">
        <v>0.32</v>
      </c>
      <c r="G25" s="123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20" t="s">
        <v>101</v>
      </c>
      <c r="C26" s="121" t="s">
        <v>54</v>
      </c>
      <c r="D26" s="120" t="s">
        <v>109</v>
      </c>
      <c r="E26" s="122">
        <v>28.22</v>
      </c>
      <c r="F26" s="123">
        <f>SUM(E26/100)</f>
        <v>0.28220000000000001</v>
      </c>
      <c r="G26" s="123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20" t="s">
        <v>195</v>
      </c>
      <c r="C27" s="121" t="s">
        <v>33</v>
      </c>
      <c r="D27" s="120" t="s">
        <v>209</v>
      </c>
      <c r="E27" s="126">
        <v>0.15</v>
      </c>
      <c r="F27" s="123">
        <f>E27*258</f>
        <v>38.699999999999996</v>
      </c>
      <c r="G27" s="123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73" t="s">
        <v>85</v>
      </c>
      <c r="B28" s="173"/>
      <c r="C28" s="173"/>
      <c r="D28" s="173"/>
      <c r="E28" s="173"/>
      <c r="F28" s="173"/>
      <c r="G28" s="173"/>
      <c r="H28" s="173"/>
      <c r="I28" s="173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7</v>
      </c>
      <c r="B30" s="120" t="s">
        <v>113</v>
      </c>
      <c r="C30" s="121" t="s">
        <v>114</v>
      </c>
      <c r="D30" s="120" t="s">
        <v>211</v>
      </c>
      <c r="E30" s="123">
        <v>425</v>
      </c>
      <c r="F30" s="123">
        <f>SUM(E30*24/1000)</f>
        <v>10.199999999999999</v>
      </c>
      <c r="G30" s="123">
        <v>223.46</v>
      </c>
      <c r="H30" s="71">
        <f t="shared" ref="H30:H35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8</v>
      </c>
      <c r="B31" s="120" t="s">
        <v>169</v>
      </c>
      <c r="C31" s="121" t="s">
        <v>114</v>
      </c>
      <c r="D31" s="120" t="s">
        <v>207</v>
      </c>
      <c r="E31" s="123">
        <v>68</v>
      </c>
      <c r="F31" s="123">
        <f>SUM(E31*52/1000)</f>
        <v>3.536</v>
      </c>
      <c r="G31" s="123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hidden="1" customHeight="1">
      <c r="A32" s="29">
        <v>16</v>
      </c>
      <c r="B32" s="120" t="s">
        <v>27</v>
      </c>
      <c r="C32" s="121" t="s">
        <v>114</v>
      </c>
      <c r="D32" s="120" t="s">
        <v>55</v>
      </c>
      <c r="E32" s="123">
        <v>425</v>
      </c>
      <c r="F32" s="123">
        <f>SUM(E32/1000)</f>
        <v>0.42499999999999999</v>
      </c>
      <c r="G32" s="123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9</v>
      </c>
      <c r="B33" s="120" t="s">
        <v>147</v>
      </c>
      <c r="C33" s="121" t="s">
        <v>41</v>
      </c>
      <c r="D33" s="120" t="s">
        <v>206</v>
      </c>
      <c r="E33" s="123">
        <v>4</v>
      </c>
      <c r="F33" s="123">
        <f>E33*72/100</f>
        <v>2.88</v>
      </c>
      <c r="G33" s="123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si="1"/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1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132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3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104</v>
      </c>
      <c r="C38" s="68" t="s">
        <v>29</v>
      </c>
      <c r="D38" s="67" t="s">
        <v>136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3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137</v>
      </c>
      <c r="C39" s="68" t="s">
        <v>29</v>
      </c>
      <c r="D39" s="67" t="s">
        <v>118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94</v>
      </c>
      <c r="C40" s="68" t="s">
        <v>119</v>
      </c>
      <c r="D40" s="67" t="s">
        <v>149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120</v>
      </c>
      <c r="E41" s="70">
        <v>68</v>
      </c>
      <c r="F41" s="70">
        <f>SUM(E41*155/1000)</f>
        <v>10.54</v>
      </c>
      <c r="G41" s="70">
        <v>350.75</v>
      </c>
      <c r="H41" s="71">
        <f t="shared" si="3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114</v>
      </c>
      <c r="D42" s="67" t="s">
        <v>138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3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121</v>
      </c>
      <c r="C43" s="68" t="s">
        <v>114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3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3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74" t="s">
        <v>143</v>
      </c>
      <c r="B45" s="175"/>
      <c r="C45" s="175"/>
      <c r="D45" s="175"/>
      <c r="E45" s="175"/>
      <c r="F45" s="175"/>
      <c r="G45" s="175"/>
      <c r="H45" s="175"/>
      <c r="I45" s="176"/>
      <c r="J45" s="23"/>
      <c r="L45" s="19"/>
      <c r="M45" s="20"/>
      <c r="N45" s="21"/>
    </row>
    <row r="46" spans="1:14" ht="15" hidden="1" customHeight="1">
      <c r="A46" s="29"/>
      <c r="B46" s="67" t="s">
        <v>139</v>
      </c>
      <c r="C46" s="68" t="s">
        <v>114</v>
      </c>
      <c r="D46" s="67" t="s">
        <v>43</v>
      </c>
      <c r="E46" s="69">
        <v>1061.3</v>
      </c>
      <c r="F46" s="70">
        <f>SUM(E46*2/1000)</f>
        <v>2.1225999999999998</v>
      </c>
      <c r="G46" s="13">
        <v>809.74</v>
      </c>
      <c r="H46" s="71">
        <f t="shared" ref="H46:H55" si="4">SUM(F46*G46/1000)</f>
        <v>1.7187541239999997</v>
      </c>
      <c r="I46" s="13">
        <v>0</v>
      </c>
      <c r="J46" s="23"/>
      <c r="L46" s="19"/>
      <c r="M46" s="20"/>
      <c r="N46" s="21"/>
    </row>
    <row r="47" spans="1:14" ht="15" hidden="1" customHeight="1">
      <c r="A47" s="29"/>
      <c r="B47" s="67" t="s">
        <v>36</v>
      </c>
      <c r="C47" s="68" t="s">
        <v>114</v>
      </c>
      <c r="D47" s="67" t="s">
        <v>43</v>
      </c>
      <c r="E47" s="69">
        <v>52</v>
      </c>
      <c r="F47" s="70">
        <f>SUM(E47*2/1000)</f>
        <v>0.104</v>
      </c>
      <c r="G47" s="13">
        <v>579.48</v>
      </c>
      <c r="H47" s="71">
        <f t="shared" si="4"/>
        <v>6.0265920000000001E-2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37</v>
      </c>
      <c r="C48" s="68" t="s">
        <v>114</v>
      </c>
      <c r="D48" s="67" t="s">
        <v>43</v>
      </c>
      <c r="E48" s="69">
        <v>1238.8</v>
      </c>
      <c r="F48" s="70">
        <f>SUM(E48*2/1000)</f>
        <v>2.4775999999999998</v>
      </c>
      <c r="G48" s="13">
        <v>579.48</v>
      </c>
      <c r="H48" s="71">
        <f t="shared" si="4"/>
        <v>1.4357196480000001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38</v>
      </c>
      <c r="C49" s="68" t="s">
        <v>114</v>
      </c>
      <c r="D49" s="67" t="s">
        <v>43</v>
      </c>
      <c r="E49" s="69">
        <v>1794.01</v>
      </c>
      <c r="F49" s="70">
        <f>SUM(E49*2/1000)</f>
        <v>3.5880199999999998</v>
      </c>
      <c r="G49" s="13">
        <v>606.77</v>
      </c>
      <c r="H49" s="71">
        <f t="shared" si="4"/>
        <v>2.1771028954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34</v>
      </c>
      <c r="C50" s="68" t="s">
        <v>35</v>
      </c>
      <c r="D50" s="67" t="s">
        <v>150</v>
      </c>
      <c r="E50" s="69">
        <v>85.78</v>
      </c>
      <c r="F50" s="70">
        <f>SUM(E50*2/100)</f>
        <v>1.7156</v>
      </c>
      <c r="G50" s="13">
        <v>72.81</v>
      </c>
      <c r="H50" s="71">
        <f t="shared" si="4"/>
        <v>0.124912836</v>
      </c>
      <c r="I50" s="13">
        <v>0</v>
      </c>
      <c r="J50" s="23"/>
      <c r="L50" s="19"/>
      <c r="M50" s="20"/>
      <c r="N50" s="21"/>
    </row>
    <row r="51" spans="1:22" ht="15" hidden="1" customHeight="1">
      <c r="A51" s="29">
        <v>13</v>
      </c>
      <c r="B51" s="67" t="s">
        <v>57</v>
      </c>
      <c r="C51" s="68" t="s">
        <v>114</v>
      </c>
      <c r="D51" s="67" t="s">
        <v>170</v>
      </c>
      <c r="E51" s="69">
        <v>884</v>
      </c>
      <c r="F51" s="70">
        <f>SUM(E51*5/1000)</f>
        <v>4.42</v>
      </c>
      <c r="G51" s="13">
        <v>1213.55</v>
      </c>
      <c r="H51" s="71">
        <f t="shared" si="4"/>
        <v>5.3638909999999997</v>
      </c>
      <c r="I51" s="13">
        <f>F51/5*G51</f>
        <v>1072.7782</v>
      </c>
      <c r="J51" s="23"/>
      <c r="L51" s="19"/>
      <c r="M51" s="20"/>
      <c r="N51" s="21"/>
    </row>
    <row r="52" spans="1:22" ht="31.5" hidden="1" customHeight="1">
      <c r="A52" s="29"/>
      <c r="B52" s="67" t="s">
        <v>122</v>
      </c>
      <c r="C52" s="68" t="s">
        <v>114</v>
      </c>
      <c r="D52" s="67" t="s">
        <v>43</v>
      </c>
      <c r="E52" s="69">
        <v>884</v>
      </c>
      <c r="F52" s="70">
        <f>SUM(E52*2/1000)</f>
        <v>1.768</v>
      </c>
      <c r="G52" s="13">
        <v>1213.55</v>
      </c>
      <c r="H52" s="71">
        <f t="shared" si="4"/>
        <v>2.1455563999999998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7" t="s">
        <v>123</v>
      </c>
      <c r="C53" s="68" t="s">
        <v>39</v>
      </c>
      <c r="D53" s="67" t="s">
        <v>43</v>
      </c>
      <c r="E53" s="69">
        <v>20</v>
      </c>
      <c r="F53" s="70">
        <f>SUM(E53*2/100)</f>
        <v>0.4</v>
      </c>
      <c r="G53" s="13">
        <v>2730.49</v>
      </c>
      <c r="H53" s="71">
        <f t="shared" si="4"/>
        <v>1.0921959999999999</v>
      </c>
      <c r="I53" s="13">
        <v>0</v>
      </c>
      <c r="J53" s="23"/>
      <c r="L53" s="19"/>
      <c r="M53" s="20"/>
      <c r="N53" s="21"/>
    </row>
    <row r="54" spans="1:22" ht="15" hidden="1" customHeight="1">
      <c r="A54" s="29"/>
      <c r="B54" s="67" t="s">
        <v>40</v>
      </c>
      <c r="C54" s="68" t="s">
        <v>41</v>
      </c>
      <c r="D54" s="67" t="s">
        <v>43</v>
      </c>
      <c r="E54" s="69">
        <v>1</v>
      </c>
      <c r="F54" s="70">
        <v>0.02</v>
      </c>
      <c r="G54" s="13">
        <v>5652.13</v>
      </c>
      <c r="H54" s="71">
        <f t="shared" si="4"/>
        <v>0.11304260000000001</v>
      </c>
      <c r="I54" s="13">
        <v>0</v>
      </c>
      <c r="J54" s="23"/>
      <c r="L54" s="19"/>
      <c r="M54" s="20"/>
      <c r="N54" s="21"/>
    </row>
    <row r="55" spans="1:22" ht="15" customHeight="1">
      <c r="A55" s="29">
        <v>10</v>
      </c>
      <c r="B55" s="120" t="s">
        <v>42</v>
      </c>
      <c r="C55" s="121" t="s">
        <v>30</v>
      </c>
      <c r="D55" s="143">
        <v>44063</v>
      </c>
      <c r="E55" s="122">
        <v>136</v>
      </c>
      <c r="F55" s="123">
        <f>SUM(E55)*3</f>
        <v>408</v>
      </c>
      <c r="G55" s="127">
        <v>87.32</v>
      </c>
      <c r="H55" s="71">
        <f t="shared" si="4"/>
        <v>35.626559999999998</v>
      </c>
      <c r="I55" s="13">
        <f>E55*G55</f>
        <v>11875.519999999999</v>
      </c>
      <c r="J55" s="23"/>
      <c r="L55" s="19"/>
      <c r="M55" s="20"/>
      <c r="N55" s="21"/>
    </row>
    <row r="56" spans="1:22" ht="15.75" customHeight="1">
      <c r="A56" s="174" t="s">
        <v>144</v>
      </c>
      <c r="B56" s="175"/>
      <c r="C56" s="175"/>
      <c r="D56" s="175"/>
      <c r="E56" s="175"/>
      <c r="F56" s="175"/>
      <c r="G56" s="175"/>
      <c r="H56" s="175"/>
      <c r="I56" s="176"/>
      <c r="J56" s="23"/>
      <c r="L56" s="19"/>
      <c r="M56" s="20"/>
      <c r="N56" s="21"/>
    </row>
    <row r="57" spans="1:22" ht="15" hidden="1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31.5" hidden="1" customHeight="1">
      <c r="A58" s="29">
        <v>15</v>
      </c>
      <c r="B58" s="67" t="s">
        <v>125</v>
      </c>
      <c r="C58" s="68" t="s">
        <v>99</v>
      </c>
      <c r="D58" s="67" t="s">
        <v>72</v>
      </c>
      <c r="E58" s="69">
        <v>106.13</v>
      </c>
      <c r="F58" s="70">
        <f>E58*6/100</f>
        <v>6.3677999999999999</v>
      </c>
      <c r="G58" s="76">
        <v>1547.28</v>
      </c>
      <c r="H58" s="71">
        <f>F58*G58/1000</f>
        <v>9.8527695839999989</v>
      </c>
      <c r="I58" s="13">
        <f>F58/6*G58</f>
        <v>1642.1282639999999</v>
      </c>
      <c r="J58" s="23"/>
      <c r="L58" s="19"/>
    </row>
    <row r="59" spans="1:22" ht="18" hidden="1" customHeight="1">
      <c r="A59" s="29">
        <v>11</v>
      </c>
      <c r="B59" s="103" t="s">
        <v>192</v>
      </c>
      <c r="C59" s="104" t="s">
        <v>193</v>
      </c>
      <c r="D59" s="103" t="s">
        <v>222</v>
      </c>
      <c r="E59" s="105"/>
      <c r="F59" s="108">
        <v>6</v>
      </c>
      <c r="G59" s="34">
        <v>1730</v>
      </c>
      <c r="H59" s="89"/>
      <c r="I59" s="13">
        <f>G59*4</f>
        <v>6920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11</v>
      </c>
      <c r="B62" s="78" t="s">
        <v>95</v>
      </c>
      <c r="C62" s="77" t="s">
        <v>25</v>
      </c>
      <c r="D62" s="78" t="s">
        <v>213</v>
      </c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6.5" hidden="1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132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4.25" hidden="1" customHeight="1">
      <c r="A64" s="29">
        <v>11</v>
      </c>
      <c r="B64" s="14" t="s">
        <v>48</v>
      </c>
      <c r="C64" s="16" t="s">
        <v>124</v>
      </c>
      <c r="D64" s="14" t="s">
        <v>67</v>
      </c>
      <c r="E64" s="18">
        <v>20</v>
      </c>
      <c r="F64" s="70">
        <v>20</v>
      </c>
      <c r="G64" s="91">
        <v>222.4</v>
      </c>
      <c r="H64" s="90">
        <f t="shared" ref="H64:H81" si="5">SUM(F64*G64/1000)</f>
        <v>4.4480000000000004</v>
      </c>
      <c r="I64" s="13">
        <f>G64*1</f>
        <v>222.4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hidden="1" customHeight="1">
      <c r="A65" s="29">
        <v>17</v>
      </c>
      <c r="B65" s="14" t="s">
        <v>49</v>
      </c>
      <c r="C65" s="16" t="s">
        <v>124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5"/>
        <v>#VALUE!</v>
      </c>
      <c r="I65" s="13">
        <f>G65</f>
        <v>76.25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4" t="s">
        <v>50</v>
      </c>
      <c r="C66" s="16" t="s">
        <v>126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5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2"/>
      <c r="S66" s="162"/>
      <c r="T66" s="162"/>
      <c r="U66" s="162"/>
    </row>
    <row r="67" spans="1:21" ht="20.25" hidden="1" customHeight="1">
      <c r="A67" s="29"/>
      <c r="B67" s="14" t="s">
        <v>51</v>
      </c>
      <c r="C67" s="16" t="s">
        <v>127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5"/>
        <v>2.08941087</v>
      </c>
      <c r="I67" s="13">
        <f t="shared" ref="I67:I71" si="6">F67*G67</f>
        <v>2089.4108700000002</v>
      </c>
    </row>
    <row r="68" spans="1:21" ht="24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5"/>
        <v>39.417970000000004</v>
      </c>
      <c r="I68" s="13">
        <f t="shared" si="6"/>
        <v>39417.97</v>
      </c>
    </row>
    <row r="69" spans="1:21" ht="25.5" hidden="1" customHeight="1">
      <c r="A69" s="29"/>
      <c r="B69" s="83" t="s">
        <v>128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5"/>
        <v>0.48217100000000007</v>
      </c>
      <c r="I69" s="13">
        <f t="shared" si="6"/>
        <v>482.17100000000005</v>
      </c>
    </row>
    <row r="70" spans="1:21" ht="21.75" hidden="1" customHeight="1">
      <c r="A70" s="29"/>
      <c r="B70" s="83" t="s">
        <v>129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5"/>
        <v>0.44985300000000006</v>
      </c>
      <c r="I70" s="13">
        <f t="shared" si="6"/>
        <v>449.85300000000007</v>
      </c>
    </row>
    <row r="71" spans="1:21" ht="19.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5"/>
        <v>0.29928000000000005</v>
      </c>
      <c r="I71" s="13">
        <f t="shared" si="6"/>
        <v>299.28000000000003</v>
      </c>
    </row>
    <row r="72" spans="1:21" ht="19.5" customHeight="1">
      <c r="A72" s="29"/>
      <c r="B72" s="31" t="s">
        <v>202</v>
      </c>
      <c r="C72" s="16"/>
      <c r="D72" s="14"/>
      <c r="E72" s="18"/>
      <c r="F72" s="13"/>
      <c r="G72" s="116"/>
      <c r="H72" s="116"/>
      <c r="I72" s="117"/>
    </row>
    <row r="73" spans="1:21" ht="30" customHeight="1">
      <c r="A73" s="29">
        <v>12</v>
      </c>
      <c r="B73" s="102" t="s">
        <v>200</v>
      </c>
      <c r="C73" s="133" t="s">
        <v>201</v>
      </c>
      <c r="D73" s="134"/>
      <c r="E73" s="17">
        <v>3031.3</v>
      </c>
      <c r="F73" s="35">
        <f>E73*12</f>
        <v>36375.600000000006</v>
      </c>
      <c r="G73" s="35">
        <v>2.4900000000000002</v>
      </c>
      <c r="H73" s="116"/>
      <c r="I73" s="117">
        <f>G73*F73/12</f>
        <v>7547.9370000000017</v>
      </c>
    </row>
    <row r="74" spans="1:21" ht="15.75" hidden="1" customHeight="1">
      <c r="A74" s="29"/>
      <c r="B74" s="142" t="s">
        <v>73</v>
      </c>
      <c r="C74" s="16"/>
      <c r="D74" s="14"/>
      <c r="E74" s="18"/>
      <c r="F74" s="13"/>
      <c r="G74" s="13"/>
      <c r="H74" s="82" t="s">
        <v>132</v>
      </c>
      <c r="I74" s="13"/>
    </row>
    <row r="75" spans="1:21" ht="17.25" hidden="1" customHeight="1">
      <c r="A75" s="29">
        <v>12</v>
      </c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f>G75*0.1</f>
        <v>50.162000000000006</v>
      </c>
    </row>
    <row r="76" spans="1:21" ht="17.25" hidden="1" customHeight="1">
      <c r="A76" s="29"/>
      <c r="B76" s="14" t="s">
        <v>140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18.75" hidden="1" customHeight="1">
      <c r="A77" s="29"/>
      <c r="B77" s="14" t="s">
        <v>141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18.7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5"/>
        <v>0.35851</v>
      </c>
      <c r="I78" s="13">
        <v>0</v>
      </c>
    </row>
    <row r="79" spans="1:21" ht="18.75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17.25" hidden="1" customHeight="1">
      <c r="A80" s="29"/>
      <c r="B80" s="84" t="s">
        <v>77</v>
      </c>
      <c r="C80" s="16"/>
      <c r="D80" s="14"/>
      <c r="E80" s="18"/>
      <c r="F80" s="13"/>
      <c r="G80" s="13" t="s">
        <v>132</v>
      </c>
      <c r="H80" s="82" t="s">
        <v>132</v>
      </c>
      <c r="I80" s="13"/>
    </row>
    <row r="81" spans="1:9" ht="18.75" hidden="1" customHeight="1">
      <c r="A81" s="29"/>
      <c r="B81" s="44" t="s">
        <v>133</v>
      </c>
      <c r="C81" s="16" t="s">
        <v>78</v>
      </c>
      <c r="D81" s="14"/>
      <c r="E81" s="18"/>
      <c r="F81" s="13">
        <v>0.2</v>
      </c>
      <c r="G81" s="13">
        <v>2759.44</v>
      </c>
      <c r="H81" s="82">
        <f t="shared" si="5"/>
        <v>0.55188800000000005</v>
      </c>
      <c r="I81" s="13">
        <v>0</v>
      </c>
    </row>
    <row r="82" spans="1:9" ht="19.5" hidden="1" customHeight="1">
      <c r="A82" s="29"/>
      <c r="B82" s="72" t="s">
        <v>130</v>
      </c>
      <c r="C82" s="84"/>
      <c r="D82" s="31"/>
      <c r="E82" s="32"/>
      <c r="F82" s="73"/>
      <c r="G82" s="73"/>
      <c r="H82" s="85" t="e">
        <f>SUM(H58:H81)</f>
        <v>#VALUE!</v>
      </c>
      <c r="I82" s="73"/>
    </row>
    <row r="83" spans="1:9" ht="16.5" hidden="1" customHeight="1">
      <c r="A83" s="29"/>
      <c r="B83" s="67" t="s">
        <v>131</v>
      </c>
      <c r="C83" s="16"/>
      <c r="D83" s="14"/>
      <c r="E83" s="62"/>
      <c r="F83" s="13">
        <v>1</v>
      </c>
      <c r="G83" s="13">
        <v>13437.4</v>
      </c>
      <c r="H83" s="82">
        <f>G83*F83/1000</f>
        <v>13.4374</v>
      </c>
      <c r="I83" s="13">
        <v>0</v>
      </c>
    </row>
    <row r="84" spans="1:9" ht="15.75" customHeight="1">
      <c r="A84" s="163" t="s">
        <v>145</v>
      </c>
      <c r="B84" s="164"/>
      <c r="C84" s="164"/>
      <c r="D84" s="164"/>
      <c r="E84" s="164"/>
      <c r="F84" s="164"/>
      <c r="G84" s="164"/>
      <c r="H84" s="164"/>
      <c r="I84" s="165"/>
    </row>
    <row r="85" spans="1:9" ht="15" customHeight="1">
      <c r="A85" s="29">
        <v>13</v>
      </c>
      <c r="B85" s="102" t="s">
        <v>134</v>
      </c>
      <c r="C85" s="110" t="s">
        <v>56</v>
      </c>
      <c r="D85" s="139"/>
      <c r="E85" s="34">
        <v>3031.3</v>
      </c>
      <c r="F85" s="34">
        <f>SUM(E85*12)</f>
        <v>36375.600000000006</v>
      </c>
      <c r="G85" s="34">
        <v>3.38</v>
      </c>
      <c r="H85" s="82">
        <f>SUM(F85*G85/1000)</f>
        <v>122.94952800000002</v>
      </c>
      <c r="I85" s="13">
        <f>F85/12*G85</f>
        <v>10245.794000000002</v>
      </c>
    </row>
    <row r="86" spans="1:9" ht="31.5" customHeight="1">
      <c r="A86" s="29">
        <v>14</v>
      </c>
      <c r="B86" s="102" t="s">
        <v>203</v>
      </c>
      <c r="C86" s="110" t="s">
        <v>25</v>
      </c>
      <c r="D86" s="137"/>
      <c r="E86" s="138">
        <f>E85</f>
        <v>3031.3</v>
      </c>
      <c r="F86" s="135">
        <f>E86*12</f>
        <v>36375.600000000006</v>
      </c>
      <c r="G86" s="135">
        <v>3.05</v>
      </c>
      <c r="H86" s="82">
        <f>F86*G86/1000</f>
        <v>110.94558000000002</v>
      </c>
      <c r="I86" s="13">
        <f>F86/12*G86</f>
        <v>9245.465000000002</v>
      </c>
    </row>
    <row r="87" spans="1:9" ht="15.75" customHeight="1">
      <c r="A87" s="141"/>
      <c r="B87" s="36" t="s">
        <v>80</v>
      </c>
      <c r="C87" s="37"/>
      <c r="D87" s="15"/>
      <c r="E87" s="15"/>
      <c r="F87" s="15"/>
      <c r="G87" s="18"/>
      <c r="H87" s="18"/>
      <c r="I87" s="32">
        <f>I86+I85+I73+I62+I55+I33+I31+I30+I27+I21+I20+I18+I17+I16</f>
        <v>53432.375128666667</v>
      </c>
    </row>
    <row r="88" spans="1:9" ht="15.75" customHeight="1">
      <c r="A88" s="177" t="s">
        <v>61</v>
      </c>
      <c r="B88" s="178"/>
      <c r="C88" s="178"/>
      <c r="D88" s="178"/>
      <c r="E88" s="178"/>
      <c r="F88" s="178"/>
      <c r="G88" s="178"/>
      <c r="H88" s="178"/>
      <c r="I88" s="179"/>
    </row>
    <row r="89" spans="1:9" s="111" customFormat="1" ht="19.5" customHeight="1">
      <c r="A89" s="29">
        <v>15</v>
      </c>
      <c r="B89" s="52" t="s">
        <v>216</v>
      </c>
      <c r="C89" s="53" t="s">
        <v>124</v>
      </c>
      <c r="D89" s="48"/>
      <c r="E89" s="34"/>
      <c r="F89" s="34">
        <v>4</v>
      </c>
      <c r="G89" s="34">
        <v>60.72</v>
      </c>
      <c r="H89" s="82">
        <f t="shared" ref="H89" si="7">G89*F89/1000</f>
        <v>0.24287999999999998</v>
      </c>
      <c r="I89" s="13">
        <f>G89*1</f>
        <v>60.72</v>
      </c>
    </row>
    <row r="90" spans="1:9" ht="15.75" hidden="1" customHeight="1">
      <c r="A90" s="29">
        <v>16</v>
      </c>
      <c r="B90" s="86"/>
      <c r="C90" s="66"/>
      <c r="D90" s="44"/>
      <c r="E90" s="13"/>
      <c r="F90" s="13">
        <v>5</v>
      </c>
      <c r="G90" s="13"/>
      <c r="H90" s="82">
        <f>G90*F90/1000</f>
        <v>0</v>
      </c>
      <c r="I90" s="13"/>
    </row>
    <row r="91" spans="1:9" ht="32.25" customHeight="1">
      <c r="A91" s="29">
        <v>16</v>
      </c>
      <c r="B91" s="52" t="s">
        <v>194</v>
      </c>
      <c r="C91" s="53" t="s">
        <v>186</v>
      </c>
      <c r="D91" s="48" t="s">
        <v>283</v>
      </c>
      <c r="E91" s="34"/>
      <c r="F91" s="34">
        <v>3</v>
      </c>
      <c r="G91" s="34">
        <v>1421.68</v>
      </c>
      <c r="H91" s="82"/>
      <c r="I91" s="13">
        <f>G91*3</f>
        <v>4265.04</v>
      </c>
    </row>
    <row r="92" spans="1:9" ht="33.75" customHeight="1">
      <c r="A92" s="29">
        <v>17</v>
      </c>
      <c r="B92" s="52" t="s">
        <v>223</v>
      </c>
      <c r="C92" s="53" t="s">
        <v>186</v>
      </c>
      <c r="D92" s="48" t="s">
        <v>284</v>
      </c>
      <c r="E92" s="34"/>
      <c r="F92" s="34">
        <v>0.5</v>
      </c>
      <c r="G92" s="34">
        <v>1523.6</v>
      </c>
      <c r="H92" s="82"/>
      <c r="I92" s="13">
        <f>G92*0.5</f>
        <v>761.8</v>
      </c>
    </row>
    <row r="93" spans="1:9" ht="16.5" customHeight="1">
      <c r="A93" s="29">
        <v>18</v>
      </c>
      <c r="B93" s="52" t="s">
        <v>157</v>
      </c>
      <c r="C93" s="53" t="s">
        <v>84</v>
      </c>
      <c r="D93" s="48" t="s">
        <v>285</v>
      </c>
      <c r="E93" s="34"/>
      <c r="F93" s="34">
        <v>4</v>
      </c>
      <c r="G93" s="34">
        <v>222.63</v>
      </c>
      <c r="H93" s="82"/>
      <c r="I93" s="13">
        <f>G93*2</f>
        <v>445.26</v>
      </c>
    </row>
    <row r="94" spans="1:9" ht="16.5" customHeight="1">
      <c r="A94" s="29">
        <v>19</v>
      </c>
      <c r="B94" s="52" t="s">
        <v>82</v>
      </c>
      <c r="C94" s="53" t="s">
        <v>124</v>
      </c>
      <c r="D94" s="48"/>
      <c r="E94" s="34"/>
      <c r="F94" s="34">
        <v>4</v>
      </c>
      <c r="G94" s="34">
        <v>215.85</v>
      </c>
      <c r="H94" s="82"/>
      <c r="I94" s="13">
        <f>G94*1</f>
        <v>215.85</v>
      </c>
    </row>
    <row r="95" spans="1:9" ht="30" customHeight="1">
      <c r="A95" s="29">
        <v>20</v>
      </c>
      <c r="B95" s="52" t="s">
        <v>282</v>
      </c>
      <c r="C95" s="53" t="s">
        <v>124</v>
      </c>
      <c r="D95" s="48"/>
      <c r="E95" s="34"/>
      <c r="F95" s="34">
        <v>1</v>
      </c>
      <c r="G95" s="34">
        <v>94.76</v>
      </c>
      <c r="H95" s="82"/>
      <c r="I95" s="13">
        <f>G95*1</f>
        <v>94.76</v>
      </c>
    </row>
    <row r="96" spans="1:9" ht="16.5" customHeight="1">
      <c r="A96" s="29">
        <v>21</v>
      </c>
      <c r="B96" s="52" t="s">
        <v>191</v>
      </c>
      <c r="C96" s="53" t="s">
        <v>186</v>
      </c>
      <c r="D96" s="48" t="s">
        <v>328</v>
      </c>
      <c r="E96" s="34"/>
      <c r="F96" s="34">
        <v>2</v>
      </c>
      <c r="G96" s="34">
        <v>284</v>
      </c>
      <c r="H96" s="82"/>
      <c r="I96" s="13">
        <v>0</v>
      </c>
    </row>
    <row r="97" spans="1:9" ht="33" customHeight="1">
      <c r="A97" s="29">
        <v>22</v>
      </c>
      <c r="B97" s="52" t="s">
        <v>205</v>
      </c>
      <c r="C97" s="53" t="s">
        <v>39</v>
      </c>
      <c r="D97" s="48" t="s">
        <v>213</v>
      </c>
      <c r="E97" s="34"/>
      <c r="F97" s="34">
        <v>0.04</v>
      </c>
      <c r="G97" s="34">
        <v>4070.89</v>
      </c>
      <c r="H97" s="82"/>
      <c r="I97" s="13">
        <v>0</v>
      </c>
    </row>
    <row r="98" spans="1:9" ht="16.5" customHeight="1">
      <c r="A98" s="29">
        <v>23</v>
      </c>
      <c r="B98" s="52" t="s">
        <v>327</v>
      </c>
      <c r="C98" s="53" t="s">
        <v>286</v>
      </c>
      <c r="D98" s="48"/>
      <c r="E98" s="34"/>
      <c r="F98" s="34">
        <v>1</v>
      </c>
      <c r="G98" s="34">
        <v>7276</v>
      </c>
      <c r="H98" s="82"/>
      <c r="I98" s="13">
        <f>G98*1</f>
        <v>7276</v>
      </c>
    </row>
    <row r="99" spans="1:9" ht="15.75" customHeight="1">
      <c r="A99" s="29"/>
      <c r="B99" s="42" t="s">
        <v>53</v>
      </c>
      <c r="C99" s="38"/>
      <c r="D99" s="46"/>
      <c r="E99" s="38">
        <v>1</v>
      </c>
      <c r="F99" s="38"/>
      <c r="G99" s="38"/>
      <c r="H99" s="38"/>
      <c r="I99" s="32">
        <f>SUM(I89:I98)</f>
        <v>13119.43</v>
      </c>
    </row>
    <row r="100" spans="1:9" ht="15.75" customHeight="1">
      <c r="A100" s="29"/>
      <c r="B100" s="44" t="s">
        <v>79</v>
      </c>
      <c r="C100" s="15"/>
      <c r="D100" s="15"/>
      <c r="E100" s="39"/>
      <c r="F100" s="39"/>
      <c r="G100" s="40"/>
      <c r="H100" s="40"/>
      <c r="I100" s="17">
        <v>0</v>
      </c>
    </row>
    <row r="101" spans="1:9" ht="15.75" customHeight="1">
      <c r="A101" s="47"/>
      <c r="B101" s="43" t="s">
        <v>182</v>
      </c>
      <c r="C101" s="33"/>
      <c r="D101" s="33"/>
      <c r="E101" s="33"/>
      <c r="F101" s="33"/>
      <c r="G101" s="33"/>
      <c r="H101" s="33"/>
      <c r="I101" s="41">
        <f>I87+I99</f>
        <v>66551.80512866666</v>
      </c>
    </row>
    <row r="102" spans="1:9" ht="15.75">
      <c r="A102" s="180" t="s">
        <v>329</v>
      </c>
      <c r="B102" s="180"/>
      <c r="C102" s="180"/>
      <c r="D102" s="180"/>
      <c r="E102" s="180"/>
      <c r="F102" s="180"/>
      <c r="G102" s="180"/>
      <c r="H102" s="180"/>
      <c r="I102" s="180"/>
    </row>
    <row r="103" spans="1:9" ht="15.75">
      <c r="A103" s="60"/>
      <c r="B103" s="181" t="s">
        <v>330</v>
      </c>
      <c r="C103" s="181"/>
      <c r="D103" s="181"/>
      <c r="E103" s="181"/>
      <c r="F103" s="181"/>
      <c r="G103" s="181"/>
      <c r="H103" s="65"/>
      <c r="I103" s="3"/>
    </row>
    <row r="104" spans="1:9">
      <c r="A104" s="56"/>
      <c r="B104" s="182" t="s">
        <v>6</v>
      </c>
      <c r="C104" s="182"/>
      <c r="D104" s="182"/>
      <c r="E104" s="182"/>
      <c r="F104" s="182"/>
      <c r="G104" s="182"/>
      <c r="H104" s="24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83" t="s">
        <v>7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>
      <c r="A107" s="183" t="s">
        <v>8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15.75">
      <c r="A108" s="172" t="s">
        <v>62</v>
      </c>
      <c r="B108" s="172"/>
      <c r="C108" s="172"/>
      <c r="D108" s="172"/>
      <c r="E108" s="172"/>
      <c r="F108" s="172"/>
      <c r="G108" s="172"/>
      <c r="H108" s="172"/>
      <c r="I108" s="172"/>
    </row>
    <row r="109" spans="1:9" ht="15.75">
      <c r="A109" s="11"/>
    </row>
    <row r="110" spans="1:9" ht="15.75">
      <c r="A110" s="185" t="s">
        <v>9</v>
      </c>
      <c r="B110" s="185"/>
      <c r="C110" s="185"/>
      <c r="D110" s="185"/>
      <c r="E110" s="185"/>
      <c r="F110" s="185"/>
      <c r="G110" s="185"/>
      <c r="H110" s="185"/>
      <c r="I110" s="185"/>
    </row>
    <row r="111" spans="1:9" ht="15.75">
      <c r="A111" s="4"/>
    </row>
    <row r="112" spans="1:9" ht="15.75">
      <c r="B112" s="59" t="s">
        <v>10</v>
      </c>
      <c r="C112" s="186" t="s">
        <v>88</v>
      </c>
      <c r="D112" s="186"/>
      <c r="E112" s="186"/>
      <c r="F112" s="63"/>
      <c r="I112" s="55"/>
    </row>
    <row r="113" spans="1:9">
      <c r="A113" s="56"/>
      <c r="C113" s="182" t="s">
        <v>11</v>
      </c>
      <c r="D113" s="182"/>
      <c r="E113" s="182"/>
      <c r="F113" s="24"/>
      <c r="I113" s="54" t="s">
        <v>12</v>
      </c>
    </row>
    <row r="114" spans="1:9" ht="15.75">
      <c r="A114" s="25"/>
      <c r="C114" s="12"/>
      <c r="D114" s="12"/>
      <c r="G114" s="12"/>
      <c r="H114" s="12"/>
    </row>
    <row r="115" spans="1:9" ht="15.75">
      <c r="B115" s="59" t="s">
        <v>13</v>
      </c>
      <c r="C115" s="187"/>
      <c r="D115" s="187"/>
      <c r="E115" s="187"/>
      <c r="F115" s="64"/>
      <c r="I115" s="55"/>
    </row>
    <row r="116" spans="1:9">
      <c r="A116" s="56"/>
      <c r="C116" s="162" t="s">
        <v>11</v>
      </c>
      <c r="D116" s="162"/>
      <c r="E116" s="162"/>
      <c r="F116" s="56"/>
      <c r="I116" s="54" t="s">
        <v>12</v>
      </c>
    </row>
    <row r="117" spans="1:9" ht="15.75">
      <c r="A117" s="4" t="s">
        <v>14</v>
      </c>
    </row>
    <row r="118" spans="1:9">
      <c r="A118" s="188" t="s">
        <v>15</v>
      </c>
      <c r="B118" s="188"/>
      <c r="C118" s="188"/>
      <c r="D118" s="188"/>
      <c r="E118" s="188"/>
      <c r="F118" s="188"/>
      <c r="G118" s="188"/>
      <c r="H118" s="188"/>
      <c r="I118" s="188"/>
    </row>
    <row r="119" spans="1:9" ht="45" customHeight="1">
      <c r="A119" s="184" t="s">
        <v>16</v>
      </c>
      <c r="B119" s="184"/>
      <c r="C119" s="184"/>
      <c r="D119" s="184"/>
      <c r="E119" s="184"/>
      <c r="F119" s="184"/>
      <c r="G119" s="184"/>
      <c r="H119" s="184"/>
      <c r="I119" s="184"/>
    </row>
    <row r="120" spans="1:9" ht="30" customHeight="1">
      <c r="A120" s="184" t="s">
        <v>17</v>
      </c>
      <c r="B120" s="184"/>
      <c r="C120" s="184"/>
      <c r="D120" s="184"/>
      <c r="E120" s="184"/>
      <c r="F120" s="184"/>
      <c r="G120" s="184"/>
      <c r="H120" s="184"/>
      <c r="I120" s="184"/>
    </row>
    <row r="121" spans="1:9" ht="30" customHeight="1">
      <c r="A121" s="184" t="s">
        <v>21</v>
      </c>
      <c r="B121" s="184"/>
      <c r="C121" s="184"/>
      <c r="D121" s="184"/>
      <c r="E121" s="184"/>
      <c r="F121" s="184"/>
      <c r="G121" s="184"/>
      <c r="H121" s="184"/>
      <c r="I121" s="184"/>
    </row>
    <row r="122" spans="1:9" ht="15.75">
      <c r="A122" s="184" t="s">
        <v>20</v>
      </c>
      <c r="B122" s="184"/>
      <c r="C122" s="184"/>
      <c r="D122" s="184"/>
      <c r="E122" s="184"/>
      <c r="F122" s="184"/>
      <c r="G122" s="184"/>
      <c r="H122" s="184"/>
      <c r="I122" s="184"/>
    </row>
  </sheetData>
  <autoFilter ref="I12:I61"/>
  <mergeCells count="29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8:I28"/>
    <mergeCell ref="A45:I45"/>
    <mergeCell ref="A56:I56"/>
    <mergeCell ref="A88:I88"/>
    <mergeCell ref="A102:I102"/>
    <mergeCell ref="B103:G103"/>
    <mergeCell ref="B104:G104"/>
    <mergeCell ref="A106:I106"/>
    <mergeCell ref="A107:I107"/>
    <mergeCell ref="R66:U66"/>
    <mergeCell ref="A84:I84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7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opLeftCell="A80" workbookViewId="0">
      <selection activeCell="J97" sqref="J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187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66" t="s">
        <v>180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135</v>
      </c>
      <c r="B4" s="167"/>
      <c r="C4" s="167"/>
      <c r="D4" s="167"/>
      <c r="E4" s="167"/>
      <c r="F4" s="167"/>
      <c r="G4" s="167"/>
      <c r="H4" s="167"/>
      <c r="I4" s="167"/>
    </row>
    <row r="5" spans="1:13" ht="15.75" customHeight="1">
      <c r="A5" s="166" t="s">
        <v>287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44104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219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183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1" t="s">
        <v>60</v>
      </c>
      <c r="B14" s="171"/>
      <c r="C14" s="171"/>
      <c r="D14" s="171"/>
      <c r="E14" s="171"/>
      <c r="F14" s="171"/>
      <c r="G14" s="171"/>
      <c r="H14" s="171"/>
      <c r="I14" s="171"/>
      <c r="J14" s="8"/>
      <c r="K14" s="8"/>
      <c r="L14" s="8"/>
      <c r="M14" s="8"/>
    </row>
    <row r="15" spans="1:13" ht="15.7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15" customHeight="1">
      <c r="A16" s="29">
        <v>1</v>
      </c>
      <c r="B16" s="120" t="s">
        <v>86</v>
      </c>
      <c r="C16" s="121" t="s">
        <v>106</v>
      </c>
      <c r="D16" s="120" t="s">
        <v>206</v>
      </c>
      <c r="E16" s="122">
        <v>59.96</v>
      </c>
      <c r="F16" s="123">
        <f>SUM(E16*156/100)</f>
        <v>93.537599999999998</v>
      </c>
      <c r="G16" s="123">
        <v>251.39</v>
      </c>
      <c r="H16" s="71">
        <f t="shared" ref="H16:H25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20" t="s">
        <v>92</v>
      </c>
      <c r="C17" s="121" t="s">
        <v>106</v>
      </c>
      <c r="D17" s="120" t="s">
        <v>207</v>
      </c>
      <c r="E17" s="122">
        <v>239.84</v>
      </c>
      <c r="F17" s="123">
        <f>SUM(E17*104/100)</f>
        <v>249.43360000000001</v>
      </c>
      <c r="G17" s="123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20" t="s">
        <v>93</v>
      </c>
      <c r="C18" s="121" t="s">
        <v>106</v>
      </c>
      <c r="D18" s="120" t="s">
        <v>220</v>
      </c>
      <c r="E18" s="122">
        <f>SUM(E16+E17)</f>
        <v>299.8</v>
      </c>
      <c r="F18" s="123">
        <f>SUM(E18*18/100)</f>
        <v>53.964000000000006</v>
      </c>
      <c r="G18" s="123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customHeight="1">
      <c r="A19" s="29">
        <v>4</v>
      </c>
      <c r="B19" s="120" t="s">
        <v>97</v>
      </c>
      <c r="C19" s="121" t="s">
        <v>106</v>
      </c>
      <c r="D19" s="120" t="s">
        <v>214</v>
      </c>
      <c r="E19" s="122">
        <v>43.2</v>
      </c>
      <c r="F19" s="123">
        <f>SUM(E19*12/100)</f>
        <v>5.1840000000000011</v>
      </c>
      <c r="G19" s="123">
        <v>312.35000000000002</v>
      </c>
      <c r="H19" s="71">
        <f t="shared" si="0"/>
        <v>1.6192224000000004</v>
      </c>
      <c r="I19" s="13">
        <f>G19*F19/12</f>
        <v>134.93520000000004</v>
      </c>
      <c r="J19" s="22"/>
      <c r="K19" s="8"/>
      <c r="L19" s="8"/>
      <c r="M19" s="8"/>
    </row>
    <row r="20" spans="1:13" ht="15" customHeight="1">
      <c r="A20" s="29">
        <v>5</v>
      </c>
      <c r="B20" s="120" t="s">
        <v>98</v>
      </c>
      <c r="C20" s="121" t="s">
        <v>106</v>
      </c>
      <c r="D20" s="120" t="s">
        <v>213</v>
      </c>
      <c r="E20" s="122">
        <v>10.08</v>
      </c>
      <c r="F20" s="123">
        <f>E20*12/100</f>
        <v>1.2096</v>
      </c>
      <c r="G20" s="123">
        <v>309.81</v>
      </c>
      <c r="H20" s="71">
        <f>SUM(F20*G20)/1000</f>
        <v>0.37474617599999999</v>
      </c>
      <c r="I20" s="13">
        <f>G20*F20/12</f>
        <v>31.228847999999999</v>
      </c>
      <c r="J20" s="22"/>
      <c r="K20" s="8"/>
      <c r="L20" s="8"/>
      <c r="M20" s="8"/>
    </row>
    <row r="21" spans="1:13" ht="15" hidden="1" customHeight="1">
      <c r="A21" s="29"/>
      <c r="B21" s="120" t="s">
        <v>110</v>
      </c>
      <c r="C21" s="121" t="s">
        <v>54</v>
      </c>
      <c r="D21" s="120" t="s">
        <v>109</v>
      </c>
      <c r="E21" s="122">
        <v>403.84</v>
      </c>
      <c r="F21" s="123">
        <f>SUM(E21/100)</f>
        <v>4.0383999999999993</v>
      </c>
      <c r="G21" s="123">
        <v>386</v>
      </c>
      <c r="H21" s="71">
        <f t="shared" si="0"/>
        <v>1.5588223999999997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120" t="s">
        <v>111</v>
      </c>
      <c r="C22" s="121" t="s">
        <v>54</v>
      </c>
      <c r="D22" s="120" t="s">
        <v>109</v>
      </c>
      <c r="E22" s="124">
        <v>70.56</v>
      </c>
      <c r="F22" s="123">
        <f>SUM(E22/100)</f>
        <v>0.7056</v>
      </c>
      <c r="G22" s="123">
        <v>63.49</v>
      </c>
      <c r="H22" s="71">
        <f t="shared" si="0"/>
        <v>4.4798544000000003E-2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20" t="s">
        <v>100</v>
      </c>
      <c r="C23" s="121" t="s">
        <v>54</v>
      </c>
      <c r="D23" s="120" t="s">
        <v>109</v>
      </c>
      <c r="E23" s="17">
        <v>14.4</v>
      </c>
      <c r="F23" s="125">
        <v>0.14000000000000001</v>
      </c>
      <c r="G23" s="123">
        <v>558.66999999999996</v>
      </c>
      <c r="H23" s="71">
        <f>F23*G23/1000</f>
        <v>7.82138E-2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20" t="s">
        <v>112</v>
      </c>
      <c r="C24" s="121" t="s">
        <v>54</v>
      </c>
      <c r="D24" s="120" t="s">
        <v>109</v>
      </c>
      <c r="E24" s="124">
        <v>31.5</v>
      </c>
      <c r="F24" s="123">
        <v>0.32</v>
      </c>
      <c r="G24" s="123">
        <v>309.81</v>
      </c>
      <c r="H24" s="71">
        <f>F24*G24/1000</f>
        <v>9.9139199999999997E-2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20" t="s">
        <v>101</v>
      </c>
      <c r="C25" s="121" t="s">
        <v>54</v>
      </c>
      <c r="D25" s="120" t="s">
        <v>109</v>
      </c>
      <c r="E25" s="122">
        <v>28.22</v>
      </c>
      <c r="F25" s="123">
        <f>SUM(E25/100)</f>
        <v>0.28220000000000001</v>
      </c>
      <c r="G25" s="123">
        <v>746.6</v>
      </c>
      <c r="H25" s="71">
        <f t="shared" si="0"/>
        <v>0.21069052000000002</v>
      </c>
      <c r="I25" s="13">
        <v>0</v>
      </c>
      <c r="J25" s="22"/>
      <c r="K25" s="8"/>
      <c r="L25" s="8"/>
      <c r="M25" s="8"/>
    </row>
    <row r="26" spans="1:13" ht="15" customHeight="1">
      <c r="A26" s="29">
        <v>6</v>
      </c>
      <c r="B26" s="120" t="s">
        <v>195</v>
      </c>
      <c r="C26" s="121" t="s">
        <v>33</v>
      </c>
      <c r="D26" s="120" t="s">
        <v>209</v>
      </c>
      <c r="E26" s="126">
        <v>0.15</v>
      </c>
      <c r="F26" s="123">
        <f>E26*258</f>
        <v>38.699999999999996</v>
      </c>
      <c r="G26" s="123">
        <v>370.77</v>
      </c>
      <c r="H26" s="71">
        <f>SUM(F26*G26/1000)</f>
        <v>14.348798999999998</v>
      </c>
      <c r="I26" s="13">
        <f>F26/12*G26</f>
        <v>1195.7332499999998</v>
      </c>
      <c r="J26" s="23"/>
    </row>
    <row r="27" spans="1:13" ht="15.75" customHeight="1">
      <c r="A27" s="173" t="s">
        <v>85</v>
      </c>
      <c r="B27" s="173"/>
      <c r="C27" s="173"/>
      <c r="D27" s="173"/>
      <c r="E27" s="173"/>
      <c r="F27" s="173"/>
      <c r="G27" s="173"/>
      <c r="H27" s="173"/>
      <c r="I27" s="173"/>
      <c r="J27" s="22"/>
      <c r="K27" s="8"/>
      <c r="L27" s="8"/>
      <c r="M27" s="8"/>
    </row>
    <row r="28" spans="1:13" ht="15" customHeight="1">
      <c r="A28" s="29"/>
      <c r="B28" s="87" t="s">
        <v>28</v>
      </c>
      <c r="C28" s="68"/>
      <c r="D28" s="67"/>
      <c r="E28" s="69"/>
      <c r="F28" s="70"/>
      <c r="G28" s="70"/>
      <c r="H28" s="71"/>
      <c r="I28" s="13"/>
      <c r="J28" s="22"/>
      <c r="K28" s="8"/>
      <c r="L28" s="8"/>
      <c r="M28" s="8"/>
    </row>
    <row r="29" spans="1:13" ht="15" customHeight="1">
      <c r="A29" s="29">
        <v>7</v>
      </c>
      <c r="B29" s="120" t="s">
        <v>113</v>
      </c>
      <c r="C29" s="121" t="s">
        <v>114</v>
      </c>
      <c r="D29" s="120" t="s">
        <v>211</v>
      </c>
      <c r="E29" s="123">
        <v>425</v>
      </c>
      <c r="F29" s="123">
        <f>SUM(E29*24/1000)</f>
        <v>10.199999999999999</v>
      </c>
      <c r="G29" s="123">
        <v>223.46</v>
      </c>
      <c r="H29" s="71">
        <f t="shared" ref="H29:H31" si="1">SUM(F29*G29/1000)</f>
        <v>2.2792919999999999</v>
      </c>
      <c r="I29" s="13">
        <f>F29/6*G29</f>
        <v>379.88200000000001</v>
      </c>
      <c r="J29" s="22"/>
      <c r="K29" s="8"/>
      <c r="L29" s="8"/>
      <c r="M29" s="8"/>
    </row>
    <row r="30" spans="1:13" ht="31.5" customHeight="1">
      <c r="A30" s="29">
        <v>8</v>
      </c>
      <c r="B30" s="120" t="s">
        <v>169</v>
      </c>
      <c r="C30" s="121" t="s">
        <v>114</v>
      </c>
      <c r="D30" s="120" t="s">
        <v>207</v>
      </c>
      <c r="E30" s="123">
        <v>68</v>
      </c>
      <c r="F30" s="123">
        <f>SUM(E30*52/1000)</f>
        <v>3.536</v>
      </c>
      <c r="G30" s="123">
        <v>370.77</v>
      </c>
      <c r="H30" s="71">
        <f t="shared" si="1"/>
        <v>1.3110427199999999</v>
      </c>
      <c r="I30" s="13">
        <f t="shared" ref="I30:I32" si="2">F30/6*G30</f>
        <v>218.50712000000001</v>
      </c>
      <c r="J30" s="22"/>
      <c r="K30" s="8"/>
      <c r="L30" s="8"/>
      <c r="M30" s="8"/>
    </row>
    <row r="31" spans="1:13" ht="15" hidden="1" customHeight="1">
      <c r="A31" s="29">
        <v>16</v>
      </c>
      <c r="B31" s="120" t="s">
        <v>27</v>
      </c>
      <c r="C31" s="121" t="s">
        <v>114</v>
      </c>
      <c r="D31" s="120" t="s">
        <v>55</v>
      </c>
      <c r="E31" s="123">
        <v>425</v>
      </c>
      <c r="F31" s="123">
        <f>SUM(E31/1000)</f>
        <v>0.42499999999999999</v>
      </c>
      <c r="G31" s="123">
        <v>4329.78</v>
      </c>
      <c r="H31" s="71">
        <f t="shared" si="1"/>
        <v>1.8401564999999998</v>
      </c>
      <c r="I31" s="13">
        <f>F31*G31</f>
        <v>1840.1564999999998</v>
      </c>
      <c r="J31" s="22"/>
      <c r="K31" s="8"/>
      <c r="L31" s="8"/>
      <c r="M31" s="8"/>
    </row>
    <row r="32" spans="1:13" ht="15" customHeight="1">
      <c r="A32" s="29">
        <v>9</v>
      </c>
      <c r="B32" s="120" t="s">
        <v>147</v>
      </c>
      <c r="C32" s="121" t="s">
        <v>41</v>
      </c>
      <c r="D32" s="120" t="s">
        <v>206</v>
      </c>
      <c r="E32" s="123">
        <v>4</v>
      </c>
      <c r="F32" s="123">
        <f>E32*72/100</f>
        <v>2.88</v>
      </c>
      <c r="G32" s="123">
        <v>1866.51</v>
      </c>
      <c r="H32" s="71">
        <v>8.0730000000000004</v>
      </c>
      <c r="I32" s="13">
        <f t="shared" si="2"/>
        <v>895.9248</v>
      </c>
      <c r="J32" s="22"/>
      <c r="K32" s="8"/>
      <c r="L32" s="8"/>
      <c r="M32" s="8"/>
    </row>
    <row r="33" spans="1:14" ht="15" hidden="1" customHeight="1">
      <c r="A33" s="29"/>
      <c r="B33" s="67" t="s">
        <v>65</v>
      </c>
      <c r="C33" s="68" t="s">
        <v>33</v>
      </c>
      <c r="D33" s="67" t="s">
        <v>67</v>
      </c>
      <c r="E33" s="69"/>
      <c r="F33" s="70">
        <v>3</v>
      </c>
      <c r="G33" s="70">
        <v>191.32</v>
      </c>
      <c r="H33" s="71">
        <f t="shared" ref="H33:H34" si="3">SUM(F33*G33/1000)</f>
        <v>0.57396000000000003</v>
      </c>
      <c r="I33" s="13">
        <v>0</v>
      </c>
      <c r="J33" s="23"/>
    </row>
    <row r="34" spans="1:14" ht="15" hidden="1" customHeight="1">
      <c r="A34" s="29"/>
      <c r="B34" s="67" t="s">
        <v>66</v>
      </c>
      <c r="C34" s="68" t="s">
        <v>32</v>
      </c>
      <c r="D34" s="67" t="s">
        <v>67</v>
      </c>
      <c r="E34" s="69"/>
      <c r="F34" s="70">
        <v>2</v>
      </c>
      <c r="G34" s="70">
        <v>1136.32</v>
      </c>
      <c r="H34" s="71">
        <f t="shared" si="3"/>
        <v>2.27264</v>
      </c>
      <c r="I34" s="13">
        <v>0</v>
      </c>
      <c r="J34" s="23"/>
    </row>
    <row r="35" spans="1:14" ht="15" hidden="1" customHeight="1">
      <c r="A35" s="29"/>
      <c r="B35" s="87" t="s">
        <v>5</v>
      </c>
      <c r="C35" s="68"/>
      <c r="D35" s="67"/>
      <c r="E35" s="69"/>
      <c r="F35" s="70"/>
      <c r="G35" s="70"/>
      <c r="H35" s="71" t="s">
        <v>132</v>
      </c>
      <c r="I35" s="13"/>
      <c r="J35" s="23"/>
    </row>
    <row r="36" spans="1:14" ht="15" hidden="1" customHeight="1">
      <c r="A36" s="29">
        <v>6</v>
      </c>
      <c r="B36" s="67" t="s">
        <v>26</v>
      </c>
      <c r="C36" s="68" t="s">
        <v>32</v>
      </c>
      <c r="D36" s="67"/>
      <c r="E36" s="69"/>
      <c r="F36" s="70">
        <v>6</v>
      </c>
      <c r="G36" s="70">
        <v>1527.22</v>
      </c>
      <c r="H36" s="71">
        <f t="shared" ref="H36:H43" si="4">SUM(F36*G36/1000)</f>
        <v>9.1633200000000006</v>
      </c>
      <c r="I36" s="13">
        <f>F36/6*G36</f>
        <v>1527.22</v>
      </c>
      <c r="J36" s="23"/>
    </row>
    <row r="37" spans="1:14" ht="15" hidden="1" customHeight="1">
      <c r="A37" s="29">
        <v>7</v>
      </c>
      <c r="B37" s="67" t="s">
        <v>104</v>
      </c>
      <c r="C37" s="68" t="s">
        <v>29</v>
      </c>
      <c r="D37" s="67" t="s">
        <v>136</v>
      </c>
      <c r="E37" s="70">
        <v>429.8</v>
      </c>
      <c r="F37" s="70">
        <f>SUM(E37*12/1000)</f>
        <v>5.1576000000000004</v>
      </c>
      <c r="G37" s="70">
        <v>2102.71</v>
      </c>
      <c r="H37" s="71">
        <f t="shared" si="4"/>
        <v>10.844937096000001</v>
      </c>
      <c r="I37" s="13">
        <f>F37/6*G37</f>
        <v>1807.4895160000001</v>
      </c>
      <c r="J37" s="23"/>
      <c r="L37" s="19"/>
      <c r="M37" s="20"/>
      <c r="N37" s="21"/>
    </row>
    <row r="38" spans="1:14" ht="15" hidden="1" customHeight="1">
      <c r="A38" s="29">
        <v>8</v>
      </c>
      <c r="B38" s="67" t="s">
        <v>137</v>
      </c>
      <c r="C38" s="68" t="s">
        <v>29</v>
      </c>
      <c r="D38" s="67" t="s">
        <v>118</v>
      </c>
      <c r="E38" s="70">
        <v>68</v>
      </c>
      <c r="F38" s="70">
        <f>SUM(E38*30/1000)</f>
        <v>2.04</v>
      </c>
      <c r="G38" s="70">
        <v>2102.71</v>
      </c>
      <c r="H38" s="71">
        <f>SUM(F38*G38/1000)</f>
        <v>4.2895284</v>
      </c>
      <c r="I38" s="13">
        <f>F38/6*G38</f>
        <v>714.92140000000006</v>
      </c>
      <c r="J38" s="23"/>
      <c r="L38" s="19"/>
      <c r="M38" s="20"/>
      <c r="N38" s="21"/>
    </row>
    <row r="39" spans="1:14" ht="15" hidden="1" customHeight="1">
      <c r="A39" s="29"/>
      <c r="B39" s="67" t="s">
        <v>94</v>
      </c>
      <c r="C39" s="68" t="s">
        <v>119</v>
      </c>
      <c r="D39" s="67" t="s">
        <v>149</v>
      </c>
      <c r="E39" s="69"/>
      <c r="F39" s="70">
        <v>50</v>
      </c>
      <c r="G39" s="70">
        <v>199.44</v>
      </c>
      <c r="H39" s="71">
        <f>SUM(F39*G39/1000)</f>
        <v>9.9719999999999995</v>
      </c>
      <c r="I39" s="13">
        <v>0</v>
      </c>
      <c r="J39" s="23"/>
      <c r="L39" s="19"/>
      <c r="M39" s="20"/>
      <c r="N39" s="21"/>
    </row>
    <row r="40" spans="1:14" ht="15" hidden="1" customHeight="1">
      <c r="A40" s="29">
        <v>9</v>
      </c>
      <c r="B40" s="67" t="s">
        <v>68</v>
      </c>
      <c r="C40" s="68" t="s">
        <v>29</v>
      </c>
      <c r="D40" s="67" t="s">
        <v>120</v>
      </c>
      <c r="E40" s="70">
        <v>68</v>
      </c>
      <c r="F40" s="70">
        <f>SUM(E40*155/1000)</f>
        <v>10.54</v>
      </c>
      <c r="G40" s="70">
        <v>350.75</v>
      </c>
      <c r="H40" s="71">
        <f t="shared" si="4"/>
        <v>3.6969049999999997</v>
      </c>
      <c r="I40" s="13">
        <f>F40/6*G40</f>
        <v>616.15083333333325</v>
      </c>
      <c r="J40" s="23"/>
      <c r="L40" s="19"/>
      <c r="M40" s="20"/>
      <c r="N40" s="21"/>
    </row>
    <row r="41" spans="1:14" ht="47.25" hidden="1" customHeight="1">
      <c r="A41" s="29">
        <v>10</v>
      </c>
      <c r="B41" s="67" t="s">
        <v>83</v>
      </c>
      <c r="C41" s="68" t="s">
        <v>114</v>
      </c>
      <c r="D41" s="67" t="s">
        <v>138</v>
      </c>
      <c r="E41" s="70">
        <v>68</v>
      </c>
      <c r="F41" s="70">
        <f>SUM(E41*24/1000)</f>
        <v>1.6319999999999999</v>
      </c>
      <c r="G41" s="70">
        <v>5803.28</v>
      </c>
      <c r="H41" s="71">
        <f t="shared" si="4"/>
        <v>9.4709529599999982</v>
      </c>
      <c r="I41" s="13">
        <f>F41/6*G41</f>
        <v>1578.4921599999998</v>
      </c>
      <c r="J41" s="23"/>
      <c r="L41" s="19"/>
      <c r="M41" s="20"/>
      <c r="N41" s="21"/>
    </row>
    <row r="42" spans="1:14" ht="15" hidden="1" customHeight="1">
      <c r="A42" s="29">
        <v>11</v>
      </c>
      <c r="B42" s="67" t="s">
        <v>121</v>
      </c>
      <c r="C42" s="68" t="s">
        <v>114</v>
      </c>
      <c r="D42" s="67" t="s">
        <v>69</v>
      </c>
      <c r="E42" s="70">
        <v>68</v>
      </c>
      <c r="F42" s="70">
        <f>SUM(E42*45/1000)</f>
        <v>3.06</v>
      </c>
      <c r="G42" s="70">
        <v>428.7</v>
      </c>
      <c r="H42" s="71">
        <f t="shared" si="4"/>
        <v>1.3118219999999998</v>
      </c>
      <c r="I42" s="13">
        <f>F42/6*G42</f>
        <v>218.637</v>
      </c>
      <c r="J42" s="23"/>
      <c r="L42" s="19"/>
      <c r="M42" s="20"/>
      <c r="N42" s="21"/>
    </row>
    <row r="43" spans="1:14" ht="15" hidden="1" customHeight="1">
      <c r="A43" s="29">
        <v>12</v>
      </c>
      <c r="B43" s="67" t="s">
        <v>70</v>
      </c>
      <c r="C43" s="68" t="s">
        <v>33</v>
      </c>
      <c r="D43" s="67"/>
      <c r="E43" s="69"/>
      <c r="F43" s="70">
        <v>0.9</v>
      </c>
      <c r="G43" s="70">
        <v>798</v>
      </c>
      <c r="H43" s="71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74" t="s">
        <v>143</v>
      </c>
      <c r="B44" s="175"/>
      <c r="C44" s="175"/>
      <c r="D44" s="175"/>
      <c r="E44" s="175"/>
      <c r="F44" s="175"/>
      <c r="G44" s="175"/>
      <c r="H44" s="175"/>
      <c r="I44" s="176"/>
      <c r="J44" s="23"/>
      <c r="L44" s="19"/>
      <c r="M44" s="20"/>
      <c r="N44" s="21"/>
    </row>
    <row r="45" spans="1:14" ht="15" customHeight="1">
      <c r="A45" s="29">
        <v>10</v>
      </c>
      <c r="B45" s="120" t="s">
        <v>139</v>
      </c>
      <c r="C45" s="121" t="s">
        <v>114</v>
      </c>
      <c r="D45" s="120" t="s">
        <v>213</v>
      </c>
      <c r="E45" s="122">
        <v>1061.3</v>
      </c>
      <c r="F45" s="123">
        <f>SUM(E45*2/1000)</f>
        <v>2.1225999999999998</v>
      </c>
      <c r="G45" s="34">
        <v>1160.81</v>
      </c>
      <c r="H45" s="71">
        <f t="shared" ref="H45:H54" si="5">SUM(F45*G45/1000)</f>
        <v>2.4639353059999998</v>
      </c>
      <c r="I45" s="13">
        <f t="shared" ref="I45:I48" si="6">F45/2*G45</f>
        <v>1231.9676529999999</v>
      </c>
      <c r="J45" s="23"/>
      <c r="L45" s="19"/>
      <c r="M45" s="20"/>
      <c r="N45" s="21"/>
    </row>
    <row r="46" spans="1:14" ht="15" customHeight="1">
      <c r="A46" s="29">
        <v>11</v>
      </c>
      <c r="B46" s="120" t="s">
        <v>36</v>
      </c>
      <c r="C46" s="121" t="s">
        <v>114</v>
      </c>
      <c r="D46" s="120" t="s">
        <v>213</v>
      </c>
      <c r="E46" s="122">
        <v>52</v>
      </c>
      <c r="F46" s="123">
        <f>SUM(E46*2/1000)</f>
        <v>0.104</v>
      </c>
      <c r="G46" s="34">
        <v>830.69</v>
      </c>
      <c r="H46" s="71">
        <f t="shared" si="5"/>
        <v>8.6391760000000012E-2</v>
      </c>
      <c r="I46" s="13">
        <f t="shared" si="6"/>
        <v>43.195880000000002</v>
      </c>
      <c r="J46" s="23"/>
      <c r="L46" s="19"/>
      <c r="M46" s="20"/>
      <c r="N46" s="21"/>
    </row>
    <row r="47" spans="1:14" ht="15" customHeight="1">
      <c r="A47" s="29">
        <v>12</v>
      </c>
      <c r="B47" s="120" t="s">
        <v>37</v>
      </c>
      <c r="C47" s="121" t="s">
        <v>114</v>
      </c>
      <c r="D47" s="120" t="s">
        <v>213</v>
      </c>
      <c r="E47" s="122">
        <v>1238.8</v>
      </c>
      <c r="F47" s="123">
        <f>SUM(E47*2/1000)</f>
        <v>2.4775999999999998</v>
      </c>
      <c r="G47" s="34">
        <v>830.69</v>
      </c>
      <c r="H47" s="71">
        <f t="shared" si="5"/>
        <v>2.0581175440000004</v>
      </c>
      <c r="I47" s="13">
        <f t="shared" si="6"/>
        <v>1029.0587720000001</v>
      </c>
      <c r="J47" s="23"/>
      <c r="L47" s="19"/>
      <c r="M47" s="20"/>
      <c r="N47" s="21"/>
    </row>
    <row r="48" spans="1:14" ht="15" customHeight="1">
      <c r="A48" s="29">
        <v>13</v>
      </c>
      <c r="B48" s="120" t="s">
        <v>38</v>
      </c>
      <c r="C48" s="121" t="s">
        <v>114</v>
      </c>
      <c r="D48" s="120" t="s">
        <v>213</v>
      </c>
      <c r="E48" s="122">
        <v>1794.01</v>
      </c>
      <c r="F48" s="123">
        <f>SUM(E48*2/1000)</f>
        <v>3.5880199999999998</v>
      </c>
      <c r="G48" s="34">
        <v>869.86</v>
      </c>
      <c r="H48" s="71">
        <f t="shared" si="5"/>
        <v>3.1210750771999995</v>
      </c>
      <c r="I48" s="13">
        <f t="shared" si="6"/>
        <v>1560.5375385999998</v>
      </c>
      <c r="J48" s="23"/>
      <c r="L48" s="19"/>
      <c r="M48" s="20"/>
      <c r="N48" s="21"/>
    </row>
    <row r="49" spans="1:22" ht="15" customHeight="1">
      <c r="A49" s="29">
        <v>14</v>
      </c>
      <c r="B49" s="120" t="s">
        <v>34</v>
      </c>
      <c r="C49" s="121" t="s">
        <v>35</v>
      </c>
      <c r="D49" s="120" t="s">
        <v>213</v>
      </c>
      <c r="E49" s="122">
        <v>85.78</v>
      </c>
      <c r="F49" s="123">
        <f>SUM(E49*2/100)</f>
        <v>1.7156</v>
      </c>
      <c r="G49" s="34">
        <v>104.38</v>
      </c>
      <c r="H49" s="71">
        <f t="shared" si="5"/>
        <v>0.17907432799999998</v>
      </c>
      <c r="I49" s="13">
        <f>F49/2*G49</f>
        <v>89.53716399999999</v>
      </c>
      <c r="J49" s="23"/>
      <c r="L49" s="19"/>
      <c r="M49" s="20"/>
      <c r="N49" s="21"/>
    </row>
    <row r="50" spans="1:22" ht="15" customHeight="1">
      <c r="A50" s="29">
        <v>15</v>
      </c>
      <c r="B50" s="120" t="s">
        <v>57</v>
      </c>
      <c r="C50" s="121" t="s">
        <v>114</v>
      </c>
      <c r="D50" s="120" t="s">
        <v>213</v>
      </c>
      <c r="E50" s="122">
        <v>884</v>
      </c>
      <c r="F50" s="123">
        <f>SUM(E50*5/1000)</f>
        <v>4.42</v>
      </c>
      <c r="G50" s="34">
        <v>1739.68</v>
      </c>
      <c r="H50" s="71">
        <f t="shared" si="5"/>
        <v>7.6893856000000005</v>
      </c>
      <c r="I50" s="13">
        <f>F50/5*G50</f>
        <v>1537.8771200000001</v>
      </c>
      <c r="J50" s="23"/>
      <c r="L50" s="19"/>
      <c r="M50" s="20"/>
      <c r="N50" s="21"/>
    </row>
    <row r="51" spans="1:22" ht="31.5" customHeight="1">
      <c r="A51" s="29">
        <v>16</v>
      </c>
      <c r="B51" s="120" t="s">
        <v>122</v>
      </c>
      <c r="C51" s="121" t="s">
        <v>114</v>
      </c>
      <c r="D51" s="120" t="s">
        <v>213</v>
      </c>
      <c r="E51" s="122">
        <v>884</v>
      </c>
      <c r="F51" s="123">
        <f>SUM(E51*2/1000)</f>
        <v>1.768</v>
      </c>
      <c r="G51" s="34">
        <v>1739.68</v>
      </c>
      <c r="H51" s="71">
        <f t="shared" si="5"/>
        <v>3.0757542400000002</v>
      </c>
      <c r="I51" s="13">
        <f>G51*F51/2</f>
        <v>1537.8771200000001</v>
      </c>
      <c r="J51" s="23"/>
      <c r="L51" s="19"/>
      <c r="M51" s="20"/>
      <c r="N51" s="21"/>
    </row>
    <row r="52" spans="1:22" ht="31.5" customHeight="1">
      <c r="A52" s="29">
        <v>17</v>
      </c>
      <c r="B52" s="120" t="s">
        <v>123</v>
      </c>
      <c r="C52" s="121" t="s">
        <v>39</v>
      </c>
      <c r="D52" s="120" t="s">
        <v>213</v>
      </c>
      <c r="E52" s="122">
        <v>20</v>
      </c>
      <c r="F52" s="123">
        <f>SUM(E52*2/100)</f>
        <v>0.4</v>
      </c>
      <c r="G52" s="34">
        <v>3914.31</v>
      </c>
      <c r="H52" s="71">
        <f t="shared" si="5"/>
        <v>1.5657240000000001</v>
      </c>
      <c r="I52" s="13">
        <f>G52*F52/2</f>
        <v>782.86200000000008</v>
      </c>
      <c r="J52" s="23"/>
      <c r="L52" s="19"/>
      <c r="M52" s="20"/>
      <c r="N52" s="21"/>
    </row>
    <row r="53" spans="1:22" ht="15" customHeight="1">
      <c r="A53" s="29">
        <v>18</v>
      </c>
      <c r="B53" s="120" t="s">
        <v>40</v>
      </c>
      <c r="C53" s="121" t="s">
        <v>41</v>
      </c>
      <c r="D53" s="120" t="s">
        <v>213</v>
      </c>
      <c r="E53" s="122">
        <v>1</v>
      </c>
      <c r="F53" s="123">
        <v>0.02</v>
      </c>
      <c r="G53" s="34">
        <v>8102.62</v>
      </c>
      <c r="H53" s="71">
        <f t="shared" si="5"/>
        <v>0.16205240000000001</v>
      </c>
      <c r="I53" s="13">
        <f>G53*F53/2</f>
        <v>81.026200000000003</v>
      </c>
      <c r="J53" s="23"/>
      <c r="L53" s="19"/>
      <c r="M53" s="20"/>
      <c r="N53" s="21"/>
    </row>
    <row r="54" spans="1:22" ht="15" hidden="1" customHeight="1">
      <c r="A54" s="29">
        <v>14</v>
      </c>
      <c r="B54" s="67" t="s">
        <v>42</v>
      </c>
      <c r="C54" s="68" t="s">
        <v>30</v>
      </c>
      <c r="D54" s="67" t="s">
        <v>71</v>
      </c>
      <c r="E54" s="69">
        <v>136</v>
      </c>
      <c r="F54" s="70">
        <f>SUM(E54)*3</f>
        <v>408</v>
      </c>
      <c r="G54" s="13">
        <v>65.67</v>
      </c>
      <c r="H54" s="71">
        <f t="shared" si="5"/>
        <v>26.79336</v>
      </c>
      <c r="I54" s="13">
        <f>E54*G54</f>
        <v>8931.1200000000008</v>
      </c>
      <c r="J54" s="23"/>
      <c r="L54" s="19"/>
      <c r="M54" s="20"/>
      <c r="N54" s="21"/>
    </row>
    <row r="55" spans="1:22" ht="15.75" customHeight="1">
      <c r="A55" s="174" t="s">
        <v>144</v>
      </c>
      <c r="B55" s="175"/>
      <c r="C55" s="175"/>
      <c r="D55" s="175"/>
      <c r="E55" s="175"/>
      <c r="F55" s="175"/>
      <c r="G55" s="175"/>
      <c r="H55" s="175"/>
      <c r="I55" s="176"/>
      <c r="J55" s="23"/>
      <c r="L55" s="19"/>
      <c r="M55" s="20"/>
      <c r="N55" s="21"/>
    </row>
    <row r="56" spans="1:22" ht="15" hidden="1" customHeight="1">
      <c r="A56" s="29"/>
      <c r="B56" s="87" t="s">
        <v>44</v>
      </c>
      <c r="C56" s="68"/>
      <c r="D56" s="67"/>
      <c r="E56" s="69"/>
      <c r="F56" s="70"/>
      <c r="G56" s="70"/>
      <c r="H56" s="71"/>
      <c r="I56" s="13"/>
      <c r="J56" s="23"/>
      <c r="L56" s="19"/>
      <c r="M56" s="20"/>
      <c r="N56" s="21"/>
    </row>
    <row r="57" spans="1:22" ht="31.5" hidden="1" customHeight="1">
      <c r="A57" s="29">
        <v>15</v>
      </c>
      <c r="B57" s="67" t="s">
        <v>125</v>
      </c>
      <c r="C57" s="68" t="s">
        <v>99</v>
      </c>
      <c r="D57" s="67" t="s">
        <v>72</v>
      </c>
      <c r="E57" s="69">
        <v>106.13</v>
      </c>
      <c r="F57" s="70">
        <f>E57*6/100</f>
        <v>6.3677999999999999</v>
      </c>
      <c r="G57" s="76">
        <v>1547.28</v>
      </c>
      <c r="H57" s="71">
        <f>F57*G57/1000</f>
        <v>9.8527695839999989</v>
      </c>
      <c r="I57" s="13">
        <f>F57/6*G57</f>
        <v>1642.1282639999999</v>
      </c>
      <c r="J57" s="23"/>
      <c r="L57" s="19"/>
    </row>
    <row r="58" spans="1:22" ht="15" customHeight="1">
      <c r="A58" s="29"/>
      <c r="B58" s="88" t="s">
        <v>45</v>
      </c>
      <c r="C58" s="77"/>
      <c r="D58" s="78"/>
      <c r="E58" s="79"/>
      <c r="F58" s="80"/>
      <c r="G58" s="81"/>
      <c r="H58" s="89"/>
      <c r="I58" s="13"/>
    </row>
    <row r="59" spans="1:22" ht="15" hidden="1" customHeight="1">
      <c r="A59" s="29"/>
      <c r="B59" s="78" t="s">
        <v>46</v>
      </c>
      <c r="C59" s="77" t="s">
        <v>54</v>
      </c>
      <c r="D59" s="78" t="s">
        <v>55</v>
      </c>
      <c r="E59" s="79">
        <v>884</v>
      </c>
      <c r="F59" s="80">
        <f>E59/100</f>
        <v>8.84</v>
      </c>
      <c r="G59" s="70">
        <v>793.61</v>
      </c>
      <c r="H59" s="89">
        <f>G59*F59/1000</f>
        <v>7.0155123999999995</v>
      </c>
      <c r="I59" s="13">
        <v>0</v>
      </c>
    </row>
    <row r="60" spans="1:22" ht="15" customHeight="1">
      <c r="A60" s="29">
        <v>19</v>
      </c>
      <c r="B60" s="78" t="s">
        <v>95</v>
      </c>
      <c r="C60" s="77" t="s">
        <v>25</v>
      </c>
      <c r="D60" s="78"/>
      <c r="E60" s="79">
        <v>176.8</v>
      </c>
      <c r="F60" s="80">
        <v>1200</v>
      </c>
      <c r="G60" s="70">
        <v>1.4</v>
      </c>
      <c r="H60" s="89">
        <f>G60*F60</f>
        <v>1680</v>
      </c>
      <c r="I60" s="13">
        <f>F60/12*G60</f>
        <v>140</v>
      </c>
    </row>
    <row r="61" spans="1:22" ht="15" customHeight="1">
      <c r="A61" s="29"/>
      <c r="B61" s="88" t="s">
        <v>47</v>
      </c>
      <c r="C61" s="77"/>
      <c r="D61" s="78"/>
      <c r="E61" s="79"/>
      <c r="F61" s="80"/>
      <c r="G61" s="70"/>
      <c r="H61" s="89" t="s">
        <v>132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8.75" customHeight="1">
      <c r="A62" s="29">
        <v>20</v>
      </c>
      <c r="B62" s="14" t="s">
        <v>48</v>
      </c>
      <c r="C62" s="16" t="s">
        <v>124</v>
      </c>
      <c r="D62" s="14" t="s">
        <v>213</v>
      </c>
      <c r="E62" s="18">
        <v>20</v>
      </c>
      <c r="F62" s="70">
        <v>20</v>
      </c>
      <c r="G62" s="112">
        <v>318.82</v>
      </c>
      <c r="H62" s="90">
        <f t="shared" ref="H62:H77" si="7">SUM(F62*G62/1000)</f>
        <v>6.3763999999999994</v>
      </c>
      <c r="I62" s="13">
        <f>G62*1</f>
        <v>318.82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3.5" hidden="1" customHeight="1">
      <c r="A63" s="29">
        <v>17</v>
      </c>
      <c r="B63" s="14" t="s">
        <v>49</v>
      </c>
      <c r="C63" s="16" t="s">
        <v>124</v>
      </c>
      <c r="D63" s="14" t="s">
        <v>67</v>
      </c>
      <c r="E63" s="14" t="s">
        <v>67</v>
      </c>
      <c r="F63" s="14" t="s">
        <v>67</v>
      </c>
      <c r="G63" s="13">
        <v>76.25</v>
      </c>
      <c r="H63" s="82" t="e">
        <f t="shared" si="7"/>
        <v>#VALUE!</v>
      </c>
      <c r="I63" s="13">
        <f>G63</f>
        <v>76.25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6.5" hidden="1" customHeight="1">
      <c r="A64" s="29"/>
      <c r="B64" s="14" t="s">
        <v>50</v>
      </c>
      <c r="C64" s="16" t="s">
        <v>126</v>
      </c>
      <c r="D64" s="14" t="s">
        <v>55</v>
      </c>
      <c r="E64" s="69">
        <v>12647</v>
      </c>
      <c r="F64" s="13">
        <f>SUM(E64/100)</f>
        <v>126.47</v>
      </c>
      <c r="G64" s="13">
        <v>212.15</v>
      </c>
      <c r="H64" s="82">
        <f t="shared" si="7"/>
        <v>26.830610499999999</v>
      </c>
      <c r="I64" s="13">
        <f>F64*G64</f>
        <v>26830.610499999999</v>
      </c>
      <c r="J64" s="5"/>
      <c r="K64" s="5"/>
      <c r="L64" s="5"/>
      <c r="M64" s="5"/>
      <c r="N64" s="5"/>
      <c r="O64" s="5"/>
      <c r="P64" s="5"/>
      <c r="Q64" s="5"/>
      <c r="R64" s="162"/>
      <c r="S64" s="162"/>
      <c r="T64" s="162"/>
      <c r="U64" s="162"/>
    </row>
    <row r="65" spans="1:9" ht="13.5" hidden="1" customHeight="1">
      <c r="A65" s="29"/>
      <c r="B65" s="14" t="s">
        <v>51</v>
      </c>
      <c r="C65" s="16" t="s">
        <v>127</v>
      </c>
      <c r="D65" s="14"/>
      <c r="E65" s="69">
        <v>12647</v>
      </c>
      <c r="F65" s="13">
        <f>SUM(E65/1000)</f>
        <v>12.647</v>
      </c>
      <c r="G65" s="13">
        <v>165.21</v>
      </c>
      <c r="H65" s="82">
        <f t="shared" si="7"/>
        <v>2.08941087</v>
      </c>
      <c r="I65" s="13">
        <f t="shared" ref="I65:I68" si="8">F65*G65</f>
        <v>2089.4108700000002</v>
      </c>
    </row>
    <row r="66" spans="1:9" ht="12.75" hidden="1" customHeight="1">
      <c r="A66" s="29"/>
      <c r="B66" s="14" t="s">
        <v>52</v>
      </c>
      <c r="C66" s="16" t="s">
        <v>78</v>
      </c>
      <c r="D66" s="14" t="s">
        <v>55</v>
      </c>
      <c r="E66" s="69">
        <v>1900</v>
      </c>
      <c r="F66" s="13">
        <f>SUM(E66/100)</f>
        <v>19</v>
      </c>
      <c r="G66" s="13">
        <v>2074.63</v>
      </c>
      <c r="H66" s="82">
        <f t="shared" si="7"/>
        <v>39.417970000000004</v>
      </c>
      <c r="I66" s="13">
        <f t="shared" si="8"/>
        <v>39417.97</v>
      </c>
    </row>
    <row r="67" spans="1:9" ht="12.75" hidden="1" customHeight="1">
      <c r="A67" s="29"/>
      <c r="B67" s="83" t="s">
        <v>128</v>
      </c>
      <c r="C67" s="16" t="s">
        <v>33</v>
      </c>
      <c r="D67" s="14"/>
      <c r="E67" s="69">
        <v>11.3</v>
      </c>
      <c r="F67" s="13">
        <f>SUM(E67)</f>
        <v>11.3</v>
      </c>
      <c r="G67" s="13">
        <v>42.67</v>
      </c>
      <c r="H67" s="82">
        <f t="shared" si="7"/>
        <v>0.48217100000000007</v>
      </c>
      <c r="I67" s="13">
        <f t="shared" si="8"/>
        <v>482.17100000000005</v>
      </c>
    </row>
    <row r="68" spans="1:9" ht="13.5" hidden="1" customHeight="1">
      <c r="A68" s="29"/>
      <c r="B68" s="83" t="s">
        <v>129</v>
      </c>
      <c r="C68" s="16" t="s">
        <v>33</v>
      </c>
      <c r="D68" s="14"/>
      <c r="E68" s="69">
        <v>11.3</v>
      </c>
      <c r="F68" s="13">
        <f>SUM(E68)</f>
        <v>11.3</v>
      </c>
      <c r="G68" s="13">
        <v>39.81</v>
      </c>
      <c r="H68" s="82">
        <f t="shared" si="7"/>
        <v>0.44985300000000006</v>
      </c>
      <c r="I68" s="13">
        <f t="shared" si="8"/>
        <v>449.85300000000007</v>
      </c>
    </row>
    <row r="69" spans="1:9" ht="15" customHeight="1">
      <c r="A69" s="29">
        <v>21</v>
      </c>
      <c r="B69" s="102" t="s">
        <v>58</v>
      </c>
      <c r="C69" s="110" t="s">
        <v>59</v>
      </c>
      <c r="D69" s="102" t="s">
        <v>55</v>
      </c>
      <c r="E69" s="17">
        <v>3</v>
      </c>
      <c r="F69" s="123">
        <f>SUM(E69)</f>
        <v>3</v>
      </c>
      <c r="G69" s="34">
        <v>71.510000000000005</v>
      </c>
      <c r="H69" s="82">
        <f t="shared" si="7"/>
        <v>0.21453000000000003</v>
      </c>
      <c r="I69" s="13">
        <f>G69*3</f>
        <v>214.53000000000003</v>
      </c>
    </row>
    <row r="70" spans="1:9" ht="15" hidden="1" customHeight="1">
      <c r="A70" s="29"/>
      <c r="B70" s="57" t="s">
        <v>73</v>
      </c>
      <c r="C70" s="16"/>
      <c r="D70" s="14"/>
      <c r="E70" s="18"/>
      <c r="F70" s="13"/>
      <c r="G70" s="13"/>
      <c r="H70" s="82" t="s">
        <v>132</v>
      </c>
      <c r="I70" s="13"/>
    </row>
    <row r="71" spans="1:9" ht="15" hidden="1" customHeight="1">
      <c r="A71" s="29"/>
      <c r="B71" s="14" t="s">
        <v>74</v>
      </c>
      <c r="C71" s="16" t="s">
        <v>31</v>
      </c>
      <c r="D71" s="14"/>
      <c r="E71" s="18">
        <v>5</v>
      </c>
      <c r="F71" s="61">
        <v>0.5</v>
      </c>
      <c r="G71" s="13">
        <v>501.62</v>
      </c>
      <c r="H71" s="82">
        <v>0.251</v>
      </c>
      <c r="I71" s="13">
        <v>0</v>
      </c>
    </row>
    <row r="72" spans="1:9" ht="15" hidden="1" customHeight="1">
      <c r="A72" s="29"/>
      <c r="B72" s="14" t="s">
        <v>140</v>
      </c>
      <c r="C72" s="16" t="s">
        <v>30</v>
      </c>
      <c r="D72" s="14"/>
      <c r="E72" s="18">
        <v>2</v>
      </c>
      <c r="F72" s="13">
        <v>2</v>
      </c>
      <c r="G72" s="13">
        <v>99.85</v>
      </c>
      <c r="H72" s="82">
        <v>0.1</v>
      </c>
      <c r="I72" s="13">
        <v>0</v>
      </c>
    </row>
    <row r="73" spans="1:9" ht="15" hidden="1" customHeight="1">
      <c r="A73" s="29"/>
      <c r="B73" s="14" t="s">
        <v>141</v>
      </c>
      <c r="C73" s="16" t="s">
        <v>30</v>
      </c>
      <c r="D73" s="14"/>
      <c r="E73" s="18">
        <v>1</v>
      </c>
      <c r="F73" s="61">
        <v>1</v>
      </c>
      <c r="G73" s="13">
        <v>120.26</v>
      </c>
      <c r="H73" s="82">
        <v>0.12</v>
      </c>
      <c r="I73" s="13">
        <v>0</v>
      </c>
    </row>
    <row r="74" spans="1:9" ht="15" hidden="1" customHeight="1">
      <c r="A74" s="29"/>
      <c r="B74" s="14" t="s">
        <v>87</v>
      </c>
      <c r="C74" s="16" t="s">
        <v>30</v>
      </c>
      <c r="D74" s="14"/>
      <c r="E74" s="18">
        <v>1</v>
      </c>
      <c r="F74" s="70">
        <f>SUM(E74)</f>
        <v>1</v>
      </c>
      <c r="G74" s="13">
        <v>358.51</v>
      </c>
      <c r="H74" s="82">
        <f t="shared" si="7"/>
        <v>0.35851</v>
      </c>
      <c r="I74" s="13">
        <v>0</v>
      </c>
    </row>
    <row r="75" spans="1:9" ht="15" hidden="1" customHeight="1">
      <c r="A75" s="29"/>
      <c r="B75" s="14" t="s">
        <v>75</v>
      </c>
      <c r="C75" s="16" t="s">
        <v>30</v>
      </c>
      <c r="D75" s="14"/>
      <c r="E75" s="18">
        <v>1</v>
      </c>
      <c r="F75" s="13">
        <v>1</v>
      </c>
      <c r="G75" s="13">
        <v>852.99</v>
      </c>
      <c r="H75" s="82">
        <f>F75*G75/1000</f>
        <v>0.85299000000000003</v>
      </c>
      <c r="I75" s="13">
        <v>0</v>
      </c>
    </row>
    <row r="76" spans="1:9" ht="15" hidden="1" customHeight="1">
      <c r="A76" s="29"/>
      <c r="B76" s="84" t="s">
        <v>77</v>
      </c>
      <c r="C76" s="16"/>
      <c r="D76" s="14"/>
      <c r="E76" s="18"/>
      <c r="F76" s="13"/>
      <c r="G76" s="13" t="s">
        <v>132</v>
      </c>
      <c r="H76" s="82" t="s">
        <v>132</v>
      </c>
      <c r="I76" s="13"/>
    </row>
    <row r="77" spans="1:9" ht="15" hidden="1" customHeight="1">
      <c r="A77" s="29"/>
      <c r="B77" s="44" t="s">
        <v>133</v>
      </c>
      <c r="C77" s="16" t="s">
        <v>78</v>
      </c>
      <c r="D77" s="14"/>
      <c r="E77" s="18"/>
      <c r="F77" s="13">
        <v>0.2</v>
      </c>
      <c r="G77" s="13">
        <v>2759.44</v>
      </c>
      <c r="H77" s="82">
        <f t="shared" si="7"/>
        <v>0.55188800000000005</v>
      </c>
      <c r="I77" s="13">
        <v>0</v>
      </c>
    </row>
    <row r="78" spans="1:9" ht="15" hidden="1" customHeight="1">
      <c r="A78" s="29"/>
      <c r="B78" s="72" t="s">
        <v>130</v>
      </c>
      <c r="C78" s="84"/>
      <c r="D78" s="31"/>
      <c r="E78" s="32"/>
      <c r="F78" s="73"/>
      <c r="G78" s="73"/>
      <c r="H78" s="85" t="e">
        <f>SUM(H57:H77)</f>
        <v>#VALUE!</v>
      </c>
      <c r="I78" s="73"/>
    </row>
    <row r="79" spans="1:9" ht="15" hidden="1" customHeight="1">
      <c r="A79" s="29"/>
      <c r="B79" s="67" t="s">
        <v>131</v>
      </c>
      <c r="C79" s="16"/>
      <c r="D79" s="14"/>
      <c r="E79" s="62"/>
      <c r="F79" s="13">
        <v>1</v>
      </c>
      <c r="G79" s="13">
        <v>13437.4</v>
      </c>
      <c r="H79" s="82">
        <f>G79*F79/1000</f>
        <v>13.4374</v>
      </c>
      <c r="I79" s="13">
        <v>0</v>
      </c>
    </row>
    <row r="80" spans="1:9" ht="15" customHeight="1">
      <c r="A80" s="115"/>
      <c r="B80" s="31" t="s">
        <v>202</v>
      </c>
      <c r="C80" s="16"/>
      <c r="D80" s="14"/>
      <c r="E80" s="18"/>
      <c r="F80" s="13"/>
      <c r="G80" s="116"/>
      <c r="H80" s="116"/>
      <c r="I80" s="117"/>
    </row>
    <row r="81" spans="1:9" ht="33.75" customHeight="1">
      <c r="A81" s="115">
        <v>22</v>
      </c>
      <c r="B81" s="102" t="s">
        <v>200</v>
      </c>
      <c r="C81" s="133" t="s">
        <v>201</v>
      </c>
      <c r="D81" s="134"/>
      <c r="E81" s="17">
        <v>3031.3</v>
      </c>
      <c r="F81" s="35">
        <f>E81*12</f>
        <v>36375.600000000006</v>
      </c>
      <c r="G81" s="35">
        <v>2.4900000000000002</v>
      </c>
      <c r="H81" s="116"/>
      <c r="I81" s="117">
        <f>G81*F81/12</f>
        <v>7547.9370000000017</v>
      </c>
    </row>
    <row r="82" spans="1:9" ht="15.75" customHeight="1">
      <c r="A82" s="163" t="s">
        <v>145</v>
      </c>
      <c r="B82" s="164"/>
      <c r="C82" s="164"/>
      <c r="D82" s="164"/>
      <c r="E82" s="164"/>
      <c r="F82" s="164"/>
      <c r="G82" s="164"/>
      <c r="H82" s="164"/>
      <c r="I82" s="165"/>
    </row>
    <row r="83" spans="1:9" ht="15" customHeight="1">
      <c r="A83" s="29">
        <v>23</v>
      </c>
      <c r="B83" s="102" t="s">
        <v>134</v>
      </c>
      <c r="C83" s="110" t="s">
        <v>56</v>
      </c>
      <c r="D83" s="139"/>
      <c r="E83" s="34">
        <v>3031.3</v>
      </c>
      <c r="F83" s="34">
        <f>SUM(E83*12)</f>
        <v>36375.600000000006</v>
      </c>
      <c r="G83" s="34">
        <v>3.38</v>
      </c>
      <c r="H83" s="82">
        <f>SUM(F83*G83/1000)</f>
        <v>122.94952800000002</v>
      </c>
      <c r="I83" s="13">
        <f>F83/12*G83</f>
        <v>10245.794000000002</v>
      </c>
    </row>
    <row r="84" spans="1:9" ht="31.5" customHeight="1">
      <c r="A84" s="29">
        <v>24</v>
      </c>
      <c r="B84" s="102" t="s">
        <v>203</v>
      </c>
      <c r="C84" s="110" t="s">
        <v>25</v>
      </c>
      <c r="D84" s="137"/>
      <c r="E84" s="138">
        <f>E83</f>
        <v>3031.3</v>
      </c>
      <c r="F84" s="135">
        <f>E84*12</f>
        <v>36375.600000000006</v>
      </c>
      <c r="G84" s="135">
        <v>3.05</v>
      </c>
      <c r="H84" s="82">
        <f>F84*G84/1000</f>
        <v>110.94558000000002</v>
      </c>
      <c r="I84" s="13">
        <f>F84/12*G84</f>
        <v>9245.465000000002</v>
      </c>
    </row>
    <row r="85" spans="1:9" ht="15.75" customHeight="1">
      <c r="A85" s="45"/>
      <c r="B85" s="36" t="s">
        <v>80</v>
      </c>
      <c r="C85" s="37"/>
      <c r="D85" s="15"/>
      <c r="E85" s="15"/>
      <c r="F85" s="15"/>
      <c r="G85" s="18"/>
      <c r="H85" s="18"/>
      <c r="I85" s="32">
        <f>I84+I83+I81+I69+I62+I60+I53+I52+I51+I50+I49+I48+I47+I46+I45+I32+I30+I29+I26+I20+I19+I18+I17+I16</f>
        <v>49984.144576266663</v>
      </c>
    </row>
    <row r="86" spans="1:9" ht="15.75" customHeight="1">
      <c r="A86" s="177" t="s">
        <v>61</v>
      </c>
      <c r="B86" s="178"/>
      <c r="C86" s="178"/>
      <c r="D86" s="178"/>
      <c r="E86" s="178"/>
      <c r="F86" s="178"/>
      <c r="G86" s="178"/>
      <c r="H86" s="178"/>
      <c r="I86" s="179"/>
    </row>
    <row r="87" spans="1:9" ht="16.5" customHeight="1">
      <c r="A87" s="29">
        <v>25</v>
      </c>
      <c r="B87" s="52" t="s">
        <v>216</v>
      </c>
      <c r="C87" s="53" t="s">
        <v>124</v>
      </c>
      <c r="D87" s="48"/>
      <c r="E87" s="34"/>
      <c r="F87" s="34">
        <v>4</v>
      </c>
      <c r="G87" s="34">
        <v>60.72</v>
      </c>
      <c r="H87" s="82">
        <f t="shared" ref="H87" si="9">G87*F87/1000</f>
        <v>0.24287999999999998</v>
      </c>
      <c r="I87" s="13">
        <f>G87*1</f>
        <v>60.72</v>
      </c>
    </row>
    <row r="88" spans="1:9" ht="35.25" customHeight="1">
      <c r="A88" s="29">
        <v>26</v>
      </c>
      <c r="B88" s="52" t="s">
        <v>288</v>
      </c>
      <c r="C88" s="53" t="s">
        <v>91</v>
      </c>
      <c r="D88" s="102" t="s">
        <v>291</v>
      </c>
      <c r="E88" s="34"/>
      <c r="F88" s="34">
        <v>2</v>
      </c>
      <c r="G88" s="34">
        <v>670.51</v>
      </c>
      <c r="H88" s="82"/>
      <c r="I88" s="13">
        <f>G88*2</f>
        <v>1341.02</v>
      </c>
    </row>
    <row r="89" spans="1:9" ht="16.5" customHeight="1">
      <c r="A89" s="29">
        <v>27</v>
      </c>
      <c r="B89" s="52" t="s">
        <v>289</v>
      </c>
      <c r="C89" s="53" t="s">
        <v>290</v>
      </c>
      <c r="D89" s="48"/>
      <c r="E89" s="34"/>
      <c r="F89" s="34">
        <v>1</v>
      </c>
      <c r="G89" s="34">
        <v>647</v>
      </c>
      <c r="H89" s="82"/>
      <c r="I89" s="13">
        <f>G89*1</f>
        <v>647</v>
      </c>
    </row>
    <row r="90" spans="1:9" ht="16.5" customHeight="1">
      <c r="A90" s="29">
        <v>28</v>
      </c>
      <c r="B90" s="52" t="s">
        <v>82</v>
      </c>
      <c r="C90" s="53" t="s">
        <v>124</v>
      </c>
      <c r="D90" s="48"/>
      <c r="E90" s="34"/>
      <c r="F90" s="34">
        <v>5</v>
      </c>
      <c r="G90" s="34">
        <v>215.85</v>
      </c>
      <c r="H90" s="82"/>
      <c r="I90" s="13">
        <f>G90*1</f>
        <v>215.85</v>
      </c>
    </row>
    <row r="91" spans="1:9" ht="16.5" customHeight="1">
      <c r="A91" s="29">
        <v>29</v>
      </c>
      <c r="B91" s="52" t="s">
        <v>234</v>
      </c>
      <c r="C91" s="53" t="s">
        <v>190</v>
      </c>
      <c r="D91" s="48" t="s">
        <v>213</v>
      </c>
      <c r="E91" s="34"/>
      <c r="F91" s="34">
        <v>0.02</v>
      </c>
      <c r="G91" s="34">
        <v>27139.18</v>
      </c>
      <c r="H91" s="82"/>
      <c r="I91" s="13">
        <v>0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SUM(I87:I91)</f>
        <v>2264.5899999999997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182</v>
      </c>
      <c r="C94" s="33"/>
      <c r="D94" s="33"/>
      <c r="E94" s="33"/>
      <c r="F94" s="33"/>
      <c r="G94" s="33"/>
      <c r="H94" s="33"/>
      <c r="I94" s="41">
        <f>I85+I92</f>
        <v>52248.734576266659</v>
      </c>
    </row>
    <row r="95" spans="1:9" ht="15.75">
      <c r="A95" s="180" t="s">
        <v>331</v>
      </c>
      <c r="B95" s="180"/>
      <c r="C95" s="180"/>
      <c r="D95" s="180"/>
      <c r="E95" s="180"/>
      <c r="F95" s="180"/>
      <c r="G95" s="180"/>
      <c r="H95" s="180"/>
      <c r="I95" s="180"/>
    </row>
    <row r="96" spans="1:9" ht="15.75">
      <c r="A96" s="60"/>
      <c r="B96" s="181" t="s">
        <v>332</v>
      </c>
      <c r="C96" s="181"/>
      <c r="D96" s="181"/>
      <c r="E96" s="181"/>
      <c r="F96" s="181"/>
      <c r="G96" s="181"/>
      <c r="H96" s="65"/>
      <c r="I96" s="3"/>
    </row>
    <row r="97" spans="1:9">
      <c r="A97" s="56"/>
      <c r="B97" s="182" t="s">
        <v>6</v>
      </c>
      <c r="C97" s="182"/>
      <c r="D97" s="182"/>
      <c r="E97" s="182"/>
      <c r="F97" s="182"/>
      <c r="G97" s="182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83" t="s">
        <v>7</v>
      </c>
      <c r="B99" s="183"/>
      <c r="C99" s="183"/>
      <c r="D99" s="183"/>
      <c r="E99" s="183"/>
      <c r="F99" s="183"/>
      <c r="G99" s="183"/>
      <c r="H99" s="183"/>
      <c r="I99" s="183"/>
    </row>
    <row r="100" spans="1:9" ht="15.75">
      <c r="A100" s="183" t="s">
        <v>8</v>
      </c>
      <c r="B100" s="183"/>
      <c r="C100" s="183"/>
      <c r="D100" s="183"/>
      <c r="E100" s="183"/>
      <c r="F100" s="183"/>
      <c r="G100" s="183"/>
      <c r="H100" s="183"/>
      <c r="I100" s="183"/>
    </row>
    <row r="101" spans="1:9" ht="15.75">
      <c r="A101" s="172" t="s">
        <v>62</v>
      </c>
      <c r="B101" s="172"/>
      <c r="C101" s="172"/>
      <c r="D101" s="172"/>
      <c r="E101" s="172"/>
      <c r="F101" s="172"/>
      <c r="G101" s="172"/>
      <c r="H101" s="172"/>
      <c r="I101" s="172"/>
    </row>
    <row r="102" spans="1:9" ht="15.75">
      <c r="A102" s="11"/>
    </row>
    <row r="103" spans="1:9" ht="15.75">
      <c r="A103" s="185" t="s">
        <v>9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>
      <c r="A104" s="4"/>
    </row>
    <row r="105" spans="1:9" ht="15.75">
      <c r="B105" s="59" t="s">
        <v>10</v>
      </c>
      <c r="C105" s="186" t="s">
        <v>88</v>
      </c>
      <c r="D105" s="186"/>
      <c r="E105" s="186"/>
      <c r="F105" s="63"/>
      <c r="I105" s="55"/>
    </row>
    <row r="106" spans="1:9">
      <c r="A106" s="56"/>
      <c r="C106" s="182" t="s">
        <v>11</v>
      </c>
      <c r="D106" s="182"/>
      <c r="E106" s="182"/>
      <c r="F106" s="24"/>
      <c r="I106" s="54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9" t="s">
        <v>13</v>
      </c>
      <c r="C108" s="187"/>
      <c r="D108" s="187"/>
      <c r="E108" s="187"/>
      <c r="F108" s="64"/>
      <c r="I108" s="55"/>
    </row>
    <row r="109" spans="1:9">
      <c r="A109" s="56"/>
      <c r="C109" s="162" t="s">
        <v>11</v>
      </c>
      <c r="D109" s="162"/>
      <c r="E109" s="162"/>
      <c r="F109" s="56"/>
      <c r="I109" s="54" t="s">
        <v>12</v>
      </c>
    </row>
    <row r="110" spans="1:9" ht="15.75">
      <c r="A110" s="4" t="s">
        <v>14</v>
      </c>
    </row>
    <row r="111" spans="1:9">
      <c r="A111" s="188" t="s">
        <v>15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45" customHeight="1">
      <c r="A112" s="184" t="s">
        <v>16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30" customHeight="1">
      <c r="A113" s="184" t="s">
        <v>17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30" customHeight="1">
      <c r="A114" s="184" t="s">
        <v>21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15.75">
      <c r="A115" s="184" t="s">
        <v>20</v>
      </c>
      <c r="B115" s="184"/>
      <c r="C115" s="184"/>
      <c r="D115" s="184"/>
      <c r="E115" s="184"/>
      <c r="F115" s="184"/>
      <c r="G115" s="184"/>
      <c r="H115" s="184"/>
      <c r="I115" s="184"/>
    </row>
  </sheetData>
  <autoFilter ref="I12:I59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4:I44"/>
    <mergeCell ref="A55:I55"/>
    <mergeCell ref="A86:I86"/>
    <mergeCell ref="A95:I95"/>
    <mergeCell ref="B96:G96"/>
    <mergeCell ref="B97:G97"/>
    <mergeCell ref="A99:I99"/>
    <mergeCell ref="A100:I100"/>
    <mergeCell ref="R64:U64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2021-02-12T08:14:56Z</cp:lastPrinted>
  <dcterms:created xsi:type="dcterms:W3CDTF">2016-03-25T08:33:47Z</dcterms:created>
  <dcterms:modified xsi:type="dcterms:W3CDTF">2021-02-12T08:16:44Z</dcterms:modified>
</cp:coreProperties>
</file>