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Шахт.,7" sheetId="1" r:id="rId1"/>
  </sheets>
  <definedNames>
    <definedName name="_xlnm.Print_Area" localSheetId="0">'Шахт.,7'!$A$1:$U$110</definedName>
  </definedNames>
  <calcPr calcId="124519"/>
</workbook>
</file>

<file path=xl/calcChain.xml><?xml version="1.0" encoding="utf-8"?>
<calcChain xmlns="http://schemas.openxmlformats.org/spreadsheetml/2006/main">
  <c r="H98" i="1"/>
  <c r="U98"/>
  <c r="U97"/>
  <c r="P97"/>
  <c r="H97"/>
  <c r="U96"/>
  <c r="O96"/>
  <c r="H96"/>
  <c r="U95"/>
  <c r="O95"/>
  <c r="H95"/>
  <c r="U94"/>
  <c r="T94"/>
  <c r="H94"/>
  <c r="U88"/>
  <c r="T88"/>
  <c r="U93"/>
  <c r="S93"/>
  <c r="O93"/>
  <c r="H93"/>
  <c r="P70"/>
  <c r="U92"/>
  <c r="N92"/>
  <c r="H92"/>
  <c r="T59"/>
  <c r="N59"/>
  <c r="O59"/>
  <c r="P59"/>
  <c r="R84"/>
  <c r="Q84"/>
  <c r="P84"/>
  <c r="U91"/>
  <c r="T91"/>
  <c r="H91"/>
  <c r="N86"/>
  <c r="O86"/>
  <c r="P86"/>
  <c r="Q86"/>
  <c r="R86"/>
  <c r="S86"/>
  <c r="T86"/>
  <c r="T101"/>
  <c r="T77"/>
  <c r="S77"/>
  <c r="T75"/>
  <c r="S75"/>
  <c r="T55"/>
  <c r="S55"/>
  <c r="R51"/>
  <c r="R50"/>
  <c r="R49"/>
  <c r="T48"/>
  <c r="Q48"/>
  <c r="T40"/>
  <c r="S40"/>
  <c r="T39"/>
  <c r="S39"/>
  <c r="T38"/>
  <c r="S38"/>
  <c r="T37"/>
  <c r="S37"/>
  <c r="T36"/>
  <c r="S36"/>
  <c r="T35"/>
  <c r="S35"/>
  <c r="T32"/>
  <c r="S32"/>
  <c r="T29"/>
  <c r="S29"/>
  <c r="T15"/>
  <c r="S15"/>
  <c r="T13"/>
  <c r="S13"/>
  <c r="T12"/>
  <c r="S12"/>
  <c r="T11"/>
  <c r="S11"/>
  <c r="S101" s="1"/>
  <c r="U90"/>
  <c r="R90"/>
  <c r="H90"/>
  <c r="R101"/>
  <c r="Q101"/>
  <c r="P101"/>
  <c r="O101"/>
  <c r="N101"/>
  <c r="R77"/>
  <c r="Q77"/>
  <c r="P77"/>
  <c r="O77"/>
  <c r="N77"/>
  <c r="R75"/>
  <c r="Q75"/>
  <c r="P75"/>
  <c r="O75"/>
  <c r="N75"/>
  <c r="N74"/>
  <c r="Q66"/>
  <c r="P52"/>
  <c r="M51"/>
  <c r="R47"/>
  <c r="R46"/>
  <c r="R45"/>
  <c r="R44"/>
  <c r="R43"/>
  <c r="R32"/>
  <c r="Q32"/>
  <c r="P32"/>
  <c r="O32"/>
  <c r="N32"/>
  <c r="R29"/>
  <c r="Q29"/>
  <c r="P29"/>
  <c r="O29"/>
  <c r="N29"/>
  <c r="R28"/>
  <c r="Q28"/>
  <c r="P28"/>
  <c r="O28"/>
  <c r="M28"/>
  <c r="N28"/>
  <c r="R27"/>
  <c r="Q27"/>
  <c r="P27"/>
  <c r="O27"/>
  <c r="N27"/>
  <c r="M26"/>
  <c r="R25"/>
  <c r="Q25"/>
  <c r="P25"/>
  <c r="O25"/>
  <c r="N25"/>
  <c r="R24"/>
  <c r="Q24"/>
  <c r="P24"/>
  <c r="O24"/>
  <c r="N24"/>
  <c r="N21"/>
  <c r="N20"/>
  <c r="N19"/>
  <c r="N18"/>
  <c r="N17"/>
  <c r="Q16"/>
  <c r="O16"/>
  <c r="R15"/>
  <c r="Q15"/>
  <c r="P15"/>
  <c r="O15"/>
  <c r="N15"/>
  <c r="N14"/>
  <c r="R13"/>
  <c r="Q13"/>
  <c r="P13"/>
  <c r="O13"/>
  <c r="N13"/>
  <c r="R12"/>
  <c r="Q12"/>
  <c r="P12"/>
  <c r="O12"/>
  <c r="N12"/>
  <c r="R11"/>
  <c r="Q11"/>
  <c r="P11"/>
  <c r="O11"/>
  <c r="N11"/>
  <c r="M77"/>
  <c r="M75"/>
  <c r="M65"/>
  <c r="M64"/>
  <c r="M63"/>
  <c r="M62"/>
  <c r="M61"/>
  <c r="L52"/>
  <c r="M50"/>
  <c r="M49"/>
  <c r="M48"/>
  <c r="M32"/>
  <c r="M29"/>
  <c r="F28"/>
  <c r="M27"/>
  <c r="M25"/>
  <c r="M24"/>
  <c r="M16"/>
  <c r="M15"/>
  <c r="M13"/>
  <c r="M12"/>
  <c r="M11"/>
  <c r="I85"/>
  <c r="U89"/>
  <c r="L89"/>
  <c r="H89"/>
  <c r="L88"/>
  <c r="H88"/>
  <c r="L86"/>
  <c r="L101"/>
  <c r="L77"/>
  <c r="L75"/>
  <c r="L55"/>
  <c r="L47"/>
  <c r="L46"/>
  <c r="L45"/>
  <c r="L44"/>
  <c r="L43"/>
  <c r="L40"/>
  <c r="L39"/>
  <c r="L38"/>
  <c r="L37"/>
  <c r="L36"/>
  <c r="L35"/>
  <c r="L32"/>
  <c r="L29"/>
  <c r="L15"/>
  <c r="L13"/>
  <c r="L12"/>
  <c r="L11"/>
  <c r="U87"/>
  <c r="K87"/>
  <c r="H87"/>
  <c r="K86"/>
  <c r="K84"/>
  <c r="K101"/>
  <c r="K77"/>
  <c r="K75"/>
  <c r="K55"/>
  <c r="K40"/>
  <c r="K39"/>
  <c r="K38"/>
  <c r="K37"/>
  <c r="K36"/>
  <c r="K35"/>
  <c r="K32"/>
  <c r="K29"/>
  <c r="K16"/>
  <c r="K15"/>
  <c r="K13"/>
  <c r="K12"/>
  <c r="K11"/>
  <c r="F74"/>
  <c r="U74"/>
  <c r="H74"/>
  <c r="J101"/>
  <c r="J77"/>
  <c r="J75"/>
  <c r="J55"/>
  <c r="J52"/>
  <c r="J48"/>
  <c r="J40"/>
  <c r="J39"/>
  <c r="J38"/>
  <c r="J37"/>
  <c r="J36"/>
  <c r="J35"/>
  <c r="J32"/>
  <c r="J29"/>
  <c r="J15"/>
  <c r="J13"/>
  <c r="J12"/>
  <c r="J11"/>
  <c r="U86"/>
  <c r="U85"/>
  <c r="U84"/>
  <c r="I86"/>
  <c r="H86"/>
  <c r="I84"/>
  <c r="U72"/>
  <c r="U70"/>
  <c r="U69"/>
  <c r="U68"/>
  <c r="U66"/>
  <c r="U65"/>
  <c r="U64"/>
  <c r="U63"/>
  <c r="U62"/>
  <c r="U61"/>
  <c r="U60"/>
  <c r="U59"/>
  <c r="U57"/>
  <c r="U52"/>
  <c r="U51"/>
  <c r="U50"/>
  <c r="U49"/>
  <c r="U47"/>
  <c r="U46"/>
  <c r="U45"/>
  <c r="U44"/>
  <c r="U43"/>
  <c r="U31"/>
  <c r="U30"/>
  <c r="U28"/>
  <c r="U27"/>
  <c r="U26"/>
  <c r="U25"/>
  <c r="U24"/>
  <c r="U21"/>
  <c r="U20"/>
  <c r="U19"/>
  <c r="U18"/>
  <c r="U17"/>
  <c r="U14"/>
  <c r="I40"/>
  <c r="U40" s="1"/>
  <c r="I35"/>
  <c r="U35" s="1"/>
  <c r="H85"/>
  <c r="M101" l="1"/>
  <c r="F38"/>
  <c r="I38" s="1"/>
  <c r="U38" s="1"/>
  <c r="H27"/>
  <c r="F16" l="1"/>
  <c r="I16" s="1"/>
  <c r="U16" s="1"/>
  <c r="F15"/>
  <c r="I15" s="1"/>
  <c r="U15" s="1"/>
  <c r="H84"/>
  <c r="F57"/>
  <c r="F44"/>
  <c r="F36"/>
  <c r="H70"/>
  <c r="F20"/>
  <c r="F47"/>
  <c r="H47" s="1"/>
  <c r="H36" l="1"/>
  <c r="I36"/>
  <c r="U36" s="1"/>
  <c r="H69"/>
  <c r="F52"/>
  <c r="F14" l="1"/>
  <c r="F17"/>
  <c r="F18"/>
  <c r="F19"/>
  <c r="H57" l="1"/>
  <c r="H20"/>
  <c r="F101" l="1"/>
  <c r="H100"/>
  <c r="E77"/>
  <c r="H80" s="1"/>
  <c r="F75"/>
  <c r="I75" s="1"/>
  <c r="U75" s="1"/>
  <c r="H72"/>
  <c r="H68"/>
  <c r="H66"/>
  <c r="F65"/>
  <c r="H65" s="1"/>
  <c r="F64"/>
  <c r="H64" s="1"/>
  <c r="F63"/>
  <c r="H63" s="1"/>
  <c r="F62"/>
  <c r="H62" s="1"/>
  <c r="F61"/>
  <c r="H61" s="1"/>
  <c r="H60"/>
  <c r="H59"/>
  <c r="F55"/>
  <c r="H52"/>
  <c r="H51"/>
  <c r="F50"/>
  <c r="H50" s="1"/>
  <c r="F49"/>
  <c r="H49" s="1"/>
  <c r="F48"/>
  <c r="I48" s="1"/>
  <c r="U48" s="1"/>
  <c r="U53" s="1"/>
  <c r="F46"/>
  <c r="H46" s="1"/>
  <c r="F45"/>
  <c r="H45" s="1"/>
  <c r="H44"/>
  <c r="F43"/>
  <c r="H43" s="1"/>
  <c r="H40"/>
  <c r="F39"/>
  <c r="H38"/>
  <c r="F37"/>
  <c r="H35"/>
  <c r="F32"/>
  <c r="H31"/>
  <c r="H30"/>
  <c r="F29"/>
  <c r="I29" s="1"/>
  <c r="U29" s="1"/>
  <c r="H28"/>
  <c r="F26"/>
  <c r="H26" s="1"/>
  <c r="F25"/>
  <c r="H25" s="1"/>
  <c r="F24"/>
  <c r="H24" s="1"/>
  <c r="F21"/>
  <c r="H21" s="1"/>
  <c r="H18"/>
  <c r="H17"/>
  <c r="H14"/>
  <c r="F13"/>
  <c r="I13" s="1"/>
  <c r="U13" s="1"/>
  <c r="F12"/>
  <c r="I12" s="1"/>
  <c r="U12" s="1"/>
  <c r="F11"/>
  <c r="I11" s="1"/>
  <c r="U11" s="1"/>
  <c r="H32" l="1"/>
  <c r="I32"/>
  <c r="U32" s="1"/>
  <c r="H37"/>
  <c r="I37"/>
  <c r="U37" s="1"/>
  <c r="H39"/>
  <c r="I39"/>
  <c r="U39" s="1"/>
  <c r="U22"/>
  <c r="H55"/>
  <c r="I55"/>
  <c r="U55" s="1"/>
  <c r="U73" s="1"/>
  <c r="H75"/>
  <c r="H76" s="1"/>
  <c r="H29"/>
  <c r="H33" s="1"/>
  <c r="H48"/>
  <c r="H53" s="1"/>
  <c r="H11"/>
  <c r="H12"/>
  <c r="H16"/>
  <c r="H13"/>
  <c r="H15"/>
  <c r="U41"/>
  <c r="F77"/>
  <c r="I77" s="1"/>
  <c r="U77" s="1"/>
  <c r="H19"/>
  <c r="H41"/>
  <c r="H73"/>
  <c r="U76"/>
  <c r="H77" l="1"/>
  <c r="H78" s="1"/>
  <c r="U78"/>
  <c r="C107"/>
  <c r="H22"/>
  <c r="U33"/>
  <c r="I101" l="1"/>
  <c r="U79"/>
  <c r="U101" s="1"/>
  <c r="H79"/>
  <c r="H81" s="1"/>
  <c r="G101" s="1"/>
  <c r="H101" s="1"/>
  <c r="C106" l="1"/>
  <c r="C110"/>
</calcChain>
</file>

<file path=xl/sharedStrings.xml><?xml version="1.0" encoding="utf-8"?>
<sst xmlns="http://schemas.openxmlformats.org/spreadsheetml/2006/main" count="299" uniqueCount="227">
  <si>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</si>
  <si>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</si>
  <si>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</si>
  <si>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</si>
  <si>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</si>
  <si>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</si>
  <si>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</si>
  <si>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</si>
  <si>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</si>
  <si>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</si>
  <si>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</si>
  <si>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</si>
  <si>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</si>
  <si>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</si>
  <si>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</si>
  <si>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</si>
  <si>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</si>
  <si>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</si>
  <si>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</si>
  <si>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</si>
  <si>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</si>
  <si>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</si>
  <si>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</si>
  <si>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</si>
  <si>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</si>
  <si>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</si>
  <si>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</si>
  <si>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</si>
  <si>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</si>
  <si>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</si>
  <si>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</si>
  <si>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</si>
  <si>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</si>
  <si>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51-020</t>
  </si>
  <si>
    <t>Влажная протирка подоконников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</si>
  <si>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</si>
  <si>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</si>
  <si>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</si>
  <si>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</si>
  <si>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</si>
  <si>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</si>
  <si>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1000-м2</t>
  </si>
  <si>
    <t>2 раза в неделю 52 раза в сезон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</si>
  <si>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</si>
  <si>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</si>
  <si>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</si>
  <si>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</si>
  <si>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</si>
  <si>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</si>
  <si>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</si>
  <si>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</si>
  <si>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</si>
  <si>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</si>
  <si>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</si>
  <si>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</si>
  <si>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</si>
  <si>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</si>
  <si>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</si>
  <si>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</si>
  <si>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</si>
  <si>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</si>
  <si>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</si>
  <si>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</si>
  <si>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</si>
  <si>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</si>
  <si>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</si>
  <si>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</si>
  <si>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</si>
  <si>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</si>
  <si>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</si>
  <si>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>1000 м2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</si>
  <si>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</si>
  <si>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</si>
  <si>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</si>
  <si>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</si>
  <si>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</si>
  <si>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</si>
  <si>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</si>
  <si>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</si>
  <si>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</si>
  <si>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</si>
  <si>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</si>
  <si>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</si>
  <si>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</si>
  <si>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</si>
  <si>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</si>
  <si>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</si>
  <si>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</si>
  <si>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</si>
  <si>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</si>
  <si>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</si>
  <si>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</si>
  <si>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</si>
  <si>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</si>
  <si>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</si>
  <si>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</si>
  <si>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</si>
  <si>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</si>
  <si>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</si>
  <si>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</si>
  <si>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</si>
  <si>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</si>
  <si>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</si>
  <si>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</si>
  <si>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 xml:space="preserve">пр.ТЭР 54-041 </t>
  </si>
  <si>
    <t>Чердак, подвал, технический этаж</t>
  </si>
  <si>
    <t>ТЭР 51-034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</si>
  <si>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</si>
  <si>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</si>
  <si>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</si>
  <si>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</si>
  <si>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</si>
  <si>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</si>
  <si>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</si>
  <si>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</si>
  <si>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</si>
  <si>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</si>
  <si>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</si>
  <si>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</si>
  <si>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</si>
  <si>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</si>
  <si>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</si>
  <si>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</si>
  <si>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</si>
  <si>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</si>
  <si>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33-019</t>
  </si>
  <si>
    <t>Смена ламп накаливания</t>
  </si>
  <si>
    <t>10 шт</t>
  </si>
  <si>
    <t>ТЭР 33-049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</si>
  <si>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</si>
  <si>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</si>
  <si>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</si>
  <si>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</si>
  <si>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</si>
  <si>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</si>
  <si>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</si>
  <si>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</si>
  <si>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</si>
  <si>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</si>
  <si>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</si>
  <si>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</si>
  <si>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</si>
  <si>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</si>
  <si>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</si>
  <si>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</si>
  <si>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</si>
  <si>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ТЭР 51-022</t>
  </si>
  <si>
    <t>Влажная протирка шкафов для щитов и слаботочн. устройств</t>
  </si>
  <si>
    <t>3 раза в год</t>
  </si>
  <si>
    <t xml:space="preserve"> Очистка края кровли от слежавшегося снега со сбрасыванием сосулек (10% от S кровли) и козырьки</t>
  </si>
  <si>
    <t>Очистка чердака, подвала от мусора</t>
  </si>
  <si>
    <t>Сдвигание снега в дни снегопада ( крыльца, тротуары</t>
  </si>
  <si>
    <t>30 раз за сезон</t>
  </si>
  <si>
    <t>Вода для промывки СО</t>
  </si>
  <si>
    <t>Сброс воды после промывки СО в канализацию</t>
  </si>
  <si>
    <t>ТЭР 33-043</t>
  </si>
  <si>
    <t>Смена плавкой вставки в электрощите</t>
  </si>
  <si>
    <t>Генеральный директор ООО "Жилсервис"_______Ю.Л.Куканов</t>
  </si>
  <si>
    <t>ТЭР 3-7-1в</t>
  </si>
  <si>
    <t>Осмотр шиферной  кровли</t>
  </si>
  <si>
    <t>ТЭР 42-003</t>
  </si>
  <si>
    <t>Осмотр деревянных конструкций стропил</t>
  </si>
  <si>
    <t>100 м3</t>
  </si>
  <si>
    <t>Замена ламп ДРЛ</t>
  </si>
  <si>
    <t>1 раз в месяц</t>
  </si>
  <si>
    <t>1 раз в 2 месяца</t>
  </si>
  <si>
    <t>ТЭР 52-003</t>
  </si>
  <si>
    <t>Очистка урн от мусора</t>
  </si>
  <si>
    <t>35 раз за сезон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</si>
  <si>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</si>
  <si>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</si>
  <si>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</si>
  <si>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</si>
  <si>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</si>
  <si>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</si>
  <si>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</si>
  <si>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</si>
  <si>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</si>
  <si>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</si>
  <si>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</si>
  <si>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</si>
  <si>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Баланс выполненных работ на 01.01.2015 г. ( -долг за предприятием, +долг за населением)</t>
  </si>
  <si>
    <t>Ремонт групповых щитков на лестничной клетке без ремонта автоматов</t>
  </si>
  <si>
    <t>ТЭР 33-030</t>
  </si>
  <si>
    <t>Ремонт силового предохранительного шкафа (без стоимости материалов)</t>
  </si>
  <si>
    <t>ТЭР 33-032</t>
  </si>
  <si>
    <t>Снятие показаний эл.счетчика коммунального назначения</t>
  </si>
  <si>
    <t>ТЭР 33-037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</si>
  <si>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Октябрьская, 53</t>
    </r>
    <r>
      <rPr>
        <b/>
        <sz val="14"/>
        <rFont val="Arial"/>
        <family val="2"/>
        <charset val="204"/>
      </rPr>
      <t xml:space="preserve">   (п. Ярега)  </t>
    </r>
    <r>
      <rPr>
        <b/>
        <sz val="14"/>
        <color indexed="10"/>
        <rFont val="Arial"/>
        <family val="2"/>
        <charset val="204"/>
      </rPr>
      <t>за  2015 год</t>
    </r>
  </si>
  <si>
    <t>5 этажей, 2 подъезда</t>
  </si>
  <si>
    <t>Стоимость (руб.)</t>
  </si>
  <si>
    <t>договор</t>
  </si>
  <si>
    <t>ТО внутридомового газ.оборудования</t>
  </si>
  <si>
    <t>10 м</t>
  </si>
  <si>
    <t>калькуляция</t>
  </si>
  <si>
    <t>Работа автовышки</t>
  </si>
  <si>
    <t>маш/час</t>
  </si>
  <si>
    <t>Внеплановый осмотр электросетей, арматуры и электрооборудования на лестничных клетках</t>
  </si>
  <si>
    <t>100 м</t>
  </si>
  <si>
    <t>прим. ТЭР 69-7-1</t>
  </si>
  <si>
    <t>Устройство трапа (под.1)</t>
  </si>
  <si>
    <t>смета</t>
  </si>
  <si>
    <t>Монтаж светильника наружного освещения    (2 шт.)</t>
  </si>
  <si>
    <t>тыс.руб.</t>
  </si>
  <si>
    <t>Начислено за содержание и текущий ремонт за 2015  г.</t>
  </si>
  <si>
    <t>Выполнено работ по содержанию за       2015 г.</t>
  </si>
  <si>
    <t>Выполнено работ по текущему ремонту за 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</si>
  <si>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</si>
  <si>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</si>
  <si>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( -долг за предприятием, +долг за населением)</t>
  </si>
  <si>
    <t>место</t>
  </si>
  <si>
    <t>ТЭР 32-098</t>
  </si>
  <si>
    <t>Ремонт внутренних трубопроводов и стояков д=до 50 мм (хомуты)</t>
  </si>
  <si>
    <t>Смена стекол в деревянных переплетах при площади стекла до 1,0 м2</t>
  </si>
  <si>
    <t>10 м2</t>
  </si>
  <si>
    <t>ТТЭР 15-009</t>
  </si>
  <si>
    <t>Ремонт и регулировка доводчика (со стоимостью доводчика)</t>
  </si>
  <si>
    <t>1шт.</t>
  </si>
  <si>
    <t>Смена деталей крепления для светильников (без стоимости креплений)</t>
  </si>
  <si>
    <t>ТЭР 33-035</t>
  </si>
  <si>
    <t>Смена выключателей</t>
  </si>
  <si>
    <t>ТЭР 33-025</t>
  </si>
  <si>
    <t>Смена пакетных выключателей</t>
  </si>
  <si>
    <t>ТЭР 33-022</t>
  </si>
  <si>
    <t>Установка заглушек диаметром трубопроводов до 100 мм</t>
  </si>
  <si>
    <t>заглушка</t>
  </si>
  <si>
    <t>ТЭР 31-012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</si>
</sst>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1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center" vertical="center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0" fontId="18" fillId="12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V114"/>
  <sheetViews>
    <sheetView tabSelected="1" view="pageBreakPreview" topLeftCell="E1" zoomScaleNormal="75" zoomScaleSheetLayoutView="100" workbookViewId="0">
      <pane ySplit="7" topLeftCell="A94" activePane="bottomLeft" state="frozen"/>
      <selection activeCell="B1" sqref="B1"/>
      <selection pane="bottomLeft" activeCell="I101" sqref="I101"/>
    </sheetView>
  </sheetViews>
  <sheetFormatPr defaultRowHeight="12.75"/>
  <cols>
    <col min="1" max="1" width="12.42578125" customWidth="1"/>
    <col min="2" max="2" width="41.42578125" customWidth="1"/>
    <col min="3" max="3" width="9.28515625" customWidth="1"/>
    <col min="4" max="4" width="23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10.140625" customWidth="1"/>
    <col min="10" max="11" width="9.85546875" customWidth="1"/>
    <col min="12" max="12" width="10.28515625" customWidth="1"/>
    <col min="13" max="13" width="10" customWidth="1"/>
    <col min="14" max="14" width="9.5703125" customWidth="1"/>
    <col min="15" max="15" width="9.7109375" customWidth="1"/>
    <col min="16" max="16" width="9.5703125" customWidth="1"/>
    <col min="17" max="17" width="10" customWidth="1"/>
    <col min="18" max="18" width="9.5703125" customWidth="1"/>
    <col min="19" max="20" width="9.7109375" customWidth="1"/>
    <col min="21" max="21" width="13" customWidth="1"/>
  </cols>
  <sheetData>
    <row r="1" spans="1:21" ht="14.25" customHeight="1">
      <c r="A1" s="10"/>
    </row>
    <row r="3" spans="1:21" ht="18">
      <c r="A3" s="136"/>
      <c r="B3" s="137" t="s">
        <v>0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74"/>
      <c r="N3" s="74"/>
      <c r="O3" s="74"/>
      <c r="P3" s="74"/>
      <c r="Q3" s="74"/>
      <c r="R3" s="74"/>
      <c r="S3" s="74"/>
      <c r="T3" s="74"/>
      <c r="U3" s="74"/>
    </row>
    <row r="4" spans="1:21" ht="33" customHeight="1">
      <c r="A4" s="74"/>
      <c r="B4" s="138" t="s">
        <v>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74"/>
      <c r="N4" s="74"/>
      <c r="O4" s="74"/>
      <c r="P4" s="74"/>
      <c r="Q4" s="74"/>
      <c r="R4" s="74"/>
      <c r="S4" s="74"/>
      <c r="T4" s="74"/>
      <c r="U4" s="74"/>
    </row>
    <row r="5" spans="1:21" ht="18">
      <c r="A5" s="74"/>
      <c r="B5" s="138" t="s">
        <v>188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74"/>
      <c r="N5" s="74"/>
      <c r="O5" s="74"/>
      <c r="P5" s="74"/>
      <c r="Q5" s="74"/>
      <c r="R5" s="74"/>
      <c r="S5" s="74"/>
      <c r="T5" s="74"/>
      <c r="U5" s="74"/>
    </row>
    <row r="6" spans="1:21" ht="14.25">
      <c r="A6" s="74"/>
      <c r="B6" s="139" t="s">
        <v>189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74"/>
      <c r="N6" s="74"/>
      <c r="O6" s="74"/>
      <c r="P6" s="74"/>
      <c r="Q6" s="74"/>
      <c r="R6" s="74"/>
      <c r="S6" s="74"/>
      <c r="T6" s="74"/>
      <c r="U6" s="74"/>
    </row>
    <row r="7" spans="1:21" ht="54.75" customHeight="1">
      <c r="A7" s="27" t="s">
        <v>2</v>
      </c>
      <c r="B7" s="27" t="s">
        <v>3</v>
      </c>
      <c r="C7" s="27" t="s">
        <v>4</v>
      </c>
      <c r="D7" s="27" t="s">
        <v>5</v>
      </c>
      <c r="E7" s="27" t="s">
        <v>6</v>
      </c>
      <c r="F7" s="27" t="s">
        <v>7</v>
      </c>
      <c r="G7" s="27" t="s">
        <v>8</v>
      </c>
      <c r="H7" s="28" t="s">
        <v>9</v>
      </c>
      <c r="I7" s="26" t="s">
        <v>169</v>
      </c>
      <c r="J7" s="26" t="s">
        <v>170</v>
      </c>
      <c r="K7" s="26" t="s">
        <v>171</v>
      </c>
      <c r="L7" s="26" t="s">
        <v>172</v>
      </c>
      <c r="M7" s="26" t="s">
        <v>173</v>
      </c>
      <c r="N7" s="26" t="s">
        <v>174</v>
      </c>
      <c r="O7" s="26" t="s">
        <v>175</v>
      </c>
      <c r="P7" s="26" t="s">
        <v>176</v>
      </c>
      <c r="Q7" s="26" t="s">
        <v>177</v>
      </c>
      <c r="R7" s="26" t="s">
        <v>178</v>
      </c>
      <c r="S7" s="26" t="s">
        <v>179</v>
      </c>
      <c r="T7" s="26" t="s">
        <v>180</v>
      </c>
      <c r="U7" s="26" t="s">
        <v>190</v>
      </c>
    </row>
    <row r="8" spans="1:21">
      <c r="A8" s="29">
        <v>1</v>
      </c>
      <c r="B8" s="7">
        <v>2</v>
      </c>
      <c r="C8" s="29">
        <v>3</v>
      </c>
      <c r="D8" s="7">
        <v>4</v>
      </c>
      <c r="E8" s="7">
        <v>5</v>
      </c>
      <c r="F8" s="29">
        <v>6</v>
      </c>
      <c r="G8" s="29">
        <v>7</v>
      </c>
      <c r="H8" s="30">
        <v>8</v>
      </c>
      <c r="I8" s="31">
        <v>10</v>
      </c>
      <c r="J8" s="31">
        <v>11</v>
      </c>
      <c r="K8" s="31">
        <v>12</v>
      </c>
      <c r="L8" s="31">
        <v>13</v>
      </c>
      <c r="M8" s="32">
        <v>14</v>
      </c>
      <c r="N8" s="31">
        <v>15</v>
      </c>
      <c r="O8" s="31">
        <v>16</v>
      </c>
      <c r="P8" s="31">
        <v>17</v>
      </c>
      <c r="Q8" s="31">
        <v>18</v>
      </c>
      <c r="R8" s="31">
        <v>19</v>
      </c>
      <c r="S8" s="31">
        <v>20</v>
      </c>
      <c r="T8" s="31">
        <v>21</v>
      </c>
      <c r="U8" s="31">
        <v>22</v>
      </c>
    </row>
    <row r="9" spans="1:21" ht="38.25">
      <c r="A9" s="29"/>
      <c r="B9" s="9" t="s">
        <v>10</v>
      </c>
      <c r="C9" s="29"/>
      <c r="D9" s="11"/>
      <c r="E9" s="11"/>
      <c r="F9" s="29"/>
      <c r="G9" s="29"/>
      <c r="H9" s="33"/>
      <c r="I9" s="34"/>
      <c r="J9" s="34"/>
      <c r="K9" s="34"/>
      <c r="L9" s="34"/>
      <c r="M9" s="35"/>
      <c r="N9" s="36"/>
      <c r="O9" s="36"/>
      <c r="P9" s="36"/>
      <c r="Q9" s="36"/>
      <c r="R9" s="36"/>
      <c r="S9" s="36"/>
      <c r="T9" s="36"/>
      <c r="U9" s="36"/>
    </row>
    <row r="10" spans="1:21">
      <c r="A10" s="29"/>
      <c r="B10" s="9" t="s">
        <v>11</v>
      </c>
      <c r="C10" s="29"/>
      <c r="D10" s="11"/>
      <c r="E10" s="11"/>
      <c r="F10" s="29"/>
      <c r="G10" s="29"/>
      <c r="H10" s="33"/>
      <c r="I10" s="34"/>
      <c r="J10" s="34"/>
      <c r="K10" s="34"/>
      <c r="L10" s="34"/>
      <c r="M10" s="35"/>
      <c r="N10" s="36"/>
      <c r="O10" s="36"/>
      <c r="P10" s="36"/>
      <c r="Q10" s="36"/>
      <c r="R10" s="36"/>
      <c r="S10" s="36"/>
      <c r="T10" s="36"/>
      <c r="U10" s="36"/>
    </row>
    <row r="11" spans="1:21" ht="25.5">
      <c r="A11" s="29" t="s">
        <v>12</v>
      </c>
      <c r="B11" s="11" t="s">
        <v>13</v>
      </c>
      <c r="C11" s="29" t="s">
        <v>14</v>
      </c>
      <c r="D11" s="11" t="s">
        <v>15</v>
      </c>
      <c r="E11" s="37">
        <v>37.78</v>
      </c>
      <c r="F11" s="38">
        <f>SUM(E11*156/100)</f>
        <v>58.936800000000005</v>
      </c>
      <c r="G11" s="38">
        <v>187.48</v>
      </c>
      <c r="H11" s="39">
        <f t="shared" ref="H11:H21" si="0">SUM(F11*G11/1000)</f>
        <v>11.049471263999999</v>
      </c>
      <c r="I11" s="40">
        <f>F11/12*G11</f>
        <v>920.78927199999998</v>
      </c>
      <c r="J11" s="40">
        <f>F11/12*G11</f>
        <v>920.78927199999998</v>
      </c>
      <c r="K11" s="40">
        <f>F11/12*G11</f>
        <v>920.78927199999998</v>
      </c>
      <c r="L11" s="40">
        <f>F11/12*G11</f>
        <v>920.78927199999998</v>
      </c>
      <c r="M11" s="40">
        <f>F11/12*G11</f>
        <v>920.78927199999998</v>
      </c>
      <c r="N11" s="40">
        <f>F11/12*G11</f>
        <v>920.78927199999998</v>
      </c>
      <c r="O11" s="40">
        <f>F11/12*G11</f>
        <v>920.78927199999998</v>
      </c>
      <c r="P11" s="40">
        <f>F11/12*G11</f>
        <v>920.78927199999998</v>
      </c>
      <c r="Q11" s="40">
        <f>F11/12*G11</f>
        <v>920.78927199999998</v>
      </c>
      <c r="R11" s="40">
        <f>F11/12*G11</f>
        <v>920.78927199999998</v>
      </c>
      <c r="S11" s="40">
        <f>F11/12*G11</f>
        <v>920.78927199999998</v>
      </c>
      <c r="T11" s="40">
        <f>F11/12*G11</f>
        <v>920.78927199999998</v>
      </c>
      <c r="U11" s="40">
        <f t="shared" ref="U11:U21" si="1">SUM(I11:T11)</f>
        <v>11049.471264</v>
      </c>
    </row>
    <row r="12" spans="1:21" ht="25.5">
      <c r="A12" s="29" t="s">
        <v>12</v>
      </c>
      <c r="B12" s="11" t="s">
        <v>16</v>
      </c>
      <c r="C12" s="29" t="s">
        <v>14</v>
      </c>
      <c r="D12" s="11" t="s">
        <v>17</v>
      </c>
      <c r="E12" s="37">
        <v>151.12</v>
      </c>
      <c r="F12" s="38">
        <f>SUM(E12*104/100)</f>
        <v>157.16479999999999</v>
      </c>
      <c r="G12" s="38">
        <v>187.48</v>
      </c>
      <c r="H12" s="39">
        <f t="shared" si="0"/>
        <v>29.465256703999994</v>
      </c>
      <c r="I12" s="40">
        <f>F12/12*G12</f>
        <v>2455.4380586666662</v>
      </c>
      <c r="J12" s="40">
        <f>F12/12*G12</f>
        <v>2455.4380586666662</v>
      </c>
      <c r="K12" s="40">
        <f>F12/12*G12</f>
        <v>2455.4380586666662</v>
      </c>
      <c r="L12" s="40">
        <f>F12/12*G12</f>
        <v>2455.4380586666662</v>
      </c>
      <c r="M12" s="40">
        <f>F12/12*G12</f>
        <v>2455.4380586666662</v>
      </c>
      <c r="N12" s="40">
        <f>F12/12*G12</f>
        <v>2455.4380586666662</v>
      </c>
      <c r="O12" s="40">
        <f>F12/12*G12</f>
        <v>2455.4380586666662</v>
      </c>
      <c r="P12" s="40">
        <f>F12/12*G12</f>
        <v>2455.4380586666662</v>
      </c>
      <c r="Q12" s="40">
        <f>F12/12*G12</f>
        <v>2455.4380586666662</v>
      </c>
      <c r="R12" s="40">
        <f>F12/12*G12</f>
        <v>2455.4380586666662</v>
      </c>
      <c r="S12" s="40">
        <f>F12/12*G12</f>
        <v>2455.4380586666662</v>
      </c>
      <c r="T12" s="40">
        <f>F12/12*G12</f>
        <v>2455.4380586666662</v>
      </c>
      <c r="U12" s="40">
        <f t="shared" si="1"/>
        <v>29465.256703999996</v>
      </c>
    </row>
    <row r="13" spans="1:21" ht="25.5">
      <c r="A13" s="29" t="s">
        <v>18</v>
      </c>
      <c r="B13" s="11" t="s">
        <v>19</v>
      </c>
      <c r="C13" s="29" t="s">
        <v>14</v>
      </c>
      <c r="D13" s="11" t="s">
        <v>20</v>
      </c>
      <c r="E13" s="37">
        <v>188.9</v>
      </c>
      <c r="F13" s="38">
        <f>SUM(E13*24/100)</f>
        <v>45.336000000000006</v>
      </c>
      <c r="G13" s="38">
        <v>539.30999999999995</v>
      </c>
      <c r="H13" s="39">
        <f t="shared" si="0"/>
        <v>24.450158159999997</v>
      </c>
      <c r="I13" s="40">
        <f>F13/12*G13</f>
        <v>2037.5131800000001</v>
      </c>
      <c r="J13" s="40">
        <f>F13/12*G13</f>
        <v>2037.5131800000001</v>
      </c>
      <c r="K13" s="40">
        <f>F13/12*G13</f>
        <v>2037.5131800000001</v>
      </c>
      <c r="L13" s="40">
        <f>F13/12*G13</f>
        <v>2037.5131800000001</v>
      </c>
      <c r="M13" s="40">
        <f>F13/12*G13</f>
        <v>2037.5131800000001</v>
      </c>
      <c r="N13" s="40">
        <f>F13/12*G13</f>
        <v>2037.5131800000001</v>
      </c>
      <c r="O13" s="40">
        <f>F13/12*G13</f>
        <v>2037.5131800000001</v>
      </c>
      <c r="P13" s="40">
        <f>F13/12*G13</f>
        <v>2037.5131800000001</v>
      </c>
      <c r="Q13" s="40">
        <f>F13/12*G13</f>
        <v>2037.5131800000001</v>
      </c>
      <c r="R13" s="40">
        <f>F13/12*G13</f>
        <v>2037.5131800000001</v>
      </c>
      <c r="S13" s="40">
        <f>F13/12*G13</f>
        <v>2037.5131800000001</v>
      </c>
      <c r="T13" s="40">
        <f>F13/12*G13</f>
        <v>2037.5131800000001</v>
      </c>
      <c r="U13" s="40">
        <f t="shared" si="1"/>
        <v>24450.158160000006</v>
      </c>
    </row>
    <row r="14" spans="1:21">
      <c r="A14" s="29" t="s">
        <v>21</v>
      </c>
      <c r="B14" s="11" t="s">
        <v>22</v>
      </c>
      <c r="C14" s="29" t="s">
        <v>23</v>
      </c>
      <c r="D14" s="11" t="s">
        <v>144</v>
      </c>
      <c r="E14" s="37">
        <v>18</v>
      </c>
      <c r="F14" s="38">
        <f>SUM(E14/10)</f>
        <v>1.8</v>
      </c>
      <c r="G14" s="38">
        <v>181.91</v>
      </c>
      <c r="H14" s="39">
        <f t="shared" si="0"/>
        <v>0.32743800000000001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f>F14*G14</f>
        <v>327.43799999999999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f t="shared" si="1"/>
        <v>327.43799999999999</v>
      </c>
    </row>
    <row r="15" spans="1:21">
      <c r="A15" s="29" t="s">
        <v>24</v>
      </c>
      <c r="B15" s="11" t="s">
        <v>25</v>
      </c>
      <c r="C15" s="29" t="s">
        <v>14</v>
      </c>
      <c r="D15" s="11" t="s">
        <v>164</v>
      </c>
      <c r="E15" s="37">
        <v>14.6</v>
      </c>
      <c r="F15" s="38">
        <f>SUM(E15*12/100)</f>
        <v>1.7519999999999998</v>
      </c>
      <c r="G15" s="38">
        <v>232.92</v>
      </c>
      <c r="H15" s="39">
        <f t="shared" si="0"/>
        <v>0.40807583999999991</v>
      </c>
      <c r="I15" s="40">
        <f>F15/12*G15</f>
        <v>34.006319999999995</v>
      </c>
      <c r="J15" s="40">
        <f>F15/12*G15</f>
        <v>34.006319999999995</v>
      </c>
      <c r="K15" s="40">
        <f>F15/12*G15</f>
        <v>34.006319999999995</v>
      </c>
      <c r="L15" s="40">
        <f>F15/12*G15</f>
        <v>34.006319999999995</v>
      </c>
      <c r="M15" s="40">
        <f>F15/12*G15</f>
        <v>34.006319999999995</v>
      </c>
      <c r="N15" s="40">
        <f>F15/12*G15</f>
        <v>34.006319999999995</v>
      </c>
      <c r="O15" s="40">
        <f>F15/12*G15</f>
        <v>34.006319999999995</v>
      </c>
      <c r="P15" s="40">
        <f>F15/12*G15</f>
        <v>34.006319999999995</v>
      </c>
      <c r="Q15" s="40">
        <f>F15/12*G15</f>
        <v>34.006319999999995</v>
      </c>
      <c r="R15" s="40">
        <f>F15/12*G15</f>
        <v>34.006319999999995</v>
      </c>
      <c r="S15" s="40">
        <f>F15/12*G15</f>
        <v>34.006319999999995</v>
      </c>
      <c r="T15" s="40">
        <f>F15/12*G15</f>
        <v>34.006319999999995</v>
      </c>
      <c r="U15" s="40">
        <f t="shared" si="1"/>
        <v>408.07584000000003</v>
      </c>
    </row>
    <row r="16" spans="1:21">
      <c r="A16" s="29" t="s">
        <v>26</v>
      </c>
      <c r="B16" s="11" t="s">
        <v>27</v>
      </c>
      <c r="C16" s="29" t="s">
        <v>14</v>
      </c>
      <c r="D16" s="11" t="s">
        <v>165</v>
      </c>
      <c r="E16" s="37">
        <v>2.7</v>
      </c>
      <c r="F16" s="38">
        <f>SUM(E16*6/100)</f>
        <v>0.16200000000000003</v>
      </c>
      <c r="G16" s="38">
        <v>231.03</v>
      </c>
      <c r="H16" s="39">
        <f t="shared" si="0"/>
        <v>3.7426860000000006E-2</v>
      </c>
      <c r="I16" s="40">
        <f>F16/6*G16</f>
        <v>6.2378100000000014</v>
      </c>
      <c r="J16" s="40">
        <v>0</v>
      </c>
      <c r="K16" s="40">
        <f>F16/6*G16</f>
        <v>6.2378100000000014</v>
      </c>
      <c r="L16" s="40">
        <v>0</v>
      </c>
      <c r="M16" s="40">
        <f>F16/6*G16</f>
        <v>6.2378100000000014</v>
      </c>
      <c r="N16" s="40">
        <v>0</v>
      </c>
      <c r="O16" s="40">
        <f>F16/6*G16</f>
        <v>6.2378100000000014</v>
      </c>
      <c r="P16" s="40">
        <v>0</v>
      </c>
      <c r="Q16" s="40">
        <f>F16/6*G16</f>
        <v>6.2378100000000014</v>
      </c>
      <c r="R16" s="40">
        <v>0</v>
      </c>
      <c r="S16" s="40">
        <v>0</v>
      </c>
      <c r="T16" s="40">
        <v>0</v>
      </c>
      <c r="U16" s="40">
        <f t="shared" si="1"/>
        <v>31.189050000000009</v>
      </c>
    </row>
    <row r="17" spans="1:21">
      <c r="A17" s="29" t="s">
        <v>28</v>
      </c>
      <c r="B17" s="11" t="s">
        <v>29</v>
      </c>
      <c r="C17" s="29" t="s">
        <v>30</v>
      </c>
      <c r="D17" s="11" t="s">
        <v>144</v>
      </c>
      <c r="E17" s="37">
        <v>259.2</v>
      </c>
      <c r="F17" s="38">
        <f>SUM(E17/100)</f>
        <v>2.5920000000000001</v>
      </c>
      <c r="G17" s="38">
        <v>287.83999999999997</v>
      </c>
      <c r="H17" s="39">
        <f t="shared" si="0"/>
        <v>0.74608127999999996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f>F17*G17</f>
        <v>746.08127999999999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f t="shared" si="1"/>
        <v>746.08127999999999</v>
      </c>
    </row>
    <row r="18" spans="1:21">
      <c r="A18" s="29" t="s">
        <v>31</v>
      </c>
      <c r="B18" s="11" t="s">
        <v>32</v>
      </c>
      <c r="C18" s="29" t="s">
        <v>30</v>
      </c>
      <c r="D18" s="11" t="s">
        <v>144</v>
      </c>
      <c r="E18" s="42">
        <v>24.15</v>
      </c>
      <c r="F18" s="38">
        <f>SUM(E18/100)</f>
        <v>0.24149999999999999</v>
      </c>
      <c r="G18" s="38">
        <v>47.34</v>
      </c>
      <c r="H18" s="39">
        <f t="shared" si="0"/>
        <v>1.1432610000000001E-2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f>F18*G18</f>
        <v>11.43261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f t="shared" si="1"/>
        <v>11.43261</v>
      </c>
    </row>
    <row r="19" spans="1:21">
      <c r="A19" s="29" t="s">
        <v>33</v>
      </c>
      <c r="B19" s="11" t="s">
        <v>34</v>
      </c>
      <c r="C19" s="29" t="s">
        <v>30</v>
      </c>
      <c r="D19" s="11" t="s">
        <v>145</v>
      </c>
      <c r="E19" s="37">
        <v>10</v>
      </c>
      <c r="F19" s="38">
        <f>E19/100</f>
        <v>0.1</v>
      </c>
      <c r="G19" s="38">
        <v>416.62</v>
      </c>
      <c r="H19" s="39">
        <f t="shared" si="0"/>
        <v>4.1662000000000005E-2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f>F19*G19</f>
        <v>41.662000000000006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f t="shared" si="1"/>
        <v>41.662000000000006</v>
      </c>
    </row>
    <row r="20" spans="1:21" ht="25.5">
      <c r="A20" s="29" t="s">
        <v>146</v>
      </c>
      <c r="B20" s="11" t="s">
        <v>147</v>
      </c>
      <c r="C20" s="29" t="s">
        <v>30</v>
      </c>
      <c r="D20" s="11" t="s">
        <v>49</v>
      </c>
      <c r="E20" s="37">
        <v>9.5</v>
      </c>
      <c r="F20" s="38">
        <f>E20/100</f>
        <v>9.5000000000000001E-2</v>
      </c>
      <c r="G20" s="38">
        <v>231.03</v>
      </c>
      <c r="H20" s="39">
        <f>G20*F20/1000</f>
        <v>2.1947849999999998E-2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f>F20*G20</f>
        <v>21.947849999999999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f t="shared" si="1"/>
        <v>21.947849999999999</v>
      </c>
    </row>
    <row r="21" spans="1:21">
      <c r="A21" s="29" t="s">
        <v>35</v>
      </c>
      <c r="B21" s="11" t="s">
        <v>36</v>
      </c>
      <c r="C21" s="29" t="s">
        <v>30</v>
      </c>
      <c r="D21" s="11" t="s">
        <v>144</v>
      </c>
      <c r="E21" s="37">
        <v>4.25</v>
      </c>
      <c r="F21" s="38">
        <f>SUM(E21/100)</f>
        <v>4.2500000000000003E-2</v>
      </c>
      <c r="G21" s="38">
        <v>556.74</v>
      </c>
      <c r="H21" s="39">
        <f t="shared" si="0"/>
        <v>2.3661450000000001E-2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f>F21*G21</f>
        <v>23.661450000000002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f t="shared" si="1"/>
        <v>23.661450000000002</v>
      </c>
    </row>
    <row r="22" spans="1:21" s="20" customFormat="1">
      <c r="A22" s="43"/>
      <c r="B22" s="21" t="s">
        <v>37</v>
      </c>
      <c r="C22" s="44"/>
      <c r="D22" s="21"/>
      <c r="E22" s="45"/>
      <c r="F22" s="46"/>
      <c r="G22" s="46"/>
      <c r="H22" s="47">
        <f>SUM(H11:H21)</f>
        <v>66.582612017999992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>SUM(U11:U21)</f>
        <v>66576.374207999994</v>
      </c>
    </row>
    <row r="23" spans="1:21">
      <c r="A23" s="29"/>
      <c r="B23" s="13" t="s">
        <v>38</v>
      </c>
      <c r="C23" s="29"/>
      <c r="D23" s="11"/>
      <c r="E23" s="37"/>
      <c r="F23" s="38"/>
      <c r="G23" s="38"/>
      <c r="H23" s="39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</row>
    <row r="24" spans="1:21" ht="25.5" customHeight="1">
      <c r="A24" s="29" t="s">
        <v>39</v>
      </c>
      <c r="B24" s="11" t="s">
        <v>40</v>
      </c>
      <c r="C24" s="29" t="s">
        <v>41</v>
      </c>
      <c r="D24" s="11" t="s">
        <v>42</v>
      </c>
      <c r="E24" s="38">
        <v>331.9</v>
      </c>
      <c r="F24" s="38">
        <f>SUM(E24*52/1000)</f>
        <v>17.258800000000001</v>
      </c>
      <c r="G24" s="38">
        <v>166.65</v>
      </c>
      <c r="H24" s="39">
        <f t="shared" ref="H24:H32" si="2">SUM(F24*G24/1000)</f>
        <v>2.8761790199999999</v>
      </c>
      <c r="I24" s="40">
        <v>0</v>
      </c>
      <c r="J24" s="40">
        <v>0</v>
      </c>
      <c r="K24" s="40">
        <v>0</v>
      </c>
      <c r="L24" s="40">
        <v>0</v>
      </c>
      <c r="M24" s="40">
        <f>F24/6*G24</f>
        <v>479.36317000000008</v>
      </c>
      <c r="N24" s="40">
        <f>F24/6*G24</f>
        <v>479.36317000000008</v>
      </c>
      <c r="O24" s="40">
        <f>F24/6*G24</f>
        <v>479.36317000000008</v>
      </c>
      <c r="P24" s="40">
        <f>F24/6*G24</f>
        <v>479.36317000000008</v>
      </c>
      <c r="Q24" s="40">
        <f>F24/6*G24</f>
        <v>479.36317000000008</v>
      </c>
      <c r="R24" s="40">
        <f>F24/6*G24</f>
        <v>479.36317000000008</v>
      </c>
      <c r="S24" s="40">
        <v>0</v>
      </c>
      <c r="T24" s="40">
        <v>0</v>
      </c>
      <c r="U24" s="40">
        <f t="shared" ref="U24:U32" si="3">SUM(I24:T24)</f>
        <v>2876.1790200000005</v>
      </c>
    </row>
    <row r="25" spans="1:21" ht="38.25" customHeight="1">
      <c r="A25" s="29" t="s">
        <v>43</v>
      </c>
      <c r="B25" s="11" t="s">
        <v>44</v>
      </c>
      <c r="C25" s="29" t="s">
        <v>45</v>
      </c>
      <c r="D25" s="11" t="s">
        <v>46</v>
      </c>
      <c r="E25" s="38">
        <v>115.82</v>
      </c>
      <c r="F25" s="38">
        <f>SUM(E25*78/1000)</f>
        <v>9.0339599999999987</v>
      </c>
      <c r="G25" s="38">
        <v>276.48</v>
      </c>
      <c r="H25" s="39">
        <f t="shared" si="2"/>
        <v>2.4977092607999998</v>
      </c>
      <c r="I25" s="40">
        <v>0</v>
      </c>
      <c r="J25" s="40">
        <v>0</v>
      </c>
      <c r="K25" s="40">
        <v>0</v>
      </c>
      <c r="L25" s="40">
        <v>0</v>
      </c>
      <c r="M25" s="40">
        <f>F25/6*G25</f>
        <v>416.28487679999995</v>
      </c>
      <c r="N25" s="40">
        <f>F25/6*G25</f>
        <v>416.28487679999995</v>
      </c>
      <c r="O25" s="40">
        <f>F25/6*G25</f>
        <v>416.28487679999995</v>
      </c>
      <c r="P25" s="40">
        <f>F25/6*G25</f>
        <v>416.28487679999995</v>
      </c>
      <c r="Q25" s="40">
        <f>F25/6*G25</f>
        <v>416.28487679999995</v>
      </c>
      <c r="R25" s="40">
        <f>F25/6*G25</f>
        <v>416.28487679999995</v>
      </c>
      <c r="S25" s="40">
        <v>0</v>
      </c>
      <c r="T25" s="40">
        <v>0</v>
      </c>
      <c r="U25" s="40">
        <f t="shared" si="3"/>
        <v>2497.7092607999998</v>
      </c>
    </row>
    <row r="26" spans="1:21">
      <c r="A26" s="29" t="s">
        <v>47</v>
      </c>
      <c r="B26" s="11" t="s">
        <v>48</v>
      </c>
      <c r="C26" s="29" t="s">
        <v>45</v>
      </c>
      <c r="D26" s="11" t="s">
        <v>49</v>
      </c>
      <c r="E26" s="38">
        <v>331.9</v>
      </c>
      <c r="F26" s="38">
        <f>SUM(E26/1000)</f>
        <v>0.33189999999999997</v>
      </c>
      <c r="G26" s="38">
        <v>3228.73</v>
      </c>
      <c r="H26" s="39">
        <f t="shared" si="2"/>
        <v>1.0716154870000001</v>
      </c>
      <c r="I26" s="40">
        <v>0</v>
      </c>
      <c r="J26" s="40">
        <v>0</v>
      </c>
      <c r="K26" s="40">
        <v>0</v>
      </c>
      <c r="L26" s="40">
        <v>0</v>
      </c>
      <c r="M26" s="40">
        <f>F26*G26</f>
        <v>1071.615487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f t="shared" si="3"/>
        <v>1071.615487</v>
      </c>
    </row>
    <row r="27" spans="1:21">
      <c r="A27" s="29" t="s">
        <v>166</v>
      </c>
      <c r="B27" s="11" t="s">
        <v>167</v>
      </c>
      <c r="C27" s="29" t="s">
        <v>98</v>
      </c>
      <c r="D27" s="11" t="s">
        <v>53</v>
      </c>
      <c r="E27" s="38">
        <v>2</v>
      </c>
      <c r="F27" s="38">
        <v>3.1</v>
      </c>
      <c r="G27" s="38">
        <v>1391.86</v>
      </c>
      <c r="H27" s="39">
        <f>F27*G27/1000</f>
        <v>4.3147659999999997</v>
      </c>
      <c r="I27" s="40">
        <v>0</v>
      </c>
      <c r="J27" s="40">
        <v>0</v>
      </c>
      <c r="K27" s="40">
        <v>0</v>
      </c>
      <c r="L27" s="40">
        <v>0</v>
      </c>
      <c r="M27" s="40">
        <f>F27/6*G27</f>
        <v>719.12766666666664</v>
      </c>
      <c r="N27" s="40">
        <f>F27/6*G27</f>
        <v>719.12766666666664</v>
      </c>
      <c r="O27" s="40">
        <f>F27/6*G27</f>
        <v>719.12766666666664</v>
      </c>
      <c r="P27" s="40">
        <f>F27/6*G27</f>
        <v>719.12766666666664</v>
      </c>
      <c r="Q27" s="40">
        <f>F27/6*G27</f>
        <v>719.12766666666664</v>
      </c>
      <c r="R27" s="40">
        <f>F27/6*G27</f>
        <v>719.12766666666664</v>
      </c>
      <c r="S27" s="40">
        <v>0</v>
      </c>
      <c r="T27" s="40">
        <v>0</v>
      </c>
      <c r="U27" s="40">
        <f t="shared" si="3"/>
        <v>4314.7659999999996</v>
      </c>
    </row>
    <row r="28" spans="1:21">
      <c r="A28" s="29" t="s">
        <v>50</v>
      </c>
      <c r="B28" s="11" t="s">
        <v>51</v>
      </c>
      <c r="C28" s="29" t="s">
        <v>52</v>
      </c>
      <c r="D28" s="11" t="s">
        <v>53</v>
      </c>
      <c r="E28" s="50">
        <v>0.33333333333333331</v>
      </c>
      <c r="F28" s="38">
        <f>155/3</f>
        <v>51.666666666666664</v>
      </c>
      <c r="G28" s="38">
        <v>60.6</v>
      </c>
      <c r="H28" s="39">
        <f>SUM(G28*155/3/1000)</f>
        <v>3.1309999999999998</v>
      </c>
      <c r="I28" s="40">
        <v>0</v>
      </c>
      <c r="J28" s="40">
        <v>0</v>
      </c>
      <c r="K28" s="40">
        <v>0</v>
      </c>
      <c r="L28" s="40">
        <v>0</v>
      </c>
      <c r="M28" s="40">
        <f>F28/6*G28</f>
        <v>521.83333333333337</v>
      </c>
      <c r="N28" s="40">
        <f>F28/6*G28</f>
        <v>521.83333333333337</v>
      </c>
      <c r="O28" s="40">
        <f>F28/6*G28</f>
        <v>521.83333333333337</v>
      </c>
      <c r="P28" s="40">
        <f>F28/6*G28</f>
        <v>521.83333333333337</v>
      </c>
      <c r="Q28" s="40">
        <f>F28/6*G28</f>
        <v>521.83333333333337</v>
      </c>
      <c r="R28" s="40">
        <f>F28/6*G28</f>
        <v>521.83333333333337</v>
      </c>
      <c r="S28" s="40">
        <v>0</v>
      </c>
      <c r="T28" s="40">
        <v>0</v>
      </c>
      <c r="U28" s="40">
        <f t="shared" si="3"/>
        <v>3131.0000000000005</v>
      </c>
    </row>
    <row r="29" spans="1:21" ht="12.75" customHeight="1">
      <c r="A29" s="29" t="s">
        <v>54</v>
      </c>
      <c r="B29" s="11" t="s">
        <v>55</v>
      </c>
      <c r="C29" s="29" t="s">
        <v>56</v>
      </c>
      <c r="D29" s="11" t="s">
        <v>57</v>
      </c>
      <c r="E29" s="51">
        <v>0.1</v>
      </c>
      <c r="F29" s="38">
        <f>SUM(E29*365)</f>
        <v>36.5</v>
      </c>
      <c r="G29" s="38">
        <v>157.18</v>
      </c>
      <c r="H29" s="39">
        <f t="shared" si="2"/>
        <v>5.737070000000001</v>
      </c>
      <c r="I29" s="40">
        <f>F29/12*G29</f>
        <v>478.08916666666664</v>
      </c>
      <c r="J29" s="40">
        <f>F29/12*G29</f>
        <v>478.08916666666664</v>
      </c>
      <c r="K29" s="40">
        <f>F29/12*G29</f>
        <v>478.08916666666664</v>
      </c>
      <c r="L29" s="40">
        <f>F29/12*G29</f>
        <v>478.08916666666664</v>
      </c>
      <c r="M29" s="40">
        <f>F29/12*G29</f>
        <v>478.08916666666664</v>
      </c>
      <c r="N29" s="40">
        <f>F29/12*G29</f>
        <v>478.08916666666664</v>
      </c>
      <c r="O29" s="40">
        <f>F29/12*G29</f>
        <v>478.08916666666664</v>
      </c>
      <c r="P29" s="40">
        <f>F29/12*G29</f>
        <v>478.08916666666664</v>
      </c>
      <c r="Q29" s="40">
        <f>F29/12*G29</f>
        <v>478.08916666666664</v>
      </c>
      <c r="R29" s="40">
        <f>F29/12*G29</f>
        <v>478.08916666666664</v>
      </c>
      <c r="S29" s="40">
        <f>F29/12*G29</f>
        <v>478.08916666666664</v>
      </c>
      <c r="T29" s="40">
        <f>F29/12*G29</f>
        <v>478.08916666666664</v>
      </c>
      <c r="U29" s="40">
        <f t="shared" si="3"/>
        <v>5737.07</v>
      </c>
    </row>
    <row r="30" spans="1:21" ht="12.75" customHeight="1">
      <c r="A30" s="29" t="s">
        <v>59</v>
      </c>
      <c r="B30" s="11" t="s">
        <v>60</v>
      </c>
      <c r="C30" s="29" t="s">
        <v>56</v>
      </c>
      <c r="D30" s="11" t="s">
        <v>58</v>
      </c>
      <c r="E30" s="37"/>
      <c r="F30" s="38">
        <v>3</v>
      </c>
      <c r="G30" s="38">
        <v>204.52</v>
      </c>
      <c r="H30" s="39">
        <f t="shared" si="2"/>
        <v>0.61356000000000011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f t="shared" si="3"/>
        <v>0</v>
      </c>
    </row>
    <row r="31" spans="1:21" ht="13.5" customHeight="1">
      <c r="A31" s="29" t="s">
        <v>61</v>
      </c>
      <c r="B31" s="11" t="s">
        <v>62</v>
      </c>
      <c r="C31" s="29" t="s">
        <v>63</v>
      </c>
      <c r="D31" s="11" t="s">
        <v>58</v>
      </c>
      <c r="E31" s="37"/>
      <c r="F31" s="38">
        <v>2</v>
      </c>
      <c r="G31" s="38">
        <v>1214.74</v>
      </c>
      <c r="H31" s="39">
        <f t="shared" si="2"/>
        <v>2.4294799999999999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f t="shared" si="3"/>
        <v>0</v>
      </c>
    </row>
    <row r="32" spans="1:21">
      <c r="A32" s="29"/>
      <c r="B32" s="52" t="s">
        <v>64</v>
      </c>
      <c r="C32" s="29" t="s">
        <v>65</v>
      </c>
      <c r="D32" s="52" t="s">
        <v>66</v>
      </c>
      <c r="E32" s="37">
        <v>2135.1999999999998</v>
      </c>
      <c r="F32" s="38">
        <f>SUM(E32*12)</f>
        <v>25622.399999999998</v>
      </c>
      <c r="G32" s="38">
        <v>6.15</v>
      </c>
      <c r="H32" s="39">
        <f t="shared" si="2"/>
        <v>157.57776000000001</v>
      </c>
      <c r="I32" s="40">
        <f>F32/12*G32</f>
        <v>13131.48</v>
      </c>
      <c r="J32" s="40">
        <f>F32/12*G32</f>
        <v>13131.48</v>
      </c>
      <c r="K32" s="40">
        <f>F32/12*G32</f>
        <v>13131.48</v>
      </c>
      <c r="L32" s="40">
        <f>F32/12*G32</f>
        <v>13131.48</v>
      </c>
      <c r="M32" s="40">
        <f>F32/12*G32</f>
        <v>13131.48</v>
      </c>
      <c r="N32" s="40">
        <f>F32/12*G32</f>
        <v>13131.48</v>
      </c>
      <c r="O32" s="40">
        <f>F32/12*G32</f>
        <v>13131.48</v>
      </c>
      <c r="P32" s="40">
        <f>F32/12*G32</f>
        <v>13131.48</v>
      </c>
      <c r="Q32" s="40">
        <f>F32/12*G32</f>
        <v>13131.48</v>
      </c>
      <c r="R32" s="40">
        <f>F32/12*G32</f>
        <v>13131.48</v>
      </c>
      <c r="S32" s="40">
        <f>F32/12*G32</f>
        <v>13131.48</v>
      </c>
      <c r="T32" s="40">
        <f>F32/12*G32</f>
        <v>13131.48</v>
      </c>
      <c r="U32" s="40">
        <f t="shared" si="3"/>
        <v>157577.76</v>
      </c>
    </row>
    <row r="33" spans="1:21" s="20" customFormat="1">
      <c r="A33" s="43"/>
      <c r="B33" s="21" t="s">
        <v>37</v>
      </c>
      <c r="C33" s="44"/>
      <c r="D33" s="21"/>
      <c r="E33" s="45"/>
      <c r="F33" s="46"/>
      <c r="G33" s="46"/>
      <c r="H33" s="53">
        <f>SUM(H24:H32)</f>
        <v>180.24913976780002</v>
      </c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>SUM(U24:U32)</f>
        <v>177206.09976780001</v>
      </c>
    </row>
    <row r="34" spans="1:21">
      <c r="A34" s="29"/>
      <c r="B34" s="13" t="s">
        <v>67</v>
      </c>
      <c r="C34" s="29"/>
      <c r="D34" s="11"/>
      <c r="E34" s="37"/>
      <c r="F34" s="38"/>
      <c r="G34" s="38"/>
      <c r="H34" s="39" t="s">
        <v>66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</row>
    <row r="35" spans="1:21" ht="25.5">
      <c r="A35" s="29" t="s">
        <v>61</v>
      </c>
      <c r="B35" s="14" t="s">
        <v>68</v>
      </c>
      <c r="C35" s="29" t="s">
        <v>63</v>
      </c>
      <c r="D35" s="11"/>
      <c r="E35" s="37"/>
      <c r="F35" s="38">
        <v>8</v>
      </c>
      <c r="G35" s="38">
        <v>1632.6</v>
      </c>
      <c r="H35" s="39">
        <f t="shared" ref="H35:H40" si="4">SUM(F35*G35/1000)</f>
        <v>13.060799999999999</v>
      </c>
      <c r="I35" s="40">
        <f t="shared" ref="I35:I40" si="5">F35/6*G35</f>
        <v>2176.7999999999997</v>
      </c>
      <c r="J35" s="40">
        <f t="shared" ref="J35:J40" si="6">F35/6*G35</f>
        <v>2176.7999999999997</v>
      </c>
      <c r="K35" s="40">
        <f t="shared" ref="K35:K40" si="7">F35/6*G35</f>
        <v>2176.7999999999997</v>
      </c>
      <c r="L35" s="40">
        <f t="shared" ref="L35:L40" si="8">F35/6*G35</f>
        <v>2176.7999999999997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f t="shared" ref="S35:S40" si="9">F35/6*G35</f>
        <v>2176.7999999999997</v>
      </c>
      <c r="T35" s="40">
        <f t="shared" ref="T35:T40" si="10">F35/6*G35</f>
        <v>2176.7999999999997</v>
      </c>
      <c r="U35" s="40">
        <f t="shared" ref="U35:U40" si="11">SUM(I35:T35)</f>
        <v>13060.799999999997</v>
      </c>
    </row>
    <row r="36" spans="1:21" ht="25.5">
      <c r="A36" s="55" t="s">
        <v>69</v>
      </c>
      <c r="B36" s="14" t="s">
        <v>151</v>
      </c>
      <c r="C36" s="55" t="s">
        <v>70</v>
      </c>
      <c r="D36" s="11" t="s">
        <v>152</v>
      </c>
      <c r="E36" s="37">
        <v>115.82</v>
      </c>
      <c r="F36" s="54">
        <f>E36*30/1000</f>
        <v>3.4745999999999997</v>
      </c>
      <c r="G36" s="38">
        <v>2247.8000000000002</v>
      </c>
      <c r="H36" s="39">
        <f>G36*F36/1000</f>
        <v>7.8102058799999998</v>
      </c>
      <c r="I36" s="40">
        <f t="shared" si="5"/>
        <v>1301.7009800000001</v>
      </c>
      <c r="J36" s="40">
        <f t="shared" si="6"/>
        <v>1301.7009800000001</v>
      </c>
      <c r="K36" s="40">
        <f t="shared" si="7"/>
        <v>1301.7009800000001</v>
      </c>
      <c r="L36" s="40">
        <f t="shared" si="8"/>
        <v>1301.7009800000001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f t="shared" si="9"/>
        <v>1301.7009800000001</v>
      </c>
      <c r="T36" s="40">
        <f t="shared" si="10"/>
        <v>1301.7009800000001</v>
      </c>
      <c r="U36" s="40">
        <f t="shared" si="11"/>
        <v>7810.2058799999995</v>
      </c>
    </row>
    <row r="37" spans="1:21" ht="24.75" customHeight="1">
      <c r="A37" s="29" t="s">
        <v>71</v>
      </c>
      <c r="B37" s="11" t="s">
        <v>72</v>
      </c>
      <c r="C37" s="29" t="s">
        <v>70</v>
      </c>
      <c r="D37" s="11" t="s">
        <v>73</v>
      </c>
      <c r="E37" s="38">
        <v>115.82</v>
      </c>
      <c r="F37" s="54">
        <f>SUM(E37*155/1000)</f>
        <v>17.952099999999998</v>
      </c>
      <c r="G37" s="38">
        <v>374.95</v>
      </c>
      <c r="H37" s="39">
        <f t="shared" si="4"/>
        <v>6.7311398949999992</v>
      </c>
      <c r="I37" s="40">
        <f t="shared" si="5"/>
        <v>1121.8566491666666</v>
      </c>
      <c r="J37" s="40">
        <f t="shared" si="6"/>
        <v>1121.8566491666666</v>
      </c>
      <c r="K37" s="40">
        <f t="shared" si="7"/>
        <v>1121.8566491666666</v>
      </c>
      <c r="L37" s="40">
        <f t="shared" si="8"/>
        <v>1121.8566491666666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f t="shared" si="9"/>
        <v>1121.8566491666666</v>
      </c>
      <c r="T37" s="40">
        <f t="shared" si="10"/>
        <v>1121.8566491666666</v>
      </c>
      <c r="U37" s="40">
        <f t="shared" si="11"/>
        <v>6731.1398949999984</v>
      </c>
    </row>
    <row r="38" spans="1:21" ht="51" customHeight="1">
      <c r="A38" s="29" t="s">
        <v>74</v>
      </c>
      <c r="B38" s="11" t="s">
        <v>75</v>
      </c>
      <c r="C38" s="29" t="s">
        <v>45</v>
      </c>
      <c r="D38" s="11" t="s">
        <v>168</v>
      </c>
      <c r="E38" s="38">
        <v>40</v>
      </c>
      <c r="F38" s="54">
        <f>SUM(E38*35/1000)</f>
        <v>1.4</v>
      </c>
      <c r="G38" s="38">
        <v>6203.7</v>
      </c>
      <c r="H38" s="39">
        <f t="shared" si="4"/>
        <v>8.685179999999999</v>
      </c>
      <c r="I38" s="40">
        <f t="shared" si="5"/>
        <v>1447.5299999999997</v>
      </c>
      <c r="J38" s="40">
        <f t="shared" si="6"/>
        <v>1447.5299999999997</v>
      </c>
      <c r="K38" s="40">
        <f t="shared" si="7"/>
        <v>1447.5299999999997</v>
      </c>
      <c r="L38" s="40">
        <f t="shared" si="8"/>
        <v>1447.5299999999997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f t="shared" si="9"/>
        <v>1447.5299999999997</v>
      </c>
      <c r="T38" s="40">
        <f t="shared" si="10"/>
        <v>1447.5299999999997</v>
      </c>
      <c r="U38" s="40">
        <f t="shared" si="11"/>
        <v>8685.1799999999985</v>
      </c>
    </row>
    <row r="39" spans="1:21" ht="12.75" customHeight="1">
      <c r="A39" s="29" t="s">
        <v>76</v>
      </c>
      <c r="B39" s="11" t="s">
        <v>77</v>
      </c>
      <c r="C39" s="29" t="s">
        <v>45</v>
      </c>
      <c r="D39" s="11" t="s">
        <v>78</v>
      </c>
      <c r="E39" s="38">
        <v>115.82</v>
      </c>
      <c r="F39" s="54">
        <f>SUM(E39*45/1000)</f>
        <v>5.2119</v>
      </c>
      <c r="G39" s="38">
        <v>458.28</v>
      </c>
      <c r="H39" s="39">
        <f t="shared" si="4"/>
        <v>2.388509532</v>
      </c>
      <c r="I39" s="40">
        <f t="shared" si="5"/>
        <v>398.08492200000001</v>
      </c>
      <c r="J39" s="40">
        <f t="shared" si="6"/>
        <v>398.08492200000001</v>
      </c>
      <c r="K39" s="40">
        <f t="shared" si="7"/>
        <v>398.08492200000001</v>
      </c>
      <c r="L39" s="40">
        <f t="shared" si="8"/>
        <v>398.08492200000001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f t="shared" si="9"/>
        <v>398.08492200000001</v>
      </c>
      <c r="T39" s="40">
        <f t="shared" si="10"/>
        <v>398.08492200000001</v>
      </c>
      <c r="U39" s="40">
        <f t="shared" si="11"/>
        <v>2388.509532</v>
      </c>
    </row>
    <row r="40" spans="1:21" s="1" customFormat="1">
      <c r="A40" s="55"/>
      <c r="B40" s="14" t="s">
        <v>79</v>
      </c>
      <c r="C40" s="55" t="s">
        <v>56</v>
      </c>
      <c r="D40" s="14"/>
      <c r="E40" s="51"/>
      <c r="F40" s="54">
        <v>0.5</v>
      </c>
      <c r="G40" s="54">
        <v>853.06</v>
      </c>
      <c r="H40" s="39">
        <f t="shared" si="4"/>
        <v>0.42652999999999996</v>
      </c>
      <c r="I40" s="56">
        <f t="shared" si="5"/>
        <v>71.088333333333324</v>
      </c>
      <c r="J40" s="56">
        <f t="shared" si="6"/>
        <v>71.088333333333324</v>
      </c>
      <c r="K40" s="56">
        <f t="shared" si="7"/>
        <v>71.088333333333324</v>
      </c>
      <c r="L40" s="56">
        <f t="shared" si="8"/>
        <v>71.088333333333324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f t="shared" si="9"/>
        <v>71.088333333333324</v>
      </c>
      <c r="T40" s="56">
        <f t="shared" si="10"/>
        <v>71.088333333333324</v>
      </c>
      <c r="U40" s="40">
        <f t="shared" si="11"/>
        <v>426.52999999999992</v>
      </c>
    </row>
    <row r="41" spans="1:21" s="20" customFormat="1">
      <c r="A41" s="43"/>
      <c r="B41" s="21" t="s">
        <v>37</v>
      </c>
      <c r="C41" s="44"/>
      <c r="D41" s="21"/>
      <c r="E41" s="45"/>
      <c r="F41" s="46" t="s">
        <v>66</v>
      </c>
      <c r="G41" s="46"/>
      <c r="H41" s="53">
        <f>SUM(H35:H40)</f>
        <v>39.102365306999999</v>
      </c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>
        <f>SUM(U35:U40)</f>
        <v>39102.365307</v>
      </c>
    </row>
    <row r="42" spans="1:21">
      <c r="A42" s="29"/>
      <c r="B42" s="15" t="s">
        <v>80</v>
      </c>
      <c r="C42" s="29"/>
      <c r="D42" s="11"/>
      <c r="E42" s="37"/>
      <c r="F42" s="38"/>
      <c r="G42" s="38"/>
      <c r="H42" s="39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</row>
    <row r="43" spans="1:21">
      <c r="A43" s="29" t="s">
        <v>158</v>
      </c>
      <c r="B43" s="11" t="s">
        <v>159</v>
      </c>
      <c r="C43" s="29" t="s">
        <v>45</v>
      </c>
      <c r="D43" s="11" t="s">
        <v>81</v>
      </c>
      <c r="E43" s="37">
        <v>838.88</v>
      </c>
      <c r="F43" s="38">
        <f>SUM(E43*2/1000)</f>
        <v>1.6777599999999999</v>
      </c>
      <c r="G43" s="57">
        <v>865.61</v>
      </c>
      <c r="H43" s="39">
        <f t="shared" ref="H43:H52" si="12">SUM(F43*G43/1000)</f>
        <v>1.4522858336</v>
      </c>
      <c r="I43" s="40">
        <v>0</v>
      </c>
      <c r="J43" s="40">
        <v>0</v>
      </c>
      <c r="K43" s="40">
        <v>0</v>
      </c>
      <c r="L43" s="40">
        <f>F43/2*G43</f>
        <v>726.14291679999997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f>F43/2*G43</f>
        <v>726.14291679999997</v>
      </c>
      <c r="S43" s="40">
        <v>0</v>
      </c>
      <c r="T43" s="40">
        <v>0</v>
      </c>
      <c r="U43" s="40">
        <f t="shared" ref="U43:U52" si="13">SUM(I43:T43)</f>
        <v>1452.2858335999999</v>
      </c>
    </row>
    <row r="44" spans="1:21">
      <c r="A44" s="29" t="s">
        <v>82</v>
      </c>
      <c r="B44" s="11" t="s">
        <v>83</v>
      </c>
      <c r="C44" s="29" t="s">
        <v>45</v>
      </c>
      <c r="D44" s="11" t="s">
        <v>81</v>
      </c>
      <c r="E44" s="37">
        <v>26</v>
      </c>
      <c r="F44" s="38">
        <f>E44*2/1000</f>
        <v>5.1999999999999998E-2</v>
      </c>
      <c r="G44" s="57">
        <v>619.46</v>
      </c>
      <c r="H44" s="39">
        <f t="shared" si="12"/>
        <v>3.2211919999999998E-2</v>
      </c>
      <c r="I44" s="40">
        <v>0</v>
      </c>
      <c r="J44" s="40">
        <v>0</v>
      </c>
      <c r="K44" s="40">
        <v>0</v>
      </c>
      <c r="L44" s="40">
        <f>F44/2*G44</f>
        <v>16.10596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f>F44/2*G44</f>
        <v>16.10596</v>
      </c>
      <c r="S44" s="40">
        <v>0</v>
      </c>
      <c r="T44" s="40">
        <v>0</v>
      </c>
      <c r="U44" s="40">
        <f t="shared" si="13"/>
        <v>32.211919999999999</v>
      </c>
    </row>
    <row r="45" spans="1:21" ht="25.5">
      <c r="A45" s="29" t="s">
        <v>84</v>
      </c>
      <c r="B45" s="11" t="s">
        <v>85</v>
      </c>
      <c r="C45" s="29" t="s">
        <v>45</v>
      </c>
      <c r="D45" s="11" t="s">
        <v>81</v>
      </c>
      <c r="E45" s="37">
        <v>879</v>
      </c>
      <c r="F45" s="38">
        <f>SUM(E45*2/1000)</f>
        <v>1.758</v>
      </c>
      <c r="G45" s="57">
        <v>619.46</v>
      </c>
      <c r="H45" s="39">
        <f t="shared" si="12"/>
        <v>1.0890106800000001</v>
      </c>
      <c r="I45" s="40">
        <v>0</v>
      </c>
      <c r="J45" s="40">
        <v>0</v>
      </c>
      <c r="K45" s="40">
        <v>0</v>
      </c>
      <c r="L45" s="40">
        <f>F45/2*G45</f>
        <v>544.50534000000005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f>F45/2*G45</f>
        <v>544.50534000000005</v>
      </c>
      <c r="S45" s="40">
        <v>0</v>
      </c>
      <c r="T45" s="40">
        <v>0</v>
      </c>
      <c r="U45" s="40">
        <f t="shared" si="13"/>
        <v>1089.0106800000001</v>
      </c>
    </row>
    <row r="46" spans="1:21">
      <c r="A46" s="29" t="s">
        <v>86</v>
      </c>
      <c r="B46" s="11" t="s">
        <v>87</v>
      </c>
      <c r="C46" s="29" t="s">
        <v>45</v>
      </c>
      <c r="D46" s="11" t="s">
        <v>81</v>
      </c>
      <c r="E46" s="37">
        <v>1490.75</v>
      </c>
      <c r="F46" s="38">
        <f>SUM(E46*2/1000)</f>
        <v>2.9815</v>
      </c>
      <c r="G46" s="57">
        <v>648.64</v>
      </c>
      <c r="H46" s="39">
        <f t="shared" si="12"/>
        <v>1.93392016</v>
      </c>
      <c r="I46" s="40">
        <v>0</v>
      </c>
      <c r="J46" s="40">
        <v>0</v>
      </c>
      <c r="K46" s="40">
        <v>0</v>
      </c>
      <c r="L46" s="40">
        <f>F46/2*G46</f>
        <v>966.96007999999995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f>F46/2*G46</f>
        <v>966.96007999999995</v>
      </c>
      <c r="S46" s="40">
        <v>0</v>
      </c>
      <c r="T46" s="40">
        <v>0</v>
      </c>
      <c r="U46" s="40">
        <f t="shared" si="13"/>
        <v>1933.9201599999999</v>
      </c>
    </row>
    <row r="47" spans="1:21">
      <c r="A47" s="29" t="s">
        <v>160</v>
      </c>
      <c r="B47" s="11" t="s">
        <v>161</v>
      </c>
      <c r="C47" s="29" t="s">
        <v>162</v>
      </c>
      <c r="D47" s="11" t="s">
        <v>81</v>
      </c>
      <c r="E47" s="37">
        <v>61.04</v>
      </c>
      <c r="F47" s="38">
        <f>SUM(E47*2/100)</f>
        <v>1.2207999999999999</v>
      </c>
      <c r="G47" s="57">
        <v>77.84</v>
      </c>
      <c r="H47" s="39">
        <f t="shared" si="12"/>
        <v>9.502707199999999E-2</v>
      </c>
      <c r="I47" s="40">
        <v>0</v>
      </c>
      <c r="J47" s="40">
        <v>0</v>
      </c>
      <c r="K47" s="40">
        <v>0</v>
      </c>
      <c r="L47" s="40">
        <f>F47/2*G47</f>
        <v>47.513535999999995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f>F47/2*G47</f>
        <v>47.513535999999995</v>
      </c>
      <c r="S47" s="40">
        <v>0</v>
      </c>
      <c r="T47" s="40">
        <v>0</v>
      </c>
      <c r="U47" s="40">
        <f t="shared" si="13"/>
        <v>95.02707199999999</v>
      </c>
    </row>
    <row r="48" spans="1:21" ht="25.5">
      <c r="A48" s="29" t="s">
        <v>88</v>
      </c>
      <c r="B48" s="11" t="s">
        <v>89</v>
      </c>
      <c r="C48" s="29" t="s">
        <v>45</v>
      </c>
      <c r="D48" s="11" t="s">
        <v>90</v>
      </c>
      <c r="E48" s="37">
        <v>1342.2</v>
      </c>
      <c r="F48" s="38">
        <f>SUM(E48*5/1000)</f>
        <v>6.7110000000000003</v>
      </c>
      <c r="G48" s="57">
        <v>1297.28</v>
      </c>
      <c r="H48" s="39">
        <f t="shared" si="12"/>
        <v>8.7060460800000001</v>
      </c>
      <c r="I48" s="40">
        <f>F48/5*G48</f>
        <v>1741.209216</v>
      </c>
      <c r="J48" s="40">
        <f>F48/5*G48</f>
        <v>1741.209216</v>
      </c>
      <c r="K48" s="40">
        <v>0</v>
      </c>
      <c r="L48" s="40">
        <v>0</v>
      </c>
      <c r="M48" s="40">
        <f>F48/5*G48</f>
        <v>1741.209216</v>
      </c>
      <c r="N48" s="40">
        <v>0</v>
      </c>
      <c r="O48" s="40">
        <v>0</v>
      </c>
      <c r="P48" s="40">
        <v>0</v>
      </c>
      <c r="Q48" s="40">
        <f>F48/5*G48</f>
        <v>1741.209216</v>
      </c>
      <c r="R48" s="40">
        <v>0</v>
      </c>
      <c r="S48" s="40">
        <v>0</v>
      </c>
      <c r="T48" s="40">
        <f>F48/5*G48</f>
        <v>1741.209216</v>
      </c>
      <c r="U48" s="40">
        <f t="shared" si="13"/>
        <v>8706.0460800000001</v>
      </c>
    </row>
    <row r="49" spans="1:21" ht="39.6" customHeight="1">
      <c r="A49" s="29" t="s">
        <v>91</v>
      </c>
      <c r="B49" s="11" t="s">
        <v>92</v>
      </c>
      <c r="C49" s="29" t="s">
        <v>45</v>
      </c>
      <c r="D49" s="11" t="s">
        <v>81</v>
      </c>
      <c r="E49" s="37">
        <v>1342.2</v>
      </c>
      <c r="F49" s="38">
        <f>SUM(E49*2/1000)</f>
        <v>2.6844000000000001</v>
      </c>
      <c r="G49" s="57">
        <v>1297.28</v>
      </c>
      <c r="H49" s="39">
        <f t="shared" si="12"/>
        <v>3.4824184319999998</v>
      </c>
      <c r="I49" s="40">
        <v>0</v>
      </c>
      <c r="J49" s="40">
        <v>0</v>
      </c>
      <c r="K49" s="40">
        <v>0</v>
      </c>
      <c r="L49" s="40">
        <v>0</v>
      </c>
      <c r="M49" s="40">
        <f>F49/2*G49</f>
        <v>1741.209216</v>
      </c>
      <c r="N49" s="40">
        <v>0</v>
      </c>
      <c r="O49" s="40">
        <v>0</v>
      </c>
      <c r="P49" s="40">
        <v>0</v>
      </c>
      <c r="Q49" s="40">
        <v>0</v>
      </c>
      <c r="R49" s="40">
        <f>F49/2*G49</f>
        <v>1741.209216</v>
      </c>
      <c r="S49" s="40">
        <v>0</v>
      </c>
      <c r="T49" s="40">
        <v>0</v>
      </c>
      <c r="U49" s="40">
        <f t="shared" si="13"/>
        <v>3482.4184319999999</v>
      </c>
    </row>
    <row r="50" spans="1:21" ht="28.9" customHeight="1">
      <c r="A50" s="29" t="s">
        <v>93</v>
      </c>
      <c r="B50" s="11" t="s">
        <v>94</v>
      </c>
      <c r="C50" s="29" t="s">
        <v>95</v>
      </c>
      <c r="D50" s="11" t="s">
        <v>81</v>
      </c>
      <c r="E50" s="37">
        <v>10</v>
      </c>
      <c r="F50" s="38">
        <f>SUM(E50*2/100)</f>
        <v>0.2</v>
      </c>
      <c r="G50" s="57">
        <v>2918.89</v>
      </c>
      <c r="H50" s="39">
        <f t="shared" si="12"/>
        <v>0.58377800000000002</v>
      </c>
      <c r="I50" s="40">
        <v>0</v>
      </c>
      <c r="J50" s="40">
        <v>0</v>
      </c>
      <c r="K50" s="40">
        <v>0</v>
      </c>
      <c r="L50" s="40">
        <v>0</v>
      </c>
      <c r="M50" s="40">
        <f>F50/2*G50</f>
        <v>291.88900000000001</v>
      </c>
      <c r="N50" s="40">
        <v>0</v>
      </c>
      <c r="O50" s="40">
        <v>0</v>
      </c>
      <c r="P50" s="40">
        <v>0</v>
      </c>
      <c r="Q50" s="40">
        <v>0</v>
      </c>
      <c r="R50" s="40">
        <f>F50/2*G50</f>
        <v>291.88900000000001</v>
      </c>
      <c r="S50" s="40">
        <v>0</v>
      </c>
      <c r="T50" s="40">
        <v>0</v>
      </c>
      <c r="U50" s="40">
        <f t="shared" si="13"/>
        <v>583.77800000000002</v>
      </c>
    </row>
    <row r="51" spans="1:21">
      <c r="A51" s="29" t="s">
        <v>96</v>
      </c>
      <c r="B51" s="11" t="s">
        <v>97</v>
      </c>
      <c r="C51" s="29" t="s">
        <v>98</v>
      </c>
      <c r="D51" s="11" t="s">
        <v>81</v>
      </c>
      <c r="E51" s="37">
        <v>1</v>
      </c>
      <c r="F51" s="38">
        <v>0.02</v>
      </c>
      <c r="G51" s="57">
        <v>6042.12</v>
      </c>
      <c r="H51" s="39">
        <f t="shared" si="12"/>
        <v>0.1208424</v>
      </c>
      <c r="I51" s="40">
        <v>0</v>
      </c>
      <c r="J51" s="40">
        <v>0</v>
      </c>
      <c r="K51" s="40">
        <v>0</v>
      </c>
      <c r="L51" s="40">
        <v>0</v>
      </c>
      <c r="M51" s="40">
        <f>F51/2*G51</f>
        <v>60.421199999999999</v>
      </c>
      <c r="N51" s="40">
        <v>0</v>
      </c>
      <c r="O51" s="40">
        <v>0</v>
      </c>
      <c r="P51" s="40">
        <v>0</v>
      </c>
      <c r="Q51" s="40">
        <v>0</v>
      </c>
      <c r="R51" s="40">
        <f>F51/2*G51</f>
        <v>60.421199999999999</v>
      </c>
      <c r="S51" s="40">
        <v>0</v>
      </c>
      <c r="T51" s="40">
        <v>0</v>
      </c>
      <c r="U51" s="40">
        <f t="shared" si="13"/>
        <v>120.8424</v>
      </c>
    </row>
    <row r="52" spans="1:21" ht="13.5" customHeight="1">
      <c r="A52" s="29" t="s">
        <v>100</v>
      </c>
      <c r="B52" s="11" t="s">
        <v>101</v>
      </c>
      <c r="C52" s="29" t="s">
        <v>99</v>
      </c>
      <c r="D52" s="11" t="s">
        <v>148</v>
      </c>
      <c r="E52" s="37">
        <v>80</v>
      </c>
      <c r="F52" s="38">
        <f>SUM(E52)*3</f>
        <v>240</v>
      </c>
      <c r="G52" s="58">
        <v>70.209999999999994</v>
      </c>
      <c r="H52" s="39">
        <f t="shared" si="12"/>
        <v>16.850399999999997</v>
      </c>
      <c r="I52" s="40">
        <v>0</v>
      </c>
      <c r="J52" s="40">
        <f>E52*G52</f>
        <v>5616.7999999999993</v>
      </c>
      <c r="K52" s="40">
        <v>0</v>
      </c>
      <c r="L52" s="40">
        <f>E52*G52</f>
        <v>5616.7999999999993</v>
      </c>
      <c r="M52" s="40">
        <v>0</v>
      </c>
      <c r="N52" s="40">
        <v>0</v>
      </c>
      <c r="O52" s="40">
        <v>0</v>
      </c>
      <c r="P52" s="40">
        <f>E52*G52</f>
        <v>5616.7999999999993</v>
      </c>
      <c r="Q52" s="40">
        <v>0</v>
      </c>
      <c r="R52" s="40">
        <v>0</v>
      </c>
      <c r="S52" s="40">
        <v>0</v>
      </c>
      <c r="T52" s="40">
        <v>0</v>
      </c>
      <c r="U52" s="40">
        <f t="shared" si="13"/>
        <v>16850.399999999998</v>
      </c>
    </row>
    <row r="53" spans="1:21" s="22" customFormat="1">
      <c r="A53" s="43"/>
      <c r="B53" s="21" t="s">
        <v>37</v>
      </c>
      <c r="C53" s="59"/>
      <c r="D53" s="21"/>
      <c r="E53" s="60"/>
      <c r="F53" s="61"/>
      <c r="G53" s="61"/>
      <c r="H53" s="53">
        <f>SUM(H43:H52)</f>
        <v>34.345940577599997</v>
      </c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>
        <f>SUM(U43:U52)</f>
        <v>34345.940577599991</v>
      </c>
    </row>
    <row r="54" spans="1:21">
      <c r="A54" s="29"/>
      <c r="B54" s="13" t="s">
        <v>102</v>
      </c>
      <c r="C54" s="29"/>
      <c r="D54" s="11"/>
      <c r="E54" s="37"/>
      <c r="F54" s="38"/>
      <c r="G54" s="38"/>
      <c r="H54" s="39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</row>
    <row r="55" spans="1:21" ht="38.25" customHeight="1">
      <c r="A55" s="29" t="s">
        <v>104</v>
      </c>
      <c r="B55" s="11" t="s">
        <v>149</v>
      </c>
      <c r="C55" s="29" t="s">
        <v>14</v>
      </c>
      <c r="D55" s="11" t="s">
        <v>103</v>
      </c>
      <c r="E55" s="37">
        <v>90.76</v>
      </c>
      <c r="F55" s="38">
        <f>SUM(E55*6/100)</f>
        <v>5.4456000000000007</v>
      </c>
      <c r="G55" s="57">
        <v>1654.04</v>
      </c>
      <c r="H55" s="39">
        <f>SUM(F55*G55/1000)</f>
        <v>9.0072402240000002</v>
      </c>
      <c r="I55" s="40">
        <f>F55/6*G55</f>
        <v>1501.2067040000002</v>
      </c>
      <c r="J55" s="40">
        <f>F55/6*G55</f>
        <v>1501.2067040000002</v>
      </c>
      <c r="K55" s="40">
        <f>F55/6*G55</f>
        <v>1501.2067040000002</v>
      </c>
      <c r="L55" s="40">
        <f>F55/6*G55</f>
        <v>1501.2067040000002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f>F55/6*G55</f>
        <v>1501.2067040000002</v>
      </c>
      <c r="T55" s="40">
        <f>F55/6*G55</f>
        <v>1501.2067040000002</v>
      </c>
      <c r="U55" s="40">
        <f>SUM(I55:T55)</f>
        <v>9007.240224000001</v>
      </c>
    </row>
    <row r="56" spans="1:21">
      <c r="A56" s="29"/>
      <c r="B56" s="12" t="s">
        <v>105</v>
      </c>
      <c r="C56" s="29"/>
      <c r="D56" s="11"/>
      <c r="E56" s="37"/>
      <c r="F56" s="38"/>
      <c r="G56" s="63"/>
      <c r="H56" s="39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  <row r="57" spans="1:21">
      <c r="A57" s="29" t="s">
        <v>106</v>
      </c>
      <c r="B57" s="11" t="s">
        <v>150</v>
      </c>
      <c r="C57" s="29" t="s">
        <v>14</v>
      </c>
      <c r="D57" s="11" t="s">
        <v>58</v>
      </c>
      <c r="E57" s="37">
        <v>1342.2</v>
      </c>
      <c r="F57" s="39">
        <f>E57/100</f>
        <v>13.422000000000001</v>
      </c>
      <c r="G57" s="57">
        <v>848.37</v>
      </c>
      <c r="H57" s="64">
        <f>F57*G57/1000</f>
        <v>11.38682214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f>SUM(I57:T57)</f>
        <v>0</v>
      </c>
    </row>
    <row r="58" spans="1:21">
      <c r="A58" s="65"/>
      <c r="B58" s="16" t="s">
        <v>107</v>
      </c>
      <c r="C58" s="65"/>
      <c r="D58" s="66"/>
      <c r="E58" s="67"/>
      <c r="F58" s="68"/>
      <c r="G58" s="68"/>
      <c r="H58" s="69" t="s">
        <v>66</v>
      </c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</row>
    <row r="59" spans="1:21" ht="12.75" customHeight="1">
      <c r="A59" s="70" t="s">
        <v>108</v>
      </c>
      <c r="B59" s="17" t="s">
        <v>109</v>
      </c>
      <c r="C59" s="70" t="s">
        <v>99</v>
      </c>
      <c r="D59" s="8" t="s">
        <v>58</v>
      </c>
      <c r="E59" s="71">
        <v>10</v>
      </c>
      <c r="F59" s="38">
        <v>10</v>
      </c>
      <c r="G59" s="57">
        <v>237.74</v>
      </c>
      <c r="H59" s="72">
        <f t="shared" ref="H59:H72" si="14">SUM(F59*G59/1000)</f>
        <v>2.3774000000000002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f>G59</f>
        <v>237.74</v>
      </c>
      <c r="O59" s="40">
        <f>G59*2</f>
        <v>475.48</v>
      </c>
      <c r="P59" s="40">
        <f>G59*2</f>
        <v>475.48</v>
      </c>
      <c r="Q59" s="40">
        <v>0</v>
      </c>
      <c r="R59" s="40">
        <v>0</v>
      </c>
      <c r="S59" s="40">
        <v>0</v>
      </c>
      <c r="T59" s="40">
        <f>G59</f>
        <v>237.74</v>
      </c>
      <c r="U59" s="40">
        <f t="shared" ref="U59:U66" si="15">SUM(I59:T59)</f>
        <v>1426.44</v>
      </c>
    </row>
    <row r="60" spans="1:21" ht="12.75" customHeight="1">
      <c r="A60" s="70" t="s">
        <v>110</v>
      </c>
      <c r="B60" s="17" t="s">
        <v>111</v>
      </c>
      <c r="C60" s="70" t="s">
        <v>99</v>
      </c>
      <c r="D60" s="8" t="s">
        <v>58</v>
      </c>
      <c r="E60" s="71">
        <v>5</v>
      </c>
      <c r="F60" s="38">
        <v>5</v>
      </c>
      <c r="G60" s="57">
        <v>81.510000000000005</v>
      </c>
      <c r="H60" s="72">
        <f t="shared" si="14"/>
        <v>0.40755000000000002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f t="shared" si="15"/>
        <v>0</v>
      </c>
    </row>
    <row r="61" spans="1:21" s="1" customFormat="1">
      <c r="A61" s="73" t="s">
        <v>112</v>
      </c>
      <c r="B61" s="17" t="s">
        <v>113</v>
      </c>
      <c r="C61" s="73" t="s">
        <v>114</v>
      </c>
      <c r="D61" s="8" t="s">
        <v>49</v>
      </c>
      <c r="E61" s="37">
        <v>10348</v>
      </c>
      <c r="F61" s="58">
        <f>SUM(E61/100)</f>
        <v>103.48</v>
      </c>
      <c r="G61" s="57">
        <v>226.79</v>
      </c>
      <c r="H61" s="72">
        <f t="shared" si="14"/>
        <v>23.468229200000003</v>
      </c>
      <c r="I61" s="56">
        <v>0</v>
      </c>
      <c r="J61" s="56">
        <v>0</v>
      </c>
      <c r="K61" s="56">
        <v>0</v>
      </c>
      <c r="L61" s="56">
        <v>0</v>
      </c>
      <c r="M61" s="56">
        <f>F61*G61</f>
        <v>23468.229200000002</v>
      </c>
      <c r="N61" s="56">
        <v>0</v>
      </c>
      <c r="O61" s="56">
        <v>0</v>
      </c>
      <c r="P61" s="56">
        <v>0</v>
      </c>
      <c r="Q61" s="56">
        <v>0</v>
      </c>
      <c r="R61" s="56">
        <v>0</v>
      </c>
      <c r="S61" s="56">
        <v>0</v>
      </c>
      <c r="T61" s="56">
        <v>0</v>
      </c>
      <c r="U61" s="40">
        <f t="shared" si="15"/>
        <v>23468.229200000002</v>
      </c>
    </row>
    <row r="62" spans="1:21" ht="25.5">
      <c r="A62" s="70" t="s">
        <v>115</v>
      </c>
      <c r="B62" s="17" t="s">
        <v>116</v>
      </c>
      <c r="C62" s="70" t="s">
        <v>117</v>
      </c>
      <c r="D62" s="8"/>
      <c r="E62" s="37">
        <v>10348</v>
      </c>
      <c r="F62" s="57">
        <f>SUM(E62/1000)</f>
        <v>10.348000000000001</v>
      </c>
      <c r="G62" s="57">
        <v>176.61</v>
      </c>
      <c r="H62" s="72">
        <f t="shared" si="14"/>
        <v>1.8275602800000004</v>
      </c>
      <c r="I62" s="40">
        <v>0</v>
      </c>
      <c r="J62" s="40">
        <v>0</v>
      </c>
      <c r="K62" s="40">
        <v>0</v>
      </c>
      <c r="L62" s="40">
        <v>0</v>
      </c>
      <c r="M62" s="40">
        <f>F62*G62</f>
        <v>1827.5602800000004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f t="shared" si="15"/>
        <v>1827.5602800000004</v>
      </c>
    </row>
    <row r="63" spans="1:21">
      <c r="A63" s="70" t="s">
        <v>118</v>
      </c>
      <c r="B63" s="17" t="s">
        <v>119</v>
      </c>
      <c r="C63" s="70" t="s">
        <v>120</v>
      </c>
      <c r="D63" s="8" t="s">
        <v>49</v>
      </c>
      <c r="E63" s="37">
        <v>1645</v>
      </c>
      <c r="F63" s="57">
        <f>SUM(E63/100)</f>
        <v>16.45</v>
      </c>
      <c r="G63" s="57">
        <v>2217.7800000000002</v>
      </c>
      <c r="H63" s="72">
        <f t="shared" si="14"/>
        <v>36.482481</v>
      </c>
      <c r="I63" s="40">
        <v>0</v>
      </c>
      <c r="J63" s="40">
        <v>0</v>
      </c>
      <c r="K63" s="40">
        <v>0</v>
      </c>
      <c r="L63" s="40">
        <v>0</v>
      </c>
      <c r="M63" s="40">
        <f>F63*G63</f>
        <v>36482.481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f t="shared" si="15"/>
        <v>36482.481</v>
      </c>
    </row>
    <row r="64" spans="1:21">
      <c r="A64" s="70"/>
      <c r="B64" s="18" t="s">
        <v>153</v>
      </c>
      <c r="C64" s="70" t="s">
        <v>56</v>
      </c>
      <c r="D64" s="8"/>
      <c r="E64" s="37">
        <v>8.6</v>
      </c>
      <c r="F64" s="57">
        <f>SUM(E64)</f>
        <v>8.6</v>
      </c>
      <c r="G64" s="57">
        <v>42.67</v>
      </c>
      <c r="H64" s="72">
        <f t="shared" si="14"/>
        <v>0.36696200000000001</v>
      </c>
      <c r="I64" s="40">
        <v>0</v>
      </c>
      <c r="J64" s="40">
        <v>0</v>
      </c>
      <c r="K64" s="40">
        <v>0</v>
      </c>
      <c r="L64" s="40">
        <v>0</v>
      </c>
      <c r="M64" s="40">
        <f>F64*G64</f>
        <v>366.96199999999999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f t="shared" si="15"/>
        <v>366.96199999999999</v>
      </c>
    </row>
    <row r="65" spans="1:21" ht="25.5">
      <c r="A65" s="74"/>
      <c r="B65" s="18" t="s">
        <v>154</v>
      </c>
      <c r="C65" s="70" t="s">
        <v>56</v>
      </c>
      <c r="D65" s="8"/>
      <c r="E65" s="37">
        <v>8.6</v>
      </c>
      <c r="F65" s="57">
        <f>SUM(E65)</f>
        <v>8.6</v>
      </c>
      <c r="G65" s="57">
        <v>39.81</v>
      </c>
      <c r="H65" s="72">
        <f t="shared" si="14"/>
        <v>0.342366</v>
      </c>
      <c r="I65" s="40">
        <v>0</v>
      </c>
      <c r="J65" s="40">
        <v>0</v>
      </c>
      <c r="K65" s="40">
        <v>0</v>
      </c>
      <c r="L65" s="40">
        <v>0</v>
      </c>
      <c r="M65" s="40">
        <f>F65*G65</f>
        <v>342.36599999999999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v>0</v>
      </c>
      <c r="U65" s="40">
        <f t="shared" si="15"/>
        <v>342.36599999999999</v>
      </c>
    </row>
    <row r="66" spans="1:21">
      <c r="A66" s="70" t="s">
        <v>121</v>
      </c>
      <c r="B66" s="8" t="s">
        <v>122</v>
      </c>
      <c r="C66" s="70" t="s">
        <v>123</v>
      </c>
      <c r="D66" s="8" t="s">
        <v>49</v>
      </c>
      <c r="E66" s="71">
        <v>5</v>
      </c>
      <c r="F66" s="38">
        <v>5</v>
      </c>
      <c r="G66" s="57">
        <v>53.32</v>
      </c>
      <c r="H66" s="72">
        <f t="shared" si="14"/>
        <v>0.2666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f>F66*G66</f>
        <v>266.60000000000002</v>
      </c>
      <c r="R66" s="40">
        <v>0</v>
      </c>
      <c r="S66" s="40">
        <v>0</v>
      </c>
      <c r="T66" s="40">
        <v>0</v>
      </c>
      <c r="U66" s="40">
        <f t="shared" si="15"/>
        <v>266.60000000000002</v>
      </c>
    </row>
    <row r="67" spans="1:21">
      <c r="A67" s="74"/>
      <c r="B67" s="19" t="s">
        <v>124</v>
      </c>
      <c r="C67" s="70"/>
      <c r="D67" s="8"/>
      <c r="E67" s="71"/>
      <c r="F67" s="57"/>
      <c r="G67" s="57"/>
      <c r="H67" s="72" t="s">
        <v>66</v>
      </c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1:21">
      <c r="A68" s="70" t="s">
        <v>125</v>
      </c>
      <c r="B68" s="8" t="s">
        <v>126</v>
      </c>
      <c r="C68" s="70" t="s">
        <v>127</v>
      </c>
      <c r="D68" s="8"/>
      <c r="E68" s="71">
        <v>2</v>
      </c>
      <c r="F68" s="57">
        <v>0.2</v>
      </c>
      <c r="G68" s="57">
        <v>536.23</v>
      </c>
      <c r="H68" s="72">
        <f t="shared" si="14"/>
        <v>0.10724600000000001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f>SUM(I68:T68)</f>
        <v>0</v>
      </c>
    </row>
    <row r="69" spans="1:21">
      <c r="A69" s="70" t="s">
        <v>155</v>
      </c>
      <c r="B69" s="8" t="s">
        <v>156</v>
      </c>
      <c r="C69" s="70" t="s">
        <v>52</v>
      </c>
      <c r="D69" s="8"/>
      <c r="E69" s="71">
        <v>2</v>
      </c>
      <c r="F69" s="63">
        <v>2</v>
      </c>
      <c r="G69" s="57">
        <v>911.85</v>
      </c>
      <c r="H69" s="72">
        <f>F69*G69/1000</f>
        <v>1.8237000000000001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f>SUM(I69:T69)</f>
        <v>0</v>
      </c>
    </row>
    <row r="70" spans="1:21">
      <c r="A70" s="70" t="s">
        <v>128</v>
      </c>
      <c r="B70" s="8" t="s">
        <v>163</v>
      </c>
      <c r="C70" s="70" t="s">
        <v>52</v>
      </c>
      <c r="D70" s="8"/>
      <c r="E70" s="71">
        <v>1</v>
      </c>
      <c r="F70" s="57">
        <v>1</v>
      </c>
      <c r="G70" s="57">
        <v>383.25</v>
      </c>
      <c r="H70" s="72">
        <f>G70*F70/1000</f>
        <v>0.38324999999999998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f>G70</f>
        <v>383.25</v>
      </c>
      <c r="Q70" s="40">
        <v>0</v>
      </c>
      <c r="R70" s="40">
        <v>0</v>
      </c>
      <c r="S70" s="40">
        <v>0</v>
      </c>
      <c r="T70" s="40">
        <v>0</v>
      </c>
      <c r="U70" s="40">
        <f>SUM(I70:T70)</f>
        <v>383.25</v>
      </c>
    </row>
    <row r="71" spans="1:21">
      <c r="A71" s="74"/>
      <c r="B71" s="75" t="s">
        <v>129</v>
      </c>
      <c r="C71" s="70"/>
      <c r="D71" s="8"/>
      <c r="E71" s="71"/>
      <c r="F71" s="57"/>
      <c r="G71" s="57" t="s">
        <v>66</v>
      </c>
      <c r="H71" s="72" t="s">
        <v>66</v>
      </c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</row>
    <row r="72" spans="1:21" s="1" customFormat="1">
      <c r="A72" s="73" t="s">
        <v>130</v>
      </c>
      <c r="B72" s="76" t="s">
        <v>131</v>
      </c>
      <c r="C72" s="73" t="s">
        <v>120</v>
      </c>
      <c r="D72" s="17"/>
      <c r="E72" s="77"/>
      <c r="F72" s="58">
        <v>0.6</v>
      </c>
      <c r="G72" s="58">
        <v>2949.85</v>
      </c>
      <c r="H72" s="72">
        <f t="shared" si="14"/>
        <v>1.7699099999999999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v>0</v>
      </c>
      <c r="R72" s="56">
        <v>0</v>
      </c>
      <c r="S72" s="56">
        <v>0</v>
      </c>
      <c r="T72" s="56">
        <v>0</v>
      </c>
      <c r="U72" s="40">
        <f>SUM(I72:T72)</f>
        <v>0</v>
      </c>
    </row>
    <row r="73" spans="1:21" s="22" customFormat="1">
      <c r="A73" s="78"/>
      <c r="B73" s="21" t="s">
        <v>37</v>
      </c>
      <c r="C73" s="79"/>
      <c r="D73" s="80"/>
      <c r="E73" s="81"/>
      <c r="F73" s="62"/>
      <c r="G73" s="62"/>
      <c r="H73" s="82">
        <f>SUM(H55:H72)</f>
        <v>90.017316844000007</v>
      </c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>
        <f>SUM(U55:U72)</f>
        <v>73571.128704000002</v>
      </c>
    </row>
    <row r="74" spans="1:21">
      <c r="A74" s="134" t="s">
        <v>191</v>
      </c>
      <c r="B74" s="11" t="s">
        <v>192</v>
      </c>
      <c r="C74" s="83" t="s">
        <v>193</v>
      </c>
      <c r="D74" s="84"/>
      <c r="E74" s="135"/>
      <c r="F74" s="85">
        <f>45/10</f>
        <v>4.5</v>
      </c>
      <c r="G74" s="86">
        <v>9</v>
      </c>
      <c r="H74" s="72">
        <f>G74*F74/1000</f>
        <v>4.0500000000000001E-2</v>
      </c>
      <c r="I74" s="40">
        <v>0</v>
      </c>
      <c r="J74" s="40">
        <v>0</v>
      </c>
      <c r="K74" s="40">
        <v>0</v>
      </c>
      <c r="L74" s="40">
        <v>0</v>
      </c>
      <c r="M74" s="41">
        <v>0</v>
      </c>
      <c r="N74" s="40">
        <f>F74*G74</f>
        <v>40.5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f>SUM(I74:T74)</f>
        <v>40.5</v>
      </c>
    </row>
    <row r="75" spans="1:21" ht="12.75" customHeight="1">
      <c r="A75" s="70"/>
      <c r="B75" s="12" t="s">
        <v>132</v>
      </c>
      <c r="C75" s="70" t="s">
        <v>133</v>
      </c>
      <c r="D75" s="87"/>
      <c r="E75" s="57">
        <v>2135.1999999999998</v>
      </c>
      <c r="F75" s="57">
        <f>SUM(E75*12)</f>
        <v>25622.399999999998</v>
      </c>
      <c r="G75" s="88">
        <v>2.2400000000000002</v>
      </c>
      <c r="H75" s="72">
        <f>SUM(F75*G75/1000)</f>
        <v>57.394176000000002</v>
      </c>
      <c r="I75" s="40">
        <f>F75/12*G75</f>
        <v>4782.848</v>
      </c>
      <c r="J75" s="40">
        <f>F75/12*G75</f>
        <v>4782.848</v>
      </c>
      <c r="K75" s="40">
        <f>F75/12*G75</f>
        <v>4782.848</v>
      </c>
      <c r="L75" s="40">
        <f>F75/12*G75</f>
        <v>4782.848</v>
      </c>
      <c r="M75" s="40">
        <f>F75/12*G75</f>
        <v>4782.848</v>
      </c>
      <c r="N75" s="40">
        <f>F75/12*G75</f>
        <v>4782.848</v>
      </c>
      <c r="O75" s="40">
        <f>F75/12*G75</f>
        <v>4782.848</v>
      </c>
      <c r="P75" s="40">
        <f>F75/12*G75</f>
        <v>4782.848</v>
      </c>
      <c r="Q75" s="40">
        <f>F75/12*G75</f>
        <v>4782.848</v>
      </c>
      <c r="R75" s="40">
        <f>F75/12*G75</f>
        <v>4782.848</v>
      </c>
      <c r="S75" s="40">
        <f>F75/12*G75</f>
        <v>4782.848</v>
      </c>
      <c r="T75" s="40">
        <f>F75/12*G75</f>
        <v>4782.848</v>
      </c>
      <c r="U75" s="40">
        <f>SUM(I75:T75)</f>
        <v>57394.175999999985</v>
      </c>
    </row>
    <row r="76" spans="1:21" s="20" customFormat="1">
      <c r="A76" s="89"/>
      <c r="B76" s="21" t="s">
        <v>37</v>
      </c>
      <c r="C76" s="90"/>
      <c r="D76" s="91"/>
      <c r="E76" s="92"/>
      <c r="F76" s="48"/>
      <c r="G76" s="93"/>
      <c r="H76" s="49">
        <f>SUM(H74:H75)</f>
        <v>57.434676000000003</v>
      </c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>
        <f>SUM(U74:U75)</f>
        <v>57434.675999999985</v>
      </c>
    </row>
    <row r="77" spans="1:21" ht="25.5" customHeight="1">
      <c r="A77" s="74"/>
      <c r="B77" s="8" t="s">
        <v>134</v>
      </c>
      <c r="C77" s="70"/>
      <c r="D77" s="94"/>
      <c r="E77" s="37">
        <f>E75</f>
        <v>2135.1999999999998</v>
      </c>
      <c r="F77" s="57">
        <f>E77*12</f>
        <v>25622.399999999998</v>
      </c>
      <c r="G77" s="57">
        <v>1.74</v>
      </c>
      <c r="H77" s="72">
        <f>F77*G77/1000</f>
        <v>44.582975999999995</v>
      </c>
      <c r="I77" s="40">
        <f>F77/12*G77</f>
        <v>3715.2479999999996</v>
      </c>
      <c r="J77" s="40">
        <f>F77/12*G77</f>
        <v>3715.2479999999996</v>
      </c>
      <c r="K77" s="40">
        <f>F77/12*G77</f>
        <v>3715.2479999999996</v>
      </c>
      <c r="L77" s="40">
        <f>F77/12*G77</f>
        <v>3715.2479999999996</v>
      </c>
      <c r="M77" s="40">
        <f>F77/12*G77</f>
        <v>3715.2479999999996</v>
      </c>
      <c r="N77" s="40">
        <f>F77/12*G77</f>
        <v>3715.2479999999996</v>
      </c>
      <c r="O77" s="40">
        <f>F77/12*G77</f>
        <v>3715.2479999999996</v>
      </c>
      <c r="P77" s="40">
        <f>F77/12*G77</f>
        <v>3715.2479999999996</v>
      </c>
      <c r="Q77" s="40">
        <f>F77/12*G77</f>
        <v>3715.2479999999996</v>
      </c>
      <c r="R77" s="40">
        <f>F77/12*G77</f>
        <v>3715.2479999999996</v>
      </c>
      <c r="S77" s="40">
        <f>F77/12*G77</f>
        <v>3715.2479999999996</v>
      </c>
      <c r="T77" s="40">
        <f>F77/12*G77</f>
        <v>3715.2479999999996</v>
      </c>
      <c r="U77" s="40">
        <f>SUM(I77:T77)</f>
        <v>44582.975999999995</v>
      </c>
    </row>
    <row r="78" spans="1:21" s="20" customFormat="1">
      <c r="A78" s="89"/>
      <c r="B78" s="95" t="s">
        <v>135</v>
      </c>
      <c r="C78" s="96"/>
      <c r="D78" s="95"/>
      <c r="E78" s="48"/>
      <c r="F78" s="48"/>
      <c r="G78" s="48"/>
      <c r="H78" s="82">
        <f>H77</f>
        <v>44.582975999999995</v>
      </c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130">
        <f>U77</f>
        <v>44582.975999999995</v>
      </c>
    </row>
    <row r="79" spans="1:21" s="20" customFormat="1">
      <c r="A79" s="89"/>
      <c r="B79" s="95" t="s">
        <v>136</v>
      </c>
      <c r="C79" s="97"/>
      <c r="D79" s="98"/>
      <c r="E79" s="99"/>
      <c r="F79" s="99"/>
      <c r="G79" s="99"/>
      <c r="H79" s="82">
        <f>SUM(H78+H76+H73+H53+H41+H33+H22)</f>
        <v>512.31502651439996</v>
      </c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130">
        <f>SUM(U78+U76+U73+U53+U41+U33+U22)</f>
        <v>492819.56056439993</v>
      </c>
    </row>
    <row r="80" spans="1:21">
      <c r="A80" s="74"/>
      <c r="B80" s="94" t="s">
        <v>137</v>
      </c>
      <c r="C80" s="70"/>
      <c r="D80" s="94"/>
      <c r="E80" s="57"/>
      <c r="F80" s="57"/>
      <c r="G80" s="57" t="s">
        <v>138</v>
      </c>
      <c r="H80" s="100">
        <f>E77</f>
        <v>2135.1999999999998</v>
      </c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</row>
    <row r="81" spans="1:22" s="20" customFormat="1">
      <c r="A81" s="89"/>
      <c r="B81" s="98" t="s">
        <v>139</v>
      </c>
      <c r="C81" s="97"/>
      <c r="D81" s="98"/>
      <c r="E81" s="99"/>
      <c r="F81" s="99"/>
      <c r="G81" s="99"/>
      <c r="H81" s="101">
        <f>SUM(H79/H80/12*1000)</f>
        <v>19.994810264237543</v>
      </c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131"/>
    </row>
    <row r="82" spans="1:22">
      <c r="A82" s="102"/>
      <c r="B82" s="94"/>
      <c r="C82" s="70"/>
      <c r="D82" s="94"/>
      <c r="E82" s="57"/>
      <c r="F82" s="57"/>
      <c r="G82" s="57"/>
      <c r="H82" s="103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132"/>
    </row>
    <row r="83" spans="1:22">
      <c r="A83" s="74"/>
      <c r="B83" s="75" t="s">
        <v>140</v>
      </c>
      <c r="C83" s="70"/>
      <c r="D83" s="94"/>
      <c r="E83" s="57"/>
      <c r="F83" s="57"/>
      <c r="G83" s="57"/>
      <c r="H83" s="57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</row>
    <row r="84" spans="1:22" ht="25.5">
      <c r="A84" s="125" t="s">
        <v>183</v>
      </c>
      <c r="B84" s="25" t="s">
        <v>182</v>
      </c>
      <c r="C84" s="126" t="s">
        <v>99</v>
      </c>
      <c r="D84" s="94"/>
      <c r="E84" s="57"/>
      <c r="F84" s="57">
        <v>7</v>
      </c>
      <c r="G84" s="57">
        <v>72.290000000000006</v>
      </c>
      <c r="H84" s="57">
        <f t="shared" ref="H84" si="16">G84*F84/1000</f>
        <v>0.50602999999999998</v>
      </c>
      <c r="I84" s="40">
        <f>G84*2</f>
        <v>144.58000000000001</v>
      </c>
      <c r="J84" s="40">
        <v>0</v>
      </c>
      <c r="K84" s="40">
        <f>G84*2</f>
        <v>144.58000000000001</v>
      </c>
      <c r="L84" s="40">
        <v>0</v>
      </c>
      <c r="M84" s="40">
        <v>0</v>
      </c>
      <c r="N84" s="40">
        <v>0</v>
      </c>
      <c r="O84" s="40">
        <v>0</v>
      </c>
      <c r="P84" s="40">
        <f>G84</f>
        <v>72.290000000000006</v>
      </c>
      <c r="Q84" s="40">
        <f>G84</f>
        <v>72.290000000000006</v>
      </c>
      <c r="R84" s="40">
        <f>G84</f>
        <v>72.290000000000006</v>
      </c>
      <c r="S84" s="40">
        <v>0</v>
      </c>
      <c r="T84" s="40">
        <v>0</v>
      </c>
      <c r="U84" s="40">
        <f t="shared" ref="U84:U89" si="17">SUM(I84:T84)</f>
        <v>506.03000000000009</v>
      </c>
    </row>
    <row r="85" spans="1:22" ht="25.5">
      <c r="A85" s="125" t="s">
        <v>185</v>
      </c>
      <c r="B85" s="25" t="s">
        <v>184</v>
      </c>
      <c r="C85" s="126" t="s">
        <v>99</v>
      </c>
      <c r="D85" s="94"/>
      <c r="E85" s="57"/>
      <c r="F85" s="57">
        <v>1</v>
      </c>
      <c r="G85" s="57">
        <v>1992.08</v>
      </c>
      <c r="H85" s="72">
        <f t="shared" ref="H85:H97" si="18">G85*F85/1000</f>
        <v>1.9920799999999999</v>
      </c>
      <c r="I85" s="40">
        <f>G85*1</f>
        <v>1992.08</v>
      </c>
      <c r="J85" s="40">
        <v>0</v>
      </c>
      <c r="K85" s="40">
        <v>0</v>
      </c>
      <c r="L85" s="40">
        <v>0</v>
      </c>
      <c r="M85" s="40">
        <v>0</v>
      </c>
      <c r="N85" s="40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f t="shared" si="17"/>
        <v>1992.08</v>
      </c>
    </row>
    <row r="86" spans="1:22" ht="25.5">
      <c r="A86" s="127" t="s">
        <v>187</v>
      </c>
      <c r="B86" s="128" t="s">
        <v>186</v>
      </c>
      <c r="C86" s="127" t="s">
        <v>99</v>
      </c>
      <c r="D86" s="94"/>
      <c r="E86" s="57"/>
      <c r="F86" s="57">
        <v>410</v>
      </c>
      <c r="G86" s="57">
        <v>46.33</v>
      </c>
      <c r="H86" s="72">
        <f t="shared" si="18"/>
        <v>18.9953</v>
      </c>
      <c r="I86" s="40">
        <f>G86*41</f>
        <v>1899.53</v>
      </c>
      <c r="J86" s="40">
        <v>0</v>
      </c>
      <c r="K86" s="40">
        <f>G86*41</f>
        <v>1899.53</v>
      </c>
      <c r="L86" s="40">
        <f>G86*41</f>
        <v>1899.53</v>
      </c>
      <c r="M86" s="40">
        <v>0</v>
      </c>
      <c r="N86" s="40">
        <f>G86*41</f>
        <v>1899.53</v>
      </c>
      <c r="O86" s="40">
        <f>G86*41</f>
        <v>1899.53</v>
      </c>
      <c r="P86" s="40">
        <f>G86*41</f>
        <v>1899.53</v>
      </c>
      <c r="Q86" s="40">
        <f>G86*41</f>
        <v>1899.53</v>
      </c>
      <c r="R86" s="40">
        <f>G86*41</f>
        <v>1899.53</v>
      </c>
      <c r="S86" s="40">
        <f>G86*41</f>
        <v>1899.53</v>
      </c>
      <c r="T86" s="40">
        <f>G86*41</f>
        <v>1899.53</v>
      </c>
      <c r="U86" s="40">
        <f t="shared" si="17"/>
        <v>18995.3</v>
      </c>
    </row>
    <row r="87" spans="1:22">
      <c r="A87" s="127" t="s">
        <v>194</v>
      </c>
      <c r="B87" s="128" t="s">
        <v>195</v>
      </c>
      <c r="C87" s="127" t="s">
        <v>196</v>
      </c>
      <c r="D87" s="94"/>
      <c r="E87" s="57"/>
      <c r="F87" s="57">
        <v>1</v>
      </c>
      <c r="G87" s="57">
        <v>1372</v>
      </c>
      <c r="H87" s="72">
        <f t="shared" si="18"/>
        <v>1.3720000000000001</v>
      </c>
      <c r="I87" s="40">
        <v>0</v>
      </c>
      <c r="J87" s="40">
        <v>0</v>
      </c>
      <c r="K87" s="40">
        <f>G87</f>
        <v>1372</v>
      </c>
      <c r="L87" s="40">
        <v>0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0</v>
      </c>
      <c r="S87" s="40">
        <v>0</v>
      </c>
      <c r="T87" s="40">
        <v>0</v>
      </c>
      <c r="U87" s="40">
        <f t="shared" si="17"/>
        <v>1372</v>
      </c>
    </row>
    <row r="88" spans="1:22" ht="31.5" customHeight="1">
      <c r="A88" s="127" t="s">
        <v>93</v>
      </c>
      <c r="B88" s="128" t="s">
        <v>197</v>
      </c>
      <c r="C88" s="127" t="s">
        <v>95</v>
      </c>
      <c r="D88" s="94"/>
      <c r="E88" s="57"/>
      <c r="F88" s="57">
        <v>0.02</v>
      </c>
      <c r="G88" s="57">
        <v>3105.72</v>
      </c>
      <c r="H88" s="72">
        <f t="shared" si="18"/>
        <v>6.2114399999999993E-2</v>
      </c>
      <c r="I88" s="40">
        <v>0</v>
      </c>
      <c r="J88" s="40">
        <v>0</v>
      </c>
      <c r="K88" s="40">
        <v>0</v>
      </c>
      <c r="L88" s="40">
        <f>G88*0.01</f>
        <v>31.057199999999998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f>G88*0.01</f>
        <v>31.057199999999998</v>
      </c>
      <c r="U88" s="40">
        <f>SUM(I88:T88)</f>
        <v>62.114399999999996</v>
      </c>
    </row>
    <row r="89" spans="1:22" ht="31.5" customHeight="1">
      <c r="A89" s="126" t="s">
        <v>199</v>
      </c>
      <c r="B89" s="25" t="s">
        <v>200</v>
      </c>
      <c r="C89" s="126" t="s">
        <v>198</v>
      </c>
      <c r="D89" s="94"/>
      <c r="E89" s="57"/>
      <c r="F89" s="57">
        <v>0.01</v>
      </c>
      <c r="G89" s="57">
        <v>19540.87</v>
      </c>
      <c r="H89" s="72">
        <f t="shared" si="18"/>
        <v>0.19540869999999999</v>
      </c>
      <c r="I89" s="40">
        <v>0</v>
      </c>
      <c r="J89" s="40">
        <v>0</v>
      </c>
      <c r="K89" s="40">
        <v>0</v>
      </c>
      <c r="L89" s="40">
        <f>G89*0.01</f>
        <v>195.40869999999998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f t="shared" si="17"/>
        <v>195.40869999999998</v>
      </c>
      <c r="V89" s="74"/>
    </row>
    <row r="90" spans="1:22" ht="31.5" customHeight="1">
      <c r="A90" s="126" t="s">
        <v>201</v>
      </c>
      <c r="B90" s="25" t="s">
        <v>202</v>
      </c>
      <c r="C90" s="126" t="s">
        <v>203</v>
      </c>
      <c r="D90" s="94"/>
      <c r="E90" s="57"/>
      <c r="F90" s="57">
        <v>1</v>
      </c>
      <c r="G90" s="57">
        <v>14208</v>
      </c>
      <c r="H90" s="72">
        <f t="shared" si="18"/>
        <v>14.208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f>G90</f>
        <v>14208</v>
      </c>
      <c r="S90" s="40">
        <v>0</v>
      </c>
      <c r="T90" s="40">
        <v>0</v>
      </c>
      <c r="U90" s="40">
        <f>SUM(I90:T90)</f>
        <v>14208</v>
      </c>
    </row>
    <row r="91" spans="1:22" ht="31.5" customHeight="1">
      <c r="A91" s="126" t="s">
        <v>211</v>
      </c>
      <c r="B91" s="25" t="s">
        <v>212</v>
      </c>
      <c r="C91" s="126" t="s">
        <v>210</v>
      </c>
      <c r="D91" s="94"/>
      <c r="E91" s="57"/>
      <c r="F91" s="57">
        <v>1</v>
      </c>
      <c r="G91" s="57">
        <v>169.85</v>
      </c>
      <c r="H91" s="72">
        <f t="shared" si="18"/>
        <v>0.16985</v>
      </c>
      <c r="I91" s="40">
        <v>0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>
        <f>G91</f>
        <v>169.85</v>
      </c>
      <c r="U91" s="40">
        <f>SUM(I91:T91)</f>
        <v>169.85</v>
      </c>
    </row>
    <row r="92" spans="1:22" ht="31.5" customHeight="1">
      <c r="A92" s="149" t="s">
        <v>215</v>
      </c>
      <c r="B92" s="25" t="s">
        <v>213</v>
      </c>
      <c r="C92" s="125" t="s">
        <v>214</v>
      </c>
      <c r="D92" s="94"/>
      <c r="E92" s="57"/>
      <c r="F92" s="57">
        <v>4.2000000000000003E-2</v>
      </c>
      <c r="G92" s="57">
        <v>8150.19</v>
      </c>
      <c r="H92" s="72">
        <f t="shared" si="18"/>
        <v>0.34230798000000001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f>G92*0.042</f>
        <v>342.30797999999999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f>SUM(I92:T92)</f>
        <v>342.30797999999999</v>
      </c>
    </row>
    <row r="93" spans="1:22" ht="31.5" customHeight="1">
      <c r="A93" s="150" t="s">
        <v>194</v>
      </c>
      <c r="B93" s="151" t="s">
        <v>216</v>
      </c>
      <c r="C93" s="152" t="s">
        <v>217</v>
      </c>
      <c r="D93" s="94"/>
      <c r="E93" s="57"/>
      <c r="F93" s="57">
        <v>2</v>
      </c>
      <c r="G93" s="57">
        <v>1678.06</v>
      </c>
      <c r="H93" s="72">
        <f t="shared" si="18"/>
        <v>3.3561199999999998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40">
        <v>0</v>
      </c>
      <c r="O93" s="40">
        <f>G93</f>
        <v>1678.06</v>
      </c>
      <c r="P93" s="40">
        <v>0</v>
      </c>
      <c r="Q93" s="40">
        <v>0</v>
      </c>
      <c r="R93" s="40">
        <v>0</v>
      </c>
      <c r="S93" s="40">
        <f>G93</f>
        <v>1678.06</v>
      </c>
      <c r="T93" s="40">
        <v>0</v>
      </c>
      <c r="U93" s="40">
        <f>SUM(I93:T93)</f>
        <v>3356.12</v>
      </c>
    </row>
    <row r="94" spans="1:22" ht="31.5" customHeight="1">
      <c r="A94" s="125" t="s">
        <v>219</v>
      </c>
      <c r="B94" s="25" t="s">
        <v>218</v>
      </c>
      <c r="C94" s="126" t="s">
        <v>99</v>
      </c>
      <c r="D94" s="94"/>
      <c r="E94" s="57"/>
      <c r="F94" s="57">
        <v>1</v>
      </c>
      <c r="G94" s="57">
        <v>260.68</v>
      </c>
      <c r="H94" s="72">
        <f t="shared" si="18"/>
        <v>0.26068000000000002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f>G94</f>
        <v>260.68</v>
      </c>
      <c r="U94" s="40">
        <f>SUM(I94:T94)</f>
        <v>260.68</v>
      </c>
    </row>
    <row r="95" spans="1:22" ht="18" customHeight="1">
      <c r="A95" s="153" t="s">
        <v>221</v>
      </c>
      <c r="B95" s="128" t="s">
        <v>220</v>
      </c>
      <c r="C95" s="127" t="s">
        <v>99</v>
      </c>
      <c r="D95" s="94"/>
      <c r="E95" s="57"/>
      <c r="F95" s="57">
        <v>1</v>
      </c>
      <c r="G95" s="57">
        <v>113.57</v>
      </c>
      <c r="H95" s="72">
        <f t="shared" si="18"/>
        <v>0.11356999999999999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40">
        <v>0</v>
      </c>
      <c r="O95" s="40">
        <f>G95</f>
        <v>113.57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f>SUM(I95:T95)</f>
        <v>113.57</v>
      </c>
    </row>
    <row r="96" spans="1:22" ht="18" customHeight="1">
      <c r="A96" s="125" t="s">
        <v>223</v>
      </c>
      <c r="B96" s="25" t="s">
        <v>222</v>
      </c>
      <c r="C96" s="126" t="s">
        <v>99</v>
      </c>
      <c r="D96" s="94"/>
      <c r="E96" s="57"/>
      <c r="F96" s="57">
        <v>1</v>
      </c>
      <c r="G96" s="57">
        <v>443.02</v>
      </c>
      <c r="H96" s="72">
        <f t="shared" si="18"/>
        <v>0.44301999999999997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  <c r="O96" s="40">
        <f>G96</f>
        <v>443.02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f>SUM(I96:T96)</f>
        <v>443.02</v>
      </c>
    </row>
    <row r="97" spans="1:21" ht="27" customHeight="1">
      <c r="A97" s="126" t="s">
        <v>226</v>
      </c>
      <c r="B97" s="25" t="s">
        <v>224</v>
      </c>
      <c r="C97" s="126" t="s">
        <v>225</v>
      </c>
      <c r="D97" s="94"/>
      <c r="E97" s="57"/>
      <c r="F97" s="57">
        <v>1</v>
      </c>
      <c r="G97" s="57">
        <v>575.31500000000005</v>
      </c>
      <c r="H97" s="72">
        <f t="shared" si="18"/>
        <v>0.57531500000000002</v>
      </c>
      <c r="I97" s="40">
        <v>0</v>
      </c>
      <c r="J97" s="40">
        <v>0</v>
      </c>
      <c r="K97" s="40">
        <v>0</v>
      </c>
      <c r="L97" s="40">
        <v>0</v>
      </c>
      <c r="M97" s="40">
        <v>0</v>
      </c>
      <c r="N97" s="40">
        <v>0</v>
      </c>
      <c r="O97" s="40">
        <v>0</v>
      </c>
      <c r="P97" s="40">
        <f>G97</f>
        <v>575.31500000000005</v>
      </c>
      <c r="Q97" s="40">
        <v>0</v>
      </c>
      <c r="R97" s="40">
        <v>0</v>
      </c>
      <c r="S97" s="40">
        <v>0</v>
      </c>
      <c r="T97" s="40">
        <v>0</v>
      </c>
      <c r="U97" s="40">
        <f>SUM(I97:T97)</f>
        <v>575.31500000000005</v>
      </c>
    </row>
    <row r="98" spans="1:21" s="20" customFormat="1">
      <c r="A98" s="104"/>
      <c r="B98" s="105" t="s">
        <v>141</v>
      </c>
      <c r="C98" s="104"/>
      <c r="D98" s="104"/>
      <c r="E98" s="99"/>
      <c r="F98" s="99"/>
      <c r="G98" s="99"/>
      <c r="H98" s="49">
        <f>SUM(H84:H97)</f>
        <v>42.591796080000002</v>
      </c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48">
        <f>SUM(U84:U97)</f>
        <v>42591.796079999993</v>
      </c>
    </row>
    <row r="99" spans="1:21">
      <c r="A99" s="102"/>
      <c r="B99" s="106"/>
      <c r="C99" s="107"/>
      <c r="D99" s="107"/>
      <c r="E99" s="57"/>
      <c r="F99" s="57"/>
      <c r="G99" s="57"/>
      <c r="H99" s="108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133"/>
    </row>
    <row r="100" spans="1:21" ht="12" customHeight="1">
      <c r="A100" s="74"/>
      <c r="B100" s="19" t="s">
        <v>142</v>
      </c>
      <c r="C100" s="70"/>
      <c r="D100" s="94"/>
      <c r="E100" s="57"/>
      <c r="F100" s="57"/>
      <c r="G100" s="57"/>
      <c r="H100" s="109">
        <f>H98/E101/12*1000</f>
        <v>1.6622875327838145</v>
      </c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133"/>
    </row>
    <row r="101" spans="1:21" s="20" customFormat="1">
      <c r="A101" s="89"/>
      <c r="B101" s="110" t="s">
        <v>143</v>
      </c>
      <c r="C101" s="111"/>
      <c r="D101" s="110"/>
      <c r="E101" s="112">
        <v>2135.1999999999998</v>
      </c>
      <c r="F101" s="113">
        <f>SUM(E101*12)</f>
        <v>25622.399999999998</v>
      </c>
      <c r="G101" s="114">
        <f>H81+H100</f>
        <v>21.657097797021358</v>
      </c>
      <c r="H101" s="115">
        <f>SUM(F101*G101/1000)</f>
        <v>554.90682259440007</v>
      </c>
      <c r="I101" s="99">
        <f>SUM(I11:I100)</f>
        <v>41357.316611833332</v>
      </c>
      <c r="J101" s="99">
        <f>SUM(J11:J100)</f>
        <v>42931.688801833334</v>
      </c>
      <c r="K101" s="99">
        <f>SUM(K11:K100)</f>
        <v>38996.027395833335</v>
      </c>
      <c r="L101" s="99">
        <f>SUM(L11:L100)</f>
        <v>45617.703318633328</v>
      </c>
      <c r="M101" s="99">
        <f>SUM(M11:M99)</f>
        <v>97092.201453133341</v>
      </c>
      <c r="N101" s="99">
        <f t="shared" ref="N101:T101" si="19">SUM(N11:N100)</f>
        <v>33384.322214133332</v>
      </c>
      <c r="O101" s="99">
        <f t="shared" si="19"/>
        <v>34307.918854133328</v>
      </c>
      <c r="P101" s="99">
        <f t="shared" si="19"/>
        <v>38714.686044133334</v>
      </c>
      <c r="Q101" s="99">
        <f t="shared" si="19"/>
        <v>33677.888070133333</v>
      </c>
      <c r="R101" s="99">
        <f t="shared" si="19"/>
        <v>50266.588292933331</v>
      </c>
      <c r="S101" s="99">
        <f t="shared" si="19"/>
        <v>39151.269585833332</v>
      </c>
      <c r="T101" s="99">
        <f t="shared" si="19"/>
        <v>39913.746001833337</v>
      </c>
      <c r="U101" s="48">
        <f>U79+U98</f>
        <v>535411.35664439993</v>
      </c>
    </row>
    <row r="102" spans="1:21">
      <c r="A102" s="74"/>
      <c r="B102" s="74"/>
      <c r="C102" s="74"/>
      <c r="D102" s="74"/>
      <c r="E102" s="116"/>
      <c r="F102" s="116"/>
      <c r="G102" s="116"/>
      <c r="H102" s="116"/>
      <c r="I102" s="116"/>
      <c r="J102" s="116"/>
      <c r="K102" s="116"/>
      <c r="L102" s="116"/>
      <c r="M102" s="74"/>
      <c r="N102" s="116"/>
      <c r="O102" s="74"/>
      <c r="P102" s="74"/>
      <c r="Q102" s="74"/>
      <c r="R102" s="74"/>
      <c r="S102" s="74"/>
      <c r="T102" s="74"/>
      <c r="U102" s="74"/>
    </row>
    <row r="103" spans="1:21">
      <c r="A103" s="74"/>
      <c r="B103" s="74"/>
      <c r="C103" s="74"/>
      <c r="D103" s="74"/>
      <c r="E103" s="116"/>
      <c r="F103" s="116"/>
      <c r="G103" s="116"/>
      <c r="H103" s="116"/>
      <c r="I103" s="116"/>
      <c r="J103" s="117"/>
      <c r="K103" s="118"/>
      <c r="L103" s="117"/>
      <c r="M103" s="116"/>
      <c r="N103" s="74"/>
      <c r="O103" s="74"/>
      <c r="P103" s="74"/>
      <c r="Q103" s="74"/>
      <c r="R103" s="74"/>
      <c r="S103" s="74"/>
      <c r="T103" s="74"/>
      <c r="U103" s="74"/>
    </row>
    <row r="104" spans="1:21" ht="45">
      <c r="A104" s="74"/>
      <c r="B104" s="119" t="s">
        <v>181</v>
      </c>
      <c r="C104" s="140">
        <v>-74240.800000000003</v>
      </c>
      <c r="D104" s="141"/>
      <c r="E104" s="141"/>
      <c r="F104" s="142"/>
      <c r="G104" s="116"/>
      <c r="H104" s="116"/>
      <c r="I104" s="116"/>
      <c r="J104" s="117"/>
      <c r="K104" s="118"/>
      <c r="L104" s="117"/>
      <c r="M104" s="116"/>
      <c r="N104" s="74"/>
      <c r="O104" s="74"/>
      <c r="P104" s="74"/>
      <c r="Q104" s="74"/>
      <c r="R104" s="74"/>
      <c r="S104" s="74"/>
      <c r="T104" s="74"/>
      <c r="U104" s="74"/>
    </row>
    <row r="105" spans="1:21" ht="30">
      <c r="A105" s="74"/>
      <c r="B105" s="23" t="s">
        <v>204</v>
      </c>
      <c r="C105" s="140">
        <v>571165.43999999994</v>
      </c>
      <c r="D105" s="141"/>
      <c r="E105" s="141"/>
      <c r="F105" s="142"/>
      <c r="G105" s="116"/>
      <c r="H105" s="116"/>
      <c r="I105" s="116"/>
      <c r="J105" s="117"/>
      <c r="K105" s="118"/>
      <c r="L105" s="117"/>
      <c r="M105" s="116"/>
      <c r="N105" s="74"/>
      <c r="O105" s="74"/>
      <c r="P105" s="74"/>
      <c r="Q105" s="74"/>
      <c r="R105" s="74"/>
      <c r="S105" s="74"/>
      <c r="T105" s="74"/>
      <c r="U105" s="74"/>
    </row>
    <row r="106" spans="1:21" ht="30">
      <c r="A106" s="74"/>
      <c r="B106" s="23" t="s">
        <v>205</v>
      </c>
      <c r="C106" s="140">
        <f>SUM(U101-U98)</f>
        <v>492819.56056439993</v>
      </c>
      <c r="D106" s="141"/>
      <c r="E106" s="141"/>
      <c r="F106" s="142"/>
      <c r="G106" s="116"/>
      <c r="H106" s="116"/>
      <c r="I106" s="116"/>
      <c r="J106" s="117"/>
      <c r="K106" s="118"/>
      <c r="L106" s="117"/>
      <c r="M106" s="116"/>
      <c r="N106" s="74"/>
      <c r="O106" s="74"/>
      <c r="P106" s="74"/>
      <c r="Q106" s="74"/>
      <c r="R106" s="74"/>
      <c r="S106" s="74"/>
      <c r="T106" s="74"/>
      <c r="U106" s="74"/>
    </row>
    <row r="107" spans="1:21" ht="30">
      <c r="A107" s="74"/>
      <c r="B107" s="23" t="s">
        <v>206</v>
      </c>
      <c r="C107" s="140">
        <f>SUM(U98)</f>
        <v>42591.796079999993</v>
      </c>
      <c r="D107" s="141"/>
      <c r="E107" s="141"/>
      <c r="F107" s="142"/>
      <c r="G107" s="116"/>
      <c r="H107" s="116"/>
      <c r="I107" s="116"/>
      <c r="J107" s="117"/>
      <c r="K107" s="118"/>
      <c r="L107" s="117"/>
      <c r="M107" s="116"/>
      <c r="N107" s="74"/>
      <c r="O107" s="74"/>
      <c r="P107" s="74"/>
      <c r="Q107" s="74"/>
      <c r="R107" s="74"/>
      <c r="S107" s="74"/>
      <c r="T107" s="74"/>
      <c r="U107" s="74"/>
    </row>
    <row r="108" spans="1:21" ht="18">
      <c r="A108" s="74"/>
      <c r="B108" s="129" t="s">
        <v>207</v>
      </c>
      <c r="C108" s="140">
        <v>574925.24</v>
      </c>
      <c r="D108" s="141"/>
      <c r="E108" s="141"/>
      <c r="F108" s="142"/>
      <c r="G108" s="74"/>
      <c r="H108" s="120" t="s">
        <v>157</v>
      </c>
      <c r="I108" s="121"/>
      <c r="J108" s="121"/>
      <c r="K108" s="122"/>
      <c r="L108" s="123"/>
      <c r="M108" s="120"/>
      <c r="N108" s="120"/>
      <c r="O108" s="74"/>
      <c r="P108" s="74"/>
      <c r="Q108" s="74"/>
      <c r="R108" s="74"/>
      <c r="S108" s="74"/>
      <c r="T108" s="74"/>
      <c r="U108" s="74"/>
    </row>
    <row r="109" spans="1:21" ht="78.75">
      <c r="A109" s="74"/>
      <c r="B109" s="24" t="s">
        <v>208</v>
      </c>
      <c r="C109" s="146">
        <v>51378.59</v>
      </c>
      <c r="D109" s="147"/>
      <c r="E109" s="147"/>
      <c r="F109" s="148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</row>
    <row r="110" spans="1:21" ht="45">
      <c r="A110" s="74"/>
      <c r="B110" s="124" t="s">
        <v>209</v>
      </c>
      <c r="C110" s="143">
        <f>SUM(U101-C105)+C104</f>
        <v>-109994.88335560002</v>
      </c>
      <c r="D110" s="144"/>
      <c r="E110" s="144"/>
      <c r="F110" s="145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</row>
    <row r="112" spans="1:21">
      <c r="J112" s="3"/>
      <c r="K112" s="4"/>
      <c r="L112" s="4"/>
      <c r="M112" s="2"/>
    </row>
    <row r="113" spans="7:8">
      <c r="G113" s="5"/>
      <c r="H113" s="5"/>
    </row>
    <row r="114" spans="7:8">
      <c r="G114" s="6"/>
    </row>
  </sheetData>
  <mergeCells count="11">
    <mergeCell ref="C110:F110"/>
    <mergeCell ref="C105:F105"/>
    <mergeCell ref="C106:F106"/>
    <mergeCell ref="C107:F107"/>
    <mergeCell ref="C108:F108"/>
    <mergeCell ref="C109:F109"/>
    <mergeCell ref="B3:L3"/>
    <mergeCell ref="B4:L4"/>
    <mergeCell ref="B5:L5"/>
    <mergeCell ref="B6:L6"/>
    <mergeCell ref="C104:F104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Шахт.,7</vt:lpstr>
      <vt:lpstr>'Шахт.,7'!Область_печати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2016-03-10T12:03:38Z</dcterms:modified>
</cp:coreProperties>
</file>