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9" sheetId="27" r:id="rId11"/>
    <sheet name="12.19" sheetId="28" r:id="rId12"/>
  </sheets>
  <definedNames>
    <definedName name="_xlnm._FilterDatabase" localSheetId="0" hidden="1">'01.19'!$I$12:$I$60</definedName>
    <definedName name="_xlnm._FilterDatabase" localSheetId="1" hidden="1">'02.19'!$I$12:$I$60</definedName>
    <definedName name="_xlnm._FilterDatabase" localSheetId="2" hidden="1">'03.19'!$I$12:$I$61</definedName>
    <definedName name="_xlnm._FilterDatabase" localSheetId="3" hidden="1">'04.19'!$I$12:$I$60</definedName>
    <definedName name="_xlnm._FilterDatabase" localSheetId="4" hidden="1">'05.19'!$I$12:$I$59</definedName>
    <definedName name="_xlnm._FilterDatabase" localSheetId="5" hidden="1">'06.19'!$I$12:$I$59</definedName>
    <definedName name="_xlnm._FilterDatabase" localSheetId="6" hidden="1">'07.19'!$I$12:$I$59</definedName>
    <definedName name="_xlnm._FilterDatabase" localSheetId="7" hidden="1">'08.19'!$I$12:$I$59</definedName>
    <definedName name="_xlnm._FilterDatabase" localSheetId="8" hidden="1">'09.19'!$I$12:$I$59</definedName>
    <definedName name="_xlnm._FilterDatabase" localSheetId="9" hidden="1">'10.19'!$I$12:$I$59</definedName>
    <definedName name="_xlnm._FilterDatabase" localSheetId="10" hidden="1">'11.19'!$I$12:$I$61</definedName>
    <definedName name="_xlnm._FilterDatabase" localSheetId="11" hidden="1">'12.19'!$I$12:$I$61</definedName>
    <definedName name="_xlnm.Print_Area" localSheetId="0">'01.19'!$A$1:$I$111</definedName>
    <definedName name="_xlnm.Print_Area" localSheetId="1">'02.19'!$A$1:$I$110</definedName>
    <definedName name="_xlnm.Print_Area" localSheetId="2">'03.19'!$A$1:$I$109</definedName>
    <definedName name="_xlnm.Print_Area" localSheetId="3">'04.19'!$A$1:$I$110</definedName>
    <definedName name="_xlnm.Print_Area" localSheetId="4">'05.19'!$A$1:$I$108</definedName>
    <definedName name="_xlnm.Print_Area" localSheetId="5">'06.19'!$A$1:$I$107</definedName>
    <definedName name="_xlnm.Print_Area" localSheetId="6">'07.19'!$A$1:$I$115</definedName>
    <definedName name="_xlnm.Print_Area" localSheetId="7">'08.19'!$A$1:$I$112</definedName>
    <definedName name="_xlnm.Print_Area" localSheetId="8">'09.19'!$A$1:$I$113</definedName>
    <definedName name="_xlnm.Print_Area" localSheetId="9">'10.19'!$A$1:$I$106</definedName>
    <definedName name="_xlnm.Print_Area" localSheetId="10">'11.19'!$A$1:$I$108</definedName>
    <definedName name="_xlnm.Print_Area" localSheetId="11">'12.19'!$A$1:$I$112</definedName>
  </definedNames>
  <calcPr calcId="124519"/>
</workbook>
</file>

<file path=xl/calcChain.xml><?xml version="1.0" encoding="utf-8"?>
<calcChain xmlns="http://schemas.openxmlformats.org/spreadsheetml/2006/main">
  <c r="I87" i="28"/>
  <c r="I89" s="1"/>
  <c r="I81"/>
  <c r="I88"/>
  <c r="I86"/>
  <c r="I85"/>
  <c r="I84"/>
  <c r="I43"/>
  <c r="H43"/>
  <c r="F42"/>
  <c r="H42" s="1"/>
  <c r="F41"/>
  <c r="I41" s="1"/>
  <c r="F40"/>
  <c r="H40" s="1"/>
  <c r="I39"/>
  <c r="H39"/>
  <c r="I38"/>
  <c r="F27"/>
  <c r="H27" s="1"/>
  <c r="F26"/>
  <c r="H26" s="1"/>
  <c r="F25"/>
  <c r="H25" s="1"/>
  <c r="F24"/>
  <c r="H24" s="1"/>
  <c r="F23"/>
  <c r="H23" s="1"/>
  <c r="F22"/>
  <c r="H22" s="1"/>
  <c r="F21"/>
  <c r="I21" s="1"/>
  <c r="H20"/>
  <c r="F20"/>
  <c r="I20" s="1"/>
  <c r="H19"/>
  <c r="F19"/>
  <c r="F18"/>
  <c r="I18" s="1"/>
  <c r="E18"/>
  <c r="F17"/>
  <c r="I17" s="1"/>
  <c r="H16"/>
  <c r="F16"/>
  <c r="I16" s="1"/>
  <c r="I40" l="1"/>
  <c r="H41"/>
  <c r="I42"/>
  <c r="H17"/>
  <c r="H18"/>
  <c r="H21"/>
  <c r="I27"/>
  <c r="I84" i="27" l="1"/>
  <c r="I38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H21"/>
  <c r="I18"/>
  <c r="H18"/>
  <c r="I16"/>
  <c r="I20"/>
  <c r="I27"/>
  <c r="I83" i="26" l="1"/>
  <c r="I82"/>
  <c r="I79" l="1"/>
  <c r="F31"/>
  <c r="H31" s="1"/>
  <c r="F30"/>
  <c r="I30" s="1"/>
  <c r="F30" i="25"/>
  <c r="H30"/>
  <c r="I30"/>
  <c r="F31"/>
  <c r="H31" s="1"/>
  <c r="I31"/>
  <c r="F27" i="26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0" i="25"/>
  <c r="I89"/>
  <c r="I51"/>
  <c r="F27"/>
  <c r="H27" s="1"/>
  <c r="E18"/>
  <c r="F18" s="1"/>
  <c r="F17"/>
  <c r="I17" s="1"/>
  <c r="F16"/>
  <c r="I16" s="1"/>
  <c r="I85" i="24"/>
  <c r="I87"/>
  <c r="I79"/>
  <c r="I88"/>
  <c r="I86"/>
  <c r="I84"/>
  <c r="I83"/>
  <c r="I57"/>
  <c r="I82"/>
  <c r="I81"/>
  <c r="F31"/>
  <c r="H31" s="1"/>
  <c r="F30"/>
  <c r="I30" s="1"/>
  <c r="F27"/>
  <c r="H27" s="1"/>
  <c r="F20"/>
  <c r="H20" s="1"/>
  <c r="F19"/>
  <c r="H19" s="1"/>
  <c r="E18"/>
  <c r="F18" s="1"/>
  <c r="F17"/>
  <c r="I17" s="1"/>
  <c r="F16"/>
  <c r="H16" s="1"/>
  <c r="I79" i="23"/>
  <c r="I92"/>
  <c r="I91"/>
  <c r="I90"/>
  <c r="I89"/>
  <c r="I88"/>
  <c r="I87"/>
  <c r="I86"/>
  <c r="I85"/>
  <c r="I84"/>
  <c r="I83"/>
  <c r="I82"/>
  <c r="H21" i="26" l="1"/>
  <c r="H17"/>
  <c r="H30"/>
  <c r="I31"/>
  <c r="I79" i="25"/>
  <c r="I18" i="26"/>
  <c r="H18"/>
  <c r="I16"/>
  <c r="I20"/>
  <c r="I27"/>
  <c r="H17" i="25"/>
  <c r="I27"/>
  <c r="H18"/>
  <c r="I18"/>
  <c r="H16"/>
  <c r="I89" i="24"/>
  <c r="H17"/>
  <c r="H30"/>
  <c r="I31"/>
  <c r="I27"/>
  <c r="I18"/>
  <c r="H18"/>
  <c r="I20"/>
  <c r="I16"/>
  <c r="F27" i="23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9" i="22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16" i="21"/>
  <c r="H16" s="1"/>
  <c r="I16"/>
  <c r="F17"/>
  <c r="H17"/>
  <c r="I17"/>
  <c r="E18"/>
  <c r="F18" s="1"/>
  <c r="F19"/>
  <c r="H19" s="1"/>
  <c r="I19"/>
  <c r="F20"/>
  <c r="H20"/>
  <c r="I20"/>
  <c r="F21"/>
  <c r="H21" s="1"/>
  <c r="I21"/>
  <c r="F22"/>
  <c r="H22"/>
  <c r="I22"/>
  <c r="F23"/>
  <c r="H23" s="1"/>
  <c r="I23"/>
  <c r="F24"/>
  <c r="H24"/>
  <c r="I24"/>
  <c r="F25"/>
  <c r="H25" s="1"/>
  <c r="I25"/>
  <c r="F26"/>
  <c r="H26"/>
  <c r="I26"/>
  <c r="F27"/>
  <c r="H27" s="1"/>
  <c r="I27"/>
  <c r="F27" i="20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F27" i="19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F27" i="18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F27" i="17"/>
  <c r="H21" i="23" l="1"/>
  <c r="H17"/>
  <c r="I18"/>
  <c r="H18"/>
  <c r="I16"/>
  <c r="I20"/>
  <c r="I27"/>
  <c r="H21" i="22"/>
  <c r="I18"/>
  <c r="H18"/>
  <c r="I16"/>
  <c r="H17"/>
  <c r="I20"/>
  <c r="I27"/>
  <c r="I18" i="21"/>
  <c r="H18"/>
  <c r="I79"/>
  <c r="I18" i="20"/>
  <c r="H18"/>
  <c r="I16"/>
  <c r="I20"/>
  <c r="I27"/>
  <c r="I18" i="19"/>
  <c r="H18"/>
  <c r="I16"/>
  <c r="I20"/>
  <c r="I27"/>
  <c r="I18" i="18"/>
  <c r="H18"/>
  <c r="I16"/>
  <c r="I20"/>
  <c r="I27"/>
  <c r="I82" i="22"/>
  <c r="I51" i="21"/>
  <c r="I83"/>
  <c r="I84"/>
  <c r="I82"/>
  <c r="I83" i="20"/>
  <c r="I56"/>
  <c r="I81" i="19"/>
  <c r="I86"/>
  <c r="I85"/>
  <c r="I57"/>
  <c r="I86" i="20"/>
  <c r="I85"/>
  <c r="I84"/>
  <c r="I72"/>
  <c r="I37"/>
  <c r="I84" i="19" l="1"/>
  <c r="I38"/>
  <c r="I80" i="18"/>
  <c r="I37" l="1"/>
  <c r="I87"/>
  <c r="I86"/>
  <c r="I85"/>
  <c r="I84"/>
  <c r="I83"/>
  <c r="I37" i="17"/>
  <c r="I88"/>
  <c r="I87"/>
  <c r="I86"/>
  <c r="I85"/>
  <c r="I84"/>
  <c r="I83"/>
  <c r="I83" i="28"/>
  <c r="H83"/>
  <c r="I83" i="27" l="1"/>
  <c r="I85" s="1"/>
  <c r="H83"/>
  <c r="I43"/>
  <c r="I51" i="26" l="1"/>
  <c r="I81"/>
  <c r="H81"/>
  <c r="I86" i="25"/>
  <c r="H86"/>
  <c r="H81" i="24" l="1"/>
  <c r="I81" i="23"/>
  <c r="H81"/>
  <c r="I59" i="22"/>
  <c r="I81"/>
  <c r="I84" s="1"/>
  <c r="H81"/>
  <c r="I66"/>
  <c r="I81" i="21" l="1"/>
  <c r="I85" s="1"/>
  <c r="H81"/>
  <c r="I73"/>
  <c r="I87" i="20"/>
  <c r="I82"/>
  <c r="H82"/>
  <c r="I42"/>
  <c r="I83" i="19" l="1"/>
  <c r="H83"/>
  <c r="I43"/>
  <c r="I42"/>
  <c r="I42" i="18"/>
  <c r="I42" i="17"/>
  <c r="I82" i="18" l="1"/>
  <c r="H82"/>
  <c r="I82" i="17"/>
  <c r="H82"/>
  <c r="H86" i="28" l="1"/>
  <c r="H85"/>
  <c r="I70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38"/>
  <c r="H36"/>
  <c r="H35"/>
  <c r="H34"/>
  <c r="F34"/>
  <c r="I34" s="1"/>
  <c r="F33"/>
  <c r="H33" s="1"/>
  <c r="F32"/>
  <c r="I32" s="1"/>
  <c r="F31"/>
  <c r="H31" s="1"/>
  <c r="F28"/>
  <c r="I28" s="1"/>
  <c r="I53" i="27"/>
  <c r="E80"/>
  <c r="F80" s="1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H76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I39"/>
  <c r="H39"/>
  <c r="H38"/>
  <c r="H36"/>
  <c r="H35"/>
  <c r="H34"/>
  <c r="F34"/>
  <c r="I34" s="1"/>
  <c r="F33"/>
  <c r="H33" s="1"/>
  <c r="F32"/>
  <c r="I32" s="1"/>
  <c r="F31"/>
  <c r="H31" s="1"/>
  <c r="F28"/>
  <c r="I28" s="1"/>
  <c r="H42" l="1"/>
  <c r="I42"/>
  <c r="H28"/>
  <c r="H80" i="28"/>
  <c r="H81" s="1"/>
  <c r="I80"/>
  <c r="H28"/>
  <c r="I31"/>
  <c r="H32"/>
  <c r="I33"/>
  <c r="H50"/>
  <c r="I51"/>
  <c r="H52"/>
  <c r="H57"/>
  <c r="H76" s="1"/>
  <c r="I79"/>
  <c r="I51" i="27"/>
  <c r="I52"/>
  <c r="H50"/>
  <c r="H32"/>
  <c r="H41"/>
  <c r="I80"/>
  <c r="H80"/>
  <c r="H81" s="1"/>
  <c r="I31"/>
  <c r="I33"/>
  <c r="I40"/>
  <c r="I57"/>
  <c r="H79"/>
  <c r="I81" l="1"/>
  <c r="I87" s="1"/>
  <c r="I91" i="28"/>
  <c r="H85" i="24" l="1"/>
  <c r="I59"/>
  <c r="H83" i="23"/>
  <c r="H82"/>
  <c r="E78" i="26" l="1"/>
  <c r="F78" s="1"/>
  <c r="H78" s="1"/>
  <c r="H79" s="1"/>
  <c r="F77"/>
  <c r="H77" s="1"/>
  <c r="H75"/>
  <c r="H73"/>
  <c r="H71"/>
  <c r="H70"/>
  <c r="H69"/>
  <c r="H68"/>
  <c r="H66"/>
  <c r="F65"/>
  <c r="H65" s="1"/>
  <c r="F64"/>
  <c r="H64" s="1"/>
  <c r="F63"/>
  <c r="H63" s="1"/>
  <c r="F62"/>
  <c r="H62" s="1"/>
  <c r="F61"/>
  <c r="H61" s="1"/>
  <c r="H60"/>
  <c r="I59"/>
  <c r="H59"/>
  <c r="H57"/>
  <c r="F55"/>
  <c r="I55" s="1"/>
  <c r="I52"/>
  <c r="F52"/>
  <c r="H52" s="1"/>
  <c r="H51"/>
  <c r="F50"/>
  <c r="F49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I75" i="25"/>
  <c r="I66"/>
  <c r="H88"/>
  <c r="H87"/>
  <c r="H85"/>
  <c r="H84"/>
  <c r="H83"/>
  <c r="H82"/>
  <c r="H81"/>
  <c r="E78"/>
  <c r="F78" s="1"/>
  <c r="F77"/>
  <c r="H77" s="1"/>
  <c r="H75"/>
  <c r="H73"/>
  <c r="H71"/>
  <c r="H70"/>
  <c r="H69"/>
  <c r="H68"/>
  <c r="H66"/>
  <c r="F65"/>
  <c r="H65" s="1"/>
  <c r="F64"/>
  <c r="H64" s="1"/>
  <c r="F63"/>
  <c r="H63" s="1"/>
  <c r="F62"/>
  <c r="H62" s="1"/>
  <c r="F61"/>
  <c r="H61" s="1"/>
  <c r="H60"/>
  <c r="I59"/>
  <c r="H59"/>
  <c r="H57"/>
  <c r="F55"/>
  <c r="I55" s="1"/>
  <c r="I52"/>
  <c r="F52"/>
  <c r="H52" s="1"/>
  <c r="H51"/>
  <c r="F50"/>
  <c r="F49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78" i="24"/>
  <c r="F78" s="1"/>
  <c r="F77"/>
  <c r="H77" s="1"/>
  <c r="H75"/>
  <c r="H73"/>
  <c r="H71"/>
  <c r="H70"/>
  <c r="H69"/>
  <c r="H68"/>
  <c r="H66"/>
  <c r="F65"/>
  <c r="H65" s="1"/>
  <c r="F64"/>
  <c r="H64" s="1"/>
  <c r="F63"/>
  <c r="H63" s="1"/>
  <c r="F62"/>
  <c r="H62" s="1"/>
  <c r="F61"/>
  <c r="H61" s="1"/>
  <c r="H60"/>
  <c r="H59"/>
  <c r="H57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F26"/>
  <c r="H26" s="1"/>
  <c r="F25"/>
  <c r="H25" s="1"/>
  <c r="F24"/>
  <c r="H24" s="1"/>
  <c r="F23"/>
  <c r="H23" s="1"/>
  <c r="F22"/>
  <c r="H22" s="1"/>
  <c r="F21"/>
  <c r="H21" s="1"/>
  <c r="I51" i="23"/>
  <c r="E78"/>
  <c r="F78" s="1"/>
  <c r="H78" s="1"/>
  <c r="H79" s="1"/>
  <c r="F77"/>
  <c r="H77" s="1"/>
  <c r="H75"/>
  <c r="H73"/>
  <c r="H71"/>
  <c r="H70"/>
  <c r="H69"/>
  <c r="H68"/>
  <c r="H66"/>
  <c r="F65"/>
  <c r="H65" s="1"/>
  <c r="F64"/>
  <c r="H64" s="1"/>
  <c r="F63"/>
  <c r="H63" s="1"/>
  <c r="F62"/>
  <c r="H62" s="1"/>
  <c r="F61"/>
  <c r="H61" s="1"/>
  <c r="H60"/>
  <c r="I59"/>
  <c r="H59"/>
  <c r="H57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F31"/>
  <c r="H31" s="1"/>
  <c r="F30"/>
  <c r="I30" s="1"/>
  <c r="E78" i="22"/>
  <c r="F78" s="1"/>
  <c r="H78" s="1"/>
  <c r="H79" s="1"/>
  <c r="F77"/>
  <c r="H77" s="1"/>
  <c r="H75"/>
  <c r="H73"/>
  <c r="H71"/>
  <c r="H70"/>
  <c r="H69"/>
  <c r="H68"/>
  <c r="H66"/>
  <c r="F65"/>
  <c r="F64"/>
  <c r="F63"/>
  <c r="F62"/>
  <c r="F61"/>
  <c r="H60"/>
  <c r="H59"/>
  <c r="H57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F31"/>
  <c r="H31" s="1"/>
  <c r="F30"/>
  <c r="I30" s="1"/>
  <c r="I66" i="21"/>
  <c r="I67"/>
  <c r="I68"/>
  <c r="I69"/>
  <c r="I70"/>
  <c r="I71"/>
  <c r="I75"/>
  <c r="E78"/>
  <c r="F78" s="1"/>
  <c r="F77"/>
  <c r="H77" s="1"/>
  <c r="H75"/>
  <c r="H73"/>
  <c r="H71"/>
  <c r="H70"/>
  <c r="H69"/>
  <c r="H68"/>
  <c r="H66"/>
  <c r="F65"/>
  <c r="H65" s="1"/>
  <c r="F64"/>
  <c r="H64" s="1"/>
  <c r="F63"/>
  <c r="H63" s="1"/>
  <c r="F62"/>
  <c r="H62" s="1"/>
  <c r="F61"/>
  <c r="H61" s="1"/>
  <c r="H60"/>
  <c r="I59"/>
  <c r="H59"/>
  <c r="H57"/>
  <c r="F55"/>
  <c r="I55" s="1"/>
  <c r="I52"/>
  <c r="F52"/>
  <c r="H52" s="1"/>
  <c r="H51"/>
  <c r="F50"/>
  <c r="F49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33"/>
  <c r="F32"/>
  <c r="I32" s="1"/>
  <c r="F31"/>
  <c r="H31" s="1"/>
  <c r="F30"/>
  <c r="I30" s="1"/>
  <c r="I52" i="20"/>
  <c r="E79"/>
  <c r="F79" s="1"/>
  <c r="H79" s="1"/>
  <c r="H80" s="1"/>
  <c r="F78"/>
  <c r="H78" s="1"/>
  <c r="H76"/>
  <c r="H74"/>
  <c r="H72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H58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I39" s="1"/>
  <c r="I38"/>
  <c r="H38"/>
  <c r="H37"/>
  <c r="H35"/>
  <c r="H34"/>
  <c r="H33"/>
  <c r="F33"/>
  <c r="I33" s="1"/>
  <c r="F32"/>
  <c r="I32" s="1"/>
  <c r="F31"/>
  <c r="H31" s="1"/>
  <c r="F30"/>
  <c r="I30" s="1"/>
  <c r="E80" i="19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F40"/>
  <c r="I40" s="1"/>
  <c r="I39"/>
  <c r="H39"/>
  <c r="H38"/>
  <c r="H36"/>
  <c r="H35"/>
  <c r="H34"/>
  <c r="F34"/>
  <c r="I34" s="1"/>
  <c r="F33"/>
  <c r="I33" s="1"/>
  <c r="F32"/>
  <c r="H32" s="1"/>
  <c r="F31"/>
  <c r="I31" s="1"/>
  <c r="F28"/>
  <c r="H28" s="1"/>
  <c r="H50" i="26" l="1"/>
  <c r="I50"/>
  <c r="H49"/>
  <c r="I49"/>
  <c r="H50" i="25"/>
  <c r="I50"/>
  <c r="H49"/>
  <c r="I49"/>
  <c r="I46"/>
  <c r="I44"/>
  <c r="I47"/>
  <c r="I45"/>
  <c r="I43"/>
  <c r="H61" i="22"/>
  <c r="I61"/>
  <c r="H63"/>
  <c r="I63"/>
  <c r="H65"/>
  <c r="I65"/>
  <c r="H62"/>
  <c r="I62"/>
  <c r="H64"/>
  <c r="I64"/>
  <c r="H49" i="21"/>
  <c r="I49"/>
  <c r="H50"/>
  <c r="I50"/>
  <c r="I50" i="20"/>
  <c r="I51"/>
  <c r="H55" i="26"/>
  <c r="H74" s="1"/>
  <c r="H32"/>
  <c r="H38"/>
  <c r="I39"/>
  <c r="H40"/>
  <c r="I48"/>
  <c r="I77"/>
  <c r="I78"/>
  <c r="H78" i="25"/>
  <c r="H79" s="1"/>
  <c r="I78"/>
  <c r="H20"/>
  <c r="I21"/>
  <c r="H32"/>
  <c r="H38"/>
  <c r="I39"/>
  <c r="H40"/>
  <c r="I48"/>
  <c r="H55"/>
  <c r="H74" s="1"/>
  <c r="I77"/>
  <c r="H78" i="24"/>
  <c r="H79" s="1"/>
  <c r="I78"/>
  <c r="I21"/>
  <c r="H32"/>
  <c r="H38"/>
  <c r="I39"/>
  <c r="H40"/>
  <c r="I48"/>
  <c r="H55"/>
  <c r="H74" s="1"/>
  <c r="I77"/>
  <c r="H55" i="23"/>
  <c r="H74" s="1"/>
  <c r="H38"/>
  <c r="H40"/>
  <c r="H32"/>
  <c r="H30"/>
  <c r="I31"/>
  <c r="I39"/>
  <c r="I48"/>
  <c r="I77"/>
  <c r="I78"/>
  <c r="H30" i="22"/>
  <c r="I31"/>
  <c r="H32"/>
  <c r="H38"/>
  <c r="I39"/>
  <c r="H40"/>
  <c r="I48"/>
  <c r="H55"/>
  <c r="H74" s="1"/>
  <c r="I77"/>
  <c r="I78"/>
  <c r="I46" i="21"/>
  <c r="I44"/>
  <c r="I61"/>
  <c r="I64"/>
  <c r="I62"/>
  <c r="I47"/>
  <c r="I45"/>
  <c r="I43"/>
  <c r="I65"/>
  <c r="I63"/>
  <c r="H78"/>
  <c r="H79" s="1"/>
  <c r="I78"/>
  <c r="H30"/>
  <c r="I31"/>
  <c r="H32"/>
  <c r="H38"/>
  <c r="I39"/>
  <c r="H40"/>
  <c r="I48"/>
  <c r="H55"/>
  <c r="H74" s="1"/>
  <c r="I77"/>
  <c r="H30" i="20"/>
  <c r="I31"/>
  <c r="H32"/>
  <c r="H39"/>
  <c r="I40"/>
  <c r="H41"/>
  <c r="I49"/>
  <c r="H56"/>
  <c r="H75" s="1"/>
  <c r="I78"/>
  <c r="I79"/>
  <c r="H80" i="19"/>
  <c r="H81" s="1"/>
  <c r="I80"/>
  <c r="I28"/>
  <c r="H31"/>
  <c r="I32"/>
  <c r="H33"/>
  <c r="H40"/>
  <c r="I41"/>
  <c r="H42"/>
  <c r="I50"/>
  <c r="H57"/>
  <c r="H76" s="1"/>
  <c r="I79"/>
  <c r="I85" i="26" l="1"/>
  <c r="I92" i="25"/>
  <c r="I91" i="24"/>
  <c r="I94" i="23"/>
  <c r="I87" i="21"/>
  <c r="I86" i="22"/>
  <c r="I80" i="20"/>
  <c r="I89" s="1"/>
  <c r="I88" i="19"/>
  <c r="E79" i="18" l="1"/>
  <c r="F79" s="1"/>
  <c r="F78"/>
  <c r="H78" s="1"/>
  <c r="H76"/>
  <c r="H74"/>
  <c r="H72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H58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I39" s="1"/>
  <c r="I38"/>
  <c r="H38"/>
  <c r="H37"/>
  <c r="H35"/>
  <c r="H34"/>
  <c r="H33"/>
  <c r="F33"/>
  <c r="I33" s="1"/>
  <c r="F32"/>
  <c r="I32" s="1"/>
  <c r="F31"/>
  <c r="H31" s="1"/>
  <c r="F30"/>
  <c r="I30" s="1"/>
  <c r="E79" i="17"/>
  <c r="F78"/>
  <c r="I78" s="1"/>
  <c r="H76"/>
  <c r="H74"/>
  <c r="H72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H58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I38"/>
  <c r="H38"/>
  <c r="H37"/>
  <c r="H35"/>
  <c r="H34"/>
  <c r="I27"/>
  <c r="I80" s="1"/>
  <c r="H33"/>
  <c r="F33"/>
  <c r="I33" s="1"/>
  <c r="F32"/>
  <c r="H32" s="1"/>
  <c r="F31"/>
  <c r="H31" s="1"/>
  <c r="F30"/>
  <c r="H30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41" l="1"/>
  <c r="I41"/>
  <c r="H79" i="18"/>
  <c r="H80" s="1"/>
  <c r="I79"/>
  <c r="H30"/>
  <c r="I31"/>
  <c r="H32"/>
  <c r="H39"/>
  <c r="I40"/>
  <c r="H41"/>
  <c r="I49"/>
  <c r="H56"/>
  <c r="H75" s="1"/>
  <c r="I78"/>
  <c r="I32" i="17"/>
  <c r="I30"/>
  <c r="I31"/>
  <c r="H17"/>
  <c r="H75"/>
  <c r="H21"/>
  <c r="H78"/>
  <c r="I18"/>
  <c r="H18"/>
  <c r="I16"/>
  <c r="I20"/>
  <c r="H27"/>
  <c r="I39"/>
  <c r="H40"/>
  <c r="I49"/>
  <c r="I56"/>
  <c r="F79"/>
  <c r="I89" i="18" l="1"/>
  <c r="H79" i="17"/>
  <c r="H80" s="1"/>
  <c r="I79"/>
  <c r="I90" l="1"/>
</calcChain>
</file>

<file path=xl/sharedStrings.xml><?xml version="1.0" encoding="utf-8"?>
<sst xmlns="http://schemas.openxmlformats.org/spreadsheetml/2006/main" count="2488" uniqueCount="257">
  <si>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</si>
  <si>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</si>
  <si>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</si>
  <si>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</si>
  <si>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</si>
  <si>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</si>
  <si>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</si>
  <si>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</si>
  <si>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</si>
  <si>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</si>
  <si>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</si>
  <si>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</si>
  <si>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</si>
  <si>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</si>
  <si>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</si>
  <si>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</si>
  <si>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</si>
  <si>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</si>
  <si>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</si>
  <si>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</si>
  <si>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</si>
  <si>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</si>
  <si>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</si>
  <si>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</si>
  <si>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</si>
  <si>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</si>
  <si>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</si>
  <si>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</si>
  <si>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</si>
  <si>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</si>
  <si>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</si>
  <si>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</si>
  <si>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</si>
  <si>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</si>
  <si>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</si>
  <si>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</si>
  <si>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</si>
  <si>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</si>
  <si>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</si>
  <si>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</si>
  <si>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</si>
  <si>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</si>
  <si>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</si>
  <si>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</si>
  <si>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</si>
  <si>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</si>
  <si>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</si>
  <si>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</si>
  <si>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</si>
  <si>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</si>
  <si>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</si>
  <si>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</si>
  <si>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</si>
  <si>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</si>
  <si>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</si>
  <si>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</si>
  <si>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</si>
  <si>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</si>
  <si>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</si>
  <si>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</si>
  <si>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</si>
  <si>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</si>
  <si>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</si>
  <si>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</si>
  <si>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</si>
  <si>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</si>
  <si>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</si>
  <si>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</si>
  <si>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</si>
  <si>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</si>
  <si>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</si>
  <si>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</si>
  <si>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</si>
  <si>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</si>
  <si>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</si>
  <si>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</si>
  <si>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</si>
  <si>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</si>
  <si>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</si>
  <si>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</si>
  <si>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</si>
  <si>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</si>
  <si>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</si>
  <si>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</si>
  <si>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</si>
  <si>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</si>
  <si>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</si>
  <si>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</si>
  <si>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</si>
  <si>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</si>
  <si>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</si>
  <si>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</si>
  <si>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</si>
  <si>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</si>
  <si>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</si>
  <si>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</si>
  <si>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</si>
  <si>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</si>
  <si>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</si>
  <si>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два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</si>
  <si>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</si>
  <si>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</si>
  <si>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</si>
  <si>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</si>
  <si>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</si>
  <si>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</si>
  <si>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</si>
  <si>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</si>
  <si>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</si>
  <si>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</si>
  <si>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</si>
  <si>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</si>
  <si>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</si>
  <si>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</si>
  <si>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</si>
  <si>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</si>
  <si>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</si>
  <si>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</si>
  <si>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</si>
  <si>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</si>
  <si>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</si>
  <si>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</si>
  <si>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</si>
  <si>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</si>
  <si>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</si>
  <si>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</si>
  <si>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</si>
  <si>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генеральный директор Куканов Ю.Л.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</si>
  <si>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</si>
  <si>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</si>
  <si>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</si>
  <si>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</si>
  <si>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</si>
  <si>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</si>
  <si>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</si>
  <si>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</si>
  <si>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</si>
  <si>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</si>
  <si>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</si>
  <si>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</si>
  <si>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</si>
  <si>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</si>
  <si>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</si>
  <si>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</si>
  <si>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</si>
  <si>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Смена светодиодных светильников</t>
  </si>
  <si>
    <t>1 шт.</t>
  </si>
  <si>
    <t>Прочистка каналов</t>
  </si>
  <si>
    <t>АКТ №2</t>
  </si>
  <si>
    <t>АКТ №3</t>
  </si>
  <si>
    <t>III. Содержание oбщего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</si>
  <si>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</si>
  <si>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</si>
  <si>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</si>
  <si>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</si>
  <si>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</si>
  <si>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</si>
  <si>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</si>
  <si>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</si>
  <si>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</si>
  <si>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</si>
  <si>
    <t>Итого затраты за месяц</t>
  </si>
  <si>
    <t>52 раза в сезон</t>
  </si>
  <si>
    <t>78 раз за сезон</t>
  </si>
  <si>
    <t>Подключение и отключение сварочного аппарата</t>
  </si>
  <si>
    <t>10 м2</t>
  </si>
  <si>
    <t>АКТ №11</t>
  </si>
  <si>
    <t>АКТ №12</t>
  </si>
  <si>
    <t>Дератизация</t>
  </si>
  <si>
    <t>м2</t>
  </si>
  <si>
    <t>36м2</t>
  </si>
  <si>
    <t>Ремонт отдельных мест покрытия из асбоцементных листов обыкновенного профиля</t>
  </si>
  <si>
    <t>м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</si>
  <si>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</si>
  <si>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</si>
  <si>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10 м</t>
  </si>
  <si>
    <t>Очистка канализационной сети внутренней</t>
  </si>
  <si>
    <t>Очистка вручную от снега и наледи люков каналиационных и водопроводных колодцев</t>
  </si>
  <si>
    <t>Ш. Прочие услуги</t>
  </si>
  <si>
    <t>Осмотр водопроводов, канализации, отопления в квартирах</t>
  </si>
  <si>
    <t>100 кв.</t>
  </si>
  <si>
    <t>за период с 01.01.2019 г. по 31.01.2019 г.</t>
  </si>
  <si>
    <t>час</t>
  </si>
  <si>
    <t>Утепление трубопроводов в каналах и коробах минеральной ватой</t>
  </si>
  <si>
    <t>I МЗ</t>
  </si>
  <si>
    <t>Осмотр электросетей, армазуры и электрооборудования на лестничных клетках</t>
  </si>
  <si>
    <t>за период с 01.02.2019 г. по 28.02.2019 г.</t>
  </si>
  <si>
    <t>Установка хомута диаметром до 50 мм</t>
  </si>
  <si>
    <t>за период с 01.03.2019 г. по 31.03.2019 г.</t>
  </si>
  <si>
    <t>за период с 01.04.2019 г. по 30.04.2019 г.</t>
  </si>
  <si>
    <t>Осмотр кровель из штучных материалов</t>
  </si>
  <si>
    <t>Укрепление оконных и дверных приборов - пружин, ручек, петель, шпингалетов</t>
  </si>
  <si>
    <t>за период с 01.05.2019 г. по 31.05.2019 г.</t>
  </si>
  <si>
    <t>Ремонт разделки к оголовку</t>
  </si>
  <si>
    <t>за период с 01.06.2019 г. по 30.06.2019 г.</t>
  </si>
  <si>
    <t>Смена арматуры - вентилей и клапанов обратных муфтовых диаметром до 20 мм</t>
  </si>
  <si>
    <t>Организация и содержание мест накопления ТКО</t>
  </si>
  <si>
    <t>13 раз</t>
  </si>
  <si>
    <t>8 раз</t>
  </si>
  <si>
    <t>2 раза</t>
  </si>
  <si>
    <t>1 раз</t>
  </si>
  <si>
    <t xml:space="preserve">1 раз </t>
  </si>
  <si>
    <t>21 раз</t>
  </si>
  <si>
    <t>5 раз</t>
  </si>
  <si>
    <t>25 раз</t>
  </si>
  <si>
    <t>6 раз</t>
  </si>
  <si>
    <t>7 раз</t>
  </si>
  <si>
    <t>2. Всего за период с 01.01.2019 по 31.01.2019 выполнено работ (оказано услуг) на общую сумму: 21381,64 руб.</t>
  </si>
  <si>
    <t>(двадцать одна тысяча триста восемьдесят один рубль 64 копейки )</t>
  </si>
  <si>
    <t>2. Всего за период с 01.02.2019 по 28.02.2019 выполнено работ (оказано услуг) на общую сумму: 17229,46 руб.</t>
  </si>
  <si>
    <t>(семнадцать тысяч двести двадцать девять рублей 46 копеек)</t>
  </si>
  <si>
    <t>2. Всего за период с 01.03.2019 по 31.03.2019 выполнено работ (оказано услуг) на общую сумму: 13691,29 руб.</t>
  </si>
  <si>
    <t>(тринадцать тысяч шестьсот девяносто один рубль 29 копеек)</t>
  </si>
  <si>
    <t>2. Всего за период с 01.04.2019 по 30.04.2019 выполнено работ (оказано услуг) на общую сумму: 22327,38 руб.</t>
  </si>
  <si>
    <t>(двадцать две тысячи триста двадцать семь рублей 38 копеек)</t>
  </si>
  <si>
    <t xml:space="preserve">1 раз     </t>
  </si>
  <si>
    <t xml:space="preserve">1 раз   </t>
  </si>
  <si>
    <t xml:space="preserve">1 раз      </t>
  </si>
  <si>
    <t>1 рз</t>
  </si>
  <si>
    <t>2. Всего за период с 01.05.2019 по 31.05.2019 выполнено работ (оказано услуг) на общую сумму: 17513,74  руб.</t>
  </si>
  <si>
    <t>(семнадцать тысяч пятьсот тринадцать рублей 74 копейки)</t>
  </si>
  <si>
    <t>2. Всего за период с 01.06.2019 по 30.06.2019 выполнено работ (оказано услуг) на общую сумму: 31420,38 руб.</t>
  </si>
  <si>
    <t>(тридцать одна тысяча четыреста двадцать рублей 38 копеек)</t>
  </si>
  <si>
    <t>за период с 01.07.2019 г. по 31.07.2019 г.</t>
  </si>
  <si>
    <t>Смена арматуры - вентилей и клапанов обратных муфтовых диаметром до 20 мм (без материалов)</t>
  </si>
  <si>
    <t>Смена арматуры - вентилей и клапанов обратных муфтовых диаметром до 32 мм</t>
  </si>
  <si>
    <t>Муфта комбинированная 25*20 ВР</t>
  </si>
  <si>
    <t>Тройник 25*20</t>
  </si>
  <si>
    <t>Муфта разъемная 25*3/4 ВР</t>
  </si>
  <si>
    <t>Шифер</t>
  </si>
  <si>
    <t>2. Всего за период с 01.07.2019 по 31.07.2019 выполнено работ (оказано услуг) на общую сумму: 16386,48 руб.</t>
  </si>
  <si>
    <t>(шестнадцать тысяч триста восемьдесят шесть рублей 48 копеек)</t>
  </si>
  <si>
    <t>за период с 01.08.2019 г. по 31.08.2019 г.</t>
  </si>
  <si>
    <t>Смена патронов ( без материалов)</t>
  </si>
  <si>
    <t>Смена внутренних трубопроводов на полипропиленовые трубы PN 25 Dу 25</t>
  </si>
  <si>
    <t>ГВС в подвале 3 м</t>
  </si>
  <si>
    <t>14,2 м2</t>
  </si>
  <si>
    <t>2. Всего за период с 01.08.2019 по 31.08.2019 выполнено работ (оказано услуг) на общую сумму: 30272,01 руб.</t>
  </si>
  <si>
    <t>( тридцать тысяч двести семьдесят два рубля 01 копейка)</t>
  </si>
  <si>
    <t>за период с 01.09.2019 г. по 30.09.2019 г.</t>
  </si>
  <si>
    <t>2. Всего за период с 01.09.2019 по 30.09.2019 выполнено работ (оказано услуг) на общую сумму: 13142,76 руб.</t>
  </si>
  <si>
    <t>(тринадцать тысяч сто сорок два рубля 76 копеек)</t>
  </si>
  <si>
    <t>за период с 01.10.2019 г. по 31.10.2019 г.</t>
  </si>
  <si>
    <t>2. Всего за период с 01.10.2019 по 31.10.2019 выполнено работ (оказано услуг) на общую сумму: 8617,40 руб.</t>
  </si>
  <si>
    <t>(восемь тысяч шестьсот семнадцать рублей 40 копеек)</t>
  </si>
  <si>
    <t>за период с 01.11.2019 г. по 30.11.2019 г.</t>
  </si>
  <si>
    <t>2. Всего за период с 01.11.2019 по 30.11.2019 выполнено работ (оказано услуг) на общую сумму: 12370,02 руб.</t>
  </si>
  <si>
    <t>(двенадцать тысяч триста семьдесят рублей 02 копейки)</t>
  </si>
  <si>
    <t>за период с 01.12.2019 г. по 31.12.2019 г.</t>
  </si>
  <si>
    <t>Ремонт и регулировка доводчика (без стоимости доводчика)</t>
  </si>
  <si>
    <t>1шт.</t>
  </si>
  <si>
    <t xml:space="preserve">Осмотр водопроводов, канализации, отопления </t>
  </si>
  <si>
    <t>100 шт</t>
  </si>
  <si>
    <t>подвал, ХВС</t>
  </si>
  <si>
    <t>под.№1</t>
  </si>
  <si>
    <t>2. Всего за период с 01.12.2019 по 31.12.2019 выполнено работ (оказано услуг) на общую сумму: 15903,85 руб.</t>
  </si>
  <si>
    <t>(пятнадцать тысяч девятьсот три рубля 85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</si>
</sst>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56" workbookViewId="0">
      <selection activeCell="D38" sqref="D38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132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181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43496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hidden="1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31.5" hidden="1" customHeight="1">
      <c r="A30" s="33">
        <v>8</v>
      </c>
      <c r="B30" s="64" t="s">
        <v>110</v>
      </c>
      <c r="C30" s="65" t="s">
        <v>88</v>
      </c>
      <c r="D30" s="64" t="s">
        <v>106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5" si="1">SUM(F30*G30/1000)</f>
        <v>2.0347501356</v>
      </c>
      <c r="I30" s="13">
        <f t="shared" ref="I30:I33" si="2">F30/6*G30</f>
        <v>339.12502259999997</v>
      </c>
      <c r="J30" s="26"/>
      <c r="K30" s="8"/>
      <c r="L30" s="8"/>
      <c r="M30" s="8"/>
    </row>
    <row r="31" spans="1:13" ht="31.5" hidden="1" customHeight="1">
      <c r="A31" s="33">
        <v>9</v>
      </c>
      <c r="B31" s="64" t="s">
        <v>109</v>
      </c>
      <c r="C31" s="65" t="s">
        <v>88</v>
      </c>
      <c r="D31" s="64" t="s">
        <v>107</v>
      </c>
      <c r="E31" s="67">
        <v>48.03</v>
      </c>
      <c r="F31" s="67">
        <f>SUM(E31*78/1000)</f>
        <v>3.74634</v>
      </c>
      <c r="G31" s="67">
        <v>243.54</v>
      </c>
      <c r="H31" s="68">
        <f t="shared" si="1"/>
        <v>0.91238364360000002</v>
      </c>
      <c r="I31" s="13">
        <f t="shared" si="2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1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108</v>
      </c>
      <c r="C33" s="65" t="s">
        <v>29</v>
      </c>
      <c r="D33" s="64" t="s">
        <v>63</v>
      </c>
      <c r="E33" s="71">
        <v>0.33333333333333331</v>
      </c>
      <c r="F33" s="67">
        <f>155/3</f>
        <v>51.666666666666664</v>
      </c>
      <c r="G33" s="67">
        <v>53.38</v>
      </c>
      <c r="H33" s="68">
        <f>SUM(G33*155/3/1000)</f>
        <v>2.7579666666666669</v>
      </c>
      <c r="I33" s="13">
        <f t="shared" si="2"/>
        <v>459.6611111111111</v>
      </c>
      <c r="J33" s="26"/>
      <c r="K33" s="8"/>
    </row>
    <row r="34" spans="1:14" ht="15.75" hidden="1" customHeight="1">
      <c r="A34" s="33"/>
      <c r="B34" s="64" t="s">
        <v>64</v>
      </c>
      <c r="C34" s="65" t="s">
        <v>31</v>
      </c>
      <c r="D34" s="64" t="s">
        <v>66</v>
      </c>
      <c r="E34" s="66"/>
      <c r="F34" s="67">
        <v>1</v>
      </c>
      <c r="G34" s="67">
        <v>180.15</v>
      </c>
      <c r="H34" s="68">
        <f t="shared" si="1"/>
        <v>0.18015</v>
      </c>
      <c r="I34" s="13">
        <v>0</v>
      </c>
      <c r="J34" s="27"/>
    </row>
    <row r="35" spans="1:14" ht="15.75" hidden="1" customHeight="1">
      <c r="A35" s="33"/>
      <c r="B35" s="64" t="s">
        <v>65</v>
      </c>
      <c r="C35" s="65" t="s">
        <v>30</v>
      </c>
      <c r="D35" s="64" t="s">
        <v>66</v>
      </c>
      <c r="E35" s="66"/>
      <c r="F35" s="67">
        <v>1</v>
      </c>
      <c r="G35" s="67">
        <v>1214.74</v>
      </c>
      <c r="H35" s="68">
        <f t="shared" si="1"/>
        <v>1.2147399999999999</v>
      </c>
      <c r="I35" s="13">
        <v>0</v>
      </c>
      <c r="J35" s="27"/>
    </row>
    <row r="36" spans="1:14" ht="15.75" customHeight="1">
      <c r="A36" s="33"/>
      <c r="B36" s="85" t="s">
        <v>5</v>
      </c>
      <c r="C36" s="65"/>
      <c r="D36" s="64"/>
      <c r="E36" s="66"/>
      <c r="F36" s="67"/>
      <c r="G36" s="67"/>
      <c r="H36" s="68" t="s">
        <v>135</v>
      </c>
      <c r="I36" s="13"/>
      <c r="J36" s="27"/>
    </row>
    <row r="37" spans="1:14" ht="15.75" customHeight="1">
      <c r="A37" s="33">
        <v>7</v>
      </c>
      <c r="B37" s="64" t="s">
        <v>25</v>
      </c>
      <c r="C37" s="65" t="s">
        <v>30</v>
      </c>
      <c r="D37" s="64"/>
      <c r="E37" s="66"/>
      <c r="F37" s="67">
        <v>3</v>
      </c>
      <c r="G37" s="67">
        <v>1632.6</v>
      </c>
      <c r="H37" s="68">
        <f t="shared" ref="H37:H42" si="3">SUM(F37*G37/1000)</f>
        <v>4.8977999999999993</v>
      </c>
      <c r="I37" s="13">
        <f>G37*1.95</f>
        <v>3183.5699999999997</v>
      </c>
      <c r="J37" s="27"/>
    </row>
    <row r="38" spans="1:14" ht="15.75" customHeight="1">
      <c r="A38" s="33">
        <v>8</v>
      </c>
      <c r="B38" s="64" t="s">
        <v>111</v>
      </c>
      <c r="C38" s="65" t="s">
        <v>28</v>
      </c>
      <c r="D38" s="64" t="s">
        <v>203</v>
      </c>
      <c r="E38" s="66">
        <v>48.03</v>
      </c>
      <c r="F38" s="67">
        <v>1.44</v>
      </c>
      <c r="G38" s="67">
        <v>1979.95</v>
      </c>
      <c r="H38" s="68">
        <f>G38*F38/1000</f>
        <v>2.8511280000000001</v>
      </c>
      <c r="I38" s="13">
        <f t="shared" ref="I38:I40" si="4">F38/6*G38</f>
        <v>475.18799999999999</v>
      </c>
      <c r="J38" s="27"/>
      <c r="L38" s="20"/>
      <c r="M38" s="21"/>
      <c r="N38" s="22"/>
    </row>
    <row r="39" spans="1:14" ht="15.75" customHeight="1">
      <c r="A39" s="33">
        <v>9</v>
      </c>
      <c r="B39" s="64" t="s">
        <v>67</v>
      </c>
      <c r="C39" s="65" t="s">
        <v>28</v>
      </c>
      <c r="D39" s="64" t="s">
        <v>204</v>
      </c>
      <c r="E39" s="67">
        <v>48.03</v>
      </c>
      <c r="F39" s="67">
        <f>SUM(E39*155/1000)</f>
        <v>7.4446500000000002</v>
      </c>
      <c r="G39" s="67">
        <v>330.27</v>
      </c>
      <c r="H39" s="68">
        <f t="shared" si="3"/>
        <v>2.4587445555</v>
      </c>
      <c r="I39" s="13">
        <f t="shared" si="4"/>
        <v>409.79075924999995</v>
      </c>
      <c r="J39" s="27"/>
      <c r="L39" s="20"/>
      <c r="M39" s="21"/>
      <c r="N39" s="22"/>
    </row>
    <row r="40" spans="1:14" ht="47.25" customHeight="1">
      <c r="A40" s="33">
        <v>10</v>
      </c>
      <c r="B40" s="64" t="s">
        <v>81</v>
      </c>
      <c r="C40" s="65" t="s">
        <v>88</v>
      </c>
      <c r="D40" s="64" t="s">
        <v>205</v>
      </c>
      <c r="E40" s="67">
        <v>48.03</v>
      </c>
      <c r="F40" s="67">
        <f>SUM(E40*35/1000)</f>
        <v>1.6810499999999999</v>
      </c>
      <c r="G40" s="67">
        <v>5464.48</v>
      </c>
      <c r="H40" s="68">
        <f t="shared" si="3"/>
        <v>9.1860641039999997</v>
      </c>
      <c r="I40" s="13">
        <f t="shared" si="4"/>
        <v>1531.0106839999999</v>
      </c>
      <c r="J40" s="27"/>
      <c r="L40" s="20"/>
      <c r="M40" s="21"/>
      <c r="N40" s="22"/>
    </row>
    <row r="41" spans="1:14" ht="15.75" customHeight="1">
      <c r="A41" s="33">
        <v>11</v>
      </c>
      <c r="B41" s="64" t="s">
        <v>89</v>
      </c>
      <c r="C41" s="65" t="s">
        <v>88</v>
      </c>
      <c r="D41" s="64" t="s">
        <v>206</v>
      </c>
      <c r="E41" s="67">
        <v>48.03</v>
      </c>
      <c r="F41" s="67">
        <f>SUM(E41*45/1000)</f>
        <v>2.1613500000000001</v>
      </c>
      <c r="G41" s="67">
        <v>403.67</v>
      </c>
      <c r="H41" s="68">
        <f t="shared" si="3"/>
        <v>0.87247215450000015</v>
      </c>
      <c r="I41" s="13">
        <f>F41/7.5*G41</f>
        <v>116.3296206</v>
      </c>
      <c r="J41" s="27"/>
      <c r="L41" s="20"/>
      <c r="M41" s="21"/>
      <c r="N41" s="22"/>
    </row>
    <row r="42" spans="1:14" ht="15.75" customHeight="1">
      <c r="A42" s="33">
        <v>12</v>
      </c>
      <c r="B42" s="64" t="s">
        <v>69</v>
      </c>
      <c r="C42" s="65" t="s">
        <v>31</v>
      </c>
      <c r="D42" s="64"/>
      <c r="E42" s="66"/>
      <c r="F42" s="67">
        <v>0.53</v>
      </c>
      <c r="G42" s="67">
        <v>750.34</v>
      </c>
      <c r="H42" s="68">
        <f t="shared" si="3"/>
        <v>0.39768020000000004</v>
      </c>
      <c r="I42" s="13">
        <f>F42/7.5*G42</f>
        <v>53.024026666666671</v>
      </c>
      <c r="J42" s="27"/>
      <c r="L42" s="20"/>
      <c r="M42" s="21"/>
      <c r="N42" s="22"/>
    </row>
    <row r="43" spans="1:14" ht="15.75" customHeight="1">
      <c r="A43" s="132" t="s">
        <v>128</v>
      </c>
      <c r="B43" s="133"/>
      <c r="C43" s="133"/>
      <c r="D43" s="133"/>
      <c r="E43" s="133"/>
      <c r="F43" s="133"/>
      <c r="G43" s="133"/>
      <c r="H43" s="133"/>
      <c r="I43" s="134"/>
      <c r="J43" s="27"/>
      <c r="L43" s="20"/>
      <c r="M43" s="21"/>
      <c r="N43" s="22"/>
    </row>
    <row r="44" spans="1:14" ht="15.75" hidden="1" customHeight="1">
      <c r="A44" s="33"/>
      <c r="B44" s="64" t="s">
        <v>113</v>
      </c>
      <c r="C44" s="65" t="s">
        <v>88</v>
      </c>
      <c r="D44" s="64" t="s">
        <v>41</v>
      </c>
      <c r="E44" s="66">
        <v>636.25</v>
      </c>
      <c r="F44" s="67">
        <f>SUM(E44*2/1000)</f>
        <v>1.2725</v>
      </c>
      <c r="G44" s="13">
        <v>762.53</v>
      </c>
      <c r="H44" s="68">
        <f t="shared" ref="H44:H53" si="5">SUM(F44*G44/1000)</f>
        <v>0.9703194249999999</v>
      </c>
      <c r="I44" s="13">
        <v>0</v>
      </c>
      <c r="J44" s="27"/>
      <c r="L44" s="20"/>
      <c r="M44" s="21"/>
      <c r="N44" s="22"/>
    </row>
    <row r="45" spans="1:14" ht="15.75" hidden="1" customHeight="1">
      <c r="A45" s="33"/>
      <c r="B45" s="64" t="s">
        <v>34</v>
      </c>
      <c r="C45" s="65" t="s">
        <v>88</v>
      </c>
      <c r="D45" s="64" t="s">
        <v>41</v>
      </c>
      <c r="E45" s="66">
        <v>26</v>
      </c>
      <c r="F45" s="67">
        <f>SUM(E45*2/1000)</f>
        <v>5.1999999999999998E-2</v>
      </c>
      <c r="G45" s="13">
        <v>545.65</v>
      </c>
      <c r="H45" s="68">
        <f t="shared" si="5"/>
        <v>2.8373799999999998E-2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88</v>
      </c>
      <c r="D46" s="64" t="s">
        <v>41</v>
      </c>
      <c r="E46" s="66">
        <v>579</v>
      </c>
      <c r="F46" s="67">
        <f>SUM(E46*2/1000)</f>
        <v>1.1579999999999999</v>
      </c>
      <c r="G46" s="13">
        <v>545.65</v>
      </c>
      <c r="H46" s="68">
        <f t="shared" si="5"/>
        <v>0.63186269999999989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88</v>
      </c>
      <c r="D47" s="64" t="s">
        <v>41</v>
      </c>
      <c r="E47" s="66">
        <v>683.33</v>
      </c>
      <c r="F47" s="67">
        <f>SUM(E47*2/1000)</f>
        <v>1.36666</v>
      </c>
      <c r="G47" s="13">
        <v>571.35</v>
      </c>
      <c r="H47" s="68">
        <f t="shared" si="5"/>
        <v>0.78084119099999993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32</v>
      </c>
      <c r="C48" s="65" t="s">
        <v>33</v>
      </c>
      <c r="D48" s="64" t="s">
        <v>41</v>
      </c>
      <c r="E48" s="66">
        <v>44.11</v>
      </c>
      <c r="F48" s="67">
        <f>SUM(E48*2/100)</f>
        <v>0.88219999999999998</v>
      </c>
      <c r="G48" s="13">
        <v>68.56</v>
      </c>
      <c r="H48" s="68">
        <f t="shared" si="5"/>
        <v>6.0483632000000002E-2</v>
      </c>
      <c r="I48" s="13">
        <v>0</v>
      </c>
      <c r="J48" s="27"/>
      <c r="L48" s="20"/>
      <c r="M48" s="21"/>
      <c r="N48" s="22"/>
    </row>
    <row r="49" spans="1:22" ht="15.75" customHeight="1">
      <c r="A49" s="33">
        <v>13</v>
      </c>
      <c r="B49" s="64" t="s">
        <v>56</v>
      </c>
      <c r="C49" s="65" t="s">
        <v>88</v>
      </c>
      <c r="D49" s="64" t="s">
        <v>200</v>
      </c>
      <c r="E49" s="66">
        <v>1140</v>
      </c>
      <c r="F49" s="67">
        <f>SUM(E49*5/1000)</f>
        <v>5.7</v>
      </c>
      <c r="G49" s="13">
        <v>1142.7</v>
      </c>
      <c r="H49" s="68">
        <f t="shared" si="5"/>
        <v>6.5133900000000002</v>
      </c>
      <c r="I49" s="13">
        <f>F49/5*G49</f>
        <v>1302.6780000000001</v>
      </c>
      <c r="J49" s="27"/>
      <c r="L49" s="20"/>
      <c r="M49" s="21"/>
      <c r="N49" s="22"/>
    </row>
    <row r="50" spans="1:22" ht="31.5" hidden="1" customHeight="1">
      <c r="A50" s="33"/>
      <c r="B50" s="64" t="s">
        <v>90</v>
      </c>
      <c r="C50" s="65" t="s">
        <v>88</v>
      </c>
      <c r="D50" s="64" t="s">
        <v>41</v>
      </c>
      <c r="E50" s="66">
        <v>1140</v>
      </c>
      <c r="F50" s="67">
        <f>SUM(E50*2/1000)</f>
        <v>2.2799999999999998</v>
      </c>
      <c r="G50" s="13">
        <v>1142.7</v>
      </c>
      <c r="H50" s="68">
        <f t="shared" si="5"/>
        <v>2.6053559999999996</v>
      </c>
      <c r="I50" s="13">
        <v>0</v>
      </c>
      <c r="J50" s="27"/>
      <c r="L50" s="20"/>
      <c r="M50" s="21"/>
      <c r="N50" s="22"/>
    </row>
    <row r="51" spans="1:22" ht="31.5" hidden="1" customHeight="1">
      <c r="A51" s="33"/>
      <c r="B51" s="64" t="s">
        <v>91</v>
      </c>
      <c r="C51" s="65" t="s">
        <v>37</v>
      </c>
      <c r="D51" s="64" t="s">
        <v>41</v>
      </c>
      <c r="E51" s="66">
        <v>9</v>
      </c>
      <c r="F51" s="67">
        <f>SUM(E51*2/100)</f>
        <v>0.18</v>
      </c>
      <c r="G51" s="13">
        <v>2571.08</v>
      </c>
      <c r="H51" s="68">
        <f t="shared" si="5"/>
        <v>0.46279439999999999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4" t="s">
        <v>38</v>
      </c>
      <c r="C52" s="65" t="s">
        <v>39</v>
      </c>
      <c r="D52" s="64" t="s">
        <v>41</v>
      </c>
      <c r="E52" s="66">
        <v>1</v>
      </c>
      <c r="F52" s="67">
        <v>0.02</v>
      </c>
      <c r="G52" s="13">
        <v>5322.15</v>
      </c>
      <c r="H52" s="68">
        <f t="shared" si="5"/>
        <v>0.106443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15</v>
      </c>
      <c r="B53" s="64" t="s">
        <v>40</v>
      </c>
      <c r="C53" s="65" t="s">
        <v>114</v>
      </c>
      <c r="D53" s="64" t="s">
        <v>70</v>
      </c>
      <c r="E53" s="66">
        <v>36</v>
      </c>
      <c r="F53" s="67">
        <f>SUM(E53)*3</f>
        <v>108</v>
      </c>
      <c r="G53" s="13">
        <v>61.84</v>
      </c>
      <c r="H53" s="68">
        <f t="shared" si="5"/>
        <v>6.6787200000000002</v>
      </c>
      <c r="I53" s="13">
        <f>E53*G53</f>
        <v>2226.2400000000002</v>
      </c>
      <c r="J53" s="27"/>
      <c r="L53" s="20"/>
      <c r="M53" s="21"/>
      <c r="N53" s="22"/>
    </row>
    <row r="54" spans="1:22" ht="15.75" customHeight="1">
      <c r="A54" s="132" t="s">
        <v>130</v>
      </c>
      <c r="B54" s="133"/>
      <c r="C54" s="133"/>
      <c r="D54" s="133"/>
      <c r="E54" s="133"/>
      <c r="F54" s="133"/>
      <c r="G54" s="133"/>
      <c r="H54" s="133"/>
      <c r="I54" s="134"/>
      <c r="J54" s="27"/>
      <c r="L54" s="20"/>
      <c r="M54" s="21"/>
      <c r="N54" s="22"/>
    </row>
    <row r="55" spans="1:22" ht="21" customHeight="1">
      <c r="A55" s="33"/>
      <c r="B55" s="85" t="s">
        <v>42</v>
      </c>
      <c r="C55" s="65"/>
      <c r="D55" s="64"/>
      <c r="E55" s="66"/>
      <c r="F55" s="67"/>
      <c r="G55" s="67"/>
      <c r="H55" s="68"/>
      <c r="I55" s="13"/>
      <c r="J55" s="27"/>
      <c r="L55" s="20"/>
      <c r="M55" s="21"/>
      <c r="N55" s="22"/>
    </row>
    <row r="56" spans="1:22" ht="32.25" customHeight="1">
      <c r="A56" s="33">
        <v>14</v>
      </c>
      <c r="B56" s="64" t="s">
        <v>115</v>
      </c>
      <c r="C56" s="65" t="s">
        <v>85</v>
      </c>
      <c r="D56" s="64"/>
      <c r="E56" s="66">
        <v>72.33</v>
      </c>
      <c r="F56" s="67">
        <f>SUM(E56*6/100)</f>
        <v>4.3398000000000003</v>
      </c>
      <c r="G56" s="13">
        <v>1456.95</v>
      </c>
      <c r="H56" s="68">
        <f>SUM(F56*G56/1000)</f>
        <v>6.3228716100000009</v>
      </c>
      <c r="I56" s="13">
        <f>F56/6*G56</f>
        <v>1053.8119350000002</v>
      </c>
      <c r="J56" s="27"/>
      <c r="L56" s="20"/>
      <c r="M56" s="21"/>
      <c r="N56" s="22"/>
    </row>
    <row r="57" spans="1:22" ht="18.75" hidden="1" customHeight="1">
      <c r="A57" s="33"/>
      <c r="B57" s="85" t="s">
        <v>43</v>
      </c>
      <c r="C57" s="65"/>
      <c r="D57" s="64"/>
      <c r="E57" s="66"/>
      <c r="F57" s="67"/>
      <c r="G57" s="60"/>
      <c r="H57" s="68"/>
      <c r="I57" s="13"/>
      <c r="J57" s="27"/>
      <c r="L57" s="20"/>
      <c r="M57" s="21"/>
      <c r="N57" s="22"/>
    </row>
    <row r="58" spans="1:22" ht="28.5" hidden="1" customHeight="1">
      <c r="A58" s="33"/>
      <c r="B58" s="64" t="s">
        <v>117</v>
      </c>
      <c r="C58" s="65"/>
      <c r="D58" s="64" t="s">
        <v>53</v>
      </c>
      <c r="E58" s="66">
        <v>952</v>
      </c>
      <c r="F58" s="68">
        <v>9.52</v>
      </c>
      <c r="G58" s="13">
        <v>848.37</v>
      </c>
      <c r="H58" s="73">
        <f>F58*G58/1000</f>
        <v>8.0764823999999997</v>
      </c>
      <c r="I58" s="13">
        <v>0</v>
      </c>
      <c r="J58" s="27"/>
      <c r="L58" s="20"/>
    </row>
    <row r="59" spans="1:22" ht="23.25" hidden="1" customHeight="1">
      <c r="A59" s="33"/>
      <c r="B59" s="86" t="s">
        <v>44</v>
      </c>
      <c r="C59" s="74"/>
      <c r="D59" s="75"/>
      <c r="E59" s="76"/>
      <c r="F59" s="77"/>
      <c r="G59" s="77"/>
      <c r="H59" s="78" t="s">
        <v>135</v>
      </c>
      <c r="I59" s="13"/>
    </row>
    <row r="60" spans="1:22" ht="21" hidden="1" customHeight="1">
      <c r="A60" s="33">
        <v>17</v>
      </c>
      <c r="B60" s="14" t="s">
        <v>45</v>
      </c>
      <c r="C60" s="16" t="s">
        <v>114</v>
      </c>
      <c r="D60" s="14" t="s">
        <v>66</v>
      </c>
      <c r="E60" s="18">
        <v>5</v>
      </c>
      <c r="F60" s="67">
        <v>5</v>
      </c>
      <c r="G60" s="13">
        <v>237.74</v>
      </c>
      <c r="H60" s="79">
        <f t="shared" ref="H60:H74" si="6">SUM(F60*G60/1000)</f>
        <v>1.1887000000000001</v>
      </c>
      <c r="I60" s="13">
        <f>G60</f>
        <v>237.74</v>
      </c>
    </row>
    <row r="61" spans="1:22" ht="22.5" hidden="1" customHeight="1">
      <c r="A61" s="33"/>
      <c r="B61" s="14" t="s">
        <v>46</v>
      </c>
      <c r="C61" s="16" t="s">
        <v>114</v>
      </c>
      <c r="D61" s="14" t="s">
        <v>66</v>
      </c>
      <c r="E61" s="18">
        <v>2</v>
      </c>
      <c r="F61" s="67">
        <v>2</v>
      </c>
      <c r="G61" s="13">
        <v>81.510000000000005</v>
      </c>
      <c r="H61" s="79">
        <f t="shared" si="6"/>
        <v>0.16302</v>
      </c>
      <c r="I61" s="13">
        <v>0</v>
      </c>
    </row>
    <row r="62" spans="1:22" ht="18.75" hidden="1" customHeight="1">
      <c r="A62" s="33"/>
      <c r="B62" s="14" t="s">
        <v>47</v>
      </c>
      <c r="C62" s="16" t="s">
        <v>118</v>
      </c>
      <c r="D62" s="14" t="s">
        <v>53</v>
      </c>
      <c r="E62" s="66">
        <v>4292</v>
      </c>
      <c r="F62" s="13">
        <f>SUM(E62/100)</f>
        <v>42.92</v>
      </c>
      <c r="G62" s="13">
        <v>226.79</v>
      </c>
      <c r="H62" s="79">
        <f t="shared" si="6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21.75" hidden="1" customHeight="1">
      <c r="A63" s="33"/>
      <c r="B63" s="14" t="s">
        <v>48</v>
      </c>
      <c r="C63" s="16" t="s">
        <v>119</v>
      </c>
      <c r="D63" s="14"/>
      <c r="E63" s="66">
        <v>4292</v>
      </c>
      <c r="F63" s="13">
        <f>SUM(E63/1000)</f>
        <v>4.2919999999999998</v>
      </c>
      <c r="G63" s="13">
        <v>176.61</v>
      </c>
      <c r="H63" s="79">
        <f t="shared" si="6"/>
        <v>0.75801012000000001</v>
      </c>
      <c r="I63" s="13">
        <v>0</v>
      </c>
      <c r="J63" s="29"/>
      <c r="K63" s="29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8.75" hidden="1" customHeight="1">
      <c r="A64" s="33"/>
      <c r="B64" s="14" t="s">
        <v>49</v>
      </c>
      <c r="C64" s="16" t="s">
        <v>76</v>
      </c>
      <c r="D64" s="14" t="s">
        <v>53</v>
      </c>
      <c r="E64" s="66">
        <v>510</v>
      </c>
      <c r="F64" s="13">
        <f>SUM(E64/100)</f>
        <v>5.0999999999999996</v>
      </c>
      <c r="G64" s="13">
        <v>2217.7800000000002</v>
      </c>
      <c r="H64" s="79">
        <f t="shared" si="6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8" hidden="1" customHeight="1">
      <c r="A65" s="33"/>
      <c r="B65" s="80" t="s">
        <v>120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42.67</v>
      </c>
      <c r="H65" s="79">
        <f t="shared" si="6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27"/>
      <c r="S65" s="127"/>
      <c r="T65" s="127"/>
      <c r="U65" s="127"/>
    </row>
    <row r="66" spans="1:21" ht="19.5" hidden="1" customHeight="1">
      <c r="A66" s="33"/>
      <c r="B66" s="80" t="s">
        <v>121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39.81</v>
      </c>
      <c r="H66" s="79">
        <f t="shared" si="6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3.25" hidden="1" customHeight="1">
      <c r="A67" s="33"/>
      <c r="B67" s="14" t="s">
        <v>57</v>
      </c>
      <c r="C67" s="16" t="s">
        <v>58</v>
      </c>
      <c r="D67" s="14" t="s">
        <v>53</v>
      </c>
      <c r="E67" s="18">
        <v>3</v>
      </c>
      <c r="F67" s="67">
        <v>3</v>
      </c>
      <c r="G67" s="13">
        <v>53.32</v>
      </c>
      <c r="H67" s="79">
        <f t="shared" si="6"/>
        <v>0.15996000000000002</v>
      </c>
      <c r="I67" s="13">
        <v>0</v>
      </c>
    </row>
    <row r="68" spans="1:21" ht="21" hidden="1" customHeight="1">
      <c r="A68" s="33"/>
      <c r="B68" s="51" t="s">
        <v>71</v>
      </c>
      <c r="C68" s="16"/>
      <c r="D68" s="14"/>
      <c r="E68" s="18"/>
      <c r="F68" s="13"/>
      <c r="G68" s="13"/>
      <c r="H68" s="79" t="s">
        <v>135</v>
      </c>
      <c r="I68" s="13"/>
    </row>
    <row r="69" spans="1:21" ht="26.25" hidden="1" customHeight="1">
      <c r="A69" s="33"/>
      <c r="B69" s="14" t="s">
        <v>72</v>
      </c>
      <c r="C69" s="16" t="s">
        <v>74</v>
      </c>
      <c r="D69" s="14"/>
      <c r="E69" s="18">
        <v>2</v>
      </c>
      <c r="F69" s="13">
        <v>0.2</v>
      </c>
      <c r="G69" s="13">
        <v>536.23</v>
      </c>
      <c r="H69" s="79">
        <f t="shared" si="6"/>
        <v>0.10724600000000001</v>
      </c>
      <c r="I69" s="13">
        <v>0</v>
      </c>
    </row>
    <row r="70" spans="1:21" ht="24" hidden="1" customHeight="1">
      <c r="A70" s="33"/>
      <c r="B70" s="14" t="s">
        <v>73</v>
      </c>
      <c r="C70" s="16" t="s">
        <v>29</v>
      </c>
      <c r="D70" s="14"/>
      <c r="E70" s="18">
        <v>1</v>
      </c>
      <c r="F70" s="60">
        <v>1</v>
      </c>
      <c r="G70" s="13">
        <v>911.85</v>
      </c>
      <c r="H70" s="79">
        <f t="shared" si="6"/>
        <v>0.91185000000000005</v>
      </c>
      <c r="I70" s="13">
        <v>0</v>
      </c>
    </row>
    <row r="71" spans="1:21" ht="20.25" hidden="1" customHeight="1">
      <c r="A71" s="33"/>
      <c r="B71" s="14" t="s">
        <v>136</v>
      </c>
      <c r="C71" s="16" t="s">
        <v>137</v>
      </c>
      <c r="D71" s="14"/>
      <c r="E71" s="18"/>
      <c r="F71" s="13"/>
      <c r="G71" s="13">
        <v>31.54</v>
      </c>
      <c r="H71" s="79">
        <f t="shared" si="6"/>
        <v>0</v>
      </c>
      <c r="I71" s="13"/>
    </row>
    <row r="72" spans="1:21" ht="21" hidden="1" customHeight="1">
      <c r="A72" s="33"/>
      <c r="B72" s="14" t="s">
        <v>123</v>
      </c>
      <c r="C72" s="16" t="s">
        <v>29</v>
      </c>
      <c r="D72" s="14"/>
      <c r="E72" s="18">
        <v>1</v>
      </c>
      <c r="F72" s="13">
        <v>1</v>
      </c>
      <c r="G72" s="13">
        <v>383.25</v>
      </c>
      <c r="H72" s="79">
        <f>G72*F72/1000</f>
        <v>0.38324999999999998</v>
      </c>
      <c r="I72" s="13">
        <v>0</v>
      </c>
    </row>
    <row r="73" spans="1:21" ht="23.25" hidden="1" customHeight="1">
      <c r="A73" s="33"/>
      <c r="B73" s="82" t="s">
        <v>75</v>
      </c>
      <c r="C73" s="16"/>
      <c r="D73" s="14"/>
      <c r="E73" s="18"/>
      <c r="F73" s="13"/>
      <c r="G73" s="13" t="s">
        <v>135</v>
      </c>
      <c r="H73" s="79" t="s">
        <v>135</v>
      </c>
      <c r="I73" s="13"/>
    </row>
    <row r="74" spans="1:21" ht="27" hidden="1" customHeight="1">
      <c r="A74" s="33"/>
      <c r="B74" s="45" t="s">
        <v>147</v>
      </c>
      <c r="C74" s="16" t="s">
        <v>76</v>
      </c>
      <c r="D74" s="14"/>
      <c r="E74" s="18"/>
      <c r="F74" s="13">
        <v>0.1</v>
      </c>
      <c r="G74" s="13">
        <v>2949.85</v>
      </c>
      <c r="H74" s="79">
        <f t="shared" si="6"/>
        <v>0.294985</v>
      </c>
      <c r="I74" s="13">
        <v>0</v>
      </c>
    </row>
    <row r="75" spans="1:21" ht="27.75" hidden="1" customHeight="1">
      <c r="A75" s="33"/>
      <c r="B75" s="89" t="s">
        <v>92</v>
      </c>
      <c r="C75" s="89"/>
      <c r="D75" s="89"/>
      <c r="E75" s="89"/>
      <c r="F75" s="89"/>
      <c r="G75" s="70"/>
      <c r="H75" s="83">
        <f>SUM(H56:H74)</f>
        <v>39.790287929999998</v>
      </c>
      <c r="I75" s="70"/>
    </row>
    <row r="76" spans="1:21" ht="21.75" hidden="1" customHeight="1">
      <c r="A76" s="33"/>
      <c r="B76" s="87" t="s">
        <v>122</v>
      </c>
      <c r="C76" s="24"/>
      <c r="D76" s="23"/>
      <c r="E76" s="84"/>
      <c r="F76" s="88">
        <v>1</v>
      </c>
      <c r="G76" s="13">
        <v>3124.9</v>
      </c>
      <c r="H76" s="79">
        <f>G76*F76/1000</f>
        <v>3.1249000000000002</v>
      </c>
      <c r="I76" s="13">
        <v>0</v>
      </c>
    </row>
    <row r="77" spans="1:21" ht="15.75" customHeight="1">
      <c r="A77" s="132" t="s">
        <v>131</v>
      </c>
      <c r="B77" s="133"/>
      <c r="C77" s="133"/>
      <c r="D77" s="133"/>
      <c r="E77" s="133"/>
      <c r="F77" s="133"/>
      <c r="G77" s="133"/>
      <c r="H77" s="133"/>
      <c r="I77" s="134"/>
    </row>
    <row r="78" spans="1:21" ht="15.75" customHeight="1">
      <c r="A78" s="33">
        <v>15</v>
      </c>
      <c r="B78" s="64" t="s">
        <v>124</v>
      </c>
      <c r="C78" s="16" t="s">
        <v>54</v>
      </c>
      <c r="D78" s="50"/>
      <c r="E78" s="13">
        <v>1042.5999999999999</v>
      </c>
      <c r="F78" s="13">
        <f>SUM(E78*12)</f>
        <v>12511.199999999999</v>
      </c>
      <c r="G78" s="13">
        <v>2.2400000000000002</v>
      </c>
      <c r="H78" s="79">
        <f>SUM(F78*G78/1000)</f>
        <v>28.025088</v>
      </c>
      <c r="I78" s="13">
        <f>F78/12*G78</f>
        <v>2335.424</v>
      </c>
    </row>
    <row r="79" spans="1:21" ht="31.5" customHeight="1">
      <c r="A79" s="33">
        <v>16</v>
      </c>
      <c r="B79" s="14" t="s">
        <v>77</v>
      </c>
      <c r="C79" s="16"/>
      <c r="D79" s="50"/>
      <c r="E79" s="66">
        <f>E78</f>
        <v>1042.5999999999999</v>
      </c>
      <c r="F79" s="13">
        <f>E79*12</f>
        <v>12511.199999999999</v>
      </c>
      <c r="G79" s="13">
        <v>1.74</v>
      </c>
      <c r="H79" s="79">
        <f>F79*G79/1000</f>
        <v>21.769487999999999</v>
      </c>
      <c r="I79" s="13">
        <f>F79/12*G79</f>
        <v>1814.1239999999998</v>
      </c>
    </row>
    <row r="80" spans="1:21" ht="15.75" customHeight="1">
      <c r="A80" s="33"/>
      <c r="B80" s="38" t="s">
        <v>80</v>
      </c>
      <c r="C80" s="82"/>
      <c r="D80" s="81"/>
      <c r="E80" s="70"/>
      <c r="F80" s="70"/>
      <c r="G80" s="70"/>
      <c r="H80" s="83">
        <f>H79</f>
        <v>21.769487999999999</v>
      </c>
      <c r="I80" s="70">
        <f>I79+I78+I49+I42+I41+I40+I39+I38+I37+I27+I21+I20+I18+I17+I16+I56</f>
        <v>16090.144544849998</v>
      </c>
    </row>
    <row r="81" spans="1:9" ht="15.75" customHeight="1">
      <c r="A81" s="141" t="s">
        <v>60</v>
      </c>
      <c r="B81" s="142"/>
      <c r="C81" s="142"/>
      <c r="D81" s="142"/>
      <c r="E81" s="142"/>
      <c r="F81" s="142"/>
      <c r="G81" s="142"/>
      <c r="H81" s="142"/>
      <c r="I81" s="143"/>
    </row>
    <row r="82" spans="1:9" ht="15.75" customHeight="1">
      <c r="A82" s="104">
        <v>17</v>
      </c>
      <c r="B82" s="75" t="s">
        <v>168</v>
      </c>
      <c r="C82" s="74" t="s">
        <v>169</v>
      </c>
      <c r="D82" s="75"/>
      <c r="E82" s="76"/>
      <c r="F82" s="77">
        <v>200</v>
      </c>
      <c r="G82" s="60">
        <v>1.4</v>
      </c>
      <c r="H82" s="78">
        <f>F82*G82/1000</f>
        <v>0.28000000000000003</v>
      </c>
      <c r="I82" s="99">
        <f>G82*100</f>
        <v>140</v>
      </c>
    </row>
    <row r="83" spans="1:9" ht="15.75" customHeight="1">
      <c r="A83" s="33">
        <v>18</v>
      </c>
      <c r="B83" s="106" t="s">
        <v>140</v>
      </c>
      <c r="C83" s="107" t="s">
        <v>182</v>
      </c>
      <c r="D83" s="14"/>
      <c r="E83" s="18"/>
      <c r="F83" s="13"/>
      <c r="G83" s="37">
        <v>1730</v>
      </c>
      <c r="H83" s="60"/>
      <c r="I83" s="99">
        <f>G83*1</f>
        <v>1730</v>
      </c>
    </row>
    <row r="84" spans="1:9" ht="32.25" customHeight="1">
      <c r="A84" s="33">
        <v>19</v>
      </c>
      <c r="B84" s="101" t="s">
        <v>177</v>
      </c>
      <c r="C84" s="102" t="s">
        <v>28</v>
      </c>
      <c r="D84" s="14"/>
      <c r="E84" s="18"/>
      <c r="F84" s="13"/>
      <c r="G84" s="37">
        <v>19757.060000000001</v>
      </c>
      <c r="H84" s="60"/>
      <c r="I84" s="99">
        <f>G84*0.599*4/1000</f>
        <v>47.337915760000001</v>
      </c>
    </row>
    <row r="85" spans="1:9" ht="33" customHeight="1">
      <c r="A85" s="33">
        <v>20</v>
      </c>
      <c r="B85" s="101" t="s">
        <v>183</v>
      </c>
      <c r="C85" s="108" t="s">
        <v>184</v>
      </c>
      <c r="D85" s="14"/>
      <c r="E85" s="18"/>
      <c r="F85" s="13"/>
      <c r="G85" s="37">
        <v>6551.6</v>
      </c>
      <c r="H85" s="60"/>
      <c r="I85" s="99">
        <f>G85*0.5</f>
        <v>3275.8</v>
      </c>
    </row>
    <row r="86" spans="1:9" ht="32.25" customHeight="1">
      <c r="A86" s="33">
        <v>21</v>
      </c>
      <c r="B86" s="101" t="s">
        <v>185</v>
      </c>
      <c r="C86" s="102" t="s">
        <v>37</v>
      </c>
      <c r="D86" s="14"/>
      <c r="E86" s="18"/>
      <c r="F86" s="13"/>
      <c r="G86" s="37">
        <v>3914.31</v>
      </c>
      <c r="H86" s="60"/>
      <c r="I86" s="99">
        <f>G86*0.01</f>
        <v>39.143099999999997</v>
      </c>
    </row>
    <row r="87" spans="1:9" ht="32.25" customHeight="1">
      <c r="A87" s="33">
        <v>22</v>
      </c>
      <c r="B87" s="101" t="s">
        <v>138</v>
      </c>
      <c r="C87" s="102" t="s">
        <v>139</v>
      </c>
      <c r="D87" s="14"/>
      <c r="E87" s="18"/>
      <c r="F87" s="13"/>
      <c r="G87" s="37">
        <v>59.21</v>
      </c>
      <c r="H87" s="60"/>
      <c r="I87" s="99">
        <f>G87*1</f>
        <v>59.21</v>
      </c>
    </row>
    <row r="88" spans="1:9">
      <c r="A88" s="33"/>
      <c r="B88" s="43" t="s">
        <v>50</v>
      </c>
      <c r="C88" s="39"/>
      <c r="D88" s="46"/>
      <c r="E88" s="39">
        <v>1</v>
      </c>
      <c r="F88" s="39"/>
      <c r="G88" s="39"/>
      <c r="H88" s="39"/>
      <c r="I88" s="35">
        <f>SUM(I82:I87)</f>
        <v>5291.4910157600007</v>
      </c>
    </row>
    <row r="89" spans="1:9" ht="16.5" customHeight="1">
      <c r="A89" s="33"/>
      <c r="B89" s="45" t="s">
        <v>78</v>
      </c>
      <c r="C89" s="15"/>
      <c r="D89" s="15"/>
      <c r="E89" s="40"/>
      <c r="F89" s="40"/>
      <c r="G89" s="41"/>
      <c r="H89" s="41"/>
      <c r="I89" s="17">
        <v>0</v>
      </c>
    </row>
    <row r="90" spans="1:9" ht="16.5" customHeight="1">
      <c r="A90" s="47"/>
      <c r="B90" s="44" t="s">
        <v>161</v>
      </c>
      <c r="C90" s="36"/>
      <c r="D90" s="36"/>
      <c r="E90" s="36"/>
      <c r="F90" s="36"/>
      <c r="G90" s="36"/>
      <c r="H90" s="36"/>
      <c r="I90" s="42">
        <f>I80+I88</f>
        <v>21381.635560609997</v>
      </c>
    </row>
    <row r="91" spans="1:9" ht="15.75" customHeight="1">
      <c r="A91" s="128" t="s">
        <v>207</v>
      </c>
      <c r="B91" s="128"/>
      <c r="C91" s="128"/>
      <c r="D91" s="128"/>
      <c r="E91" s="128"/>
      <c r="F91" s="128"/>
      <c r="G91" s="128"/>
      <c r="H91" s="128"/>
      <c r="I91" s="128"/>
    </row>
    <row r="92" spans="1:9" ht="15.75" customHeight="1">
      <c r="A92" s="57"/>
      <c r="B92" s="129" t="s">
        <v>208</v>
      </c>
      <c r="C92" s="129"/>
      <c r="D92" s="129"/>
      <c r="E92" s="129"/>
      <c r="F92" s="129"/>
      <c r="G92" s="129"/>
      <c r="H92" s="63"/>
      <c r="I92" s="3"/>
    </row>
    <row r="93" spans="1:9">
      <c r="A93" s="56"/>
      <c r="B93" s="130" t="s">
        <v>6</v>
      </c>
      <c r="C93" s="130"/>
      <c r="D93" s="130"/>
      <c r="E93" s="130"/>
      <c r="F93" s="130"/>
      <c r="G93" s="130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1" t="s">
        <v>7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131" t="s">
        <v>8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6" t="s">
        <v>61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>
      <c r="A98" s="11"/>
    </row>
    <row r="99" spans="1:9" ht="15.75">
      <c r="A99" s="137" t="s">
        <v>9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4"/>
    </row>
    <row r="101" spans="1:9" ht="15.75">
      <c r="B101" s="53" t="s">
        <v>10</v>
      </c>
      <c r="C101" s="138" t="s">
        <v>127</v>
      </c>
      <c r="D101" s="138"/>
      <c r="E101" s="138"/>
      <c r="F101" s="61"/>
      <c r="I101" s="55"/>
    </row>
    <row r="102" spans="1:9">
      <c r="A102" s="56"/>
      <c r="C102" s="130" t="s">
        <v>11</v>
      </c>
      <c r="D102" s="130"/>
      <c r="E102" s="130"/>
      <c r="F102" s="28"/>
      <c r="I102" s="54" t="s">
        <v>12</v>
      </c>
    </row>
    <row r="103" spans="1:9" ht="15.75">
      <c r="A103" s="29"/>
      <c r="C103" s="12"/>
      <c r="D103" s="12"/>
      <c r="G103" s="12"/>
      <c r="H103" s="12"/>
    </row>
    <row r="104" spans="1:9" ht="15.75">
      <c r="B104" s="53" t="s">
        <v>13</v>
      </c>
      <c r="C104" s="139"/>
      <c r="D104" s="139"/>
      <c r="E104" s="139"/>
      <c r="F104" s="62"/>
      <c r="I104" s="55"/>
    </row>
    <row r="105" spans="1:9">
      <c r="A105" s="56"/>
      <c r="C105" s="127" t="s">
        <v>11</v>
      </c>
      <c r="D105" s="127"/>
      <c r="E105" s="127"/>
      <c r="F105" s="56"/>
      <c r="I105" s="54" t="s">
        <v>12</v>
      </c>
    </row>
    <row r="106" spans="1:9" ht="15.75">
      <c r="A106" s="4" t="s">
        <v>14</v>
      </c>
    </row>
    <row r="107" spans="1:9">
      <c r="A107" s="140" t="s">
        <v>15</v>
      </c>
      <c r="B107" s="140"/>
      <c r="C107" s="140"/>
      <c r="D107" s="140"/>
      <c r="E107" s="140"/>
      <c r="F107" s="140"/>
      <c r="G107" s="140"/>
      <c r="H107" s="140"/>
      <c r="I107" s="140"/>
    </row>
    <row r="108" spans="1:9" ht="45" customHeight="1">
      <c r="A108" s="135" t="s">
        <v>16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17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21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14.25" customHeight="1">
      <c r="A111" s="135" t="s">
        <v>20</v>
      </c>
      <c r="B111" s="135"/>
      <c r="C111" s="135"/>
      <c r="D111" s="135"/>
      <c r="E111" s="135"/>
      <c r="F111" s="135"/>
      <c r="G111" s="135"/>
      <c r="H111" s="135"/>
      <c r="I111" s="135"/>
    </row>
  </sheetData>
  <autoFilter ref="I12:I60"/>
  <mergeCells count="29">
    <mergeCell ref="A28:I28"/>
    <mergeCell ref="A43:I43"/>
    <mergeCell ref="A54:I54"/>
    <mergeCell ref="C105:E105"/>
    <mergeCell ref="A107:I107"/>
    <mergeCell ref="A81:I81"/>
    <mergeCell ref="A108:I108"/>
    <mergeCell ref="A109:I109"/>
    <mergeCell ref="A110:I110"/>
    <mergeCell ref="A111:I111"/>
    <mergeCell ref="A96:I96"/>
    <mergeCell ref="A97:I97"/>
    <mergeCell ref="A99:I99"/>
    <mergeCell ref="C101:E101"/>
    <mergeCell ref="C102:E102"/>
    <mergeCell ref="C104:E104"/>
    <mergeCell ref="R65:U65"/>
    <mergeCell ref="A91:I91"/>
    <mergeCell ref="B92:G92"/>
    <mergeCell ref="B93:G93"/>
    <mergeCell ref="A95:I95"/>
    <mergeCell ref="A77:I77"/>
    <mergeCell ref="A15:I1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6"/>
  <sheetViews>
    <sheetView topLeftCell="A17" workbookViewId="0">
      <selection activeCell="L81" sqref="L8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159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242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43769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0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99</v>
      </c>
      <c r="E21" s="66">
        <v>1.08</v>
      </c>
      <c r="F21" s="67">
        <f>SUM(E21*6/100)</f>
        <v>6.480000000000001E-2</v>
      </c>
      <c r="G21" s="67">
        <v>203.5</v>
      </c>
      <c r="H21" s="68">
        <f t="shared" ref="H21:H26" si="1">SUM(F21*G21/1000)</f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6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1" si="2">SUM(F30*G30/1000)</f>
        <v>2.0347501356</v>
      </c>
      <c r="I30" s="13">
        <f t="shared" ref="I30:I31" si="3">F30/6*G30</f>
        <v>339.12502259999997</v>
      </c>
      <c r="J30" s="26"/>
      <c r="K30" s="8"/>
      <c r="L30" s="8"/>
      <c r="M30" s="8"/>
    </row>
    <row r="31" spans="1:13" ht="31.5" customHeight="1">
      <c r="A31" s="33">
        <v>7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2"/>
        <v>0.91238364360000002</v>
      </c>
      <c r="I31" s="13">
        <f t="shared" si="3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ref="H32:H34" si="4">SUM(F32*G32/1000)</f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4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4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5">SUM(F36*G36/1000)</f>
        <v>4.8977999999999993</v>
      </c>
      <c r="I36" s="13">
        <f t="shared" ref="I36:I41" si="6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6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5"/>
        <v>2.4587445555</v>
      </c>
      <c r="I38" s="13">
        <f t="shared" si="6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5"/>
        <v>9.1860641039999997</v>
      </c>
      <c r="I39" s="13">
        <f t="shared" si="6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5"/>
        <v>0.87247215450000015</v>
      </c>
      <c r="I40" s="13">
        <f t="shared" si="6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5"/>
        <v>0.39768020000000004</v>
      </c>
      <c r="I41" s="13">
        <f t="shared" si="6"/>
        <v>66.280033333333336</v>
      </c>
      <c r="J41" s="27"/>
      <c r="L41" s="20"/>
      <c r="M41" s="21"/>
      <c r="N41" s="22"/>
    </row>
    <row r="42" spans="1:14" ht="16.5" hidden="1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22.5" hidden="1" customHeight="1">
      <c r="A43" s="33"/>
      <c r="B43" s="64" t="s">
        <v>113</v>
      </c>
      <c r="C43" s="65" t="s">
        <v>88</v>
      </c>
      <c r="D43" s="64" t="s">
        <v>41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7">SUM(F43*G43/1000)</f>
        <v>0.9703194249999999</v>
      </c>
      <c r="I43" s="13">
        <v>0</v>
      </c>
      <c r="J43" s="27"/>
      <c r="L43" s="20"/>
      <c r="M43" s="21"/>
      <c r="N43" s="22"/>
    </row>
    <row r="44" spans="1:14" ht="19.5" hidden="1" customHeight="1">
      <c r="A44" s="33"/>
      <c r="B44" s="64" t="s">
        <v>34</v>
      </c>
      <c r="C44" s="65" t="s">
        <v>88</v>
      </c>
      <c r="D44" s="64" t="s">
        <v>41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7"/>
        <v>2.8373799999999998E-2</v>
      </c>
      <c r="I44" s="13">
        <v>0</v>
      </c>
      <c r="J44" s="27"/>
      <c r="L44" s="20"/>
      <c r="M44" s="21"/>
      <c r="N44" s="22"/>
    </row>
    <row r="45" spans="1:14" ht="24.75" hidden="1" customHeight="1">
      <c r="A45" s="33"/>
      <c r="B45" s="64" t="s">
        <v>35</v>
      </c>
      <c r="C45" s="65" t="s">
        <v>88</v>
      </c>
      <c r="D45" s="64" t="s">
        <v>41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7"/>
        <v>0.63186269999999989</v>
      </c>
      <c r="I45" s="13">
        <v>0</v>
      </c>
      <c r="J45" s="27"/>
      <c r="L45" s="20"/>
      <c r="M45" s="21"/>
      <c r="N45" s="22"/>
    </row>
    <row r="46" spans="1:14" ht="26.25" hidden="1" customHeight="1">
      <c r="A46" s="33"/>
      <c r="B46" s="64" t="s">
        <v>36</v>
      </c>
      <c r="C46" s="65" t="s">
        <v>88</v>
      </c>
      <c r="D46" s="64" t="s">
        <v>41</v>
      </c>
      <c r="E46" s="66">
        <v>683.33</v>
      </c>
      <c r="F46" s="67">
        <f>SUM(E46*2/1000)</f>
        <v>1.36666</v>
      </c>
      <c r="G46" s="13">
        <v>571.35</v>
      </c>
      <c r="H46" s="68">
        <f t="shared" si="7"/>
        <v>0.78084119099999993</v>
      </c>
      <c r="I46" s="13">
        <v>0</v>
      </c>
      <c r="J46" s="27"/>
      <c r="L46" s="20"/>
      <c r="M46" s="21"/>
      <c r="N46" s="22"/>
    </row>
    <row r="47" spans="1:14" ht="27" hidden="1" customHeight="1">
      <c r="A47" s="33"/>
      <c r="B47" s="64" t="s">
        <v>32</v>
      </c>
      <c r="C47" s="65" t="s">
        <v>33</v>
      </c>
      <c r="D47" s="64" t="s">
        <v>41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7"/>
        <v>6.0483632000000002E-2</v>
      </c>
      <c r="I47" s="13">
        <v>0</v>
      </c>
      <c r="J47" s="27"/>
      <c r="L47" s="20"/>
      <c r="M47" s="21"/>
      <c r="N47" s="22"/>
    </row>
    <row r="48" spans="1:14" ht="25.5" hidden="1" customHeight="1">
      <c r="A48" s="33">
        <v>10</v>
      </c>
      <c r="B48" s="64" t="s">
        <v>56</v>
      </c>
      <c r="C48" s="65" t="s">
        <v>88</v>
      </c>
      <c r="D48" s="64" t="s">
        <v>129</v>
      </c>
      <c r="E48" s="66">
        <v>1140</v>
      </c>
      <c r="F48" s="67">
        <f>SUM(E48*5/1000)</f>
        <v>5.7</v>
      </c>
      <c r="G48" s="13">
        <v>1142.7</v>
      </c>
      <c r="H48" s="68">
        <f t="shared" si="7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32.25" hidden="1" customHeight="1">
      <c r="A49" s="33">
        <v>10</v>
      </c>
      <c r="B49" s="64" t="s">
        <v>90</v>
      </c>
      <c r="C49" s="65" t="s">
        <v>88</v>
      </c>
      <c r="D49" s="64" t="s">
        <v>41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7"/>
        <v>2.6053559999999996</v>
      </c>
      <c r="I49" s="13">
        <f>G49*F49/2</f>
        <v>1302.6779999999999</v>
      </c>
      <c r="J49" s="27"/>
      <c r="L49" s="20"/>
      <c r="M49" s="21"/>
      <c r="N49" s="22"/>
    </row>
    <row r="50" spans="1:22" ht="30.75" hidden="1" customHeight="1">
      <c r="A50" s="33">
        <v>11</v>
      </c>
      <c r="B50" s="64" t="s">
        <v>91</v>
      </c>
      <c r="C50" s="65" t="s">
        <v>37</v>
      </c>
      <c r="D50" s="64" t="s">
        <v>41</v>
      </c>
      <c r="E50" s="66">
        <v>9</v>
      </c>
      <c r="F50" s="67">
        <f>SUM(E50*2/100)</f>
        <v>0.18</v>
      </c>
      <c r="G50" s="13">
        <v>2571.08</v>
      </c>
      <c r="H50" s="68">
        <f t="shared" si="7"/>
        <v>0.46279439999999999</v>
      </c>
      <c r="I50" s="13">
        <f>G50*F50/2</f>
        <v>231.3972</v>
      </c>
      <c r="J50" s="27"/>
      <c r="L50" s="20"/>
      <c r="M50" s="21"/>
      <c r="N50" s="22"/>
    </row>
    <row r="51" spans="1:22" ht="19.5" hidden="1" customHeight="1">
      <c r="A51" s="33">
        <v>12</v>
      </c>
      <c r="B51" s="64" t="s">
        <v>38</v>
      </c>
      <c r="C51" s="65" t="s">
        <v>39</v>
      </c>
      <c r="D51" s="64" t="s">
        <v>41</v>
      </c>
      <c r="E51" s="66">
        <v>1</v>
      </c>
      <c r="F51" s="67">
        <v>0.02</v>
      </c>
      <c r="G51" s="13">
        <v>5322.15</v>
      </c>
      <c r="H51" s="68">
        <f t="shared" si="7"/>
        <v>0.106443</v>
      </c>
      <c r="I51" s="13">
        <f>G51*F51/2</f>
        <v>53.221499999999999</v>
      </c>
      <c r="J51" s="27"/>
      <c r="L51" s="20"/>
      <c r="M51" s="21"/>
      <c r="N51" s="22"/>
    </row>
    <row r="52" spans="1:22" ht="18.75" hidden="1" customHeight="1">
      <c r="A52" s="33">
        <v>11</v>
      </c>
      <c r="B52" s="64" t="s">
        <v>40</v>
      </c>
      <c r="C52" s="65" t="s">
        <v>114</v>
      </c>
      <c r="D52" s="64" t="s">
        <v>70</v>
      </c>
      <c r="E52" s="66">
        <v>36</v>
      </c>
      <c r="F52" s="67">
        <f>SUM(E52)*3</f>
        <v>108</v>
      </c>
      <c r="G52" s="13">
        <v>61.84</v>
      </c>
      <c r="H52" s="68">
        <f t="shared" si="7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5.75" hidden="1" customHeight="1">
      <c r="A53" s="132" t="s">
        <v>150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15.7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31.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5.75" hidden="1" customHeight="1">
      <c r="A57" s="33"/>
      <c r="B57" s="64" t="s">
        <v>117</v>
      </c>
      <c r="C57" s="65"/>
      <c r="D57" s="64" t="s">
        <v>53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v>0</v>
      </c>
      <c r="J57" s="27"/>
      <c r="L57" s="20"/>
    </row>
    <row r="58" spans="1:22" ht="15.75" hidden="1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15.75" hidden="1" customHeight="1">
      <c r="A59" s="33">
        <v>10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8">SUM(F59*G59/1000)</f>
        <v>1.1887000000000001</v>
      </c>
      <c r="I59" s="13">
        <f>G59</f>
        <v>237.74</v>
      </c>
    </row>
    <row r="60" spans="1:22" ht="15.7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8"/>
        <v>0.16302</v>
      </c>
      <c r="I60" s="13">
        <v>0</v>
      </c>
    </row>
    <row r="61" spans="1:22" ht="15.75" hidden="1" customHeight="1">
      <c r="A61" s="33"/>
      <c r="B61" s="14" t="s">
        <v>47</v>
      </c>
      <c r="C61" s="16" t="s">
        <v>118</v>
      </c>
      <c r="D61" s="14" t="s">
        <v>53</v>
      </c>
      <c r="E61" s="66">
        <v>4292</v>
      </c>
      <c r="F61" s="13">
        <f>SUM(E61/100)</f>
        <v>42.92</v>
      </c>
      <c r="G61" s="13">
        <v>226.79</v>
      </c>
      <c r="H61" s="79">
        <f t="shared" si="8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33"/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8"/>
        <v>0.75801012000000001</v>
      </c>
      <c r="I62" s="13">
        <v>0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3"/>
      <c r="B63" s="14" t="s">
        <v>49</v>
      </c>
      <c r="C63" s="16" t="s">
        <v>76</v>
      </c>
      <c r="D63" s="14" t="s">
        <v>53</v>
      </c>
      <c r="E63" s="66">
        <v>510</v>
      </c>
      <c r="F63" s="13">
        <f>SUM(E63/100)</f>
        <v>5.0999999999999996</v>
      </c>
      <c r="G63" s="13">
        <v>2217.7800000000002</v>
      </c>
      <c r="H63" s="79">
        <f t="shared" si="8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3"/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8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5.75" hidden="1" customHeight="1">
      <c r="A65" s="33"/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8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3"/>
      <c r="B66" s="14" t="s">
        <v>57</v>
      </c>
      <c r="C66" s="16" t="s">
        <v>58</v>
      </c>
      <c r="D66" s="14" t="s">
        <v>53</v>
      </c>
      <c r="E66" s="18">
        <v>3</v>
      </c>
      <c r="F66" s="67">
        <v>3</v>
      </c>
      <c r="G66" s="13">
        <v>53.32</v>
      </c>
      <c r="H66" s="79">
        <f t="shared" si="8"/>
        <v>0.15996000000000002</v>
      </c>
      <c r="I66" s="13">
        <v>0</v>
      </c>
    </row>
    <row r="67" spans="1:21" ht="15.7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/>
    </row>
    <row r="68" spans="1:21" ht="15.7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8"/>
        <v>0.10724600000000001</v>
      </c>
      <c r="I68" s="13">
        <v>0</v>
      </c>
    </row>
    <row r="69" spans="1:21" ht="15.75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8"/>
        <v>0.91185000000000005</v>
      </c>
      <c r="I69" s="13">
        <v>0</v>
      </c>
    </row>
    <row r="70" spans="1:21" ht="15.75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8"/>
        <v>0</v>
      </c>
      <c r="I70" s="13"/>
    </row>
    <row r="71" spans="1:21" ht="15.75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v>0</v>
      </c>
    </row>
    <row r="72" spans="1:21" ht="15.7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15.75" hidden="1" customHeight="1">
      <c r="A73" s="33"/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8"/>
        <v>0.294985</v>
      </c>
      <c r="I73" s="13">
        <v>0</v>
      </c>
    </row>
    <row r="74" spans="1:21" ht="15.7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70"/>
    </row>
    <row r="75" spans="1:21" ht="15.75" hidden="1" customHeight="1">
      <c r="A75" s="33">
        <v>10</v>
      </c>
      <c r="B75" s="87" t="s">
        <v>122</v>
      </c>
      <c r="C75" s="24"/>
      <c r="D75" s="23"/>
      <c r="E75" s="84"/>
      <c r="F75" s="88">
        <v>1</v>
      </c>
      <c r="G75" s="13">
        <v>3395.9</v>
      </c>
      <c r="H75" s="79">
        <f>G75*F75/1000</f>
        <v>3.3959000000000001</v>
      </c>
      <c r="I75" s="13">
        <v>939.9</v>
      </c>
    </row>
    <row r="76" spans="1:21" ht="15.75" customHeight="1">
      <c r="A76" s="132" t="s">
        <v>155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8</v>
      </c>
      <c r="B77" s="64" t="s">
        <v>124</v>
      </c>
      <c r="C77" s="16" t="s">
        <v>54</v>
      </c>
      <c r="D77" s="50"/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9</v>
      </c>
      <c r="B78" s="14" t="s">
        <v>77</v>
      </c>
      <c r="C78" s="16"/>
      <c r="D78" s="50"/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I78+I77+I31+I30+I27+I20+I18+I17+I16</f>
        <v>8453.732682533333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15.75" customHeight="1">
      <c r="A81" s="33">
        <v>10</v>
      </c>
      <c r="B81" s="75" t="s">
        <v>168</v>
      </c>
      <c r="C81" s="74" t="s">
        <v>169</v>
      </c>
      <c r="D81" s="75"/>
      <c r="E81" s="76"/>
      <c r="F81" s="77">
        <v>200</v>
      </c>
      <c r="G81" s="60">
        <v>1.4</v>
      </c>
      <c r="H81" s="78">
        <f>F81*G81/1000</f>
        <v>0.28000000000000003</v>
      </c>
      <c r="I81" s="99">
        <f>G81*100</f>
        <v>140</v>
      </c>
    </row>
    <row r="82" spans="1:9" ht="30.75" customHeight="1">
      <c r="A82" s="33">
        <v>11</v>
      </c>
      <c r="B82" s="101" t="s">
        <v>177</v>
      </c>
      <c r="C82" s="102" t="s">
        <v>28</v>
      </c>
      <c r="D82" s="14"/>
      <c r="E82" s="18"/>
      <c r="F82" s="13"/>
      <c r="G82" s="103">
        <v>19757.060000000001</v>
      </c>
      <c r="H82" s="60"/>
      <c r="I82" s="99">
        <f>G82*0.599*2/1000</f>
        <v>23.668957880000001</v>
      </c>
    </row>
    <row r="83" spans="1:9">
      <c r="A83" s="33"/>
      <c r="B83" s="43" t="s">
        <v>50</v>
      </c>
      <c r="C83" s="39"/>
      <c r="D83" s="46"/>
      <c r="E83" s="39">
        <v>1</v>
      </c>
      <c r="F83" s="39"/>
      <c r="G83" s="39"/>
      <c r="H83" s="39"/>
      <c r="I83" s="35">
        <f>SUM(I81:I82)</f>
        <v>163.66895787999999</v>
      </c>
    </row>
    <row r="84" spans="1:9" ht="16.5" customHeight="1">
      <c r="A84" s="33"/>
      <c r="B84" s="45" t="s">
        <v>78</v>
      </c>
      <c r="C84" s="15"/>
      <c r="D84" s="15"/>
      <c r="E84" s="40"/>
      <c r="F84" s="40"/>
      <c r="G84" s="41"/>
      <c r="H84" s="41"/>
      <c r="I84" s="17">
        <v>0</v>
      </c>
    </row>
    <row r="85" spans="1:9" ht="16.5" customHeight="1">
      <c r="A85" s="47"/>
      <c r="B85" s="44" t="s">
        <v>51</v>
      </c>
      <c r="C85" s="36"/>
      <c r="D85" s="36"/>
      <c r="E85" s="36"/>
      <c r="F85" s="36"/>
      <c r="G85" s="36"/>
      <c r="H85" s="36"/>
      <c r="I85" s="42">
        <f>I79+I83</f>
        <v>8617.4016404133326</v>
      </c>
    </row>
    <row r="86" spans="1:9" ht="15.75" customHeight="1">
      <c r="A86" s="128" t="s">
        <v>243</v>
      </c>
      <c r="B86" s="128"/>
      <c r="C86" s="128"/>
      <c r="D86" s="128"/>
      <c r="E86" s="128"/>
      <c r="F86" s="128"/>
      <c r="G86" s="128"/>
      <c r="H86" s="128"/>
      <c r="I86" s="128"/>
    </row>
    <row r="87" spans="1:9" ht="15.75" customHeight="1">
      <c r="A87" s="57"/>
      <c r="B87" s="129" t="s">
        <v>244</v>
      </c>
      <c r="C87" s="129"/>
      <c r="D87" s="129"/>
      <c r="E87" s="129"/>
      <c r="F87" s="129"/>
      <c r="G87" s="129"/>
      <c r="H87" s="63"/>
      <c r="I87" s="3"/>
    </row>
    <row r="88" spans="1:9">
      <c r="A88" s="56"/>
      <c r="B88" s="130" t="s">
        <v>6</v>
      </c>
      <c r="C88" s="130"/>
      <c r="D88" s="130"/>
      <c r="E88" s="130"/>
      <c r="F88" s="130"/>
      <c r="G88" s="130"/>
      <c r="H88" s="28"/>
      <c r="I88" s="5"/>
    </row>
    <row r="89" spans="1:9" ht="15.75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31" t="s">
        <v>7</v>
      </c>
      <c r="B90" s="131"/>
      <c r="C90" s="131"/>
      <c r="D90" s="131"/>
      <c r="E90" s="131"/>
      <c r="F90" s="131"/>
      <c r="G90" s="131"/>
      <c r="H90" s="131"/>
      <c r="I90" s="131"/>
    </row>
    <row r="91" spans="1:9" ht="15.75">
      <c r="A91" s="131" t="s">
        <v>8</v>
      </c>
      <c r="B91" s="131"/>
      <c r="C91" s="131"/>
      <c r="D91" s="131"/>
      <c r="E91" s="131"/>
      <c r="F91" s="131"/>
      <c r="G91" s="131"/>
      <c r="H91" s="131"/>
      <c r="I91" s="131"/>
    </row>
    <row r="92" spans="1:9" ht="15.75">
      <c r="A92" s="136" t="s">
        <v>61</v>
      </c>
      <c r="B92" s="136"/>
      <c r="C92" s="136"/>
      <c r="D92" s="136"/>
      <c r="E92" s="136"/>
      <c r="F92" s="136"/>
      <c r="G92" s="136"/>
      <c r="H92" s="136"/>
      <c r="I92" s="136"/>
    </row>
    <row r="93" spans="1:9" ht="15.75">
      <c r="A93" s="11"/>
    </row>
    <row r="94" spans="1:9" ht="15.75">
      <c r="A94" s="137" t="s">
        <v>9</v>
      </c>
      <c r="B94" s="137"/>
      <c r="C94" s="137"/>
      <c r="D94" s="137"/>
      <c r="E94" s="137"/>
      <c r="F94" s="137"/>
      <c r="G94" s="137"/>
      <c r="H94" s="137"/>
      <c r="I94" s="137"/>
    </row>
    <row r="95" spans="1:9" ht="15.75">
      <c r="A95" s="4"/>
    </row>
    <row r="96" spans="1:9" ht="15.75">
      <c r="B96" s="53" t="s">
        <v>10</v>
      </c>
      <c r="C96" s="138" t="s">
        <v>127</v>
      </c>
      <c r="D96" s="138"/>
      <c r="E96" s="138"/>
      <c r="F96" s="61"/>
      <c r="I96" s="55"/>
    </row>
    <row r="97" spans="1:9">
      <c r="A97" s="56"/>
      <c r="C97" s="130" t="s">
        <v>11</v>
      </c>
      <c r="D97" s="130"/>
      <c r="E97" s="130"/>
      <c r="F97" s="28"/>
      <c r="I97" s="54" t="s">
        <v>12</v>
      </c>
    </row>
    <row r="98" spans="1:9" ht="15.75">
      <c r="A98" s="29"/>
      <c r="C98" s="12"/>
      <c r="D98" s="12"/>
      <c r="G98" s="12"/>
      <c r="H98" s="12"/>
    </row>
    <row r="99" spans="1:9" ht="15.75">
      <c r="B99" s="53" t="s">
        <v>13</v>
      </c>
      <c r="C99" s="139"/>
      <c r="D99" s="139"/>
      <c r="E99" s="139"/>
      <c r="F99" s="62"/>
      <c r="I99" s="55"/>
    </row>
    <row r="100" spans="1:9">
      <c r="A100" s="56"/>
      <c r="C100" s="127" t="s">
        <v>11</v>
      </c>
      <c r="D100" s="127"/>
      <c r="E100" s="127"/>
      <c r="F100" s="56"/>
      <c r="I100" s="54" t="s">
        <v>12</v>
      </c>
    </row>
    <row r="101" spans="1:9" ht="15.75">
      <c r="A101" s="4" t="s">
        <v>14</v>
      </c>
    </row>
    <row r="102" spans="1:9">
      <c r="A102" s="140" t="s">
        <v>15</v>
      </c>
      <c r="B102" s="140"/>
      <c r="C102" s="140"/>
      <c r="D102" s="140"/>
      <c r="E102" s="140"/>
      <c r="F102" s="140"/>
      <c r="G102" s="140"/>
      <c r="H102" s="140"/>
      <c r="I102" s="140"/>
    </row>
    <row r="103" spans="1:9" ht="45" customHeight="1">
      <c r="A103" s="135" t="s">
        <v>16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30" customHeight="1">
      <c r="A104" s="135" t="s">
        <v>17</v>
      </c>
      <c r="B104" s="135"/>
      <c r="C104" s="135"/>
      <c r="D104" s="135"/>
      <c r="E104" s="135"/>
      <c r="F104" s="135"/>
      <c r="G104" s="135"/>
      <c r="H104" s="135"/>
      <c r="I104" s="135"/>
    </row>
    <row r="105" spans="1:9" ht="30" customHeight="1">
      <c r="A105" s="135" t="s">
        <v>21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14.25" customHeight="1">
      <c r="A106" s="135" t="s">
        <v>20</v>
      </c>
      <c r="B106" s="135"/>
      <c r="C106" s="135"/>
      <c r="D106" s="135"/>
      <c r="E106" s="135"/>
      <c r="F106" s="135"/>
      <c r="G106" s="135"/>
      <c r="H106" s="135"/>
      <c r="I106" s="135"/>
    </row>
  </sheetData>
  <autoFilter ref="I12:I59"/>
  <mergeCells count="29">
    <mergeCell ref="A103:I103"/>
    <mergeCell ref="A104:I104"/>
    <mergeCell ref="A105:I105"/>
    <mergeCell ref="A106:I106"/>
    <mergeCell ref="A94:I94"/>
    <mergeCell ref="C96:E96"/>
    <mergeCell ref="C97:E97"/>
    <mergeCell ref="C99:E99"/>
    <mergeCell ref="C100:E100"/>
    <mergeCell ref="A102:I102"/>
    <mergeCell ref="A92:I92"/>
    <mergeCell ref="A15:I15"/>
    <mergeCell ref="A28:I28"/>
    <mergeCell ref="A42:I42"/>
    <mergeCell ref="A53:I53"/>
    <mergeCell ref="A86:I86"/>
    <mergeCell ref="B87:G87"/>
    <mergeCell ref="B88:G88"/>
    <mergeCell ref="A90:I90"/>
    <mergeCell ref="A91:I91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08"/>
  <sheetViews>
    <sheetView topLeftCell="A27" workbookViewId="0">
      <selection activeCell="B84" sqref="B84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166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245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90"/>
      <c r="C6" s="90"/>
      <c r="D6" s="90"/>
      <c r="E6" s="90"/>
      <c r="F6" s="90"/>
      <c r="G6" s="90"/>
      <c r="H6" s="90"/>
      <c r="I6" s="34">
        <v>43799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0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ref="H21:H26" si="1">SUM(F21*G21/1000)</f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hidden="1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32" t="s">
        <v>83</v>
      </c>
      <c r="B29" s="133"/>
      <c r="C29" s="133"/>
      <c r="D29" s="133"/>
      <c r="E29" s="133"/>
      <c r="F29" s="133"/>
      <c r="G29" s="133"/>
      <c r="H29" s="133"/>
      <c r="I29" s="134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4" t="s">
        <v>110</v>
      </c>
      <c r="C31" s="65" t="s">
        <v>88</v>
      </c>
      <c r="D31" s="64" t="s">
        <v>162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2">SUM(F31*G31/1000)</f>
        <v>2.0347501356</v>
      </c>
      <c r="I31" s="13">
        <f t="shared" ref="I31:I34" si="3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4" t="s">
        <v>109</v>
      </c>
      <c r="C32" s="65" t="s">
        <v>88</v>
      </c>
      <c r="D32" s="64" t="s">
        <v>163</v>
      </c>
      <c r="E32" s="67">
        <v>48.03</v>
      </c>
      <c r="F32" s="67">
        <f>SUM(E32*78/1000)</f>
        <v>3.74634</v>
      </c>
      <c r="G32" s="67">
        <v>243.54</v>
      </c>
      <c r="H32" s="68">
        <f t="shared" si="2"/>
        <v>0.91238364360000002</v>
      </c>
      <c r="I32" s="13">
        <f t="shared" si="3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88</v>
      </c>
      <c r="D33" s="64" t="s">
        <v>53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2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4" t="s">
        <v>108</v>
      </c>
      <c r="C34" s="65" t="s">
        <v>29</v>
      </c>
      <c r="D34" s="64" t="s">
        <v>63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3"/>
        <v>459.6611111111111</v>
      </c>
      <c r="J34" s="26"/>
      <c r="K34" s="8"/>
    </row>
    <row r="35" spans="1:14" ht="15.75" hidden="1" customHeight="1">
      <c r="A35" s="33"/>
      <c r="B35" s="64" t="s">
        <v>64</v>
      </c>
      <c r="C35" s="65" t="s">
        <v>31</v>
      </c>
      <c r="D35" s="64" t="s">
        <v>66</v>
      </c>
      <c r="E35" s="66"/>
      <c r="F35" s="67">
        <v>1</v>
      </c>
      <c r="G35" s="67">
        <v>180.15</v>
      </c>
      <c r="H35" s="68">
        <f t="shared" si="2"/>
        <v>0.18015</v>
      </c>
      <c r="I35" s="13">
        <v>0</v>
      </c>
      <c r="J35" s="27"/>
    </row>
    <row r="36" spans="1:14" ht="15.75" hidden="1" customHeight="1">
      <c r="A36" s="33"/>
      <c r="B36" s="64" t="s">
        <v>65</v>
      </c>
      <c r="C36" s="65" t="s">
        <v>30</v>
      </c>
      <c r="D36" s="64" t="s">
        <v>66</v>
      </c>
      <c r="E36" s="66"/>
      <c r="F36" s="67">
        <v>1</v>
      </c>
      <c r="G36" s="67">
        <v>1214.74</v>
      </c>
      <c r="H36" s="68">
        <f t="shared" si="2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135</v>
      </c>
      <c r="I37" s="13"/>
      <c r="J37" s="27"/>
    </row>
    <row r="38" spans="1:14" ht="15.75" customHeight="1">
      <c r="A38" s="33">
        <v>7</v>
      </c>
      <c r="B38" s="64" t="s">
        <v>25</v>
      </c>
      <c r="C38" s="65" t="s">
        <v>30</v>
      </c>
      <c r="D38" s="64"/>
      <c r="E38" s="66"/>
      <c r="F38" s="67">
        <v>3</v>
      </c>
      <c r="G38" s="67">
        <v>1632.6</v>
      </c>
      <c r="H38" s="68">
        <f t="shared" ref="H38:H43" si="4">SUM(F38*G38/1000)</f>
        <v>4.8977999999999993</v>
      </c>
      <c r="I38" s="13">
        <f>G38*1</f>
        <v>1632.6</v>
      </c>
      <c r="J38" s="27"/>
    </row>
    <row r="39" spans="1:14" ht="15.75" customHeight="1">
      <c r="A39" s="33">
        <v>8</v>
      </c>
      <c r="B39" s="64" t="s">
        <v>111</v>
      </c>
      <c r="C39" s="65" t="s">
        <v>28</v>
      </c>
      <c r="D39" s="64" t="s">
        <v>203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ref="I39:I41" si="5">F39/6*G39</f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4" t="s">
        <v>67</v>
      </c>
      <c r="C40" s="65" t="s">
        <v>28</v>
      </c>
      <c r="D40" s="64" t="s">
        <v>204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4"/>
        <v>2.4587445555</v>
      </c>
      <c r="I40" s="13">
        <f t="shared" si="5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4" t="s">
        <v>81</v>
      </c>
      <c r="C41" s="65" t="s">
        <v>88</v>
      </c>
      <c r="D41" s="64" t="s">
        <v>205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4"/>
        <v>9.1860641039999997</v>
      </c>
      <c r="I41" s="13">
        <f t="shared" si="5"/>
        <v>1531.0106839999999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89</v>
      </c>
      <c r="C42" s="65" t="s">
        <v>88</v>
      </c>
      <c r="D42" s="64" t="s">
        <v>206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4"/>
        <v>0.87247215450000015</v>
      </c>
      <c r="I42" s="13">
        <f>F42/7.5*G42</f>
        <v>116.3296206</v>
      </c>
      <c r="J42" s="27"/>
      <c r="L42" s="20"/>
      <c r="M42" s="21"/>
      <c r="N42" s="22"/>
    </row>
    <row r="43" spans="1:14" ht="15.75" customHeight="1">
      <c r="A43" s="33">
        <v>12</v>
      </c>
      <c r="B43" s="64" t="s">
        <v>69</v>
      </c>
      <c r="C43" s="65" t="s">
        <v>31</v>
      </c>
      <c r="D43" s="64"/>
      <c r="E43" s="66"/>
      <c r="F43" s="67">
        <v>0.53</v>
      </c>
      <c r="G43" s="67">
        <v>750.34</v>
      </c>
      <c r="H43" s="68">
        <f t="shared" si="4"/>
        <v>0.39768020000000004</v>
      </c>
      <c r="I43" s="13">
        <f>F43/7.5*G43</f>
        <v>53.024026666666671</v>
      </c>
      <c r="J43" s="27"/>
      <c r="L43" s="20"/>
      <c r="M43" s="21"/>
      <c r="N43" s="22"/>
    </row>
    <row r="44" spans="1:14" ht="15.75" hidden="1" customHeight="1">
      <c r="A44" s="132" t="s">
        <v>128</v>
      </c>
      <c r="B44" s="133"/>
      <c r="C44" s="133"/>
      <c r="D44" s="133"/>
      <c r="E44" s="133"/>
      <c r="F44" s="133"/>
      <c r="G44" s="133"/>
      <c r="H44" s="133"/>
      <c r="I44" s="134"/>
      <c r="J44" s="27"/>
      <c r="L44" s="20"/>
      <c r="M44" s="21"/>
      <c r="N44" s="22"/>
    </row>
    <row r="45" spans="1:14" ht="15.75" hidden="1" customHeight="1">
      <c r="A45" s="33"/>
      <c r="B45" s="64" t="s">
        <v>113</v>
      </c>
      <c r="C45" s="65" t="s">
        <v>88</v>
      </c>
      <c r="D45" s="64" t="s">
        <v>41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6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34</v>
      </c>
      <c r="C46" s="65" t="s">
        <v>88</v>
      </c>
      <c r="D46" s="64" t="s">
        <v>41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6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35</v>
      </c>
      <c r="C47" s="65" t="s">
        <v>88</v>
      </c>
      <c r="D47" s="64" t="s">
        <v>41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6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36</v>
      </c>
      <c r="C48" s="65" t="s">
        <v>88</v>
      </c>
      <c r="D48" s="64" t="s">
        <v>41</v>
      </c>
      <c r="E48" s="66">
        <v>683.33</v>
      </c>
      <c r="F48" s="67">
        <f>SUM(E48*2/1000)</f>
        <v>1.36666</v>
      </c>
      <c r="G48" s="13">
        <v>571.35</v>
      </c>
      <c r="H48" s="68">
        <f t="shared" si="6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32</v>
      </c>
      <c r="C49" s="65" t="s">
        <v>33</v>
      </c>
      <c r="D49" s="64" t="s">
        <v>41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6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10</v>
      </c>
      <c r="B50" s="64" t="s">
        <v>56</v>
      </c>
      <c r="C50" s="65" t="s">
        <v>88</v>
      </c>
      <c r="D50" s="64" t="s">
        <v>129</v>
      </c>
      <c r="E50" s="66">
        <v>1140</v>
      </c>
      <c r="F50" s="67">
        <f>SUM(E50*5/1000)</f>
        <v>5.7</v>
      </c>
      <c r="G50" s="13">
        <v>1142.7</v>
      </c>
      <c r="H50" s="68">
        <f t="shared" si="6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>
        <v>14</v>
      </c>
      <c r="B51" s="64" t="s">
        <v>90</v>
      </c>
      <c r="C51" s="65" t="s">
        <v>88</v>
      </c>
      <c r="D51" s="64" t="s">
        <v>41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6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hidden="1" customHeight="1">
      <c r="A52" s="33">
        <v>15</v>
      </c>
      <c r="B52" s="64" t="s">
        <v>91</v>
      </c>
      <c r="C52" s="65" t="s">
        <v>37</v>
      </c>
      <c r="D52" s="64" t="s">
        <v>41</v>
      </c>
      <c r="E52" s="66">
        <v>9</v>
      </c>
      <c r="F52" s="67">
        <f>SUM(E52*2/100)</f>
        <v>0.18</v>
      </c>
      <c r="G52" s="13">
        <v>2571.08</v>
      </c>
      <c r="H52" s="68">
        <f t="shared" si="6"/>
        <v>0.46279439999999999</v>
      </c>
      <c r="I52" s="13">
        <f t="shared" ref="I52:I53" si="7">F52/2*G52</f>
        <v>231.3972</v>
      </c>
      <c r="J52" s="27"/>
      <c r="L52" s="20"/>
      <c r="M52" s="21"/>
      <c r="N52" s="22"/>
    </row>
    <row r="53" spans="1:22" ht="15.75" hidden="1" customHeight="1">
      <c r="A53" s="33">
        <v>16</v>
      </c>
      <c r="B53" s="64" t="s">
        <v>38</v>
      </c>
      <c r="C53" s="65" t="s">
        <v>39</v>
      </c>
      <c r="D53" s="64" t="s">
        <v>41</v>
      </c>
      <c r="E53" s="66">
        <v>1</v>
      </c>
      <c r="F53" s="67">
        <v>0.02</v>
      </c>
      <c r="G53" s="13">
        <v>5322.15</v>
      </c>
      <c r="H53" s="68">
        <f t="shared" si="6"/>
        <v>0.106443</v>
      </c>
      <c r="I53" s="13">
        <f t="shared" si="7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4" t="s">
        <v>40</v>
      </c>
      <c r="C54" s="65" t="s">
        <v>114</v>
      </c>
      <c r="D54" s="64" t="s">
        <v>70</v>
      </c>
      <c r="E54" s="66">
        <v>36</v>
      </c>
      <c r="F54" s="67">
        <f>SUM(E54)*3</f>
        <v>108</v>
      </c>
      <c r="G54" s="13">
        <v>61.84</v>
      </c>
      <c r="H54" s="68">
        <f t="shared" si="6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32" t="s">
        <v>130</v>
      </c>
      <c r="B55" s="133"/>
      <c r="C55" s="133"/>
      <c r="D55" s="133"/>
      <c r="E55" s="133"/>
      <c r="F55" s="133"/>
      <c r="G55" s="133"/>
      <c r="H55" s="133"/>
      <c r="I55" s="134"/>
      <c r="J55" s="27"/>
      <c r="L55" s="20"/>
      <c r="M55" s="21"/>
      <c r="N55" s="22"/>
    </row>
    <row r="56" spans="1:22" ht="15.75" hidden="1" customHeight="1">
      <c r="A56" s="33"/>
      <c r="B56" s="85" t="s">
        <v>42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17</v>
      </c>
      <c r="B57" s="64" t="s">
        <v>115</v>
      </c>
      <c r="C57" s="65" t="s">
        <v>85</v>
      </c>
      <c r="D57" s="64" t="s">
        <v>116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43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117</v>
      </c>
      <c r="C59" s="65"/>
      <c r="D59" s="64" t="s">
        <v>53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6" t="s">
        <v>44</v>
      </c>
      <c r="C60" s="74"/>
      <c r="D60" s="75"/>
      <c r="E60" s="76"/>
      <c r="F60" s="77"/>
      <c r="G60" s="77"/>
      <c r="H60" s="78" t="s">
        <v>135</v>
      </c>
      <c r="I60" s="13"/>
    </row>
    <row r="61" spans="1:22" ht="15.75" hidden="1" customHeight="1">
      <c r="A61" s="33">
        <v>10</v>
      </c>
      <c r="B61" s="14" t="s">
        <v>45</v>
      </c>
      <c r="C61" s="16" t="s">
        <v>114</v>
      </c>
      <c r="D61" s="14" t="s">
        <v>66</v>
      </c>
      <c r="E61" s="18">
        <v>5</v>
      </c>
      <c r="F61" s="67">
        <v>5</v>
      </c>
      <c r="G61" s="13">
        <v>237.74</v>
      </c>
      <c r="H61" s="79">
        <f t="shared" ref="H61:H75" si="8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46</v>
      </c>
      <c r="C62" s="16" t="s">
        <v>114</v>
      </c>
      <c r="D62" s="14" t="s">
        <v>66</v>
      </c>
      <c r="E62" s="18">
        <v>2</v>
      </c>
      <c r="F62" s="67">
        <v>2</v>
      </c>
      <c r="G62" s="13">
        <v>81.510000000000005</v>
      </c>
      <c r="H62" s="79">
        <f t="shared" si="8"/>
        <v>0.16302</v>
      </c>
      <c r="I62" s="13">
        <v>0</v>
      </c>
    </row>
    <row r="63" spans="1:22" ht="15.75" hidden="1" customHeight="1">
      <c r="A63" s="33"/>
      <c r="B63" s="14" t="s">
        <v>47</v>
      </c>
      <c r="C63" s="16" t="s">
        <v>118</v>
      </c>
      <c r="D63" s="14" t="s">
        <v>53</v>
      </c>
      <c r="E63" s="66">
        <v>4292</v>
      </c>
      <c r="F63" s="13">
        <f>SUM(E63/100)</f>
        <v>42.92</v>
      </c>
      <c r="G63" s="13">
        <v>226.79</v>
      </c>
      <c r="H63" s="79">
        <f t="shared" si="8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48</v>
      </c>
      <c r="C64" s="16" t="s">
        <v>119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8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49</v>
      </c>
      <c r="C65" s="16" t="s">
        <v>76</v>
      </c>
      <c r="D65" s="14" t="s">
        <v>53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8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120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8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27"/>
      <c r="S66" s="127"/>
      <c r="T66" s="127"/>
      <c r="U66" s="127"/>
    </row>
    <row r="67" spans="1:21" ht="15.75" hidden="1" customHeight="1">
      <c r="A67" s="33"/>
      <c r="B67" s="80" t="s">
        <v>121</v>
      </c>
      <c r="C67" s="16" t="s">
        <v>31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8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57</v>
      </c>
      <c r="C68" s="16" t="s">
        <v>58</v>
      </c>
      <c r="D68" s="14" t="s">
        <v>53</v>
      </c>
      <c r="E68" s="18">
        <v>3</v>
      </c>
      <c r="F68" s="67">
        <v>3</v>
      </c>
      <c r="G68" s="13">
        <v>53.32</v>
      </c>
      <c r="H68" s="79">
        <f t="shared" si="8"/>
        <v>0.15996000000000002</v>
      </c>
      <c r="I68" s="13">
        <v>0</v>
      </c>
    </row>
    <row r="69" spans="1:21" ht="15.75" hidden="1" customHeight="1">
      <c r="A69" s="33"/>
      <c r="B69" s="91" t="s">
        <v>71</v>
      </c>
      <c r="C69" s="16"/>
      <c r="D69" s="14"/>
      <c r="E69" s="18"/>
      <c r="F69" s="13"/>
      <c r="G69" s="13"/>
      <c r="H69" s="79" t="s">
        <v>135</v>
      </c>
      <c r="I69" s="13"/>
    </row>
    <row r="70" spans="1:21" ht="15.75" hidden="1" customHeight="1">
      <c r="A70" s="33"/>
      <c r="B70" s="14" t="s">
        <v>72</v>
      </c>
      <c r="C70" s="16" t="s">
        <v>74</v>
      </c>
      <c r="D70" s="14"/>
      <c r="E70" s="18">
        <v>2</v>
      </c>
      <c r="F70" s="13">
        <v>0.2</v>
      </c>
      <c r="G70" s="13">
        <v>536.23</v>
      </c>
      <c r="H70" s="79">
        <f t="shared" si="8"/>
        <v>0.10724600000000001</v>
      </c>
      <c r="I70" s="13">
        <v>0</v>
      </c>
    </row>
    <row r="71" spans="1:21" ht="15.75" hidden="1" customHeight="1">
      <c r="A71" s="33"/>
      <c r="B71" s="14" t="s">
        <v>73</v>
      </c>
      <c r="C71" s="16" t="s">
        <v>29</v>
      </c>
      <c r="D71" s="14"/>
      <c r="E71" s="18">
        <v>1</v>
      </c>
      <c r="F71" s="60">
        <v>1</v>
      </c>
      <c r="G71" s="13">
        <v>911.85</v>
      </c>
      <c r="H71" s="79">
        <f t="shared" si="8"/>
        <v>0.91185000000000005</v>
      </c>
      <c r="I71" s="13">
        <v>0</v>
      </c>
    </row>
    <row r="72" spans="1:21" ht="15.75" hidden="1" customHeight="1">
      <c r="A72" s="33"/>
      <c r="B72" s="14" t="s">
        <v>136</v>
      </c>
      <c r="C72" s="16" t="s">
        <v>137</v>
      </c>
      <c r="D72" s="14"/>
      <c r="E72" s="18"/>
      <c r="F72" s="13"/>
      <c r="G72" s="13">
        <v>31.54</v>
      </c>
      <c r="H72" s="79">
        <f t="shared" si="8"/>
        <v>0</v>
      </c>
      <c r="I72" s="13"/>
    </row>
    <row r="73" spans="1:21" ht="15.75" hidden="1" customHeight="1">
      <c r="A73" s="33"/>
      <c r="B73" s="14" t="s">
        <v>123</v>
      </c>
      <c r="C73" s="16" t="s">
        <v>29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75</v>
      </c>
      <c r="C74" s="16"/>
      <c r="D74" s="14"/>
      <c r="E74" s="18"/>
      <c r="F74" s="13"/>
      <c r="G74" s="13" t="s">
        <v>135</v>
      </c>
      <c r="H74" s="79" t="s">
        <v>135</v>
      </c>
      <c r="I74" s="13"/>
    </row>
    <row r="75" spans="1:21" ht="15.75" hidden="1" customHeight="1">
      <c r="A75" s="33"/>
      <c r="B75" s="45" t="s">
        <v>147</v>
      </c>
      <c r="C75" s="16" t="s">
        <v>76</v>
      </c>
      <c r="D75" s="14"/>
      <c r="E75" s="18"/>
      <c r="F75" s="13">
        <v>0.1</v>
      </c>
      <c r="G75" s="13">
        <v>2949.85</v>
      </c>
      <c r="H75" s="79">
        <f t="shared" si="8"/>
        <v>0.294985</v>
      </c>
      <c r="I75" s="13">
        <v>0</v>
      </c>
    </row>
    <row r="76" spans="1:21" ht="15.75" hidden="1" customHeight="1">
      <c r="A76" s="33"/>
      <c r="B76" s="89" t="s">
        <v>92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10</v>
      </c>
      <c r="B77" s="87" t="s">
        <v>122</v>
      </c>
      <c r="C77" s="24"/>
      <c r="D77" s="23"/>
      <c r="E77" s="84"/>
      <c r="F77" s="88">
        <v>1</v>
      </c>
      <c r="G77" s="13">
        <v>3395.9</v>
      </c>
      <c r="H77" s="79">
        <f>G77*F77/1000</f>
        <v>3.3959000000000001</v>
      </c>
      <c r="I77" s="13">
        <v>939.9</v>
      </c>
    </row>
    <row r="78" spans="1:21" ht="15.75" customHeight="1">
      <c r="A78" s="132" t="s">
        <v>178</v>
      </c>
      <c r="B78" s="133"/>
      <c r="C78" s="133"/>
      <c r="D78" s="133"/>
      <c r="E78" s="133"/>
      <c r="F78" s="133"/>
      <c r="G78" s="133"/>
      <c r="H78" s="133"/>
      <c r="I78" s="134"/>
    </row>
    <row r="79" spans="1:21" ht="15.75" customHeight="1">
      <c r="A79" s="33">
        <v>13</v>
      </c>
      <c r="B79" s="64" t="s">
        <v>124</v>
      </c>
      <c r="C79" s="16" t="s">
        <v>54</v>
      </c>
      <c r="D79" s="50"/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14</v>
      </c>
      <c r="B80" s="14" t="s">
        <v>77</v>
      </c>
      <c r="C80" s="16"/>
      <c r="D80" s="50"/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80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I80+I79+I43+I42+I41+I40+I39+I38+I27+I21+I20+I18+I17+I16</f>
        <v>12182.684609849997</v>
      </c>
    </row>
    <row r="82" spans="1:9" ht="15.75" customHeight="1">
      <c r="A82" s="141" t="s">
        <v>60</v>
      </c>
      <c r="B82" s="142"/>
      <c r="C82" s="142"/>
      <c r="D82" s="142"/>
      <c r="E82" s="142"/>
      <c r="F82" s="142"/>
      <c r="G82" s="142"/>
      <c r="H82" s="142"/>
      <c r="I82" s="143"/>
    </row>
    <row r="83" spans="1:9" ht="15.75" customHeight="1">
      <c r="A83" s="33">
        <v>15</v>
      </c>
      <c r="B83" s="75" t="s">
        <v>168</v>
      </c>
      <c r="C83" s="74" t="s">
        <v>169</v>
      </c>
      <c r="D83" s="75"/>
      <c r="E83" s="76"/>
      <c r="F83" s="77">
        <v>200</v>
      </c>
      <c r="G83" s="60">
        <v>1.4</v>
      </c>
      <c r="H83" s="78">
        <f>F83*G83/1000</f>
        <v>0.28000000000000003</v>
      </c>
      <c r="I83" s="99">
        <f>G83*100</f>
        <v>140</v>
      </c>
    </row>
    <row r="84" spans="1:9" ht="30" customHeight="1">
      <c r="A84" s="33">
        <v>16</v>
      </c>
      <c r="B84" s="101" t="s">
        <v>177</v>
      </c>
      <c r="C84" s="102" t="s">
        <v>28</v>
      </c>
      <c r="D84" s="45"/>
      <c r="E84" s="13"/>
      <c r="F84" s="13"/>
      <c r="G84" s="103">
        <v>19757.060000000001</v>
      </c>
      <c r="H84" s="79"/>
      <c r="I84" s="13">
        <f>G84*4*0.599/1000</f>
        <v>47.337915760000001</v>
      </c>
    </row>
    <row r="85" spans="1:9">
      <c r="A85" s="33"/>
      <c r="B85" s="43" t="s">
        <v>50</v>
      </c>
      <c r="C85" s="39"/>
      <c r="D85" s="46"/>
      <c r="E85" s="39">
        <v>1</v>
      </c>
      <c r="F85" s="39"/>
      <c r="G85" s="39"/>
      <c r="H85" s="39"/>
      <c r="I85" s="35">
        <f>SUM(I83:I84)</f>
        <v>187.33791575999999</v>
      </c>
    </row>
    <row r="86" spans="1:9" ht="16.5" customHeight="1">
      <c r="A86" s="33"/>
      <c r="B86" s="45" t="s">
        <v>78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51</v>
      </c>
      <c r="C87" s="36"/>
      <c r="D87" s="36"/>
      <c r="E87" s="36"/>
      <c r="F87" s="36"/>
      <c r="G87" s="36"/>
      <c r="H87" s="36"/>
      <c r="I87" s="42">
        <f>I81+I85</f>
        <v>12370.022525609997</v>
      </c>
    </row>
    <row r="88" spans="1:9" ht="15.75" customHeight="1">
      <c r="A88" s="128" t="s">
        <v>246</v>
      </c>
      <c r="B88" s="128"/>
      <c r="C88" s="128"/>
      <c r="D88" s="128"/>
      <c r="E88" s="128"/>
      <c r="F88" s="128"/>
      <c r="G88" s="128"/>
      <c r="H88" s="128"/>
      <c r="I88" s="128"/>
    </row>
    <row r="89" spans="1:9" ht="15.75" customHeight="1">
      <c r="A89" s="57"/>
      <c r="B89" s="129" t="s">
        <v>247</v>
      </c>
      <c r="C89" s="129"/>
      <c r="D89" s="129"/>
      <c r="E89" s="129"/>
      <c r="F89" s="129"/>
      <c r="G89" s="129"/>
      <c r="H89" s="63"/>
      <c r="I89" s="3"/>
    </row>
    <row r="90" spans="1:9">
      <c r="A90" s="92"/>
      <c r="B90" s="130" t="s">
        <v>6</v>
      </c>
      <c r="C90" s="130"/>
      <c r="D90" s="130"/>
      <c r="E90" s="130"/>
      <c r="F90" s="130"/>
      <c r="G90" s="130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31" t="s">
        <v>7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>
      <c r="A93" s="131" t="s">
        <v>8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>
      <c r="A94" s="136" t="s">
        <v>61</v>
      </c>
      <c r="B94" s="136"/>
      <c r="C94" s="136"/>
      <c r="D94" s="136"/>
      <c r="E94" s="136"/>
      <c r="F94" s="136"/>
      <c r="G94" s="136"/>
      <c r="H94" s="136"/>
      <c r="I94" s="136"/>
    </row>
    <row r="95" spans="1:9" ht="15.75">
      <c r="A95" s="11"/>
    </row>
    <row r="96" spans="1:9" ht="15.75">
      <c r="A96" s="137" t="s">
        <v>9</v>
      </c>
      <c r="B96" s="137"/>
      <c r="C96" s="137"/>
      <c r="D96" s="137"/>
      <c r="E96" s="137"/>
      <c r="F96" s="137"/>
      <c r="G96" s="137"/>
      <c r="H96" s="137"/>
      <c r="I96" s="137"/>
    </row>
    <row r="97" spans="1:9" ht="15.75">
      <c r="A97" s="4"/>
    </row>
    <row r="98" spans="1:9" ht="15.75">
      <c r="B98" s="94" t="s">
        <v>10</v>
      </c>
      <c r="C98" s="138" t="s">
        <v>127</v>
      </c>
      <c r="D98" s="138"/>
      <c r="E98" s="138"/>
      <c r="F98" s="61"/>
      <c r="I98" s="95"/>
    </row>
    <row r="99" spans="1:9">
      <c r="A99" s="92"/>
      <c r="C99" s="130" t="s">
        <v>11</v>
      </c>
      <c r="D99" s="130"/>
      <c r="E99" s="130"/>
      <c r="F99" s="28"/>
      <c r="I99" s="93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94" t="s">
        <v>13</v>
      </c>
      <c r="C101" s="139"/>
      <c r="D101" s="139"/>
      <c r="E101" s="139"/>
      <c r="F101" s="62"/>
      <c r="I101" s="95"/>
    </row>
    <row r="102" spans="1:9">
      <c r="A102" s="92"/>
      <c r="C102" s="127" t="s">
        <v>11</v>
      </c>
      <c r="D102" s="127"/>
      <c r="E102" s="127"/>
      <c r="F102" s="92"/>
      <c r="I102" s="93" t="s">
        <v>12</v>
      </c>
    </row>
    <row r="103" spans="1:9" ht="15.75">
      <c r="A103" s="4" t="s">
        <v>14</v>
      </c>
    </row>
    <row r="104" spans="1:9">
      <c r="A104" s="140" t="s">
        <v>15</v>
      </c>
      <c r="B104" s="140"/>
      <c r="C104" s="140"/>
      <c r="D104" s="140"/>
      <c r="E104" s="140"/>
      <c r="F104" s="140"/>
      <c r="G104" s="140"/>
      <c r="H104" s="140"/>
      <c r="I104" s="140"/>
    </row>
    <row r="105" spans="1:9" ht="45" customHeight="1">
      <c r="A105" s="135" t="s">
        <v>16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30" customHeight="1">
      <c r="A106" s="135" t="s">
        <v>17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30" customHeight="1">
      <c r="A107" s="135" t="s">
        <v>21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4.25" customHeight="1">
      <c r="A108" s="135" t="s">
        <v>20</v>
      </c>
      <c r="B108" s="135"/>
      <c r="C108" s="135"/>
      <c r="D108" s="135"/>
      <c r="E108" s="135"/>
      <c r="F108" s="135"/>
      <c r="G108" s="135"/>
      <c r="H108" s="135"/>
      <c r="I108" s="135"/>
    </row>
  </sheetData>
  <autoFilter ref="I12:I61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6:U66"/>
    <mergeCell ref="C102:E102"/>
    <mergeCell ref="A82:I82"/>
    <mergeCell ref="A88:I88"/>
    <mergeCell ref="B89:G89"/>
    <mergeCell ref="B90:G90"/>
    <mergeCell ref="A92:I92"/>
    <mergeCell ref="A93:I93"/>
    <mergeCell ref="A94:I94"/>
    <mergeCell ref="A96:I96"/>
    <mergeCell ref="C98:E98"/>
    <mergeCell ref="C99:E99"/>
    <mergeCell ref="C101:E101"/>
    <mergeCell ref="A78:I78"/>
    <mergeCell ref="A104:I104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61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167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248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90"/>
      <c r="C6" s="90"/>
      <c r="D6" s="90"/>
      <c r="E6" s="90"/>
      <c r="F6" s="90"/>
      <c r="G6" s="90"/>
      <c r="H6" s="90"/>
      <c r="I6" s="34">
        <v>43830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0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ref="H21:H26" si="1">SUM(F21*G21/1000)</f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hidden="1" customHeight="1">
      <c r="A28" s="33">
        <v>6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32" t="s">
        <v>83</v>
      </c>
      <c r="B29" s="133"/>
      <c r="C29" s="133"/>
      <c r="D29" s="133"/>
      <c r="E29" s="133"/>
      <c r="F29" s="133"/>
      <c r="G29" s="133"/>
      <c r="H29" s="133"/>
      <c r="I29" s="134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4" t="s">
        <v>110</v>
      </c>
      <c r="C31" s="65" t="s">
        <v>88</v>
      </c>
      <c r="D31" s="64" t="s">
        <v>162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2">SUM(F31*G31/1000)</f>
        <v>2.0347501356</v>
      </c>
      <c r="I31" s="13">
        <f t="shared" ref="I31:I34" si="3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4" t="s">
        <v>109</v>
      </c>
      <c r="C32" s="65" t="s">
        <v>88</v>
      </c>
      <c r="D32" s="64" t="s">
        <v>163</v>
      </c>
      <c r="E32" s="67">
        <v>48.03</v>
      </c>
      <c r="F32" s="67">
        <f>SUM(E32*78/1000)</f>
        <v>3.74634</v>
      </c>
      <c r="G32" s="67">
        <v>243.54</v>
      </c>
      <c r="H32" s="68">
        <f t="shared" si="2"/>
        <v>0.91238364360000002</v>
      </c>
      <c r="I32" s="13">
        <f t="shared" si="3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88</v>
      </c>
      <c r="D33" s="64" t="s">
        <v>53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2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4" t="s">
        <v>108</v>
      </c>
      <c r="C34" s="65" t="s">
        <v>29</v>
      </c>
      <c r="D34" s="64" t="s">
        <v>63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3"/>
        <v>459.6611111111111</v>
      </c>
      <c r="J34" s="26"/>
      <c r="K34" s="8"/>
    </row>
    <row r="35" spans="1:14" ht="15.75" hidden="1" customHeight="1">
      <c r="A35" s="33"/>
      <c r="B35" s="64" t="s">
        <v>64</v>
      </c>
      <c r="C35" s="65" t="s">
        <v>31</v>
      </c>
      <c r="D35" s="64" t="s">
        <v>66</v>
      </c>
      <c r="E35" s="66"/>
      <c r="F35" s="67">
        <v>1</v>
      </c>
      <c r="G35" s="67">
        <v>180.15</v>
      </c>
      <c r="H35" s="68">
        <f t="shared" si="2"/>
        <v>0.18015</v>
      </c>
      <c r="I35" s="13">
        <v>0</v>
      </c>
      <c r="J35" s="27"/>
    </row>
    <row r="36" spans="1:14" ht="15.75" hidden="1" customHeight="1">
      <c r="A36" s="33"/>
      <c r="B36" s="64" t="s">
        <v>65</v>
      </c>
      <c r="C36" s="65" t="s">
        <v>30</v>
      </c>
      <c r="D36" s="64" t="s">
        <v>66</v>
      </c>
      <c r="E36" s="66"/>
      <c r="F36" s="67">
        <v>1</v>
      </c>
      <c r="G36" s="67">
        <v>1214.74</v>
      </c>
      <c r="H36" s="68">
        <f t="shared" si="2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135</v>
      </c>
      <c r="I37" s="13"/>
      <c r="J37" s="27"/>
    </row>
    <row r="38" spans="1:14" ht="15.75" customHeight="1">
      <c r="A38" s="33">
        <v>6</v>
      </c>
      <c r="B38" s="64" t="s">
        <v>25</v>
      </c>
      <c r="C38" s="65" t="s">
        <v>30</v>
      </c>
      <c r="D38" s="64"/>
      <c r="E38" s="66"/>
      <c r="F38" s="67">
        <v>3</v>
      </c>
      <c r="G38" s="67">
        <v>1632.6</v>
      </c>
      <c r="H38" s="68">
        <f t="shared" ref="H38" si="4">SUM(F38*G38/1000)</f>
        <v>4.8977999999999993</v>
      </c>
      <c r="I38" s="13">
        <f>G38*1</f>
        <v>1632.6</v>
      </c>
      <c r="J38" s="27"/>
    </row>
    <row r="39" spans="1:14" ht="15.75" customHeight="1">
      <c r="A39" s="33">
        <v>7</v>
      </c>
      <c r="B39" s="64" t="s">
        <v>111</v>
      </c>
      <c r="C39" s="65" t="s">
        <v>28</v>
      </c>
      <c r="D39" s="64" t="s">
        <v>203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ref="I39:I41" si="5">F39/6*G39</f>
        <v>475.18799999999999</v>
      </c>
      <c r="J39" s="27"/>
      <c r="L39" s="20"/>
      <c r="M39" s="21"/>
      <c r="N39" s="22"/>
    </row>
    <row r="40" spans="1:14" ht="15.75" customHeight="1">
      <c r="A40" s="33">
        <v>8</v>
      </c>
      <c r="B40" s="64" t="s">
        <v>67</v>
      </c>
      <c r="C40" s="65" t="s">
        <v>28</v>
      </c>
      <c r="D40" s="64" t="s">
        <v>204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ref="H40:H43" si="6">SUM(F40*G40/1000)</f>
        <v>2.4587445555</v>
      </c>
      <c r="I40" s="13">
        <f t="shared" si="5"/>
        <v>409.79075924999995</v>
      </c>
      <c r="J40" s="27"/>
      <c r="L40" s="20"/>
      <c r="M40" s="21"/>
      <c r="N40" s="22"/>
    </row>
    <row r="41" spans="1:14" ht="47.25" customHeight="1">
      <c r="A41" s="33">
        <v>9</v>
      </c>
      <c r="B41" s="64" t="s">
        <v>81</v>
      </c>
      <c r="C41" s="65" t="s">
        <v>88</v>
      </c>
      <c r="D41" s="64" t="s">
        <v>205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6"/>
        <v>9.1860641039999997</v>
      </c>
      <c r="I41" s="13">
        <f t="shared" si="5"/>
        <v>1531.0106839999999</v>
      </c>
      <c r="J41" s="27"/>
      <c r="L41" s="20"/>
      <c r="M41" s="21"/>
      <c r="N41" s="22"/>
    </row>
    <row r="42" spans="1:14" ht="15.75" customHeight="1">
      <c r="A42" s="33">
        <v>10</v>
      </c>
      <c r="B42" s="64" t="s">
        <v>89</v>
      </c>
      <c r="C42" s="65" t="s">
        <v>88</v>
      </c>
      <c r="D42" s="64" t="s">
        <v>206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6"/>
        <v>0.87247215450000015</v>
      </c>
      <c r="I42" s="13">
        <f>F42/7.5*G42</f>
        <v>116.3296206</v>
      </c>
      <c r="J42" s="27"/>
      <c r="L42" s="20"/>
      <c r="M42" s="21"/>
      <c r="N42" s="22"/>
    </row>
    <row r="43" spans="1:14" ht="15.75" customHeight="1">
      <c r="A43" s="33">
        <v>11</v>
      </c>
      <c r="B43" s="64" t="s">
        <v>69</v>
      </c>
      <c r="C43" s="65" t="s">
        <v>31</v>
      </c>
      <c r="D43" s="64"/>
      <c r="E43" s="66"/>
      <c r="F43" s="67">
        <v>0.53</v>
      </c>
      <c r="G43" s="67">
        <v>750.34</v>
      </c>
      <c r="H43" s="68">
        <f t="shared" si="6"/>
        <v>0.39768020000000004</v>
      </c>
      <c r="I43" s="13">
        <f>F43/7.5*G43</f>
        <v>53.024026666666671</v>
      </c>
      <c r="J43" s="27"/>
      <c r="L43" s="20"/>
      <c r="M43" s="21"/>
      <c r="N43" s="22"/>
    </row>
    <row r="44" spans="1:14" ht="15.75" customHeight="1">
      <c r="A44" s="132" t="s">
        <v>128</v>
      </c>
      <c r="B44" s="133"/>
      <c r="C44" s="133"/>
      <c r="D44" s="133"/>
      <c r="E44" s="133"/>
      <c r="F44" s="133"/>
      <c r="G44" s="133"/>
      <c r="H44" s="133"/>
      <c r="I44" s="134"/>
      <c r="J44" s="27"/>
      <c r="L44" s="20"/>
      <c r="M44" s="21"/>
      <c r="N44" s="22"/>
    </row>
    <row r="45" spans="1:14" ht="15.75" hidden="1" customHeight="1">
      <c r="A45" s="33"/>
      <c r="B45" s="64" t="s">
        <v>113</v>
      </c>
      <c r="C45" s="65" t="s">
        <v>88</v>
      </c>
      <c r="D45" s="64" t="s">
        <v>41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7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34</v>
      </c>
      <c r="C46" s="65" t="s">
        <v>88</v>
      </c>
      <c r="D46" s="64" t="s">
        <v>41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7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35</v>
      </c>
      <c r="C47" s="65" t="s">
        <v>88</v>
      </c>
      <c r="D47" s="64" t="s">
        <v>41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7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36</v>
      </c>
      <c r="C48" s="65" t="s">
        <v>88</v>
      </c>
      <c r="D48" s="64" t="s">
        <v>41</v>
      </c>
      <c r="E48" s="66">
        <v>683.33</v>
      </c>
      <c r="F48" s="67">
        <f>SUM(E48*2/1000)</f>
        <v>1.36666</v>
      </c>
      <c r="G48" s="13">
        <v>571.35</v>
      </c>
      <c r="H48" s="68">
        <f t="shared" si="7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32</v>
      </c>
      <c r="C49" s="65" t="s">
        <v>33</v>
      </c>
      <c r="D49" s="64" t="s">
        <v>41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7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4" t="s">
        <v>56</v>
      </c>
      <c r="C50" s="65" t="s">
        <v>88</v>
      </c>
      <c r="D50" s="64" t="s">
        <v>200</v>
      </c>
      <c r="E50" s="66">
        <v>1140</v>
      </c>
      <c r="F50" s="67">
        <f>SUM(E50*5/1000)</f>
        <v>5.7</v>
      </c>
      <c r="G50" s="13">
        <v>1142.7</v>
      </c>
      <c r="H50" s="68">
        <f t="shared" si="7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>
        <v>14</v>
      </c>
      <c r="B51" s="64" t="s">
        <v>90</v>
      </c>
      <c r="C51" s="65" t="s">
        <v>88</v>
      </c>
      <c r="D51" s="64" t="s">
        <v>41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7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hidden="1" customHeight="1">
      <c r="A52" s="33">
        <v>15</v>
      </c>
      <c r="B52" s="64" t="s">
        <v>91</v>
      </c>
      <c r="C52" s="65" t="s">
        <v>37</v>
      </c>
      <c r="D52" s="64" t="s">
        <v>41</v>
      </c>
      <c r="E52" s="66">
        <v>9</v>
      </c>
      <c r="F52" s="67">
        <f>SUM(E52*2/100)</f>
        <v>0.18</v>
      </c>
      <c r="G52" s="13">
        <v>2571.08</v>
      </c>
      <c r="H52" s="68">
        <f t="shared" si="7"/>
        <v>0.46279439999999999</v>
      </c>
      <c r="I52" s="13">
        <f t="shared" ref="I52:I53" si="8">F52/2*G52</f>
        <v>231.3972</v>
      </c>
      <c r="J52" s="27"/>
      <c r="L52" s="20"/>
      <c r="M52" s="21"/>
      <c r="N52" s="22"/>
    </row>
    <row r="53" spans="1:22" ht="15.75" hidden="1" customHeight="1">
      <c r="A53" s="33">
        <v>16</v>
      </c>
      <c r="B53" s="64" t="s">
        <v>38</v>
      </c>
      <c r="C53" s="65" t="s">
        <v>39</v>
      </c>
      <c r="D53" s="64" t="s">
        <v>41</v>
      </c>
      <c r="E53" s="66">
        <v>1</v>
      </c>
      <c r="F53" s="67">
        <v>0.02</v>
      </c>
      <c r="G53" s="13">
        <v>5322.15</v>
      </c>
      <c r="H53" s="68">
        <f t="shared" si="7"/>
        <v>0.106443</v>
      </c>
      <c r="I53" s="13">
        <f t="shared" si="8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4" t="s">
        <v>40</v>
      </c>
      <c r="C54" s="65" t="s">
        <v>114</v>
      </c>
      <c r="D54" s="64" t="s">
        <v>70</v>
      </c>
      <c r="E54" s="66">
        <v>36</v>
      </c>
      <c r="F54" s="67">
        <f>SUM(E54)*3</f>
        <v>108</v>
      </c>
      <c r="G54" s="13">
        <v>61.84</v>
      </c>
      <c r="H54" s="68">
        <f t="shared" si="7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32" t="s">
        <v>130</v>
      </c>
      <c r="B55" s="133"/>
      <c r="C55" s="133"/>
      <c r="D55" s="133"/>
      <c r="E55" s="133"/>
      <c r="F55" s="133"/>
      <c r="G55" s="133"/>
      <c r="H55" s="133"/>
      <c r="I55" s="134"/>
      <c r="J55" s="27"/>
      <c r="L55" s="20"/>
      <c r="M55" s="21"/>
      <c r="N55" s="22"/>
    </row>
    <row r="56" spans="1:22" ht="15.75" hidden="1" customHeight="1">
      <c r="A56" s="33"/>
      <c r="B56" s="85" t="s">
        <v>42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hidden="1" customHeight="1">
      <c r="A57" s="33">
        <v>11</v>
      </c>
      <c r="B57" s="64" t="s">
        <v>115</v>
      </c>
      <c r="C57" s="65" t="s">
        <v>85</v>
      </c>
      <c r="D57" s="64" t="s">
        <v>116</v>
      </c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5" t="s">
        <v>43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15.75" hidden="1" customHeight="1">
      <c r="A59" s="33"/>
      <c r="B59" s="64" t="s">
        <v>117</v>
      </c>
      <c r="C59" s="65"/>
      <c r="D59" s="64" t="s">
        <v>53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6" t="s">
        <v>44</v>
      </c>
      <c r="C60" s="74"/>
      <c r="D60" s="75"/>
      <c r="E60" s="76"/>
      <c r="F60" s="77"/>
      <c r="G60" s="77"/>
      <c r="H60" s="78" t="s">
        <v>135</v>
      </c>
      <c r="I60" s="13"/>
    </row>
    <row r="61" spans="1:22" ht="15.75" customHeight="1">
      <c r="A61" s="33">
        <v>13</v>
      </c>
      <c r="B61" s="14" t="s">
        <v>45</v>
      </c>
      <c r="C61" s="16" t="s">
        <v>114</v>
      </c>
      <c r="D61" s="14" t="s">
        <v>200</v>
      </c>
      <c r="E61" s="18">
        <v>5</v>
      </c>
      <c r="F61" s="67">
        <v>5</v>
      </c>
      <c r="G61" s="13">
        <v>237.74</v>
      </c>
      <c r="H61" s="79">
        <f t="shared" ref="H61:H75" si="9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46</v>
      </c>
      <c r="C62" s="16" t="s">
        <v>114</v>
      </c>
      <c r="D62" s="14" t="s">
        <v>66</v>
      </c>
      <c r="E62" s="18">
        <v>2</v>
      </c>
      <c r="F62" s="67">
        <v>2</v>
      </c>
      <c r="G62" s="13">
        <v>81.510000000000005</v>
      </c>
      <c r="H62" s="79">
        <f t="shared" si="9"/>
        <v>0.16302</v>
      </c>
      <c r="I62" s="13">
        <v>0</v>
      </c>
    </row>
    <row r="63" spans="1:22" ht="15.75" hidden="1" customHeight="1">
      <c r="A63" s="33"/>
      <c r="B63" s="14" t="s">
        <v>47</v>
      </c>
      <c r="C63" s="16" t="s">
        <v>118</v>
      </c>
      <c r="D63" s="14" t="s">
        <v>53</v>
      </c>
      <c r="E63" s="66">
        <v>4292</v>
      </c>
      <c r="F63" s="13">
        <f>SUM(E63/100)</f>
        <v>42.92</v>
      </c>
      <c r="G63" s="13">
        <v>226.79</v>
      </c>
      <c r="H63" s="79">
        <f t="shared" si="9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48</v>
      </c>
      <c r="C64" s="16" t="s">
        <v>119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9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49</v>
      </c>
      <c r="C65" s="16" t="s">
        <v>76</v>
      </c>
      <c r="D65" s="14" t="s">
        <v>53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9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0" t="s">
        <v>120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9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27"/>
      <c r="S66" s="127"/>
      <c r="T66" s="127"/>
      <c r="U66" s="127"/>
    </row>
    <row r="67" spans="1:21" ht="15.75" hidden="1" customHeight="1">
      <c r="A67" s="33"/>
      <c r="B67" s="80" t="s">
        <v>121</v>
      </c>
      <c r="C67" s="16" t="s">
        <v>31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9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57</v>
      </c>
      <c r="C68" s="16" t="s">
        <v>58</v>
      </c>
      <c r="D68" s="14" t="s">
        <v>53</v>
      </c>
      <c r="E68" s="18">
        <v>3</v>
      </c>
      <c r="F68" s="67">
        <v>3</v>
      </c>
      <c r="G68" s="13">
        <v>53.32</v>
      </c>
      <c r="H68" s="79">
        <f t="shared" si="9"/>
        <v>0.15996000000000002</v>
      </c>
      <c r="I68" s="13">
        <v>0</v>
      </c>
    </row>
    <row r="69" spans="1:21" ht="15.75" hidden="1" customHeight="1">
      <c r="A69" s="33"/>
      <c r="B69" s="91" t="s">
        <v>71</v>
      </c>
      <c r="C69" s="16"/>
      <c r="D69" s="14"/>
      <c r="E69" s="18"/>
      <c r="F69" s="13"/>
      <c r="G69" s="13"/>
      <c r="H69" s="79" t="s">
        <v>135</v>
      </c>
      <c r="I69" s="13"/>
    </row>
    <row r="70" spans="1:21" ht="15.75" hidden="1" customHeight="1">
      <c r="A70" s="33">
        <v>12</v>
      </c>
      <c r="B70" s="14" t="s">
        <v>72</v>
      </c>
      <c r="C70" s="16" t="s">
        <v>74</v>
      </c>
      <c r="D70" s="14"/>
      <c r="E70" s="18">
        <v>2</v>
      </c>
      <c r="F70" s="13">
        <v>0.2</v>
      </c>
      <c r="G70" s="13">
        <v>536.23</v>
      </c>
      <c r="H70" s="79">
        <f t="shared" si="9"/>
        <v>0.10724600000000001</v>
      </c>
      <c r="I70" s="13">
        <f>G70*0.1</f>
        <v>53.623000000000005</v>
      </c>
    </row>
    <row r="71" spans="1:21" ht="15.75" hidden="1" customHeight="1">
      <c r="A71" s="33"/>
      <c r="B71" s="14" t="s">
        <v>73</v>
      </c>
      <c r="C71" s="16" t="s">
        <v>29</v>
      </c>
      <c r="D71" s="14"/>
      <c r="E71" s="18">
        <v>1</v>
      </c>
      <c r="F71" s="60">
        <v>1</v>
      </c>
      <c r="G71" s="13">
        <v>911.85</v>
      </c>
      <c r="H71" s="79">
        <f t="shared" si="9"/>
        <v>0.91185000000000005</v>
      </c>
      <c r="I71" s="13">
        <v>0</v>
      </c>
    </row>
    <row r="72" spans="1:21" ht="15.75" hidden="1" customHeight="1">
      <c r="A72" s="33"/>
      <c r="B72" s="14" t="s">
        <v>136</v>
      </c>
      <c r="C72" s="16" t="s">
        <v>137</v>
      </c>
      <c r="D72" s="14"/>
      <c r="E72" s="18"/>
      <c r="F72" s="13"/>
      <c r="G72" s="13">
        <v>31.54</v>
      </c>
      <c r="H72" s="79">
        <f t="shared" si="9"/>
        <v>0</v>
      </c>
      <c r="I72" s="13"/>
    </row>
    <row r="73" spans="1:21" ht="15.75" hidden="1" customHeight="1">
      <c r="A73" s="33"/>
      <c r="B73" s="14" t="s">
        <v>123</v>
      </c>
      <c r="C73" s="16" t="s">
        <v>29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15.75" hidden="1" customHeight="1">
      <c r="A74" s="33"/>
      <c r="B74" s="82" t="s">
        <v>75</v>
      </c>
      <c r="C74" s="16"/>
      <c r="D74" s="14"/>
      <c r="E74" s="18"/>
      <c r="F74" s="13"/>
      <c r="G74" s="13" t="s">
        <v>135</v>
      </c>
      <c r="H74" s="79" t="s">
        <v>135</v>
      </c>
      <c r="I74" s="13"/>
    </row>
    <row r="75" spans="1:21" ht="15.75" hidden="1" customHeight="1">
      <c r="A75" s="33"/>
      <c r="B75" s="45" t="s">
        <v>147</v>
      </c>
      <c r="C75" s="16" t="s">
        <v>76</v>
      </c>
      <c r="D75" s="14"/>
      <c r="E75" s="18"/>
      <c r="F75" s="13">
        <v>0.1</v>
      </c>
      <c r="G75" s="13">
        <v>2949.85</v>
      </c>
      <c r="H75" s="79">
        <f t="shared" si="9"/>
        <v>0.294985</v>
      </c>
      <c r="I75" s="13">
        <v>0</v>
      </c>
    </row>
    <row r="76" spans="1:21" ht="15.75" hidden="1" customHeight="1">
      <c r="A76" s="33"/>
      <c r="B76" s="89" t="s">
        <v>92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15.75" hidden="1" customHeight="1">
      <c r="A77" s="33">
        <v>10</v>
      </c>
      <c r="B77" s="87" t="s">
        <v>122</v>
      </c>
      <c r="C77" s="24"/>
      <c r="D77" s="23"/>
      <c r="E77" s="84"/>
      <c r="F77" s="88">
        <v>1</v>
      </c>
      <c r="G77" s="13">
        <v>3395.9</v>
      </c>
      <c r="H77" s="79">
        <f>G77*F77/1000</f>
        <v>3.3959000000000001</v>
      </c>
      <c r="I77" s="13">
        <v>939.9</v>
      </c>
    </row>
    <row r="78" spans="1:21" ht="15.75" customHeight="1">
      <c r="A78" s="132" t="s">
        <v>151</v>
      </c>
      <c r="B78" s="133"/>
      <c r="C78" s="133"/>
      <c r="D78" s="133"/>
      <c r="E78" s="133"/>
      <c r="F78" s="133"/>
      <c r="G78" s="133"/>
      <c r="H78" s="133"/>
      <c r="I78" s="134"/>
    </row>
    <row r="79" spans="1:21" ht="15.75" customHeight="1">
      <c r="A79" s="33">
        <v>14</v>
      </c>
      <c r="B79" s="64" t="s">
        <v>124</v>
      </c>
      <c r="C79" s="16" t="s">
        <v>54</v>
      </c>
      <c r="D79" s="50"/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15</v>
      </c>
      <c r="B80" s="14" t="s">
        <v>77</v>
      </c>
      <c r="C80" s="16"/>
      <c r="D80" s="50"/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80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I80+I79+I50+I43+I42+I41+I40+I39+I38+I27+I20+I18+I17+I16+I61</f>
        <v>13720.904809849999</v>
      </c>
    </row>
    <row r="82" spans="1:9" ht="15.75" customHeight="1">
      <c r="A82" s="141" t="s">
        <v>60</v>
      </c>
      <c r="B82" s="142"/>
      <c r="C82" s="142"/>
      <c r="D82" s="142"/>
      <c r="E82" s="142"/>
      <c r="F82" s="142"/>
      <c r="G82" s="142"/>
      <c r="H82" s="142"/>
      <c r="I82" s="143"/>
    </row>
    <row r="83" spans="1:9" ht="18.75" customHeight="1">
      <c r="A83" s="33">
        <v>16</v>
      </c>
      <c r="B83" s="75" t="s">
        <v>168</v>
      </c>
      <c r="C83" s="74" t="s">
        <v>169</v>
      </c>
      <c r="D83" s="75"/>
      <c r="E83" s="76"/>
      <c r="F83" s="77">
        <v>200</v>
      </c>
      <c r="G83" s="60">
        <v>1.4</v>
      </c>
      <c r="H83" s="78">
        <f>F83*G83/1000</f>
        <v>0.28000000000000003</v>
      </c>
      <c r="I83" s="99">
        <f>G83*100</f>
        <v>140</v>
      </c>
    </row>
    <row r="84" spans="1:9" ht="33" customHeight="1">
      <c r="A84" s="33">
        <v>17</v>
      </c>
      <c r="B84" s="101" t="s">
        <v>177</v>
      </c>
      <c r="C84" s="102" t="s">
        <v>28</v>
      </c>
      <c r="D84" s="45"/>
      <c r="E84" s="13"/>
      <c r="F84" s="13"/>
      <c r="G84" s="103">
        <v>19757.060000000001</v>
      </c>
      <c r="H84" s="79"/>
      <c r="I84" s="13">
        <f>G84*4*0.599/1000</f>
        <v>47.337915760000001</v>
      </c>
    </row>
    <row r="85" spans="1:9" ht="17.25" customHeight="1">
      <c r="A85" s="33">
        <v>18</v>
      </c>
      <c r="B85" s="118" t="s">
        <v>249</v>
      </c>
      <c r="C85" s="119" t="s">
        <v>250</v>
      </c>
      <c r="D85" s="107" t="s">
        <v>254</v>
      </c>
      <c r="E85" s="37"/>
      <c r="F85" s="37">
        <v>4</v>
      </c>
      <c r="G85" s="37">
        <v>441.25</v>
      </c>
      <c r="H85" s="98">
        <f t="shared" ref="H85:H86" si="10">G85*F85/1000</f>
        <v>1.7649999999999999</v>
      </c>
      <c r="I85" s="13">
        <f>G85*1</f>
        <v>441.25</v>
      </c>
    </row>
    <row r="86" spans="1:9" ht="31.5" customHeight="1">
      <c r="A86" s="33">
        <v>19</v>
      </c>
      <c r="B86" s="101" t="s">
        <v>225</v>
      </c>
      <c r="C86" s="102" t="s">
        <v>93</v>
      </c>
      <c r="D86" s="107" t="s">
        <v>253</v>
      </c>
      <c r="E86" s="37"/>
      <c r="F86" s="37">
        <v>1</v>
      </c>
      <c r="G86" s="37">
        <v>878.3</v>
      </c>
      <c r="H86" s="98">
        <f t="shared" si="10"/>
        <v>0.87829999999999997</v>
      </c>
      <c r="I86" s="13">
        <f>G86*1</f>
        <v>878.3</v>
      </c>
    </row>
    <row r="87" spans="1:9" ht="17.25" customHeight="1">
      <c r="A87" s="33">
        <v>20</v>
      </c>
      <c r="B87" s="101" t="s">
        <v>164</v>
      </c>
      <c r="C87" s="102" t="s">
        <v>114</v>
      </c>
      <c r="D87" s="97"/>
      <c r="E87" s="37"/>
      <c r="F87" s="37"/>
      <c r="G87" s="37">
        <v>207.55</v>
      </c>
      <c r="H87" s="98"/>
      <c r="I87" s="13">
        <f>G87*2</f>
        <v>415.1</v>
      </c>
    </row>
    <row r="88" spans="1:9" ht="17.25" customHeight="1">
      <c r="A88" s="33">
        <v>21</v>
      </c>
      <c r="B88" s="101" t="s">
        <v>251</v>
      </c>
      <c r="C88" s="102" t="s">
        <v>252</v>
      </c>
      <c r="D88" s="97"/>
      <c r="E88" s="37"/>
      <c r="F88" s="37"/>
      <c r="G88" s="37">
        <v>26095.37</v>
      </c>
      <c r="H88" s="98"/>
      <c r="I88" s="13">
        <f>G88*0.01</f>
        <v>260.95369999999997</v>
      </c>
    </row>
    <row r="89" spans="1:9">
      <c r="A89" s="33"/>
      <c r="B89" s="43" t="s">
        <v>50</v>
      </c>
      <c r="C89" s="39"/>
      <c r="D89" s="46"/>
      <c r="E89" s="39">
        <v>1</v>
      </c>
      <c r="F89" s="39"/>
      <c r="G89" s="39"/>
      <c r="H89" s="39"/>
      <c r="I89" s="35">
        <f>SUM(I83:I88)</f>
        <v>2182.9416157599999</v>
      </c>
    </row>
    <row r="90" spans="1:9" ht="16.5" customHeight="1">
      <c r="A90" s="33"/>
      <c r="B90" s="45" t="s">
        <v>78</v>
      </c>
      <c r="C90" s="15"/>
      <c r="D90" s="15"/>
      <c r="E90" s="40"/>
      <c r="F90" s="40"/>
      <c r="G90" s="41"/>
      <c r="H90" s="41"/>
      <c r="I90" s="17">
        <v>0</v>
      </c>
    </row>
    <row r="91" spans="1:9" ht="16.5" customHeight="1">
      <c r="A91" s="47"/>
      <c r="B91" s="44" t="s">
        <v>51</v>
      </c>
      <c r="C91" s="36"/>
      <c r="D91" s="36"/>
      <c r="E91" s="36"/>
      <c r="F91" s="36"/>
      <c r="G91" s="36"/>
      <c r="H91" s="36"/>
      <c r="I91" s="42">
        <f>I81+I89</f>
        <v>15903.846425609998</v>
      </c>
    </row>
    <row r="92" spans="1:9" ht="15.75" customHeight="1">
      <c r="A92" s="128" t="s">
        <v>255</v>
      </c>
      <c r="B92" s="128"/>
      <c r="C92" s="128"/>
      <c r="D92" s="128"/>
      <c r="E92" s="128"/>
      <c r="F92" s="128"/>
      <c r="G92" s="128"/>
      <c r="H92" s="128"/>
      <c r="I92" s="128"/>
    </row>
    <row r="93" spans="1:9" ht="15.75" customHeight="1">
      <c r="A93" s="57"/>
      <c r="B93" s="129" t="s">
        <v>256</v>
      </c>
      <c r="C93" s="129"/>
      <c r="D93" s="129"/>
      <c r="E93" s="129"/>
      <c r="F93" s="129"/>
      <c r="G93" s="129"/>
      <c r="H93" s="63"/>
      <c r="I93" s="3"/>
    </row>
    <row r="94" spans="1:9">
      <c r="A94" s="92"/>
      <c r="B94" s="130" t="s">
        <v>6</v>
      </c>
      <c r="C94" s="130"/>
      <c r="D94" s="130"/>
      <c r="E94" s="130"/>
      <c r="F94" s="130"/>
      <c r="G94" s="130"/>
      <c r="H94" s="28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6" t="s">
        <v>61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>
      <c r="A99" s="11"/>
    </row>
    <row r="100" spans="1:9" ht="15.75">
      <c r="A100" s="137" t="s">
        <v>9</v>
      </c>
      <c r="B100" s="137"/>
      <c r="C100" s="137"/>
      <c r="D100" s="137"/>
      <c r="E100" s="137"/>
      <c r="F100" s="137"/>
      <c r="G100" s="137"/>
      <c r="H100" s="137"/>
      <c r="I100" s="137"/>
    </row>
    <row r="101" spans="1:9" ht="15.75">
      <c r="A101" s="4"/>
    </row>
    <row r="102" spans="1:9" ht="15.75">
      <c r="B102" s="94" t="s">
        <v>10</v>
      </c>
      <c r="C102" s="138" t="s">
        <v>127</v>
      </c>
      <c r="D102" s="138"/>
      <c r="E102" s="138"/>
      <c r="F102" s="61"/>
      <c r="I102" s="95"/>
    </row>
    <row r="103" spans="1:9">
      <c r="A103" s="92"/>
      <c r="C103" s="130" t="s">
        <v>11</v>
      </c>
      <c r="D103" s="130"/>
      <c r="E103" s="130"/>
      <c r="F103" s="28"/>
      <c r="I103" s="93" t="s">
        <v>12</v>
      </c>
    </row>
    <row r="104" spans="1:9" ht="15.75">
      <c r="A104" s="29"/>
      <c r="C104" s="12"/>
      <c r="D104" s="12"/>
      <c r="G104" s="12"/>
      <c r="H104" s="12"/>
    </row>
    <row r="105" spans="1:9" ht="15.75">
      <c r="B105" s="94" t="s">
        <v>13</v>
      </c>
      <c r="C105" s="139"/>
      <c r="D105" s="139"/>
      <c r="E105" s="139"/>
      <c r="F105" s="62"/>
      <c r="I105" s="95"/>
    </row>
    <row r="106" spans="1:9">
      <c r="A106" s="92"/>
      <c r="C106" s="127" t="s">
        <v>11</v>
      </c>
      <c r="D106" s="127"/>
      <c r="E106" s="127"/>
      <c r="F106" s="92"/>
      <c r="I106" s="93" t="s">
        <v>12</v>
      </c>
    </row>
    <row r="107" spans="1:9" ht="15.75">
      <c r="A107" s="4" t="s">
        <v>14</v>
      </c>
    </row>
    <row r="108" spans="1:9">
      <c r="A108" s="140" t="s">
        <v>15</v>
      </c>
      <c r="B108" s="140"/>
      <c r="C108" s="140"/>
      <c r="D108" s="140"/>
      <c r="E108" s="140"/>
      <c r="F108" s="140"/>
      <c r="G108" s="140"/>
      <c r="H108" s="140"/>
      <c r="I108" s="140"/>
    </row>
    <row r="109" spans="1:9" ht="45" customHeight="1">
      <c r="A109" s="135" t="s">
        <v>16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17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30" customHeight="1">
      <c r="A111" s="135" t="s">
        <v>21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14.25" customHeight="1">
      <c r="A112" s="135" t="s">
        <v>20</v>
      </c>
      <c r="B112" s="135"/>
      <c r="C112" s="135"/>
      <c r="D112" s="135"/>
      <c r="E112" s="135"/>
      <c r="F112" s="135"/>
      <c r="G112" s="135"/>
      <c r="H112" s="135"/>
      <c r="I112" s="135"/>
    </row>
  </sheetData>
  <autoFilter ref="I12:I61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6:U66"/>
    <mergeCell ref="C106:E106"/>
    <mergeCell ref="A82:I82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8:I78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D38" sqref="D38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148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186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43524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hidden="1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31.5" hidden="1" customHeight="1">
      <c r="A30" s="33">
        <v>8</v>
      </c>
      <c r="B30" s="64" t="s">
        <v>110</v>
      </c>
      <c r="C30" s="65" t="s">
        <v>88</v>
      </c>
      <c r="D30" s="64" t="s">
        <v>106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5" si="1">SUM(F30*G30/1000)</f>
        <v>2.0347501356</v>
      </c>
      <c r="I30" s="13">
        <f t="shared" ref="I30:I33" si="2">F30/6*G30</f>
        <v>339.12502259999997</v>
      </c>
      <c r="J30" s="26"/>
      <c r="K30" s="8"/>
      <c r="L30" s="8"/>
      <c r="M30" s="8"/>
    </row>
    <row r="31" spans="1:13" ht="31.5" hidden="1" customHeight="1">
      <c r="A31" s="33">
        <v>9</v>
      </c>
      <c r="B31" s="64" t="s">
        <v>109</v>
      </c>
      <c r="C31" s="65" t="s">
        <v>88</v>
      </c>
      <c r="D31" s="64" t="s">
        <v>107</v>
      </c>
      <c r="E31" s="67">
        <v>48.03</v>
      </c>
      <c r="F31" s="67">
        <f>SUM(E31*78/1000)</f>
        <v>3.74634</v>
      </c>
      <c r="G31" s="67">
        <v>243.54</v>
      </c>
      <c r="H31" s="68">
        <f t="shared" si="1"/>
        <v>0.91238364360000002</v>
      </c>
      <c r="I31" s="13">
        <f t="shared" si="2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1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108</v>
      </c>
      <c r="C33" s="65" t="s">
        <v>29</v>
      </c>
      <c r="D33" s="64" t="s">
        <v>63</v>
      </c>
      <c r="E33" s="71">
        <v>0.33333333333333331</v>
      </c>
      <c r="F33" s="67">
        <f>155/3</f>
        <v>51.666666666666664</v>
      </c>
      <c r="G33" s="67">
        <v>53.38</v>
      </c>
      <c r="H33" s="68">
        <f>SUM(G33*155/3/1000)</f>
        <v>2.7579666666666669</v>
      </c>
      <c r="I33" s="13">
        <f t="shared" si="2"/>
        <v>459.6611111111111</v>
      </c>
      <c r="J33" s="26"/>
      <c r="K33" s="8"/>
    </row>
    <row r="34" spans="1:14" ht="15.75" hidden="1" customHeight="1">
      <c r="A34" s="33"/>
      <c r="B34" s="64" t="s">
        <v>64</v>
      </c>
      <c r="C34" s="65" t="s">
        <v>31</v>
      </c>
      <c r="D34" s="64" t="s">
        <v>66</v>
      </c>
      <c r="E34" s="66"/>
      <c r="F34" s="67">
        <v>1</v>
      </c>
      <c r="G34" s="67">
        <v>180.15</v>
      </c>
      <c r="H34" s="68">
        <f t="shared" si="1"/>
        <v>0.18015</v>
      </c>
      <c r="I34" s="13">
        <v>0</v>
      </c>
      <c r="J34" s="27"/>
    </row>
    <row r="35" spans="1:14" ht="15.75" hidden="1" customHeight="1">
      <c r="A35" s="33"/>
      <c r="B35" s="64" t="s">
        <v>65</v>
      </c>
      <c r="C35" s="65" t="s">
        <v>30</v>
      </c>
      <c r="D35" s="64" t="s">
        <v>66</v>
      </c>
      <c r="E35" s="66"/>
      <c r="F35" s="67">
        <v>1</v>
      </c>
      <c r="G35" s="67">
        <v>1214.74</v>
      </c>
      <c r="H35" s="68">
        <f t="shared" si="1"/>
        <v>1.2147399999999999</v>
      </c>
      <c r="I35" s="13">
        <v>0</v>
      </c>
      <c r="J35" s="27"/>
    </row>
    <row r="36" spans="1:14" ht="15.75" customHeight="1">
      <c r="A36" s="33"/>
      <c r="B36" s="85" t="s">
        <v>5</v>
      </c>
      <c r="C36" s="65"/>
      <c r="D36" s="64"/>
      <c r="E36" s="66"/>
      <c r="F36" s="67"/>
      <c r="G36" s="67"/>
      <c r="H36" s="68" t="s">
        <v>135</v>
      </c>
      <c r="I36" s="13"/>
      <c r="J36" s="27"/>
    </row>
    <row r="37" spans="1:14" ht="15.75" customHeight="1">
      <c r="A37" s="33">
        <v>6</v>
      </c>
      <c r="B37" s="64" t="s">
        <v>25</v>
      </c>
      <c r="C37" s="65" t="s">
        <v>30</v>
      </c>
      <c r="D37" s="64"/>
      <c r="E37" s="66"/>
      <c r="F37" s="67">
        <v>3</v>
      </c>
      <c r="G37" s="67">
        <v>1632.6</v>
      </c>
      <c r="H37" s="68">
        <f t="shared" ref="H37:H42" si="3">SUM(F37*G37/1000)</f>
        <v>4.8977999999999993</v>
      </c>
      <c r="I37" s="13">
        <f>G37*0.5</f>
        <v>816.3</v>
      </c>
      <c r="J37" s="27"/>
    </row>
    <row r="38" spans="1:14" ht="15.75" customHeight="1">
      <c r="A38" s="33">
        <v>7</v>
      </c>
      <c r="B38" s="64" t="s">
        <v>111</v>
      </c>
      <c r="C38" s="65" t="s">
        <v>28</v>
      </c>
      <c r="D38" s="64" t="s">
        <v>203</v>
      </c>
      <c r="E38" s="66">
        <v>48.03</v>
      </c>
      <c r="F38" s="67">
        <v>1.44</v>
      </c>
      <c r="G38" s="67">
        <v>1979.95</v>
      </c>
      <c r="H38" s="68">
        <f>G38*F38/1000</f>
        <v>2.8511280000000001</v>
      </c>
      <c r="I38" s="13">
        <f t="shared" ref="I38:I40" si="4">F38/6*G38</f>
        <v>475.18799999999999</v>
      </c>
      <c r="J38" s="27"/>
      <c r="L38" s="20"/>
      <c r="M38" s="21"/>
      <c r="N38" s="22"/>
    </row>
    <row r="39" spans="1:14" ht="15.75" customHeight="1">
      <c r="A39" s="33">
        <v>8</v>
      </c>
      <c r="B39" s="64" t="s">
        <v>67</v>
      </c>
      <c r="C39" s="65" t="s">
        <v>28</v>
      </c>
      <c r="D39" s="64" t="s">
        <v>204</v>
      </c>
      <c r="E39" s="67">
        <v>48.03</v>
      </c>
      <c r="F39" s="67">
        <f>SUM(E39*155/1000)</f>
        <v>7.4446500000000002</v>
      </c>
      <c r="G39" s="67">
        <v>330.27</v>
      </c>
      <c r="H39" s="68">
        <f t="shared" si="3"/>
        <v>2.4587445555</v>
      </c>
      <c r="I39" s="13">
        <f t="shared" si="4"/>
        <v>409.79075924999995</v>
      </c>
      <c r="J39" s="27"/>
      <c r="L39" s="20"/>
      <c r="M39" s="21"/>
      <c r="N39" s="22"/>
    </row>
    <row r="40" spans="1:14" ht="47.25" customHeight="1">
      <c r="A40" s="33">
        <v>9</v>
      </c>
      <c r="B40" s="64" t="s">
        <v>81</v>
      </c>
      <c r="C40" s="65" t="s">
        <v>88</v>
      </c>
      <c r="D40" s="64" t="s">
        <v>205</v>
      </c>
      <c r="E40" s="67">
        <v>48.03</v>
      </c>
      <c r="F40" s="67">
        <f>SUM(E40*35/1000)</f>
        <v>1.6810499999999999</v>
      </c>
      <c r="G40" s="67">
        <v>5464.48</v>
      </c>
      <c r="H40" s="68">
        <f t="shared" si="3"/>
        <v>9.1860641039999997</v>
      </c>
      <c r="I40" s="13">
        <f t="shared" si="4"/>
        <v>1531.0106839999999</v>
      </c>
      <c r="J40" s="27"/>
      <c r="L40" s="20"/>
      <c r="M40" s="21"/>
      <c r="N40" s="22"/>
    </row>
    <row r="41" spans="1:14" ht="15.75" customHeight="1">
      <c r="A41" s="33">
        <v>10</v>
      </c>
      <c r="B41" s="64" t="s">
        <v>89</v>
      </c>
      <c r="C41" s="65" t="s">
        <v>88</v>
      </c>
      <c r="D41" s="64" t="s">
        <v>206</v>
      </c>
      <c r="E41" s="67">
        <v>48.03</v>
      </c>
      <c r="F41" s="67">
        <f>SUM(E41*45/1000)</f>
        <v>2.1613500000000001</v>
      </c>
      <c r="G41" s="67">
        <v>403.67</v>
      </c>
      <c r="H41" s="68">
        <f t="shared" si="3"/>
        <v>0.87247215450000015</v>
      </c>
      <c r="I41" s="13">
        <f>F41/7.5*G41</f>
        <v>116.3296206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69</v>
      </c>
      <c r="C42" s="65" t="s">
        <v>31</v>
      </c>
      <c r="D42" s="64"/>
      <c r="E42" s="66"/>
      <c r="F42" s="67">
        <v>0.53</v>
      </c>
      <c r="G42" s="67">
        <v>750.34</v>
      </c>
      <c r="H42" s="68">
        <f t="shared" si="3"/>
        <v>0.39768020000000004</v>
      </c>
      <c r="I42" s="13">
        <f>F42/7.5*G42</f>
        <v>53.024026666666671</v>
      </c>
      <c r="J42" s="27"/>
      <c r="L42" s="20"/>
      <c r="M42" s="21"/>
      <c r="N42" s="22"/>
    </row>
    <row r="43" spans="1:14" ht="15.75" customHeight="1">
      <c r="A43" s="132" t="s">
        <v>128</v>
      </c>
      <c r="B43" s="133"/>
      <c r="C43" s="133"/>
      <c r="D43" s="133"/>
      <c r="E43" s="133"/>
      <c r="F43" s="133"/>
      <c r="G43" s="133"/>
      <c r="H43" s="133"/>
      <c r="I43" s="134"/>
      <c r="J43" s="27"/>
      <c r="L43" s="20"/>
      <c r="M43" s="21"/>
      <c r="N43" s="22"/>
    </row>
    <row r="44" spans="1:14" ht="15.75" hidden="1" customHeight="1">
      <c r="A44" s="33"/>
      <c r="B44" s="64" t="s">
        <v>113</v>
      </c>
      <c r="C44" s="65" t="s">
        <v>88</v>
      </c>
      <c r="D44" s="64" t="s">
        <v>41</v>
      </c>
      <c r="E44" s="66">
        <v>636.25</v>
      </c>
      <c r="F44" s="67">
        <f>SUM(E44*2/1000)</f>
        <v>1.2725</v>
      </c>
      <c r="G44" s="13">
        <v>762.53</v>
      </c>
      <c r="H44" s="68">
        <f t="shared" ref="H44:H53" si="5">SUM(F44*G44/1000)</f>
        <v>0.9703194249999999</v>
      </c>
      <c r="I44" s="13">
        <v>0</v>
      </c>
      <c r="J44" s="27"/>
      <c r="L44" s="20"/>
      <c r="M44" s="21"/>
      <c r="N44" s="22"/>
    </row>
    <row r="45" spans="1:14" ht="15.75" hidden="1" customHeight="1">
      <c r="A45" s="33"/>
      <c r="B45" s="64" t="s">
        <v>34</v>
      </c>
      <c r="C45" s="65" t="s">
        <v>88</v>
      </c>
      <c r="D45" s="64" t="s">
        <v>41</v>
      </c>
      <c r="E45" s="66">
        <v>26</v>
      </c>
      <c r="F45" s="67">
        <f>SUM(E45*2/1000)</f>
        <v>5.1999999999999998E-2</v>
      </c>
      <c r="G45" s="13">
        <v>545.65</v>
      </c>
      <c r="H45" s="68">
        <f t="shared" si="5"/>
        <v>2.8373799999999998E-2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35</v>
      </c>
      <c r="C46" s="65" t="s">
        <v>88</v>
      </c>
      <c r="D46" s="64" t="s">
        <v>41</v>
      </c>
      <c r="E46" s="66">
        <v>579</v>
      </c>
      <c r="F46" s="67">
        <f>SUM(E46*2/1000)</f>
        <v>1.1579999999999999</v>
      </c>
      <c r="G46" s="13">
        <v>545.65</v>
      </c>
      <c r="H46" s="68">
        <f t="shared" si="5"/>
        <v>0.63186269999999989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36</v>
      </c>
      <c r="C47" s="65" t="s">
        <v>88</v>
      </c>
      <c r="D47" s="64" t="s">
        <v>41</v>
      </c>
      <c r="E47" s="66">
        <v>683.33</v>
      </c>
      <c r="F47" s="67">
        <f>SUM(E47*2/1000)</f>
        <v>1.36666</v>
      </c>
      <c r="G47" s="13">
        <v>571.35</v>
      </c>
      <c r="H47" s="68">
        <f t="shared" si="5"/>
        <v>0.78084119099999993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32</v>
      </c>
      <c r="C48" s="65" t="s">
        <v>33</v>
      </c>
      <c r="D48" s="64" t="s">
        <v>41</v>
      </c>
      <c r="E48" s="66">
        <v>44.11</v>
      </c>
      <c r="F48" s="67">
        <f>SUM(E48*2/100)</f>
        <v>0.88219999999999998</v>
      </c>
      <c r="G48" s="13">
        <v>68.56</v>
      </c>
      <c r="H48" s="68">
        <f t="shared" si="5"/>
        <v>6.0483632000000002E-2</v>
      </c>
      <c r="I48" s="13">
        <v>0</v>
      </c>
      <c r="J48" s="27"/>
      <c r="L48" s="20"/>
      <c r="M48" s="21"/>
      <c r="N48" s="22"/>
    </row>
    <row r="49" spans="1:22" ht="15.75" customHeight="1">
      <c r="A49" s="33">
        <v>12</v>
      </c>
      <c r="B49" s="64" t="s">
        <v>56</v>
      </c>
      <c r="C49" s="65" t="s">
        <v>88</v>
      </c>
      <c r="D49" s="64" t="s">
        <v>200</v>
      </c>
      <c r="E49" s="66">
        <v>1140</v>
      </c>
      <c r="F49" s="67">
        <f>SUM(E49*5/1000)</f>
        <v>5.7</v>
      </c>
      <c r="G49" s="13">
        <v>1142.7</v>
      </c>
      <c r="H49" s="68">
        <f t="shared" si="5"/>
        <v>6.5133900000000002</v>
      </c>
      <c r="I49" s="13">
        <f>F49/5*G49</f>
        <v>1302.6780000000001</v>
      </c>
      <c r="J49" s="27"/>
      <c r="L49" s="20"/>
      <c r="M49" s="21"/>
      <c r="N49" s="22"/>
    </row>
    <row r="50" spans="1:22" ht="31.5" hidden="1" customHeight="1">
      <c r="A50" s="33"/>
      <c r="B50" s="64" t="s">
        <v>90</v>
      </c>
      <c r="C50" s="65" t="s">
        <v>88</v>
      </c>
      <c r="D50" s="64" t="s">
        <v>41</v>
      </c>
      <c r="E50" s="66">
        <v>1140</v>
      </c>
      <c r="F50" s="67">
        <f>SUM(E50*2/1000)</f>
        <v>2.2799999999999998</v>
      </c>
      <c r="G50" s="13">
        <v>1142.7</v>
      </c>
      <c r="H50" s="68">
        <f t="shared" si="5"/>
        <v>2.6053559999999996</v>
      </c>
      <c r="I50" s="13">
        <v>0</v>
      </c>
      <c r="J50" s="27"/>
      <c r="L50" s="20"/>
      <c r="M50" s="21"/>
      <c r="N50" s="22"/>
    </row>
    <row r="51" spans="1:22" ht="31.5" hidden="1" customHeight="1">
      <c r="A51" s="33"/>
      <c r="B51" s="64" t="s">
        <v>91</v>
      </c>
      <c r="C51" s="65" t="s">
        <v>37</v>
      </c>
      <c r="D51" s="64" t="s">
        <v>41</v>
      </c>
      <c r="E51" s="66">
        <v>9</v>
      </c>
      <c r="F51" s="67">
        <f>SUM(E51*2/100)</f>
        <v>0.18</v>
      </c>
      <c r="G51" s="13">
        <v>2571.08</v>
      </c>
      <c r="H51" s="68">
        <f t="shared" si="5"/>
        <v>0.46279439999999999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4" t="s">
        <v>38</v>
      </c>
      <c r="C52" s="65" t="s">
        <v>39</v>
      </c>
      <c r="D52" s="64" t="s">
        <v>41</v>
      </c>
      <c r="E52" s="66">
        <v>1</v>
      </c>
      <c r="F52" s="67">
        <v>0.02</v>
      </c>
      <c r="G52" s="13">
        <v>5322.15</v>
      </c>
      <c r="H52" s="68">
        <f t="shared" si="5"/>
        <v>0.106443</v>
      </c>
      <c r="I52" s="13">
        <v>0</v>
      </c>
      <c r="J52" s="27"/>
      <c r="L52" s="20"/>
      <c r="M52" s="21"/>
      <c r="N52" s="22"/>
    </row>
    <row r="53" spans="1:22" ht="15" customHeight="1">
      <c r="A53" s="33">
        <v>13</v>
      </c>
      <c r="B53" s="64" t="s">
        <v>40</v>
      </c>
      <c r="C53" s="65" t="s">
        <v>114</v>
      </c>
      <c r="D53" s="114">
        <v>43497</v>
      </c>
      <c r="E53" s="66">
        <v>36</v>
      </c>
      <c r="F53" s="67">
        <f>SUM(E53)*3</f>
        <v>108</v>
      </c>
      <c r="G53" s="13">
        <v>61.84</v>
      </c>
      <c r="H53" s="68">
        <f t="shared" si="5"/>
        <v>6.6787200000000002</v>
      </c>
      <c r="I53" s="13">
        <f>E53*G53</f>
        <v>2226.2400000000002</v>
      </c>
      <c r="J53" s="27"/>
      <c r="L53" s="20"/>
      <c r="M53" s="21"/>
      <c r="N53" s="22"/>
    </row>
    <row r="54" spans="1:22" ht="15.75" customHeight="1">
      <c r="A54" s="132" t="s">
        <v>130</v>
      </c>
      <c r="B54" s="133"/>
      <c r="C54" s="133"/>
      <c r="D54" s="133"/>
      <c r="E54" s="133"/>
      <c r="F54" s="133"/>
      <c r="G54" s="133"/>
      <c r="H54" s="133"/>
      <c r="I54" s="134"/>
      <c r="J54" s="27"/>
      <c r="L54" s="20"/>
      <c r="M54" s="21"/>
      <c r="N54" s="22"/>
    </row>
    <row r="55" spans="1:22" ht="15.75" hidden="1" customHeight="1">
      <c r="A55" s="33"/>
      <c r="B55" s="85" t="s">
        <v>42</v>
      </c>
      <c r="C55" s="65"/>
      <c r="D55" s="64"/>
      <c r="E55" s="66"/>
      <c r="F55" s="67"/>
      <c r="G55" s="67"/>
      <c r="H55" s="68"/>
      <c r="I55" s="13"/>
      <c r="J55" s="27"/>
      <c r="L55" s="20"/>
      <c r="M55" s="21"/>
      <c r="N55" s="22"/>
    </row>
    <row r="56" spans="1:22" ht="31.5" hidden="1" customHeight="1">
      <c r="A56" s="33">
        <v>14</v>
      </c>
      <c r="B56" s="64" t="s">
        <v>115</v>
      </c>
      <c r="C56" s="65" t="s">
        <v>85</v>
      </c>
      <c r="D56" s="64" t="s">
        <v>116</v>
      </c>
      <c r="E56" s="66">
        <v>72.33</v>
      </c>
      <c r="F56" s="67">
        <f>SUM(E56*6/100)</f>
        <v>4.3398000000000003</v>
      </c>
      <c r="G56" s="13">
        <v>1456.95</v>
      </c>
      <c r="H56" s="68">
        <f>SUM(F56*G56/1000)</f>
        <v>6.3228716100000009</v>
      </c>
      <c r="I56" s="13">
        <f>F56/6*G56</f>
        <v>1053.8119350000002</v>
      </c>
      <c r="J56" s="27"/>
      <c r="L56" s="20"/>
      <c r="M56" s="21"/>
      <c r="N56" s="22"/>
    </row>
    <row r="57" spans="1:22" ht="15.75" hidden="1" customHeight="1">
      <c r="A57" s="33"/>
      <c r="B57" s="85" t="s">
        <v>43</v>
      </c>
      <c r="C57" s="65"/>
      <c r="D57" s="64"/>
      <c r="E57" s="66"/>
      <c r="F57" s="67"/>
      <c r="G57" s="60"/>
      <c r="H57" s="68"/>
      <c r="I57" s="13"/>
      <c r="J57" s="27"/>
      <c r="L57" s="20"/>
      <c r="M57" s="21"/>
      <c r="N57" s="22"/>
    </row>
    <row r="58" spans="1:22" ht="15.75" hidden="1" customHeight="1">
      <c r="A58" s="33"/>
      <c r="B58" s="64" t="s">
        <v>117</v>
      </c>
      <c r="C58" s="65"/>
      <c r="D58" s="64" t="s">
        <v>53</v>
      </c>
      <c r="E58" s="66">
        <v>952</v>
      </c>
      <c r="F58" s="68">
        <v>9.52</v>
      </c>
      <c r="G58" s="13">
        <v>848.37</v>
      </c>
      <c r="H58" s="73">
        <f>F58*G58/1000</f>
        <v>8.0764823999999997</v>
      </c>
      <c r="I58" s="13">
        <v>0</v>
      </c>
      <c r="J58" s="27"/>
      <c r="L58" s="20"/>
    </row>
    <row r="59" spans="1:22" ht="17.25" customHeight="1">
      <c r="A59" s="33"/>
      <c r="B59" s="86" t="s">
        <v>44</v>
      </c>
      <c r="C59" s="74"/>
      <c r="D59" s="75"/>
      <c r="E59" s="76"/>
      <c r="F59" s="77"/>
      <c r="G59" s="77"/>
      <c r="H59" s="78" t="s">
        <v>135</v>
      </c>
      <c r="I59" s="13"/>
    </row>
    <row r="60" spans="1:22" ht="18.75" customHeight="1">
      <c r="A60" s="33">
        <v>14</v>
      </c>
      <c r="B60" s="14" t="s">
        <v>45</v>
      </c>
      <c r="C60" s="16" t="s">
        <v>114</v>
      </c>
      <c r="D60" s="14"/>
      <c r="E60" s="18">
        <v>5</v>
      </c>
      <c r="F60" s="67">
        <v>5</v>
      </c>
      <c r="G60" s="13">
        <v>237.74</v>
      </c>
      <c r="H60" s="79">
        <f t="shared" ref="H60:H74" si="6">SUM(F60*G60/1000)</f>
        <v>1.1887000000000001</v>
      </c>
      <c r="I60" s="13">
        <f>G60</f>
        <v>237.74</v>
      </c>
    </row>
    <row r="61" spans="1:22" ht="21" hidden="1" customHeight="1">
      <c r="A61" s="33"/>
      <c r="B61" s="14" t="s">
        <v>46</v>
      </c>
      <c r="C61" s="16" t="s">
        <v>114</v>
      </c>
      <c r="D61" s="14" t="s">
        <v>66</v>
      </c>
      <c r="E61" s="18">
        <v>2</v>
      </c>
      <c r="F61" s="67">
        <v>2</v>
      </c>
      <c r="G61" s="13">
        <v>81.510000000000005</v>
      </c>
      <c r="H61" s="79">
        <f t="shared" si="6"/>
        <v>0.16302</v>
      </c>
      <c r="I61" s="13">
        <v>0</v>
      </c>
    </row>
    <row r="62" spans="1:22" ht="18.75" hidden="1" customHeight="1">
      <c r="A62" s="33"/>
      <c r="B62" s="14" t="s">
        <v>47</v>
      </c>
      <c r="C62" s="16" t="s">
        <v>118</v>
      </c>
      <c r="D62" s="14" t="s">
        <v>53</v>
      </c>
      <c r="E62" s="66">
        <v>4292</v>
      </c>
      <c r="F62" s="13">
        <f>SUM(E62/100)</f>
        <v>42.92</v>
      </c>
      <c r="G62" s="13">
        <v>226.79</v>
      </c>
      <c r="H62" s="79">
        <f t="shared" si="6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20.25" hidden="1" customHeight="1">
      <c r="A63" s="33"/>
      <c r="B63" s="14" t="s">
        <v>48</v>
      </c>
      <c r="C63" s="16" t="s">
        <v>119</v>
      </c>
      <c r="D63" s="14"/>
      <c r="E63" s="66">
        <v>4292</v>
      </c>
      <c r="F63" s="13">
        <f>SUM(E63/1000)</f>
        <v>4.2919999999999998</v>
      </c>
      <c r="G63" s="13">
        <v>176.61</v>
      </c>
      <c r="H63" s="79">
        <f t="shared" si="6"/>
        <v>0.75801012000000001</v>
      </c>
      <c r="I63" s="13">
        <v>0</v>
      </c>
      <c r="J63" s="29"/>
      <c r="K63" s="29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9.5" hidden="1" customHeight="1">
      <c r="A64" s="33"/>
      <c r="B64" s="14" t="s">
        <v>49</v>
      </c>
      <c r="C64" s="16" t="s">
        <v>76</v>
      </c>
      <c r="D64" s="14" t="s">
        <v>53</v>
      </c>
      <c r="E64" s="66">
        <v>510</v>
      </c>
      <c r="F64" s="13">
        <f>SUM(E64/100)</f>
        <v>5.0999999999999996</v>
      </c>
      <c r="G64" s="13">
        <v>2217.7800000000002</v>
      </c>
      <c r="H64" s="79">
        <f t="shared" si="6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3"/>
      <c r="B65" s="80" t="s">
        <v>120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42.67</v>
      </c>
      <c r="H65" s="79">
        <f t="shared" si="6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27"/>
      <c r="S65" s="127"/>
      <c r="T65" s="127"/>
      <c r="U65" s="127"/>
    </row>
    <row r="66" spans="1:21" ht="15" hidden="1" customHeight="1">
      <c r="A66" s="33"/>
      <c r="B66" s="80" t="s">
        <v>121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39.81</v>
      </c>
      <c r="H66" s="79">
        <f t="shared" si="6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0.25" hidden="1" customHeight="1">
      <c r="A67" s="33"/>
      <c r="B67" s="14" t="s">
        <v>57</v>
      </c>
      <c r="C67" s="16" t="s">
        <v>58</v>
      </c>
      <c r="D67" s="14" t="s">
        <v>53</v>
      </c>
      <c r="E67" s="18">
        <v>3</v>
      </c>
      <c r="F67" s="67">
        <v>3</v>
      </c>
      <c r="G67" s="13">
        <v>53.32</v>
      </c>
      <c r="H67" s="79">
        <f t="shared" si="6"/>
        <v>0.15996000000000002</v>
      </c>
      <c r="I67" s="13">
        <v>0</v>
      </c>
    </row>
    <row r="68" spans="1:21" ht="15.75" hidden="1" customHeight="1">
      <c r="A68" s="33"/>
      <c r="B68" s="51" t="s">
        <v>71</v>
      </c>
      <c r="C68" s="16"/>
      <c r="D68" s="14"/>
      <c r="E68" s="18"/>
      <c r="F68" s="13"/>
      <c r="G68" s="13"/>
      <c r="H68" s="79" t="s">
        <v>135</v>
      </c>
      <c r="I68" s="13"/>
    </row>
    <row r="69" spans="1:21" ht="23.25" hidden="1" customHeight="1">
      <c r="A69" s="33"/>
      <c r="B69" s="14" t="s">
        <v>72</v>
      </c>
      <c r="C69" s="16" t="s">
        <v>74</v>
      </c>
      <c r="D69" s="14"/>
      <c r="E69" s="18">
        <v>2</v>
      </c>
      <c r="F69" s="13">
        <v>0.2</v>
      </c>
      <c r="G69" s="13">
        <v>536.23</v>
      </c>
      <c r="H69" s="79">
        <f t="shared" si="6"/>
        <v>0.10724600000000001</v>
      </c>
      <c r="I69" s="13">
        <v>0</v>
      </c>
    </row>
    <row r="70" spans="1:21" ht="18" hidden="1" customHeight="1">
      <c r="A70" s="33"/>
      <c r="B70" s="14" t="s">
        <v>73</v>
      </c>
      <c r="C70" s="16" t="s">
        <v>29</v>
      </c>
      <c r="D70" s="14"/>
      <c r="E70" s="18">
        <v>1</v>
      </c>
      <c r="F70" s="60">
        <v>1</v>
      </c>
      <c r="G70" s="13">
        <v>911.85</v>
      </c>
      <c r="H70" s="79">
        <f t="shared" si="6"/>
        <v>0.91185000000000005</v>
      </c>
      <c r="I70" s="13">
        <v>0</v>
      </c>
    </row>
    <row r="71" spans="1:21" ht="21" hidden="1" customHeight="1">
      <c r="A71" s="33"/>
      <c r="B71" s="14" t="s">
        <v>136</v>
      </c>
      <c r="C71" s="16" t="s">
        <v>137</v>
      </c>
      <c r="D71" s="14"/>
      <c r="E71" s="18"/>
      <c r="F71" s="13"/>
      <c r="G71" s="13">
        <v>31.54</v>
      </c>
      <c r="H71" s="79">
        <f t="shared" si="6"/>
        <v>0</v>
      </c>
      <c r="I71" s="13"/>
    </row>
    <row r="72" spans="1:21" ht="19.5" hidden="1" customHeight="1">
      <c r="A72" s="33"/>
      <c r="B72" s="14" t="s">
        <v>123</v>
      </c>
      <c r="C72" s="16" t="s">
        <v>29</v>
      </c>
      <c r="D72" s="14"/>
      <c r="E72" s="18">
        <v>1</v>
      </c>
      <c r="F72" s="13">
        <v>1</v>
      </c>
      <c r="G72" s="13">
        <v>383.25</v>
      </c>
      <c r="H72" s="79">
        <f>G72*F72/1000</f>
        <v>0.38324999999999998</v>
      </c>
      <c r="I72" s="13">
        <v>0</v>
      </c>
    </row>
    <row r="73" spans="1:21" ht="15.75" hidden="1" customHeight="1">
      <c r="A73" s="33"/>
      <c r="B73" s="82" t="s">
        <v>75</v>
      </c>
      <c r="C73" s="16"/>
      <c r="D73" s="14"/>
      <c r="E73" s="18"/>
      <c r="F73" s="13"/>
      <c r="G73" s="13" t="s">
        <v>135</v>
      </c>
      <c r="H73" s="79" t="s">
        <v>135</v>
      </c>
      <c r="I73" s="13"/>
    </row>
    <row r="74" spans="1:21" ht="18.75" hidden="1" customHeight="1">
      <c r="A74" s="33"/>
      <c r="B74" s="45" t="s">
        <v>147</v>
      </c>
      <c r="C74" s="16" t="s">
        <v>76</v>
      </c>
      <c r="D74" s="14"/>
      <c r="E74" s="18"/>
      <c r="F74" s="13">
        <v>0.1</v>
      </c>
      <c r="G74" s="13">
        <v>2949.85</v>
      </c>
      <c r="H74" s="79">
        <f t="shared" si="6"/>
        <v>0.294985</v>
      </c>
      <c r="I74" s="13">
        <v>0</v>
      </c>
    </row>
    <row r="75" spans="1:21" ht="13.5" hidden="1" customHeight="1">
      <c r="A75" s="33"/>
      <c r="B75" s="89" t="s">
        <v>92</v>
      </c>
      <c r="C75" s="89"/>
      <c r="D75" s="89"/>
      <c r="E75" s="89"/>
      <c r="F75" s="89"/>
      <c r="G75" s="70"/>
      <c r="H75" s="83">
        <f>SUM(H56:H74)</f>
        <v>39.790287929999998</v>
      </c>
      <c r="I75" s="70"/>
    </row>
    <row r="76" spans="1:21" ht="15" hidden="1" customHeight="1">
      <c r="A76" s="33"/>
      <c r="B76" s="87" t="s">
        <v>122</v>
      </c>
      <c r="C76" s="24"/>
      <c r="D76" s="23"/>
      <c r="E76" s="84"/>
      <c r="F76" s="88">
        <v>1</v>
      </c>
      <c r="G76" s="13">
        <v>3124.9</v>
      </c>
      <c r="H76" s="79">
        <f>G76*F76/1000</f>
        <v>3.1249000000000002</v>
      </c>
      <c r="I76" s="13">
        <v>0</v>
      </c>
    </row>
    <row r="77" spans="1:21" ht="15.75" customHeight="1">
      <c r="A77" s="132" t="s">
        <v>131</v>
      </c>
      <c r="B77" s="133"/>
      <c r="C77" s="133"/>
      <c r="D77" s="133"/>
      <c r="E77" s="133"/>
      <c r="F77" s="133"/>
      <c r="G77" s="133"/>
      <c r="H77" s="133"/>
      <c r="I77" s="134"/>
    </row>
    <row r="78" spans="1:21" ht="15.75" customHeight="1">
      <c r="A78" s="33">
        <v>15</v>
      </c>
      <c r="B78" s="64" t="s">
        <v>124</v>
      </c>
      <c r="C78" s="16" t="s">
        <v>54</v>
      </c>
      <c r="D78" s="50"/>
      <c r="E78" s="13">
        <v>1042.5999999999999</v>
      </c>
      <c r="F78" s="13">
        <f>SUM(E78*12)</f>
        <v>12511.199999999999</v>
      </c>
      <c r="G78" s="13">
        <v>2.2400000000000002</v>
      </c>
      <c r="H78" s="79">
        <f>SUM(F78*G78/1000)</f>
        <v>28.025088</v>
      </c>
      <c r="I78" s="13">
        <f>F78/12*G78</f>
        <v>2335.424</v>
      </c>
    </row>
    <row r="79" spans="1:21" ht="31.5" customHeight="1">
      <c r="A79" s="33">
        <v>16</v>
      </c>
      <c r="B79" s="14" t="s">
        <v>77</v>
      </c>
      <c r="C79" s="16"/>
      <c r="D79" s="50"/>
      <c r="E79" s="66">
        <f>E78</f>
        <v>1042.5999999999999</v>
      </c>
      <c r="F79" s="13">
        <f>E79*12</f>
        <v>12511.199999999999</v>
      </c>
      <c r="G79" s="13">
        <v>1.74</v>
      </c>
      <c r="H79" s="79">
        <f>F79*G79/1000</f>
        <v>21.769487999999999</v>
      </c>
      <c r="I79" s="13">
        <f>F79/12*G79</f>
        <v>1814.1239999999998</v>
      </c>
    </row>
    <row r="80" spans="1:21" ht="15.75" customHeight="1">
      <c r="A80" s="33"/>
      <c r="B80" s="38" t="s">
        <v>80</v>
      </c>
      <c r="C80" s="82"/>
      <c r="D80" s="81"/>
      <c r="E80" s="70"/>
      <c r="F80" s="70"/>
      <c r="G80" s="70"/>
      <c r="H80" s="83">
        <f>H79</f>
        <v>21.769487999999999</v>
      </c>
      <c r="I80" s="70">
        <f>I79+I78+I53+I49+I42+I41+I40+I39+I38+I37+I27+I20+I18+I17+I16+I60</f>
        <v>15130.844809850001</v>
      </c>
    </row>
    <row r="81" spans="1:9" ht="15.75" customHeight="1">
      <c r="A81" s="141" t="s">
        <v>60</v>
      </c>
      <c r="B81" s="142"/>
      <c r="C81" s="142"/>
      <c r="D81" s="142"/>
      <c r="E81" s="142"/>
      <c r="F81" s="142"/>
      <c r="G81" s="142"/>
      <c r="H81" s="142"/>
      <c r="I81" s="143"/>
    </row>
    <row r="82" spans="1:9" ht="15.75" customHeight="1">
      <c r="A82" s="33">
        <v>17</v>
      </c>
      <c r="B82" s="75" t="s">
        <v>168</v>
      </c>
      <c r="C82" s="74" t="s">
        <v>169</v>
      </c>
      <c r="D82" s="75"/>
      <c r="E82" s="76"/>
      <c r="F82" s="77">
        <v>200</v>
      </c>
      <c r="G82" s="60">
        <v>1.4</v>
      </c>
      <c r="H82" s="78">
        <f>F82*G82/1000</f>
        <v>0.28000000000000003</v>
      </c>
      <c r="I82" s="99">
        <f>G82*100</f>
        <v>140</v>
      </c>
    </row>
    <row r="83" spans="1:9" ht="33.75" customHeight="1">
      <c r="A83" s="33">
        <v>18</v>
      </c>
      <c r="B83" s="101" t="s">
        <v>177</v>
      </c>
      <c r="C83" s="102" t="s">
        <v>28</v>
      </c>
      <c r="D83" s="14"/>
      <c r="E83" s="18"/>
      <c r="F83" s="13"/>
      <c r="G83" s="37">
        <v>19757.060000000001</v>
      </c>
      <c r="H83" s="60"/>
      <c r="I83" s="99">
        <f>G83*0.599*4/1000</f>
        <v>47.337915760000001</v>
      </c>
    </row>
    <row r="84" spans="1:9" ht="30.75" customHeight="1">
      <c r="A84" s="33">
        <v>19</v>
      </c>
      <c r="B84" s="101" t="s">
        <v>138</v>
      </c>
      <c r="C84" s="102" t="s">
        <v>139</v>
      </c>
      <c r="D84" s="14"/>
      <c r="E84" s="18"/>
      <c r="F84" s="13"/>
      <c r="G84" s="37">
        <v>59.21</v>
      </c>
      <c r="H84" s="60"/>
      <c r="I84" s="99">
        <f>G84*1</f>
        <v>59.21</v>
      </c>
    </row>
    <row r="85" spans="1:9" ht="15.75" customHeight="1">
      <c r="A85" s="33">
        <v>20</v>
      </c>
      <c r="B85" s="101" t="s">
        <v>176</v>
      </c>
      <c r="C85" s="102" t="s">
        <v>172</v>
      </c>
      <c r="D85" s="14"/>
      <c r="E85" s="18"/>
      <c r="F85" s="13"/>
      <c r="G85" s="37">
        <v>273</v>
      </c>
      <c r="H85" s="60"/>
      <c r="I85" s="99">
        <f>G85*6</f>
        <v>1638</v>
      </c>
    </row>
    <row r="86" spans="1:9" ht="15.75" customHeight="1">
      <c r="A86" s="33">
        <v>21</v>
      </c>
      <c r="B86" s="101" t="s">
        <v>187</v>
      </c>
      <c r="C86" s="102" t="s">
        <v>82</v>
      </c>
      <c r="D86" s="14"/>
      <c r="E86" s="18"/>
      <c r="F86" s="13"/>
      <c r="G86" s="37">
        <v>214.07</v>
      </c>
      <c r="H86" s="60"/>
      <c r="I86" s="99">
        <f>G86*1</f>
        <v>214.07</v>
      </c>
    </row>
    <row r="87" spans="1:9">
      <c r="A87" s="33"/>
      <c r="B87" s="43" t="s">
        <v>50</v>
      </c>
      <c r="C87" s="39"/>
      <c r="D87" s="46"/>
      <c r="E87" s="39">
        <v>1</v>
      </c>
      <c r="F87" s="39"/>
      <c r="G87" s="39"/>
      <c r="H87" s="39"/>
      <c r="I87" s="35">
        <f>SUM(I82:I86)</f>
        <v>2098.61791576</v>
      </c>
    </row>
    <row r="88" spans="1:9" ht="16.5" customHeight="1">
      <c r="A88" s="33"/>
      <c r="B88" s="45" t="s">
        <v>78</v>
      </c>
      <c r="C88" s="15"/>
      <c r="D88" s="15"/>
      <c r="E88" s="40"/>
      <c r="F88" s="40"/>
      <c r="G88" s="41"/>
      <c r="H88" s="41"/>
      <c r="I88" s="17">
        <v>0</v>
      </c>
    </row>
    <row r="89" spans="1:9" ht="16.5" customHeight="1">
      <c r="A89" s="47"/>
      <c r="B89" s="44" t="s">
        <v>161</v>
      </c>
      <c r="C89" s="36"/>
      <c r="D89" s="36"/>
      <c r="E89" s="36"/>
      <c r="F89" s="36"/>
      <c r="G89" s="36"/>
      <c r="H89" s="36"/>
      <c r="I89" s="42">
        <f>I80+I87</f>
        <v>17229.462725609999</v>
      </c>
    </row>
    <row r="90" spans="1:9" ht="15.75" customHeight="1">
      <c r="A90" s="128" t="s">
        <v>209</v>
      </c>
      <c r="B90" s="128"/>
      <c r="C90" s="128"/>
      <c r="D90" s="128"/>
      <c r="E90" s="128"/>
      <c r="F90" s="128"/>
      <c r="G90" s="128"/>
      <c r="H90" s="128"/>
      <c r="I90" s="128"/>
    </row>
    <row r="91" spans="1:9" ht="15.75" customHeight="1">
      <c r="A91" s="57"/>
      <c r="B91" s="129" t="s">
        <v>210</v>
      </c>
      <c r="C91" s="129"/>
      <c r="D91" s="129"/>
      <c r="E91" s="129"/>
      <c r="F91" s="129"/>
      <c r="G91" s="129"/>
      <c r="H91" s="63"/>
      <c r="I91" s="3"/>
    </row>
    <row r="92" spans="1:9">
      <c r="A92" s="56"/>
      <c r="B92" s="130" t="s">
        <v>6</v>
      </c>
      <c r="C92" s="130"/>
      <c r="D92" s="130"/>
      <c r="E92" s="130"/>
      <c r="F92" s="130"/>
      <c r="G92" s="130"/>
      <c r="H92" s="28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31" t="s">
        <v>7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>
      <c r="A95" s="131" t="s">
        <v>8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136" t="s">
        <v>61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>
      <c r="A97" s="11"/>
    </row>
    <row r="98" spans="1:9" ht="15.7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4"/>
    </row>
    <row r="100" spans="1:9" ht="15.75">
      <c r="B100" s="53" t="s">
        <v>10</v>
      </c>
      <c r="C100" s="138" t="s">
        <v>127</v>
      </c>
      <c r="D100" s="138"/>
      <c r="E100" s="138"/>
      <c r="F100" s="61"/>
      <c r="I100" s="55"/>
    </row>
    <row r="101" spans="1:9">
      <c r="A101" s="56"/>
      <c r="C101" s="130" t="s">
        <v>11</v>
      </c>
      <c r="D101" s="130"/>
      <c r="E101" s="130"/>
      <c r="F101" s="28"/>
      <c r="I101" s="54" t="s">
        <v>12</v>
      </c>
    </row>
    <row r="102" spans="1:9" ht="15.75">
      <c r="A102" s="29"/>
      <c r="C102" s="12"/>
      <c r="D102" s="12"/>
      <c r="G102" s="12"/>
      <c r="H102" s="12"/>
    </row>
    <row r="103" spans="1:9" ht="15.75">
      <c r="B103" s="53" t="s">
        <v>13</v>
      </c>
      <c r="C103" s="139"/>
      <c r="D103" s="139"/>
      <c r="E103" s="139"/>
      <c r="F103" s="62"/>
      <c r="I103" s="55"/>
    </row>
    <row r="104" spans="1:9">
      <c r="A104" s="56"/>
      <c r="C104" s="127" t="s">
        <v>11</v>
      </c>
      <c r="D104" s="127"/>
      <c r="E104" s="127"/>
      <c r="F104" s="56"/>
      <c r="I104" s="54" t="s">
        <v>12</v>
      </c>
    </row>
    <row r="105" spans="1:9" ht="15.75">
      <c r="A105" s="4" t="s">
        <v>14</v>
      </c>
    </row>
    <row r="106" spans="1:9">
      <c r="A106" s="140" t="s">
        <v>15</v>
      </c>
      <c r="B106" s="140"/>
      <c r="C106" s="140"/>
      <c r="D106" s="140"/>
      <c r="E106" s="140"/>
      <c r="F106" s="140"/>
      <c r="G106" s="140"/>
      <c r="H106" s="140"/>
      <c r="I106" s="140"/>
    </row>
    <row r="107" spans="1:9" ht="47.25" customHeight="1">
      <c r="A107" s="135" t="s">
        <v>16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31.5" customHeight="1">
      <c r="A108" s="135" t="s">
        <v>17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1.5" customHeight="1">
      <c r="A109" s="135" t="s">
        <v>21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15.75">
      <c r="A110" s="135" t="s">
        <v>20</v>
      </c>
      <c r="B110" s="135"/>
      <c r="C110" s="135"/>
      <c r="D110" s="135"/>
      <c r="E110" s="135"/>
      <c r="F110" s="135"/>
      <c r="G110" s="135"/>
      <c r="H110" s="135"/>
      <c r="I110" s="135"/>
    </row>
  </sheetData>
  <autoFilter ref="I12:I60"/>
  <mergeCells count="29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8:I28"/>
    <mergeCell ref="A43:I43"/>
    <mergeCell ref="A54:I54"/>
    <mergeCell ref="A90:I90"/>
    <mergeCell ref="B91:G91"/>
    <mergeCell ref="B92:G92"/>
    <mergeCell ref="A94:I94"/>
    <mergeCell ref="A95:I95"/>
    <mergeCell ref="A81:I81"/>
    <mergeCell ref="R65:U65"/>
    <mergeCell ref="A77:I77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9"/>
  <sheetViews>
    <sheetView topLeftCell="A78" workbookViewId="0">
      <selection activeCell="D39" sqref="D39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149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188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43555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hidden="1" customHeight="1">
      <c r="A28" s="33">
        <v>7</v>
      </c>
      <c r="B28" s="72" t="s">
        <v>23</v>
      </c>
      <c r="C28" s="65" t="s">
        <v>24</v>
      </c>
      <c r="D28" s="64"/>
      <c r="E28" s="66">
        <v>1042.5999999999999</v>
      </c>
      <c r="F28" s="67">
        <f>SUM(E28*12)</f>
        <v>12511.199999999999</v>
      </c>
      <c r="G28" s="67">
        <v>6.15</v>
      </c>
      <c r="H28" s="68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32" t="s">
        <v>83</v>
      </c>
      <c r="B29" s="133"/>
      <c r="C29" s="133"/>
      <c r="D29" s="133"/>
      <c r="E29" s="133"/>
      <c r="F29" s="133"/>
      <c r="G29" s="133"/>
      <c r="H29" s="133"/>
      <c r="I29" s="134"/>
      <c r="J29" s="26"/>
      <c r="K29" s="8"/>
      <c r="L29" s="8"/>
      <c r="M29" s="8"/>
    </row>
    <row r="30" spans="1:13" ht="15.75" hidden="1" customHeight="1">
      <c r="A30" s="33"/>
      <c r="B30" s="85" t="s">
        <v>27</v>
      </c>
      <c r="C30" s="65"/>
      <c r="D30" s="64"/>
      <c r="E30" s="66"/>
      <c r="F30" s="67"/>
      <c r="G30" s="67"/>
      <c r="H30" s="68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4" t="s">
        <v>110</v>
      </c>
      <c r="C31" s="65" t="s">
        <v>88</v>
      </c>
      <c r="D31" s="64" t="s">
        <v>106</v>
      </c>
      <c r="E31" s="67">
        <v>266.57</v>
      </c>
      <c r="F31" s="67">
        <f>SUM(E31*52/1000)</f>
        <v>13.86164</v>
      </c>
      <c r="G31" s="67">
        <v>146.79</v>
      </c>
      <c r="H31" s="68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4" t="s">
        <v>109</v>
      </c>
      <c r="C32" s="65" t="s">
        <v>88</v>
      </c>
      <c r="D32" s="64" t="s">
        <v>107</v>
      </c>
      <c r="E32" s="67">
        <v>48.03</v>
      </c>
      <c r="F32" s="67">
        <f>SUM(E32*78/1000)</f>
        <v>3.74634</v>
      </c>
      <c r="G32" s="67">
        <v>243.54</v>
      </c>
      <c r="H32" s="68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26</v>
      </c>
      <c r="C33" s="65" t="s">
        <v>88</v>
      </c>
      <c r="D33" s="64" t="s">
        <v>53</v>
      </c>
      <c r="E33" s="67">
        <v>266.57</v>
      </c>
      <c r="F33" s="67">
        <f>SUM(E33/1000)</f>
        <v>0.26656999999999997</v>
      </c>
      <c r="G33" s="67">
        <v>2844</v>
      </c>
      <c r="H33" s="68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4" t="s">
        <v>108</v>
      </c>
      <c r="C34" s="65" t="s">
        <v>29</v>
      </c>
      <c r="D34" s="64" t="s">
        <v>63</v>
      </c>
      <c r="E34" s="71">
        <v>0.33333333333333331</v>
      </c>
      <c r="F34" s="67">
        <f>155/3</f>
        <v>51.666666666666664</v>
      </c>
      <c r="G34" s="67">
        <v>53.38</v>
      </c>
      <c r="H34" s="68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4" t="s">
        <v>64</v>
      </c>
      <c r="C35" s="65" t="s">
        <v>31</v>
      </c>
      <c r="D35" s="64" t="s">
        <v>66</v>
      </c>
      <c r="E35" s="66"/>
      <c r="F35" s="67">
        <v>1</v>
      </c>
      <c r="G35" s="67">
        <v>180.15</v>
      </c>
      <c r="H35" s="68">
        <f t="shared" si="1"/>
        <v>0.18015</v>
      </c>
      <c r="I35" s="13">
        <v>0</v>
      </c>
      <c r="J35" s="27"/>
    </row>
    <row r="36" spans="1:14" ht="15.75" hidden="1" customHeight="1">
      <c r="A36" s="33"/>
      <c r="B36" s="64" t="s">
        <v>65</v>
      </c>
      <c r="C36" s="65" t="s">
        <v>30</v>
      </c>
      <c r="D36" s="64" t="s">
        <v>66</v>
      </c>
      <c r="E36" s="66"/>
      <c r="F36" s="67">
        <v>1</v>
      </c>
      <c r="G36" s="67">
        <v>1214.74</v>
      </c>
      <c r="H36" s="68">
        <f t="shared" si="1"/>
        <v>1.2147399999999999</v>
      </c>
      <c r="I36" s="13">
        <v>0</v>
      </c>
      <c r="J36" s="27"/>
    </row>
    <row r="37" spans="1:14" ht="15.75" customHeight="1">
      <c r="A37" s="33"/>
      <c r="B37" s="85" t="s">
        <v>5</v>
      </c>
      <c r="C37" s="65"/>
      <c r="D37" s="64"/>
      <c r="E37" s="66"/>
      <c r="F37" s="67"/>
      <c r="G37" s="67"/>
      <c r="H37" s="68" t="s">
        <v>135</v>
      </c>
      <c r="I37" s="13"/>
      <c r="J37" s="27"/>
    </row>
    <row r="38" spans="1:14" ht="15.75" customHeight="1">
      <c r="A38" s="33">
        <v>8</v>
      </c>
      <c r="B38" s="64" t="s">
        <v>25</v>
      </c>
      <c r="C38" s="65" t="s">
        <v>30</v>
      </c>
      <c r="D38" s="64"/>
      <c r="E38" s="66"/>
      <c r="F38" s="67">
        <v>3</v>
      </c>
      <c r="G38" s="67">
        <v>1632.6</v>
      </c>
      <c r="H38" s="68">
        <f t="shared" ref="H38:H43" si="3">SUM(F38*G38/1000)</f>
        <v>4.8977999999999993</v>
      </c>
      <c r="I38" s="13">
        <f>G38*0.36</f>
        <v>587.73599999999999</v>
      </c>
      <c r="J38" s="27"/>
    </row>
    <row r="39" spans="1:14" ht="15.75" customHeight="1">
      <c r="A39" s="33">
        <v>9</v>
      </c>
      <c r="B39" s="64" t="s">
        <v>111</v>
      </c>
      <c r="C39" s="65" t="s">
        <v>28</v>
      </c>
      <c r="D39" s="64" t="s">
        <v>203</v>
      </c>
      <c r="E39" s="66">
        <v>48.03</v>
      </c>
      <c r="F39" s="67">
        <v>1.44</v>
      </c>
      <c r="G39" s="67">
        <v>1979.95</v>
      </c>
      <c r="H39" s="68">
        <f>G39*F39/1000</f>
        <v>2.8511280000000001</v>
      </c>
      <c r="I39" s="13">
        <f t="shared" ref="I39:I41" si="4">F39/6*G39</f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4" t="s">
        <v>67</v>
      </c>
      <c r="C40" s="65" t="s">
        <v>28</v>
      </c>
      <c r="D40" s="64" t="s">
        <v>204</v>
      </c>
      <c r="E40" s="67">
        <v>48.03</v>
      </c>
      <c r="F40" s="67">
        <f>SUM(E40*155/1000)</f>
        <v>7.4446500000000002</v>
      </c>
      <c r="G40" s="67">
        <v>330.27</v>
      </c>
      <c r="H40" s="68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4" t="s">
        <v>81</v>
      </c>
      <c r="C41" s="65" t="s">
        <v>88</v>
      </c>
      <c r="D41" s="64" t="s">
        <v>205</v>
      </c>
      <c r="E41" s="67">
        <v>48.03</v>
      </c>
      <c r="F41" s="67">
        <f>SUM(E41*35/1000)</f>
        <v>1.6810499999999999</v>
      </c>
      <c r="G41" s="67">
        <v>5464.48</v>
      </c>
      <c r="H41" s="68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12</v>
      </c>
      <c r="B42" s="64" t="s">
        <v>89</v>
      </c>
      <c r="C42" s="65" t="s">
        <v>88</v>
      </c>
      <c r="D42" s="64" t="s">
        <v>206</v>
      </c>
      <c r="E42" s="67">
        <v>48.03</v>
      </c>
      <c r="F42" s="67">
        <f>SUM(E42*45/1000)</f>
        <v>2.1613500000000001</v>
      </c>
      <c r="G42" s="67">
        <v>403.67</v>
      </c>
      <c r="H42" s="68">
        <f t="shared" si="3"/>
        <v>0.87247215450000015</v>
      </c>
      <c r="I42" s="13">
        <f>(F42/7.5*1.5)*G42</f>
        <v>174.4944309</v>
      </c>
      <c r="J42" s="27"/>
      <c r="L42" s="20"/>
      <c r="M42" s="21"/>
      <c r="N42" s="22"/>
    </row>
    <row r="43" spans="1:14" ht="15.75" customHeight="1">
      <c r="A43" s="33">
        <v>13</v>
      </c>
      <c r="B43" s="64" t="s">
        <v>69</v>
      </c>
      <c r="C43" s="65" t="s">
        <v>31</v>
      </c>
      <c r="D43" s="64"/>
      <c r="E43" s="66"/>
      <c r="F43" s="67">
        <v>0.53</v>
      </c>
      <c r="G43" s="67">
        <v>750.34</v>
      </c>
      <c r="H43" s="68">
        <f t="shared" si="3"/>
        <v>0.39768020000000004</v>
      </c>
      <c r="I43" s="13">
        <f>(F43/7.5*1.5)*G43</f>
        <v>79.536040000000014</v>
      </c>
      <c r="J43" s="27"/>
      <c r="L43" s="20"/>
      <c r="M43" s="21"/>
      <c r="N43" s="22"/>
    </row>
    <row r="44" spans="1:14" ht="15.75" hidden="1" customHeight="1">
      <c r="A44" s="132" t="s">
        <v>128</v>
      </c>
      <c r="B44" s="133"/>
      <c r="C44" s="133"/>
      <c r="D44" s="133"/>
      <c r="E44" s="133"/>
      <c r="F44" s="133"/>
      <c r="G44" s="133"/>
      <c r="H44" s="133"/>
      <c r="I44" s="134"/>
      <c r="J44" s="27"/>
      <c r="L44" s="20"/>
      <c r="M44" s="21"/>
      <c r="N44" s="22"/>
    </row>
    <row r="45" spans="1:14" ht="15.75" hidden="1" customHeight="1">
      <c r="A45" s="33"/>
      <c r="B45" s="64" t="s">
        <v>113</v>
      </c>
      <c r="C45" s="65" t="s">
        <v>88</v>
      </c>
      <c r="D45" s="64" t="s">
        <v>41</v>
      </c>
      <c r="E45" s="66">
        <v>636.25</v>
      </c>
      <c r="F45" s="67">
        <f>SUM(E45*2/1000)</f>
        <v>1.2725</v>
      </c>
      <c r="G45" s="13">
        <v>762.53</v>
      </c>
      <c r="H45" s="68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34</v>
      </c>
      <c r="C46" s="65" t="s">
        <v>88</v>
      </c>
      <c r="D46" s="64" t="s">
        <v>41</v>
      </c>
      <c r="E46" s="66">
        <v>26</v>
      </c>
      <c r="F46" s="67">
        <f>SUM(E46*2/1000)</f>
        <v>5.1999999999999998E-2</v>
      </c>
      <c r="G46" s="13">
        <v>545.65</v>
      </c>
      <c r="H46" s="68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35</v>
      </c>
      <c r="C47" s="65" t="s">
        <v>88</v>
      </c>
      <c r="D47" s="64" t="s">
        <v>41</v>
      </c>
      <c r="E47" s="66">
        <v>579</v>
      </c>
      <c r="F47" s="67">
        <f>SUM(E47*2/1000)</f>
        <v>1.1579999999999999</v>
      </c>
      <c r="G47" s="13">
        <v>545.65</v>
      </c>
      <c r="H47" s="68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4" t="s">
        <v>36</v>
      </c>
      <c r="C48" s="65" t="s">
        <v>88</v>
      </c>
      <c r="D48" s="64" t="s">
        <v>41</v>
      </c>
      <c r="E48" s="66">
        <v>683.33</v>
      </c>
      <c r="F48" s="67">
        <f>SUM(E48*2/1000)</f>
        <v>1.36666</v>
      </c>
      <c r="G48" s="13">
        <v>571.35</v>
      </c>
      <c r="H48" s="68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4" t="s">
        <v>32</v>
      </c>
      <c r="C49" s="65" t="s">
        <v>33</v>
      </c>
      <c r="D49" s="64" t="s">
        <v>41</v>
      </c>
      <c r="E49" s="66">
        <v>44.11</v>
      </c>
      <c r="F49" s="67">
        <f>SUM(E49*2/100)</f>
        <v>0.88219999999999998</v>
      </c>
      <c r="G49" s="13">
        <v>68.56</v>
      </c>
      <c r="H49" s="68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4" t="s">
        <v>56</v>
      </c>
      <c r="C50" s="65" t="s">
        <v>88</v>
      </c>
      <c r="D50" s="64" t="s">
        <v>129</v>
      </c>
      <c r="E50" s="66">
        <v>1140</v>
      </c>
      <c r="F50" s="67">
        <f>SUM(E50*5/1000)</f>
        <v>5.7</v>
      </c>
      <c r="G50" s="13">
        <v>1142.7</v>
      </c>
      <c r="H50" s="68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4" t="s">
        <v>90</v>
      </c>
      <c r="C51" s="65" t="s">
        <v>88</v>
      </c>
      <c r="D51" s="64" t="s">
        <v>41</v>
      </c>
      <c r="E51" s="66">
        <v>1140</v>
      </c>
      <c r="F51" s="67">
        <f>SUM(E51*2/1000)</f>
        <v>2.2799999999999998</v>
      </c>
      <c r="G51" s="13">
        <v>1142.7</v>
      </c>
      <c r="H51" s="68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4" t="s">
        <v>91</v>
      </c>
      <c r="C52" s="65" t="s">
        <v>37</v>
      </c>
      <c r="D52" s="64" t="s">
        <v>41</v>
      </c>
      <c r="E52" s="66">
        <v>9</v>
      </c>
      <c r="F52" s="67">
        <f>SUM(E52*2/100)</f>
        <v>0.18</v>
      </c>
      <c r="G52" s="13">
        <v>2571.08</v>
      </c>
      <c r="H52" s="68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4" t="s">
        <v>38</v>
      </c>
      <c r="C53" s="65" t="s">
        <v>39</v>
      </c>
      <c r="D53" s="64" t="s">
        <v>41</v>
      </c>
      <c r="E53" s="66">
        <v>1</v>
      </c>
      <c r="F53" s="67">
        <v>0.02</v>
      </c>
      <c r="G53" s="13">
        <v>5322.15</v>
      </c>
      <c r="H53" s="68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4" t="s">
        <v>40</v>
      </c>
      <c r="C54" s="65" t="s">
        <v>114</v>
      </c>
      <c r="D54" s="64" t="s">
        <v>70</v>
      </c>
      <c r="E54" s="66">
        <v>36</v>
      </c>
      <c r="F54" s="67">
        <f>SUM(E54)*3</f>
        <v>108</v>
      </c>
      <c r="G54" s="13">
        <v>61.84</v>
      </c>
      <c r="H54" s="68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8" customHeight="1">
      <c r="A55" s="132" t="s">
        <v>150</v>
      </c>
      <c r="B55" s="133"/>
      <c r="C55" s="133"/>
      <c r="D55" s="133"/>
      <c r="E55" s="133"/>
      <c r="F55" s="133"/>
      <c r="G55" s="133"/>
      <c r="H55" s="133"/>
      <c r="I55" s="134"/>
      <c r="J55" s="27"/>
      <c r="L55" s="20"/>
      <c r="M55" s="21"/>
      <c r="N55" s="22"/>
    </row>
    <row r="56" spans="1:22" ht="19.5" customHeight="1">
      <c r="A56" s="33"/>
      <c r="B56" s="85" t="s">
        <v>42</v>
      </c>
      <c r="C56" s="65"/>
      <c r="D56" s="64"/>
      <c r="E56" s="66"/>
      <c r="F56" s="67"/>
      <c r="G56" s="67"/>
      <c r="H56" s="68"/>
      <c r="I56" s="13"/>
      <c r="J56" s="27"/>
      <c r="L56" s="20"/>
      <c r="M56" s="21"/>
      <c r="N56" s="22"/>
    </row>
    <row r="57" spans="1:22" ht="31.5" customHeight="1">
      <c r="A57" s="33">
        <v>14</v>
      </c>
      <c r="B57" s="64" t="s">
        <v>115</v>
      </c>
      <c r="C57" s="65" t="s">
        <v>85</v>
      </c>
      <c r="D57" s="64"/>
      <c r="E57" s="66">
        <v>72.33</v>
      </c>
      <c r="F57" s="67">
        <f>SUM(E57*6/100)</f>
        <v>4.3398000000000003</v>
      </c>
      <c r="G57" s="13">
        <v>1456.95</v>
      </c>
      <c r="H57" s="68">
        <f>SUM(F57*G57/1000)</f>
        <v>6.3228716100000009</v>
      </c>
      <c r="I57" s="13">
        <f>G57*0.3785</f>
        <v>551.45557500000007</v>
      </c>
      <c r="J57" s="27"/>
      <c r="L57" s="20"/>
      <c r="M57" s="21"/>
      <c r="N57" s="22"/>
    </row>
    <row r="58" spans="1:22" ht="25.5" hidden="1" customHeight="1">
      <c r="A58" s="33"/>
      <c r="B58" s="85" t="s">
        <v>43</v>
      </c>
      <c r="C58" s="65"/>
      <c r="D58" s="64"/>
      <c r="E58" s="66"/>
      <c r="F58" s="67"/>
      <c r="G58" s="60"/>
      <c r="H58" s="68"/>
      <c r="I58" s="13"/>
      <c r="J58" s="27"/>
      <c r="L58" s="20"/>
      <c r="M58" s="21"/>
      <c r="N58" s="22"/>
    </row>
    <row r="59" spans="1:22" ht="21.75" hidden="1" customHeight="1">
      <c r="A59" s="33"/>
      <c r="B59" s="64" t="s">
        <v>117</v>
      </c>
      <c r="C59" s="65"/>
      <c r="D59" s="64" t="s">
        <v>53</v>
      </c>
      <c r="E59" s="66">
        <v>952</v>
      </c>
      <c r="F59" s="68">
        <v>9.52</v>
      </c>
      <c r="G59" s="13">
        <v>848.37</v>
      </c>
      <c r="H59" s="73">
        <f>F59*G59/1000</f>
        <v>8.0764823999999997</v>
      </c>
      <c r="I59" s="13">
        <v>0</v>
      </c>
      <c r="J59" s="27"/>
      <c r="L59" s="20"/>
    </row>
    <row r="60" spans="1:22" ht="21" hidden="1" customHeight="1">
      <c r="A60" s="33"/>
      <c r="B60" s="86" t="s">
        <v>44</v>
      </c>
      <c r="C60" s="74"/>
      <c r="D60" s="75"/>
      <c r="E60" s="76"/>
      <c r="F60" s="77"/>
      <c r="G60" s="77"/>
      <c r="H60" s="78" t="s">
        <v>135</v>
      </c>
      <c r="I60" s="13"/>
    </row>
    <row r="61" spans="1:22" ht="22.5" hidden="1" customHeight="1">
      <c r="A61" s="33">
        <v>17</v>
      </c>
      <c r="B61" s="14" t="s">
        <v>45</v>
      </c>
      <c r="C61" s="16" t="s">
        <v>114</v>
      </c>
      <c r="D61" s="14" t="s">
        <v>66</v>
      </c>
      <c r="E61" s="18">
        <v>5</v>
      </c>
      <c r="F61" s="67">
        <v>5</v>
      </c>
      <c r="G61" s="13">
        <v>237.74</v>
      </c>
      <c r="H61" s="79">
        <f t="shared" ref="H61:H75" si="6">SUM(F61*G61/1000)</f>
        <v>1.1887000000000001</v>
      </c>
      <c r="I61" s="13">
        <f>G61</f>
        <v>237.74</v>
      </c>
    </row>
    <row r="62" spans="1:22" ht="21" hidden="1" customHeight="1">
      <c r="A62" s="33"/>
      <c r="B62" s="14" t="s">
        <v>46</v>
      </c>
      <c r="C62" s="16" t="s">
        <v>114</v>
      </c>
      <c r="D62" s="14" t="s">
        <v>66</v>
      </c>
      <c r="E62" s="18">
        <v>2</v>
      </c>
      <c r="F62" s="67">
        <v>2</v>
      </c>
      <c r="G62" s="13">
        <v>81.510000000000005</v>
      </c>
      <c r="H62" s="79">
        <f t="shared" si="6"/>
        <v>0.16302</v>
      </c>
      <c r="I62" s="13">
        <v>0</v>
      </c>
    </row>
    <row r="63" spans="1:22" ht="21" hidden="1" customHeight="1">
      <c r="A63" s="33"/>
      <c r="B63" s="14" t="s">
        <v>47</v>
      </c>
      <c r="C63" s="16" t="s">
        <v>118</v>
      </c>
      <c r="D63" s="14" t="s">
        <v>53</v>
      </c>
      <c r="E63" s="66">
        <v>4292</v>
      </c>
      <c r="F63" s="13">
        <f>SUM(E63/100)</f>
        <v>42.92</v>
      </c>
      <c r="G63" s="13">
        <v>226.79</v>
      </c>
      <c r="H63" s="79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33" hidden="1" customHeight="1">
      <c r="A64" s="33"/>
      <c r="B64" s="14" t="s">
        <v>48</v>
      </c>
      <c r="C64" s="16" t="s">
        <v>119</v>
      </c>
      <c r="D64" s="14"/>
      <c r="E64" s="66">
        <v>4292</v>
      </c>
      <c r="F64" s="13">
        <f>SUM(E64/1000)</f>
        <v>4.2919999999999998</v>
      </c>
      <c r="G64" s="13">
        <v>176.61</v>
      </c>
      <c r="H64" s="79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7.75" hidden="1" customHeight="1">
      <c r="A65" s="33"/>
      <c r="B65" s="14" t="s">
        <v>49</v>
      </c>
      <c r="C65" s="16" t="s">
        <v>76</v>
      </c>
      <c r="D65" s="14" t="s">
        <v>53</v>
      </c>
      <c r="E65" s="66">
        <v>510</v>
      </c>
      <c r="F65" s="13">
        <f>SUM(E65/100)</f>
        <v>5.0999999999999996</v>
      </c>
      <c r="G65" s="13">
        <v>2217.7800000000002</v>
      </c>
      <c r="H65" s="79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hidden="1" customHeight="1">
      <c r="A66" s="33"/>
      <c r="B66" s="80" t="s">
        <v>120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42.67</v>
      </c>
      <c r="H66" s="79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27"/>
      <c r="S66" s="127"/>
      <c r="T66" s="127"/>
      <c r="U66" s="127"/>
    </row>
    <row r="67" spans="1:21" ht="20.25" hidden="1" customHeight="1">
      <c r="A67" s="33"/>
      <c r="B67" s="80" t="s">
        <v>121</v>
      </c>
      <c r="C67" s="16" t="s">
        <v>31</v>
      </c>
      <c r="D67" s="14"/>
      <c r="E67" s="66">
        <v>4.5999999999999996</v>
      </c>
      <c r="F67" s="13">
        <f>SUM(E67)</f>
        <v>4.5999999999999996</v>
      </c>
      <c r="G67" s="13">
        <v>39.81</v>
      </c>
      <c r="H67" s="79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1.75" hidden="1" customHeight="1">
      <c r="A68" s="33"/>
      <c r="B68" s="14" t="s">
        <v>57</v>
      </c>
      <c r="C68" s="16" t="s">
        <v>58</v>
      </c>
      <c r="D68" s="14" t="s">
        <v>53</v>
      </c>
      <c r="E68" s="18">
        <v>3</v>
      </c>
      <c r="F68" s="67">
        <v>3</v>
      </c>
      <c r="G68" s="13">
        <v>53.32</v>
      </c>
      <c r="H68" s="79">
        <f t="shared" si="6"/>
        <v>0.15996000000000002</v>
      </c>
      <c r="I68" s="13">
        <v>0</v>
      </c>
    </row>
    <row r="69" spans="1:21" ht="21.75" hidden="1" customHeight="1">
      <c r="A69" s="33"/>
      <c r="B69" s="51" t="s">
        <v>71</v>
      </c>
      <c r="C69" s="16"/>
      <c r="D69" s="14"/>
      <c r="E69" s="18"/>
      <c r="F69" s="13"/>
      <c r="G69" s="13"/>
      <c r="H69" s="79" t="s">
        <v>135</v>
      </c>
      <c r="I69" s="13"/>
    </row>
    <row r="70" spans="1:21" ht="20.25" hidden="1" customHeight="1">
      <c r="A70" s="33"/>
      <c r="B70" s="14" t="s">
        <v>72</v>
      </c>
      <c r="C70" s="16" t="s">
        <v>74</v>
      </c>
      <c r="D70" s="14"/>
      <c r="E70" s="18">
        <v>2</v>
      </c>
      <c r="F70" s="13">
        <v>0.2</v>
      </c>
      <c r="G70" s="13">
        <v>536.23</v>
      </c>
      <c r="H70" s="79">
        <f t="shared" si="6"/>
        <v>0.10724600000000001</v>
      </c>
      <c r="I70" s="13">
        <v>0</v>
      </c>
    </row>
    <row r="71" spans="1:21" ht="19.5" hidden="1" customHeight="1">
      <c r="A71" s="33"/>
      <c r="B71" s="14" t="s">
        <v>73</v>
      </c>
      <c r="C71" s="16" t="s">
        <v>29</v>
      </c>
      <c r="D71" s="14"/>
      <c r="E71" s="18">
        <v>1</v>
      </c>
      <c r="F71" s="60">
        <v>1</v>
      </c>
      <c r="G71" s="13">
        <v>911.85</v>
      </c>
      <c r="H71" s="79">
        <f t="shared" si="6"/>
        <v>0.91185000000000005</v>
      </c>
      <c r="I71" s="13">
        <v>0</v>
      </c>
    </row>
    <row r="72" spans="1:21" ht="21" hidden="1" customHeight="1">
      <c r="A72" s="33"/>
      <c r="B72" s="14" t="s">
        <v>136</v>
      </c>
      <c r="C72" s="16" t="s">
        <v>137</v>
      </c>
      <c r="D72" s="14"/>
      <c r="E72" s="18"/>
      <c r="F72" s="13"/>
      <c r="G72" s="13">
        <v>31.54</v>
      </c>
      <c r="H72" s="79">
        <f t="shared" si="6"/>
        <v>0</v>
      </c>
      <c r="I72" s="13"/>
    </row>
    <row r="73" spans="1:21" ht="18.75" hidden="1" customHeight="1">
      <c r="A73" s="33"/>
      <c r="B73" s="14" t="s">
        <v>123</v>
      </c>
      <c r="C73" s="16" t="s">
        <v>29</v>
      </c>
      <c r="D73" s="14"/>
      <c r="E73" s="18">
        <v>1</v>
      </c>
      <c r="F73" s="13">
        <v>1</v>
      </c>
      <c r="G73" s="13">
        <v>383.25</v>
      </c>
      <c r="H73" s="79">
        <f>G73*F73/1000</f>
        <v>0.38324999999999998</v>
      </c>
      <c r="I73" s="13">
        <v>0</v>
      </c>
    </row>
    <row r="74" spans="1:21" ht="23.25" hidden="1" customHeight="1">
      <c r="A74" s="33"/>
      <c r="B74" s="82" t="s">
        <v>75</v>
      </c>
      <c r="C74" s="16"/>
      <c r="D74" s="14"/>
      <c r="E74" s="18"/>
      <c r="F74" s="13"/>
      <c r="G74" s="13" t="s">
        <v>135</v>
      </c>
      <c r="H74" s="79" t="s">
        <v>135</v>
      </c>
      <c r="I74" s="13"/>
    </row>
    <row r="75" spans="1:21" ht="18" hidden="1" customHeight="1">
      <c r="A75" s="33"/>
      <c r="B75" s="45" t="s">
        <v>147</v>
      </c>
      <c r="C75" s="16" t="s">
        <v>76</v>
      </c>
      <c r="D75" s="14"/>
      <c r="E75" s="18"/>
      <c r="F75" s="13">
        <v>0.1</v>
      </c>
      <c r="G75" s="13">
        <v>2949.85</v>
      </c>
      <c r="H75" s="79">
        <f t="shared" si="6"/>
        <v>0.294985</v>
      </c>
      <c r="I75" s="13">
        <v>0</v>
      </c>
    </row>
    <row r="76" spans="1:21" ht="19.5" hidden="1" customHeight="1">
      <c r="A76" s="33"/>
      <c r="B76" s="89" t="s">
        <v>92</v>
      </c>
      <c r="C76" s="89"/>
      <c r="D76" s="89"/>
      <c r="E76" s="89"/>
      <c r="F76" s="89"/>
      <c r="G76" s="70"/>
      <c r="H76" s="83">
        <f>SUM(H57:H75)</f>
        <v>39.790287929999998</v>
      </c>
      <c r="I76" s="70"/>
    </row>
    <row r="77" spans="1:21" ht="20.25" hidden="1" customHeight="1">
      <c r="A77" s="33"/>
      <c r="B77" s="87" t="s">
        <v>122</v>
      </c>
      <c r="C77" s="24"/>
      <c r="D77" s="23"/>
      <c r="E77" s="84"/>
      <c r="F77" s="88">
        <v>1</v>
      </c>
      <c r="G77" s="13">
        <v>3124.9</v>
      </c>
      <c r="H77" s="79">
        <f>G77*F77/1000</f>
        <v>3.1249000000000002</v>
      </c>
      <c r="I77" s="13">
        <v>0</v>
      </c>
    </row>
    <row r="78" spans="1:21" ht="15.75" customHeight="1">
      <c r="A78" s="132" t="s">
        <v>151</v>
      </c>
      <c r="B78" s="133"/>
      <c r="C78" s="133"/>
      <c r="D78" s="133"/>
      <c r="E78" s="133"/>
      <c r="F78" s="133"/>
      <c r="G78" s="133"/>
      <c r="H78" s="133"/>
      <c r="I78" s="134"/>
    </row>
    <row r="79" spans="1:21" ht="15.75" customHeight="1">
      <c r="A79" s="33">
        <v>15</v>
      </c>
      <c r="B79" s="64" t="s">
        <v>124</v>
      </c>
      <c r="C79" s="16" t="s">
        <v>54</v>
      </c>
      <c r="D79" s="50"/>
      <c r="E79" s="13">
        <v>1042.5999999999999</v>
      </c>
      <c r="F79" s="13">
        <f>SUM(E79*12)</f>
        <v>12511.199999999999</v>
      </c>
      <c r="G79" s="13">
        <v>2.2400000000000002</v>
      </c>
      <c r="H79" s="79">
        <f>SUM(F79*G79/1000)</f>
        <v>28.025088</v>
      </c>
      <c r="I79" s="13">
        <f>F79/12*G79</f>
        <v>2335.424</v>
      </c>
    </row>
    <row r="80" spans="1:21" ht="31.5" customHeight="1">
      <c r="A80" s="33">
        <v>16</v>
      </c>
      <c r="B80" s="14" t="s">
        <v>77</v>
      </c>
      <c r="C80" s="16"/>
      <c r="D80" s="50"/>
      <c r="E80" s="66">
        <f>E79</f>
        <v>1042.5999999999999</v>
      </c>
      <c r="F80" s="13">
        <f>E80*12</f>
        <v>12511.199999999999</v>
      </c>
      <c r="G80" s="13">
        <v>1.74</v>
      </c>
      <c r="H80" s="79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80</v>
      </c>
      <c r="C81" s="82"/>
      <c r="D81" s="81"/>
      <c r="E81" s="70"/>
      <c r="F81" s="70"/>
      <c r="G81" s="70"/>
      <c r="H81" s="83">
        <f>H80</f>
        <v>21.769487999999999</v>
      </c>
      <c r="I81" s="70">
        <f>I80+I79+I43+I42+I41+I40+I39+I38+I27+I21+I20+I18+I17+I16+I57</f>
        <v>11773.953008483331</v>
      </c>
    </row>
    <row r="82" spans="1:9" ht="15.75" customHeight="1">
      <c r="A82" s="141" t="s">
        <v>60</v>
      </c>
      <c r="B82" s="142"/>
      <c r="C82" s="142"/>
      <c r="D82" s="142"/>
      <c r="E82" s="142"/>
      <c r="F82" s="142"/>
      <c r="G82" s="142"/>
      <c r="H82" s="142"/>
      <c r="I82" s="143"/>
    </row>
    <row r="83" spans="1:9" ht="15.75" customHeight="1">
      <c r="A83" s="33">
        <v>17</v>
      </c>
      <c r="B83" s="75" t="s">
        <v>168</v>
      </c>
      <c r="C83" s="74" t="s">
        <v>169</v>
      </c>
      <c r="D83" s="75"/>
      <c r="E83" s="76"/>
      <c r="F83" s="77">
        <v>200</v>
      </c>
      <c r="G83" s="60">
        <v>1.4</v>
      </c>
      <c r="H83" s="78">
        <f>F83*G83/1000</f>
        <v>0.28000000000000003</v>
      </c>
      <c r="I83" s="99">
        <f>G83*100</f>
        <v>140</v>
      </c>
    </row>
    <row r="84" spans="1:9" ht="31.5" customHeight="1">
      <c r="A84" s="33">
        <v>18</v>
      </c>
      <c r="B84" s="101" t="s">
        <v>177</v>
      </c>
      <c r="C84" s="102" t="s">
        <v>28</v>
      </c>
      <c r="D84" s="14"/>
      <c r="E84" s="18"/>
      <c r="F84" s="13"/>
      <c r="G84" s="37">
        <v>19757.060000000001</v>
      </c>
      <c r="H84" s="60"/>
      <c r="I84" s="99">
        <f>G84*0.599*4/1000</f>
        <v>47.337915760000001</v>
      </c>
    </row>
    <row r="85" spans="1:9" ht="17.25" customHeight="1">
      <c r="A85" s="33">
        <v>19</v>
      </c>
      <c r="B85" s="106" t="s">
        <v>140</v>
      </c>
      <c r="C85" s="107" t="s">
        <v>182</v>
      </c>
      <c r="D85" s="14"/>
      <c r="E85" s="18"/>
      <c r="F85" s="13"/>
      <c r="G85" s="37">
        <v>1730</v>
      </c>
      <c r="H85" s="60"/>
      <c r="I85" s="99">
        <f>G85*1</f>
        <v>1730</v>
      </c>
    </row>
    <row r="86" spans="1:9">
      <c r="A86" s="33"/>
      <c r="B86" s="43" t="s">
        <v>50</v>
      </c>
      <c r="C86" s="39"/>
      <c r="D86" s="46"/>
      <c r="E86" s="39">
        <v>1</v>
      </c>
      <c r="F86" s="39"/>
      <c r="G86" s="39"/>
      <c r="H86" s="39"/>
      <c r="I86" s="35">
        <f>SUM(I83:I85)</f>
        <v>1917.33791576</v>
      </c>
    </row>
    <row r="87" spans="1:9" ht="16.5" customHeight="1">
      <c r="A87" s="33"/>
      <c r="B87" s="45" t="s">
        <v>78</v>
      </c>
      <c r="C87" s="15"/>
      <c r="D87" s="15"/>
      <c r="E87" s="40"/>
      <c r="F87" s="40"/>
      <c r="G87" s="41"/>
      <c r="H87" s="41"/>
      <c r="I87" s="17">
        <v>0</v>
      </c>
    </row>
    <row r="88" spans="1:9" ht="16.5" customHeight="1">
      <c r="A88" s="47"/>
      <c r="B88" s="44" t="s">
        <v>161</v>
      </c>
      <c r="C88" s="36"/>
      <c r="D88" s="36"/>
      <c r="E88" s="36"/>
      <c r="F88" s="36"/>
      <c r="G88" s="36"/>
      <c r="H88" s="36"/>
      <c r="I88" s="42">
        <f>I81+I86</f>
        <v>13691.290924243331</v>
      </c>
    </row>
    <row r="89" spans="1:9" ht="15.75" customHeight="1">
      <c r="A89" s="128" t="s">
        <v>211</v>
      </c>
      <c r="B89" s="128"/>
      <c r="C89" s="128"/>
      <c r="D89" s="128"/>
      <c r="E89" s="128"/>
      <c r="F89" s="128"/>
      <c r="G89" s="128"/>
      <c r="H89" s="128"/>
      <c r="I89" s="128"/>
    </row>
    <row r="90" spans="1:9" ht="15.75" customHeight="1">
      <c r="A90" s="57"/>
      <c r="B90" s="129" t="s">
        <v>212</v>
      </c>
      <c r="C90" s="129"/>
      <c r="D90" s="129"/>
      <c r="E90" s="129"/>
      <c r="F90" s="129"/>
      <c r="G90" s="129"/>
      <c r="H90" s="63"/>
      <c r="I90" s="3"/>
    </row>
    <row r="91" spans="1:9">
      <c r="A91" s="56"/>
      <c r="B91" s="130" t="s">
        <v>6</v>
      </c>
      <c r="C91" s="130"/>
      <c r="D91" s="130"/>
      <c r="E91" s="130"/>
      <c r="F91" s="130"/>
      <c r="G91" s="130"/>
      <c r="H91" s="28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31" t="s">
        <v>7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>
      <c r="A94" s="131" t="s">
        <v>8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>
      <c r="A95" s="136" t="s">
        <v>61</v>
      </c>
      <c r="B95" s="136"/>
      <c r="C95" s="136"/>
      <c r="D95" s="136"/>
      <c r="E95" s="136"/>
      <c r="F95" s="136"/>
      <c r="G95" s="136"/>
      <c r="H95" s="136"/>
      <c r="I95" s="136"/>
    </row>
    <row r="96" spans="1:9" ht="15.75">
      <c r="A96" s="11"/>
    </row>
    <row r="97" spans="1:9" ht="15.75">
      <c r="A97" s="137" t="s">
        <v>9</v>
      </c>
      <c r="B97" s="137"/>
      <c r="C97" s="137"/>
      <c r="D97" s="137"/>
      <c r="E97" s="137"/>
      <c r="F97" s="137"/>
      <c r="G97" s="137"/>
      <c r="H97" s="137"/>
      <c r="I97" s="137"/>
    </row>
    <row r="98" spans="1:9" ht="15.75">
      <c r="A98" s="4"/>
    </row>
    <row r="99" spans="1:9" ht="15.75">
      <c r="B99" s="53" t="s">
        <v>10</v>
      </c>
      <c r="C99" s="138" t="s">
        <v>127</v>
      </c>
      <c r="D99" s="138"/>
      <c r="E99" s="138"/>
      <c r="F99" s="61"/>
      <c r="I99" s="55"/>
    </row>
    <row r="100" spans="1:9">
      <c r="A100" s="56"/>
      <c r="C100" s="130" t="s">
        <v>11</v>
      </c>
      <c r="D100" s="130"/>
      <c r="E100" s="130"/>
      <c r="F100" s="28"/>
      <c r="I100" s="54" t="s">
        <v>12</v>
      </c>
    </row>
    <row r="101" spans="1:9" ht="15.75">
      <c r="A101" s="29"/>
      <c r="C101" s="12"/>
      <c r="D101" s="12"/>
      <c r="G101" s="12"/>
      <c r="H101" s="12"/>
    </row>
    <row r="102" spans="1:9" ht="15.75">
      <c r="B102" s="53" t="s">
        <v>13</v>
      </c>
      <c r="C102" s="139"/>
      <c r="D102" s="139"/>
      <c r="E102" s="139"/>
      <c r="F102" s="62"/>
      <c r="I102" s="55"/>
    </row>
    <row r="103" spans="1:9">
      <c r="A103" s="56"/>
      <c r="C103" s="127" t="s">
        <v>11</v>
      </c>
      <c r="D103" s="127"/>
      <c r="E103" s="127"/>
      <c r="F103" s="56"/>
      <c r="I103" s="54" t="s">
        <v>12</v>
      </c>
    </row>
    <row r="104" spans="1:9" ht="15.75">
      <c r="A104" s="4" t="s">
        <v>14</v>
      </c>
    </row>
    <row r="105" spans="1:9">
      <c r="A105" s="140" t="s">
        <v>15</v>
      </c>
      <c r="B105" s="140"/>
      <c r="C105" s="140"/>
      <c r="D105" s="140"/>
      <c r="E105" s="140"/>
      <c r="F105" s="140"/>
      <c r="G105" s="140"/>
      <c r="H105" s="140"/>
      <c r="I105" s="140"/>
    </row>
    <row r="106" spans="1:9" ht="47.25" customHeight="1">
      <c r="A106" s="135" t="s">
        <v>16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31.5" customHeight="1">
      <c r="A107" s="135" t="s">
        <v>17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31.5" customHeight="1">
      <c r="A108" s="135" t="s">
        <v>21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15.75">
      <c r="A109" s="135" t="s">
        <v>20</v>
      </c>
      <c r="B109" s="135"/>
      <c r="C109" s="135"/>
      <c r="D109" s="135"/>
      <c r="E109" s="135"/>
      <c r="F109" s="135"/>
      <c r="G109" s="135"/>
      <c r="H109" s="135"/>
      <c r="I109" s="135"/>
    </row>
  </sheetData>
  <autoFilter ref="I12:I61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9:I29"/>
    <mergeCell ref="A44:I44"/>
    <mergeCell ref="A55:I55"/>
    <mergeCell ref="A89:I89"/>
    <mergeCell ref="B90:G90"/>
    <mergeCell ref="B91:G91"/>
    <mergeCell ref="A93:I93"/>
    <mergeCell ref="A94:I94"/>
    <mergeCell ref="A82:I82"/>
    <mergeCell ref="R66:U66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83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152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189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43585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hidden="1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31.5" hidden="1" customHeight="1">
      <c r="A30" s="33">
        <v>8</v>
      </c>
      <c r="B30" s="64" t="s">
        <v>110</v>
      </c>
      <c r="C30" s="65" t="s">
        <v>88</v>
      </c>
      <c r="D30" s="64" t="s">
        <v>106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5" si="1">SUM(F30*G30/1000)</f>
        <v>2.0347501356</v>
      </c>
      <c r="I30" s="13">
        <f t="shared" ref="I30:I33" si="2">F30/6*G30</f>
        <v>339.12502259999997</v>
      </c>
      <c r="J30" s="26"/>
      <c r="K30" s="8"/>
      <c r="L30" s="8"/>
      <c r="M30" s="8"/>
    </row>
    <row r="31" spans="1:13" ht="31.5" hidden="1" customHeight="1">
      <c r="A31" s="33">
        <v>9</v>
      </c>
      <c r="B31" s="64" t="s">
        <v>109</v>
      </c>
      <c r="C31" s="65" t="s">
        <v>88</v>
      </c>
      <c r="D31" s="64" t="s">
        <v>107</v>
      </c>
      <c r="E31" s="67">
        <v>48.03</v>
      </c>
      <c r="F31" s="67">
        <f>SUM(E31*78/1000)</f>
        <v>3.74634</v>
      </c>
      <c r="G31" s="67">
        <v>243.54</v>
      </c>
      <c r="H31" s="68">
        <f t="shared" si="1"/>
        <v>0.91238364360000002</v>
      </c>
      <c r="I31" s="13">
        <f t="shared" si="2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1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>
        <v>10</v>
      </c>
      <c r="B33" s="64" t="s">
        <v>108</v>
      </c>
      <c r="C33" s="65" t="s">
        <v>29</v>
      </c>
      <c r="D33" s="64" t="s">
        <v>63</v>
      </c>
      <c r="E33" s="71">
        <v>0.33333333333333331</v>
      </c>
      <c r="F33" s="67">
        <f>155/3</f>
        <v>51.666666666666664</v>
      </c>
      <c r="G33" s="67">
        <v>53.38</v>
      </c>
      <c r="H33" s="68">
        <f>SUM(G33*155/3/1000)</f>
        <v>2.7579666666666669</v>
      </c>
      <c r="I33" s="13">
        <f t="shared" si="2"/>
        <v>459.6611111111111</v>
      </c>
      <c r="J33" s="26"/>
      <c r="K33" s="8"/>
    </row>
    <row r="34" spans="1:14" ht="15.75" hidden="1" customHeight="1">
      <c r="A34" s="33"/>
      <c r="B34" s="64" t="s">
        <v>64</v>
      </c>
      <c r="C34" s="65" t="s">
        <v>31</v>
      </c>
      <c r="D34" s="64" t="s">
        <v>66</v>
      </c>
      <c r="E34" s="66"/>
      <c r="F34" s="67">
        <v>1</v>
      </c>
      <c r="G34" s="67">
        <v>180.15</v>
      </c>
      <c r="H34" s="68">
        <f t="shared" si="1"/>
        <v>0.18015</v>
      </c>
      <c r="I34" s="13">
        <v>0</v>
      </c>
      <c r="J34" s="27"/>
    </row>
    <row r="35" spans="1:14" ht="15.75" hidden="1" customHeight="1">
      <c r="A35" s="33"/>
      <c r="B35" s="64" t="s">
        <v>65</v>
      </c>
      <c r="C35" s="65" t="s">
        <v>30</v>
      </c>
      <c r="D35" s="64" t="s">
        <v>66</v>
      </c>
      <c r="E35" s="66"/>
      <c r="F35" s="67">
        <v>1</v>
      </c>
      <c r="G35" s="67">
        <v>1214.74</v>
      </c>
      <c r="H35" s="68">
        <f t="shared" si="1"/>
        <v>1.2147399999999999</v>
      </c>
      <c r="I35" s="13">
        <v>0</v>
      </c>
      <c r="J35" s="27"/>
    </row>
    <row r="36" spans="1:14" ht="15.75" customHeight="1">
      <c r="A36" s="33"/>
      <c r="B36" s="85" t="s">
        <v>5</v>
      </c>
      <c r="C36" s="65"/>
      <c r="D36" s="64"/>
      <c r="E36" s="66"/>
      <c r="F36" s="67"/>
      <c r="G36" s="67"/>
      <c r="H36" s="68" t="s">
        <v>135</v>
      </c>
      <c r="I36" s="13"/>
      <c r="J36" s="27"/>
    </row>
    <row r="37" spans="1:14" ht="15.75" customHeight="1">
      <c r="A37" s="33">
        <v>6</v>
      </c>
      <c r="B37" s="64" t="s">
        <v>25</v>
      </c>
      <c r="C37" s="65" t="s">
        <v>30</v>
      </c>
      <c r="D37" s="64"/>
      <c r="E37" s="66"/>
      <c r="F37" s="67">
        <v>3</v>
      </c>
      <c r="G37" s="67">
        <v>1632.6</v>
      </c>
      <c r="H37" s="68">
        <f t="shared" ref="H37:H42" si="3">SUM(F37*G37/1000)</f>
        <v>4.8977999999999993</v>
      </c>
      <c r="I37" s="13">
        <f>G37*1.2</f>
        <v>1959.12</v>
      </c>
      <c r="J37" s="27"/>
    </row>
    <row r="38" spans="1:14" ht="15.75" customHeight="1">
      <c r="A38" s="33">
        <v>7</v>
      </c>
      <c r="B38" s="64" t="s">
        <v>111</v>
      </c>
      <c r="C38" s="65" t="s">
        <v>28</v>
      </c>
      <c r="D38" s="64" t="s">
        <v>203</v>
      </c>
      <c r="E38" s="66">
        <v>48.03</v>
      </c>
      <c r="F38" s="67">
        <v>1.44</v>
      </c>
      <c r="G38" s="67">
        <v>1979.95</v>
      </c>
      <c r="H38" s="68">
        <f>G38*F38/1000</f>
        <v>2.8511280000000001</v>
      </c>
      <c r="I38" s="13">
        <f t="shared" ref="I38:I40" si="4">F38/6*G38</f>
        <v>475.18799999999999</v>
      </c>
      <c r="J38" s="27"/>
      <c r="L38" s="20"/>
      <c r="M38" s="21"/>
      <c r="N38" s="22"/>
    </row>
    <row r="39" spans="1:14" ht="15.75" customHeight="1">
      <c r="A39" s="33">
        <v>8</v>
      </c>
      <c r="B39" s="64" t="s">
        <v>67</v>
      </c>
      <c r="C39" s="65" t="s">
        <v>28</v>
      </c>
      <c r="D39" s="64" t="s">
        <v>204</v>
      </c>
      <c r="E39" s="67">
        <v>48.03</v>
      </c>
      <c r="F39" s="67">
        <f>SUM(E39*155/1000)</f>
        <v>7.4446500000000002</v>
      </c>
      <c r="G39" s="67">
        <v>330.27</v>
      </c>
      <c r="H39" s="68">
        <f t="shared" si="3"/>
        <v>2.4587445555</v>
      </c>
      <c r="I39" s="13">
        <f t="shared" si="4"/>
        <v>409.79075924999995</v>
      </c>
      <c r="J39" s="27"/>
      <c r="L39" s="20"/>
      <c r="M39" s="21"/>
      <c r="N39" s="22"/>
    </row>
    <row r="40" spans="1:14" ht="47.25" customHeight="1">
      <c r="A40" s="33">
        <v>9</v>
      </c>
      <c r="B40" s="64" t="s">
        <v>81</v>
      </c>
      <c r="C40" s="65" t="s">
        <v>88</v>
      </c>
      <c r="D40" s="64" t="s">
        <v>205</v>
      </c>
      <c r="E40" s="67">
        <v>48.03</v>
      </c>
      <c r="F40" s="67">
        <f>SUM(E40*35/1000)</f>
        <v>1.6810499999999999</v>
      </c>
      <c r="G40" s="67">
        <v>5464.48</v>
      </c>
      <c r="H40" s="68">
        <f t="shared" si="3"/>
        <v>9.1860641039999997</v>
      </c>
      <c r="I40" s="13">
        <f t="shared" si="4"/>
        <v>1531.0106839999999</v>
      </c>
      <c r="J40" s="27"/>
      <c r="L40" s="20"/>
      <c r="M40" s="21"/>
      <c r="N40" s="22"/>
    </row>
    <row r="41" spans="1:14" ht="15.75" customHeight="1">
      <c r="A41" s="33">
        <v>10</v>
      </c>
      <c r="B41" s="64" t="s">
        <v>89</v>
      </c>
      <c r="C41" s="65" t="s">
        <v>88</v>
      </c>
      <c r="D41" s="64" t="s">
        <v>206</v>
      </c>
      <c r="E41" s="67">
        <v>48.03</v>
      </c>
      <c r="F41" s="67">
        <f>SUM(E41*45/1000)</f>
        <v>2.1613500000000001</v>
      </c>
      <c r="G41" s="67">
        <v>403.67</v>
      </c>
      <c r="H41" s="68">
        <f t="shared" si="3"/>
        <v>0.87247215450000015</v>
      </c>
      <c r="I41" s="13">
        <f>F41/7.5*1.5*G41</f>
        <v>174.4944309</v>
      </c>
      <c r="J41" s="27"/>
      <c r="L41" s="20"/>
      <c r="M41" s="21"/>
      <c r="N41" s="22"/>
    </row>
    <row r="42" spans="1:14" ht="15.75" customHeight="1">
      <c r="A42" s="33">
        <v>11</v>
      </c>
      <c r="B42" s="64" t="s">
        <v>69</v>
      </c>
      <c r="C42" s="65" t="s">
        <v>31</v>
      </c>
      <c r="D42" s="64"/>
      <c r="E42" s="66"/>
      <c r="F42" s="67">
        <v>0.53</v>
      </c>
      <c r="G42" s="67">
        <v>750.34</v>
      </c>
      <c r="H42" s="68">
        <f t="shared" si="3"/>
        <v>0.39768020000000004</v>
      </c>
      <c r="I42" s="13">
        <f>F42/7.5*1.5*G42</f>
        <v>79.536040000000014</v>
      </c>
      <c r="J42" s="27"/>
      <c r="L42" s="20"/>
      <c r="M42" s="21"/>
      <c r="N42" s="22"/>
    </row>
    <row r="43" spans="1:14" ht="17.25" hidden="1" customHeight="1">
      <c r="A43" s="132" t="s">
        <v>128</v>
      </c>
      <c r="B43" s="133"/>
      <c r="C43" s="133"/>
      <c r="D43" s="133"/>
      <c r="E43" s="133"/>
      <c r="F43" s="133"/>
      <c r="G43" s="133"/>
      <c r="H43" s="133"/>
      <c r="I43" s="134"/>
      <c r="J43" s="27"/>
      <c r="L43" s="20"/>
      <c r="M43" s="21"/>
      <c r="N43" s="22"/>
    </row>
    <row r="44" spans="1:14" ht="30" hidden="1" customHeight="1">
      <c r="A44" s="33"/>
      <c r="B44" s="64" t="s">
        <v>113</v>
      </c>
      <c r="C44" s="65" t="s">
        <v>88</v>
      </c>
      <c r="D44" s="64" t="s">
        <v>41</v>
      </c>
      <c r="E44" s="66">
        <v>636.25</v>
      </c>
      <c r="F44" s="67">
        <f>SUM(E44*2/1000)</f>
        <v>1.2725</v>
      </c>
      <c r="G44" s="13">
        <v>762.53</v>
      </c>
      <c r="H44" s="68">
        <f t="shared" ref="H44:H53" si="5">SUM(F44*G44/1000)</f>
        <v>0.9703194249999999</v>
      </c>
      <c r="I44" s="13">
        <v>0</v>
      </c>
      <c r="J44" s="27"/>
      <c r="L44" s="20"/>
      <c r="M44" s="21"/>
      <c r="N44" s="22"/>
    </row>
    <row r="45" spans="1:14" ht="36.75" hidden="1" customHeight="1">
      <c r="A45" s="33"/>
      <c r="B45" s="64" t="s">
        <v>34</v>
      </c>
      <c r="C45" s="65" t="s">
        <v>88</v>
      </c>
      <c r="D45" s="64" t="s">
        <v>41</v>
      </c>
      <c r="E45" s="66">
        <v>26</v>
      </c>
      <c r="F45" s="67">
        <f>SUM(E45*2/1000)</f>
        <v>5.1999999999999998E-2</v>
      </c>
      <c r="G45" s="13">
        <v>545.65</v>
      </c>
      <c r="H45" s="68">
        <f t="shared" si="5"/>
        <v>2.8373799999999998E-2</v>
      </c>
      <c r="I45" s="13">
        <v>0</v>
      </c>
      <c r="J45" s="27"/>
      <c r="L45" s="20"/>
      <c r="M45" s="21"/>
      <c r="N45" s="22"/>
    </row>
    <row r="46" spans="1:14" ht="33" hidden="1" customHeight="1">
      <c r="A46" s="33"/>
      <c r="B46" s="64" t="s">
        <v>35</v>
      </c>
      <c r="C46" s="65" t="s">
        <v>88</v>
      </c>
      <c r="D46" s="64" t="s">
        <v>41</v>
      </c>
      <c r="E46" s="66">
        <v>579</v>
      </c>
      <c r="F46" s="67">
        <f>SUM(E46*2/1000)</f>
        <v>1.1579999999999999</v>
      </c>
      <c r="G46" s="13">
        <v>545.65</v>
      </c>
      <c r="H46" s="68">
        <f t="shared" si="5"/>
        <v>0.63186269999999989</v>
      </c>
      <c r="I46" s="13">
        <v>0</v>
      </c>
      <c r="J46" s="27"/>
      <c r="L46" s="20"/>
      <c r="M46" s="21"/>
      <c r="N46" s="22"/>
    </row>
    <row r="47" spans="1:14" ht="32.25" hidden="1" customHeight="1">
      <c r="A47" s="33"/>
      <c r="B47" s="64" t="s">
        <v>36</v>
      </c>
      <c r="C47" s="65" t="s">
        <v>88</v>
      </c>
      <c r="D47" s="64" t="s">
        <v>41</v>
      </c>
      <c r="E47" s="66">
        <v>683.33</v>
      </c>
      <c r="F47" s="67">
        <f>SUM(E47*2/1000)</f>
        <v>1.36666</v>
      </c>
      <c r="G47" s="13">
        <v>571.35</v>
      </c>
      <c r="H47" s="68">
        <f t="shared" si="5"/>
        <v>0.78084119099999993</v>
      </c>
      <c r="I47" s="13">
        <v>0</v>
      </c>
      <c r="J47" s="27"/>
      <c r="L47" s="20"/>
      <c r="M47" s="21"/>
      <c r="N47" s="22"/>
    </row>
    <row r="48" spans="1:14" ht="28.5" hidden="1" customHeight="1">
      <c r="A48" s="33"/>
      <c r="B48" s="64" t="s">
        <v>32</v>
      </c>
      <c r="C48" s="65" t="s">
        <v>33</v>
      </c>
      <c r="D48" s="64" t="s">
        <v>41</v>
      </c>
      <c r="E48" s="66">
        <v>44.11</v>
      </c>
      <c r="F48" s="67">
        <f>SUM(E48*2/100)</f>
        <v>0.88219999999999998</v>
      </c>
      <c r="G48" s="13">
        <v>68.56</v>
      </c>
      <c r="H48" s="68">
        <f t="shared" si="5"/>
        <v>6.0483632000000002E-2</v>
      </c>
      <c r="I48" s="13">
        <v>0</v>
      </c>
      <c r="J48" s="27"/>
      <c r="L48" s="20"/>
      <c r="M48" s="21"/>
      <c r="N48" s="22"/>
    </row>
    <row r="49" spans="1:22" ht="31.5" hidden="1" customHeight="1">
      <c r="A49" s="33">
        <v>14</v>
      </c>
      <c r="B49" s="64" t="s">
        <v>56</v>
      </c>
      <c r="C49" s="65" t="s">
        <v>88</v>
      </c>
      <c r="D49" s="64" t="s">
        <v>129</v>
      </c>
      <c r="E49" s="66">
        <v>1140</v>
      </c>
      <c r="F49" s="67">
        <f>SUM(E49*5/1000)</f>
        <v>5.7</v>
      </c>
      <c r="G49" s="13">
        <v>1142.7</v>
      </c>
      <c r="H49" s="68">
        <f t="shared" si="5"/>
        <v>6.5133900000000002</v>
      </c>
      <c r="I49" s="13">
        <f>F49/5*G49</f>
        <v>1302.6780000000001</v>
      </c>
      <c r="J49" s="27"/>
      <c r="L49" s="20"/>
      <c r="M49" s="21"/>
      <c r="N49" s="22"/>
    </row>
    <row r="50" spans="1:22" ht="33" hidden="1" customHeight="1">
      <c r="A50" s="33">
        <v>13</v>
      </c>
      <c r="B50" s="64" t="s">
        <v>90</v>
      </c>
      <c r="C50" s="65" t="s">
        <v>88</v>
      </c>
      <c r="D50" s="64" t="s">
        <v>41</v>
      </c>
      <c r="E50" s="66">
        <v>1140</v>
      </c>
      <c r="F50" s="67">
        <f>SUM(E50*2/1000)</f>
        <v>2.2799999999999998</v>
      </c>
      <c r="G50" s="13">
        <v>1142.7</v>
      </c>
      <c r="H50" s="68">
        <f t="shared" si="5"/>
        <v>2.6053559999999996</v>
      </c>
      <c r="I50" s="13">
        <f>F50/2*G50</f>
        <v>1302.6779999999999</v>
      </c>
      <c r="J50" s="27"/>
      <c r="L50" s="20"/>
      <c r="M50" s="21"/>
      <c r="N50" s="22"/>
    </row>
    <row r="51" spans="1:22" ht="31.5" hidden="1" customHeight="1">
      <c r="A51" s="33">
        <v>14</v>
      </c>
      <c r="B51" s="64" t="s">
        <v>91</v>
      </c>
      <c r="C51" s="65" t="s">
        <v>37</v>
      </c>
      <c r="D51" s="64" t="s">
        <v>41</v>
      </c>
      <c r="E51" s="66">
        <v>9</v>
      </c>
      <c r="F51" s="67">
        <f>SUM(E51*2/100)</f>
        <v>0.18</v>
      </c>
      <c r="G51" s="13">
        <v>2571.08</v>
      </c>
      <c r="H51" s="68">
        <f t="shared" si="5"/>
        <v>0.46279439999999999</v>
      </c>
      <c r="I51" s="13">
        <f t="shared" ref="I51:I52" si="6">F51/2*G51</f>
        <v>231.3972</v>
      </c>
      <c r="J51" s="27"/>
      <c r="L51" s="20"/>
      <c r="M51" s="21"/>
      <c r="N51" s="22"/>
    </row>
    <row r="52" spans="1:22" ht="25.5" hidden="1" customHeight="1">
      <c r="A52" s="33">
        <v>15</v>
      </c>
      <c r="B52" s="64" t="s">
        <v>38</v>
      </c>
      <c r="C52" s="65" t="s">
        <v>39</v>
      </c>
      <c r="D52" s="64" t="s">
        <v>41</v>
      </c>
      <c r="E52" s="66">
        <v>1</v>
      </c>
      <c r="F52" s="67">
        <v>0.02</v>
      </c>
      <c r="G52" s="13">
        <v>5322.15</v>
      </c>
      <c r="H52" s="68">
        <f t="shared" si="5"/>
        <v>0.106443</v>
      </c>
      <c r="I52" s="13">
        <f t="shared" si="6"/>
        <v>53.221499999999999</v>
      </c>
      <c r="J52" s="27"/>
      <c r="L52" s="20"/>
      <c r="M52" s="21"/>
      <c r="N52" s="22"/>
    </row>
    <row r="53" spans="1:22" ht="26.25" hidden="1" customHeight="1">
      <c r="A53" s="33">
        <v>16</v>
      </c>
      <c r="B53" s="64" t="s">
        <v>40</v>
      </c>
      <c r="C53" s="65" t="s">
        <v>114</v>
      </c>
      <c r="D53" s="64" t="s">
        <v>70</v>
      </c>
      <c r="E53" s="66">
        <v>36</v>
      </c>
      <c r="F53" s="67">
        <f>SUM(E53)*3</f>
        <v>108</v>
      </c>
      <c r="G53" s="13">
        <v>61.84</v>
      </c>
      <c r="H53" s="68">
        <f t="shared" si="5"/>
        <v>6.6787200000000002</v>
      </c>
      <c r="I53" s="13">
        <f>E53*G53</f>
        <v>2226.2400000000002</v>
      </c>
      <c r="J53" s="27"/>
      <c r="L53" s="20"/>
      <c r="M53" s="21"/>
      <c r="N53" s="22"/>
    </row>
    <row r="54" spans="1:22" ht="15.75" customHeight="1">
      <c r="A54" s="132" t="s">
        <v>150</v>
      </c>
      <c r="B54" s="133"/>
      <c r="C54" s="133"/>
      <c r="D54" s="133"/>
      <c r="E54" s="133"/>
      <c r="F54" s="133"/>
      <c r="G54" s="133"/>
      <c r="H54" s="133"/>
      <c r="I54" s="134"/>
      <c r="J54" s="27"/>
      <c r="L54" s="20"/>
      <c r="M54" s="21"/>
      <c r="N54" s="22"/>
    </row>
    <row r="55" spans="1:22" ht="15.75" customHeight="1">
      <c r="A55" s="33"/>
      <c r="B55" s="85" t="s">
        <v>42</v>
      </c>
      <c r="C55" s="65"/>
      <c r="D55" s="64"/>
      <c r="E55" s="66"/>
      <c r="F55" s="67"/>
      <c r="G55" s="67"/>
      <c r="H55" s="68"/>
      <c r="I55" s="13"/>
      <c r="J55" s="27"/>
      <c r="L55" s="20"/>
      <c r="M55" s="21"/>
      <c r="N55" s="22"/>
    </row>
    <row r="56" spans="1:22" ht="31.5" customHeight="1">
      <c r="A56" s="33">
        <v>12</v>
      </c>
      <c r="B56" s="64" t="s">
        <v>115</v>
      </c>
      <c r="C56" s="65" t="s">
        <v>85</v>
      </c>
      <c r="D56" s="100" t="s">
        <v>170</v>
      </c>
      <c r="E56" s="66">
        <v>72.33</v>
      </c>
      <c r="F56" s="67">
        <f>SUM(E56*6/100)</f>
        <v>4.3398000000000003</v>
      </c>
      <c r="G56" s="13">
        <v>1456.95</v>
      </c>
      <c r="H56" s="68">
        <f>SUM(F56*G56/1000)</f>
        <v>6.3228716100000009</v>
      </c>
      <c r="I56" s="13">
        <f>G56*1.1342</f>
        <v>1652.4726900000003</v>
      </c>
      <c r="J56" s="27"/>
      <c r="L56" s="20"/>
      <c r="M56" s="21"/>
      <c r="N56" s="22"/>
    </row>
    <row r="57" spans="1:22" ht="15.75" hidden="1" customHeight="1">
      <c r="A57" s="33"/>
      <c r="B57" s="85" t="s">
        <v>43</v>
      </c>
      <c r="C57" s="65"/>
      <c r="D57" s="64"/>
      <c r="E57" s="66"/>
      <c r="F57" s="67"/>
      <c r="G57" s="60"/>
      <c r="H57" s="68"/>
      <c r="I57" s="13"/>
      <c r="J57" s="27"/>
      <c r="L57" s="20"/>
      <c r="M57" s="21"/>
      <c r="N57" s="22"/>
    </row>
    <row r="58" spans="1:22" ht="15.75" hidden="1" customHeight="1">
      <c r="A58" s="33"/>
      <c r="B58" s="64" t="s">
        <v>117</v>
      </c>
      <c r="C58" s="65"/>
      <c r="D58" s="64" t="s">
        <v>53</v>
      </c>
      <c r="E58" s="66">
        <v>952</v>
      </c>
      <c r="F58" s="68">
        <v>9.52</v>
      </c>
      <c r="G58" s="13">
        <v>848.37</v>
      </c>
      <c r="H58" s="73">
        <f>F58*G58/1000</f>
        <v>8.0764823999999997</v>
      </c>
      <c r="I58" s="13">
        <v>0</v>
      </c>
      <c r="J58" s="27"/>
      <c r="L58" s="20"/>
    </row>
    <row r="59" spans="1:22" ht="15.75" hidden="1" customHeight="1">
      <c r="A59" s="33"/>
      <c r="B59" s="86" t="s">
        <v>44</v>
      </c>
      <c r="C59" s="74"/>
      <c r="D59" s="75"/>
      <c r="E59" s="76"/>
      <c r="F59" s="77"/>
      <c r="G59" s="77"/>
      <c r="H59" s="78" t="s">
        <v>135</v>
      </c>
      <c r="I59" s="13"/>
    </row>
    <row r="60" spans="1:22" ht="15.75" hidden="1" customHeight="1">
      <c r="A60" s="33">
        <v>17</v>
      </c>
      <c r="B60" s="14" t="s">
        <v>45</v>
      </c>
      <c r="C60" s="16" t="s">
        <v>114</v>
      </c>
      <c r="D60" s="14" t="s">
        <v>66</v>
      </c>
      <c r="E60" s="18">
        <v>5</v>
      </c>
      <c r="F60" s="67">
        <v>5</v>
      </c>
      <c r="G60" s="13">
        <v>237.74</v>
      </c>
      <c r="H60" s="79">
        <f t="shared" ref="H60:H74" si="7">SUM(F60*G60/1000)</f>
        <v>1.1887000000000001</v>
      </c>
      <c r="I60" s="13">
        <f>G60</f>
        <v>237.74</v>
      </c>
    </row>
    <row r="61" spans="1:22" ht="15.75" hidden="1" customHeight="1">
      <c r="A61" s="33"/>
      <c r="B61" s="14" t="s">
        <v>46</v>
      </c>
      <c r="C61" s="16" t="s">
        <v>114</v>
      </c>
      <c r="D61" s="14" t="s">
        <v>66</v>
      </c>
      <c r="E61" s="18">
        <v>2</v>
      </c>
      <c r="F61" s="67">
        <v>2</v>
      </c>
      <c r="G61" s="13">
        <v>81.510000000000005</v>
      </c>
      <c r="H61" s="79">
        <f t="shared" si="7"/>
        <v>0.16302</v>
      </c>
      <c r="I61" s="13">
        <v>0</v>
      </c>
    </row>
    <row r="62" spans="1:22" ht="15.75" hidden="1" customHeight="1">
      <c r="A62" s="33"/>
      <c r="B62" s="14" t="s">
        <v>47</v>
      </c>
      <c r="C62" s="16" t="s">
        <v>118</v>
      </c>
      <c r="D62" s="14" t="s">
        <v>53</v>
      </c>
      <c r="E62" s="66">
        <v>4292</v>
      </c>
      <c r="F62" s="13">
        <f>SUM(E62/100)</f>
        <v>42.92</v>
      </c>
      <c r="G62" s="13">
        <v>226.79</v>
      </c>
      <c r="H62" s="79">
        <f t="shared" si="7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3"/>
      <c r="B63" s="14" t="s">
        <v>48</v>
      </c>
      <c r="C63" s="16" t="s">
        <v>119</v>
      </c>
      <c r="D63" s="14"/>
      <c r="E63" s="66">
        <v>4292</v>
      </c>
      <c r="F63" s="13">
        <f>SUM(E63/1000)</f>
        <v>4.2919999999999998</v>
      </c>
      <c r="G63" s="13">
        <v>176.61</v>
      </c>
      <c r="H63" s="79">
        <f t="shared" si="7"/>
        <v>0.75801012000000001</v>
      </c>
      <c r="I63" s="13">
        <v>0</v>
      </c>
      <c r="J63" s="29"/>
      <c r="K63" s="29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3"/>
      <c r="B64" s="14" t="s">
        <v>49</v>
      </c>
      <c r="C64" s="16" t="s">
        <v>76</v>
      </c>
      <c r="D64" s="14" t="s">
        <v>53</v>
      </c>
      <c r="E64" s="66">
        <v>510</v>
      </c>
      <c r="F64" s="13">
        <f>SUM(E64/100)</f>
        <v>5.0999999999999996</v>
      </c>
      <c r="G64" s="13">
        <v>2217.7800000000002</v>
      </c>
      <c r="H64" s="79">
        <f t="shared" si="7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3"/>
      <c r="B65" s="80" t="s">
        <v>120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42.67</v>
      </c>
      <c r="H65" s="79">
        <f t="shared" si="7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27"/>
      <c r="S65" s="127"/>
      <c r="T65" s="127"/>
      <c r="U65" s="127"/>
    </row>
    <row r="66" spans="1:21" ht="15.75" hidden="1" customHeight="1">
      <c r="A66" s="33"/>
      <c r="B66" s="80" t="s">
        <v>121</v>
      </c>
      <c r="C66" s="16" t="s">
        <v>31</v>
      </c>
      <c r="D66" s="14"/>
      <c r="E66" s="66">
        <v>4.5999999999999996</v>
      </c>
      <c r="F66" s="13">
        <f>SUM(E66)</f>
        <v>4.5999999999999996</v>
      </c>
      <c r="G66" s="13">
        <v>39.81</v>
      </c>
      <c r="H66" s="79">
        <f t="shared" si="7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3"/>
      <c r="B67" s="14" t="s">
        <v>57</v>
      </c>
      <c r="C67" s="16" t="s">
        <v>58</v>
      </c>
      <c r="D67" s="14" t="s">
        <v>53</v>
      </c>
      <c r="E67" s="18">
        <v>3</v>
      </c>
      <c r="F67" s="67">
        <v>3</v>
      </c>
      <c r="G67" s="13">
        <v>53.32</v>
      </c>
      <c r="H67" s="79">
        <f t="shared" si="7"/>
        <v>0.15996000000000002</v>
      </c>
      <c r="I67" s="13">
        <v>0</v>
      </c>
    </row>
    <row r="68" spans="1:21" ht="21" customHeight="1">
      <c r="A68" s="33"/>
      <c r="B68" s="51" t="s">
        <v>71</v>
      </c>
      <c r="C68" s="16"/>
      <c r="D68" s="14"/>
      <c r="E68" s="18"/>
      <c r="F68" s="13"/>
      <c r="G68" s="13"/>
      <c r="H68" s="79" t="s">
        <v>135</v>
      </c>
      <c r="I68" s="13"/>
    </row>
    <row r="69" spans="1:21" ht="18" hidden="1" customHeight="1">
      <c r="A69" s="33"/>
      <c r="B69" s="14" t="s">
        <v>72</v>
      </c>
      <c r="C69" s="16" t="s">
        <v>74</v>
      </c>
      <c r="D69" s="14"/>
      <c r="E69" s="18">
        <v>2</v>
      </c>
      <c r="F69" s="13">
        <v>0.2</v>
      </c>
      <c r="G69" s="13">
        <v>536.23</v>
      </c>
      <c r="H69" s="79">
        <f t="shared" si="7"/>
        <v>0.10724600000000001</v>
      </c>
      <c r="I69" s="13">
        <v>0</v>
      </c>
    </row>
    <row r="70" spans="1:21" ht="18" hidden="1" customHeight="1">
      <c r="A70" s="33"/>
      <c r="B70" s="14" t="s">
        <v>73</v>
      </c>
      <c r="C70" s="16" t="s">
        <v>29</v>
      </c>
      <c r="D70" s="14"/>
      <c r="E70" s="18">
        <v>1</v>
      </c>
      <c r="F70" s="60">
        <v>1</v>
      </c>
      <c r="G70" s="13">
        <v>911.85</v>
      </c>
      <c r="H70" s="79">
        <f t="shared" si="7"/>
        <v>0.91185000000000005</v>
      </c>
      <c r="I70" s="13">
        <v>0</v>
      </c>
    </row>
    <row r="71" spans="1:21" ht="20.25" hidden="1" customHeight="1">
      <c r="A71" s="33"/>
      <c r="B71" s="14" t="s">
        <v>136</v>
      </c>
      <c r="C71" s="16" t="s">
        <v>137</v>
      </c>
      <c r="D71" s="14"/>
      <c r="E71" s="18"/>
      <c r="F71" s="13"/>
      <c r="G71" s="13">
        <v>31.54</v>
      </c>
      <c r="H71" s="79">
        <f t="shared" si="7"/>
        <v>0</v>
      </c>
      <c r="I71" s="13"/>
    </row>
    <row r="72" spans="1:21" ht="17.25" customHeight="1">
      <c r="A72" s="33">
        <v>13</v>
      </c>
      <c r="B72" s="14" t="s">
        <v>123</v>
      </c>
      <c r="C72" s="16" t="s">
        <v>29</v>
      </c>
      <c r="D72" s="14"/>
      <c r="E72" s="18">
        <v>1</v>
      </c>
      <c r="F72" s="13">
        <v>1</v>
      </c>
      <c r="G72" s="13">
        <v>383.25</v>
      </c>
      <c r="H72" s="79">
        <f>G72*F72/1000</f>
        <v>0.38324999999999998</v>
      </c>
      <c r="I72" s="13">
        <f>G72*1</f>
        <v>383.25</v>
      </c>
    </row>
    <row r="73" spans="1:21" ht="18" hidden="1" customHeight="1">
      <c r="A73" s="33"/>
      <c r="B73" s="82" t="s">
        <v>75</v>
      </c>
      <c r="C73" s="16"/>
      <c r="D73" s="14"/>
      <c r="E73" s="18"/>
      <c r="F73" s="13"/>
      <c r="G73" s="13" t="s">
        <v>135</v>
      </c>
      <c r="H73" s="79" t="s">
        <v>135</v>
      </c>
      <c r="I73" s="13"/>
    </row>
    <row r="74" spans="1:21" ht="18.75" hidden="1" customHeight="1">
      <c r="A74" s="33"/>
      <c r="B74" s="45" t="s">
        <v>147</v>
      </c>
      <c r="C74" s="16" t="s">
        <v>76</v>
      </c>
      <c r="D74" s="14"/>
      <c r="E74" s="18"/>
      <c r="F74" s="13">
        <v>0.1</v>
      </c>
      <c r="G74" s="13">
        <v>2949.85</v>
      </c>
      <c r="H74" s="79">
        <f t="shared" si="7"/>
        <v>0.294985</v>
      </c>
      <c r="I74" s="13">
        <v>0</v>
      </c>
    </row>
    <row r="75" spans="1:21" ht="18" hidden="1" customHeight="1">
      <c r="A75" s="33"/>
      <c r="B75" s="89" t="s">
        <v>92</v>
      </c>
      <c r="C75" s="89"/>
      <c r="D75" s="89"/>
      <c r="E75" s="89"/>
      <c r="F75" s="89"/>
      <c r="G75" s="70"/>
      <c r="H75" s="83">
        <f>SUM(H56:H74)</f>
        <v>39.790287929999998</v>
      </c>
      <c r="I75" s="70"/>
    </row>
    <row r="76" spans="1:21" ht="17.25" hidden="1" customHeight="1">
      <c r="A76" s="33"/>
      <c r="B76" s="87" t="s">
        <v>122</v>
      </c>
      <c r="C76" s="24"/>
      <c r="D76" s="23"/>
      <c r="E76" s="84"/>
      <c r="F76" s="88">
        <v>1</v>
      </c>
      <c r="G76" s="13">
        <v>3124.9</v>
      </c>
      <c r="H76" s="79">
        <f>G76*F76/1000</f>
        <v>3.1249000000000002</v>
      </c>
      <c r="I76" s="13">
        <v>0</v>
      </c>
    </row>
    <row r="77" spans="1:21" ht="15.75" customHeight="1">
      <c r="A77" s="132" t="s">
        <v>151</v>
      </c>
      <c r="B77" s="133"/>
      <c r="C77" s="133"/>
      <c r="D77" s="133"/>
      <c r="E77" s="133"/>
      <c r="F77" s="133"/>
      <c r="G77" s="133"/>
      <c r="H77" s="133"/>
      <c r="I77" s="134"/>
    </row>
    <row r="78" spans="1:21" ht="15.75" customHeight="1">
      <c r="A78" s="33">
        <v>14</v>
      </c>
      <c r="B78" s="64" t="s">
        <v>124</v>
      </c>
      <c r="C78" s="16" t="s">
        <v>54</v>
      </c>
      <c r="D78" s="50"/>
      <c r="E78" s="13">
        <v>1042.5999999999999</v>
      </c>
      <c r="F78" s="13">
        <f>SUM(E78*12)</f>
        <v>12511.199999999999</v>
      </c>
      <c r="G78" s="13">
        <v>2.2400000000000002</v>
      </c>
      <c r="H78" s="79">
        <f>SUM(F78*G78/1000)</f>
        <v>28.025088</v>
      </c>
      <c r="I78" s="13">
        <f>F78/12*G78</f>
        <v>2335.424</v>
      </c>
    </row>
    <row r="79" spans="1:21" ht="31.5" customHeight="1">
      <c r="A79" s="33">
        <v>15</v>
      </c>
      <c r="B79" s="14" t="s">
        <v>77</v>
      </c>
      <c r="C79" s="16"/>
      <c r="D79" s="50"/>
      <c r="E79" s="66">
        <f>E78</f>
        <v>1042.5999999999999</v>
      </c>
      <c r="F79" s="13">
        <f>E79*12</f>
        <v>12511.199999999999</v>
      </c>
      <c r="G79" s="13">
        <v>1.74</v>
      </c>
      <c r="H79" s="79">
        <f>F79*G79/1000</f>
        <v>21.769487999999999</v>
      </c>
      <c r="I79" s="13">
        <f>F79/12*G79</f>
        <v>1814.1239999999998</v>
      </c>
    </row>
    <row r="80" spans="1:21" ht="15.75" customHeight="1">
      <c r="A80" s="33"/>
      <c r="B80" s="38" t="s">
        <v>80</v>
      </c>
      <c r="C80" s="82"/>
      <c r="D80" s="81"/>
      <c r="E80" s="70"/>
      <c r="F80" s="70"/>
      <c r="G80" s="70"/>
      <c r="H80" s="83">
        <f>H79</f>
        <v>21.769487999999999</v>
      </c>
      <c r="I80" s="70">
        <f>I79+I78+I72+I56+I42+I41+I40+I39+I38+I37+I27+I20+I18+I17+I16</f>
        <v>14627.406323483336</v>
      </c>
    </row>
    <row r="81" spans="1:9" ht="15.75" customHeight="1">
      <c r="A81" s="141" t="s">
        <v>60</v>
      </c>
      <c r="B81" s="142"/>
      <c r="C81" s="142"/>
      <c r="D81" s="142"/>
      <c r="E81" s="142"/>
      <c r="F81" s="142"/>
      <c r="G81" s="142"/>
      <c r="H81" s="142"/>
      <c r="I81" s="143"/>
    </row>
    <row r="82" spans="1:9" ht="15.75" customHeight="1">
      <c r="A82" s="33">
        <v>16</v>
      </c>
      <c r="B82" s="75" t="s">
        <v>168</v>
      </c>
      <c r="C82" s="74" t="s">
        <v>169</v>
      </c>
      <c r="D82" s="75"/>
      <c r="E82" s="76"/>
      <c r="F82" s="77">
        <v>200</v>
      </c>
      <c r="G82" s="60">
        <v>1.4</v>
      </c>
      <c r="H82" s="78">
        <f>F82*G82/1000</f>
        <v>0.28000000000000003</v>
      </c>
      <c r="I82" s="99">
        <f>G82*100</f>
        <v>140</v>
      </c>
    </row>
    <row r="83" spans="1:9" ht="15.75" customHeight="1">
      <c r="A83" s="33">
        <v>17</v>
      </c>
      <c r="B83" s="106" t="s">
        <v>140</v>
      </c>
      <c r="C83" s="109" t="s">
        <v>182</v>
      </c>
      <c r="D83" s="45"/>
      <c r="E83" s="13"/>
      <c r="F83" s="13"/>
      <c r="G83" s="103">
        <v>1730</v>
      </c>
      <c r="H83" s="79"/>
      <c r="I83" s="13">
        <f>G83*4</f>
        <v>6920</v>
      </c>
    </row>
    <row r="84" spans="1:9" ht="30" customHeight="1">
      <c r="A84" s="33">
        <v>18</v>
      </c>
      <c r="B84" s="101" t="s">
        <v>138</v>
      </c>
      <c r="C84" s="102" t="s">
        <v>139</v>
      </c>
      <c r="D84" s="45"/>
      <c r="E84" s="13"/>
      <c r="F84" s="13"/>
      <c r="G84" s="37">
        <v>59.21</v>
      </c>
      <c r="H84" s="79"/>
      <c r="I84" s="13">
        <f>G84*1</f>
        <v>59.21</v>
      </c>
    </row>
    <row r="85" spans="1:9" ht="16.5" customHeight="1">
      <c r="A85" s="33">
        <v>19</v>
      </c>
      <c r="B85" s="101" t="s">
        <v>190</v>
      </c>
      <c r="C85" s="102" t="s">
        <v>28</v>
      </c>
      <c r="D85" s="45"/>
      <c r="E85" s="13"/>
      <c r="F85" s="13"/>
      <c r="G85" s="37">
        <v>1160.81</v>
      </c>
      <c r="H85" s="79"/>
      <c r="I85" s="13">
        <f>G85*0.318</f>
        <v>369.13758000000001</v>
      </c>
    </row>
    <row r="86" spans="1:9" ht="30" customHeight="1">
      <c r="A86" s="33">
        <v>20</v>
      </c>
      <c r="B86" s="101" t="s">
        <v>191</v>
      </c>
      <c r="C86" s="102" t="s">
        <v>114</v>
      </c>
      <c r="D86" s="45"/>
      <c r="E86" s="13"/>
      <c r="F86" s="13"/>
      <c r="G86" s="37">
        <v>211.63</v>
      </c>
      <c r="H86" s="79"/>
      <c r="I86" s="13">
        <f>G86*1</f>
        <v>211.63</v>
      </c>
    </row>
    <row r="87" spans="1:9">
      <c r="A87" s="33"/>
      <c r="B87" s="43" t="s">
        <v>50</v>
      </c>
      <c r="C87" s="39"/>
      <c r="D87" s="46"/>
      <c r="E87" s="39">
        <v>1</v>
      </c>
      <c r="F87" s="39"/>
      <c r="G87" s="39"/>
      <c r="H87" s="39"/>
      <c r="I87" s="35">
        <f>SUM(I82:I86)</f>
        <v>7699.9775799999998</v>
      </c>
    </row>
    <row r="88" spans="1:9" ht="16.5" customHeight="1">
      <c r="A88" s="33"/>
      <c r="B88" s="45" t="s">
        <v>78</v>
      </c>
      <c r="C88" s="15"/>
      <c r="D88" s="15"/>
      <c r="E88" s="40"/>
      <c r="F88" s="40"/>
      <c r="G88" s="41"/>
      <c r="H88" s="41"/>
      <c r="I88" s="17">
        <v>0</v>
      </c>
    </row>
    <row r="89" spans="1:9" ht="16.5" customHeight="1">
      <c r="A89" s="47"/>
      <c r="B89" s="44" t="s">
        <v>161</v>
      </c>
      <c r="C89" s="36"/>
      <c r="D89" s="36"/>
      <c r="E89" s="36"/>
      <c r="F89" s="36"/>
      <c r="G89" s="36"/>
      <c r="H89" s="36"/>
      <c r="I89" s="42">
        <f>I80+I87</f>
        <v>22327.383903483336</v>
      </c>
    </row>
    <row r="90" spans="1:9" ht="15.75" customHeight="1">
      <c r="A90" s="128" t="s">
        <v>213</v>
      </c>
      <c r="B90" s="128"/>
      <c r="C90" s="128"/>
      <c r="D90" s="128"/>
      <c r="E90" s="128"/>
      <c r="F90" s="128"/>
      <c r="G90" s="128"/>
      <c r="H90" s="128"/>
      <c r="I90" s="128"/>
    </row>
    <row r="91" spans="1:9" ht="15.75" customHeight="1">
      <c r="A91" s="57"/>
      <c r="B91" s="129" t="s">
        <v>214</v>
      </c>
      <c r="C91" s="129"/>
      <c r="D91" s="129"/>
      <c r="E91" s="129"/>
      <c r="F91" s="129"/>
      <c r="G91" s="129"/>
      <c r="H91" s="63"/>
      <c r="I91" s="3"/>
    </row>
    <row r="92" spans="1:9">
      <c r="A92" s="56"/>
      <c r="B92" s="130" t="s">
        <v>6</v>
      </c>
      <c r="C92" s="130"/>
      <c r="D92" s="130"/>
      <c r="E92" s="130"/>
      <c r="F92" s="130"/>
      <c r="G92" s="130"/>
      <c r="H92" s="28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31" t="s">
        <v>7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>
      <c r="A95" s="131" t="s">
        <v>8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136" t="s">
        <v>61</v>
      </c>
      <c r="B96" s="136"/>
      <c r="C96" s="136"/>
      <c r="D96" s="136"/>
      <c r="E96" s="136"/>
      <c r="F96" s="136"/>
      <c r="G96" s="136"/>
      <c r="H96" s="136"/>
      <c r="I96" s="136"/>
    </row>
    <row r="97" spans="1:9" ht="7.5" customHeight="1">
      <c r="A97" s="11"/>
    </row>
    <row r="98" spans="1:9" ht="15.7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4"/>
    </row>
    <row r="100" spans="1:9" ht="15.75">
      <c r="B100" s="53" t="s">
        <v>10</v>
      </c>
      <c r="C100" s="138" t="s">
        <v>127</v>
      </c>
      <c r="D100" s="138"/>
      <c r="E100" s="138"/>
      <c r="F100" s="61"/>
      <c r="I100" s="55"/>
    </row>
    <row r="101" spans="1:9">
      <c r="A101" s="56"/>
      <c r="C101" s="130" t="s">
        <v>11</v>
      </c>
      <c r="D101" s="130"/>
      <c r="E101" s="130"/>
      <c r="F101" s="28"/>
      <c r="I101" s="54" t="s">
        <v>12</v>
      </c>
    </row>
    <row r="102" spans="1:9" ht="15.75">
      <c r="A102" s="29"/>
      <c r="C102" s="12"/>
      <c r="D102" s="12"/>
      <c r="G102" s="12"/>
      <c r="H102" s="12"/>
    </row>
    <row r="103" spans="1:9" ht="15.75">
      <c r="B103" s="53" t="s">
        <v>13</v>
      </c>
      <c r="C103" s="139"/>
      <c r="D103" s="139"/>
      <c r="E103" s="139"/>
      <c r="F103" s="62"/>
      <c r="I103" s="55"/>
    </row>
    <row r="104" spans="1:9">
      <c r="A104" s="56"/>
      <c r="C104" s="127" t="s">
        <v>11</v>
      </c>
      <c r="D104" s="127"/>
      <c r="E104" s="127"/>
      <c r="F104" s="56"/>
      <c r="I104" s="54" t="s">
        <v>12</v>
      </c>
    </row>
    <row r="105" spans="1:9" ht="15.75">
      <c r="A105" s="4" t="s">
        <v>14</v>
      </c>
    </row>
    <row r="106" spans="1:9">
      <c r="A106" s="140" t="s">
        <v>15</v>
      </c>
      <c r="B106" s="140"/>
      <c r="C106" s="140"/>
      <c r="D106" s="140"/>
      <c r="E106" s="140"/>
      <c r="F106" s="140"/>
      <c r="G106" s="140"/>
      <c r="H106" s="140"/>
      <c r="I106" s="140"/>
    </row>
    <row r="107" spans="1:9" ht="45" customHeight="1">
      <c r="A107" s="135" t="s">
        <v>16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30" customHeight="1">
      <c r="A108" s="135" t="s">
        <v>17</v>
      </c>
      <c r="B108" s="135"/>
      <c r="C108" s="135"/>
      <c r="D108" s="135"/>
      <c r="E108" s="135"/>
      <c r="F108" s="135"/>
      <c r="G108" s="135"/>
      <c r="H108" s="135"/>
      <c r="I108" s="135"/>
    </row>
    <row r="109" spans="1:9" ht="30" customHeight="1">
      <c r="A109" s="135" t="s">
        <v>21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15" customHeight="1">
      <c r="A110" s="135" t="s">
        <v>20</v>
      </c>
      <c r="B110" s="135"/>
      <c r="C110" s="135"/>
      <c r="D110" s="135"/>
      <c r="E110" s="135"/>
      <c r="F110" s="135"/>
      <c r="G110" s="135"/>
      <c r="H110" s="135"/>
      <c r="I110" s="135"/>
    </row>
  </sheetData>
  <autoFilter ref="I12:I60"/>
  <mergeCells count="29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8:I28"/>
    <mergeCell ref="A43:I43"/>
    <mergeCell ref="A54:I54"/>
    <mergeCell ref="A90:I90"/>
    <mergeCell ref="B91:G91"/>
    <mergeCell ref="B92:G92"/>
    <mergeCell ref="A94:I94"/>
    <mergeCell ref="A95:I95"/>
    <mergeCell ref="A81:I81"/>
    <mergeCell ref="R65:U65"/>
    <mergeCell ref="A77:I77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8"/>
  <sheetViews>
    <sheetView topLeftCell="A82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153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192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43616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18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200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customHeight="1">
      <c r="A19" s="33">
        <v>4</v>
      </c>
      <c r="B19" s="64" t="s">
        <v>94</v>
      </c>
      <c r="C19" s="65" t="s">
        <v>95</v>
      </c>
      <c r="D19" s="64" t="s">
        <v>215</v>
      </c>
      <c r="E19" s="66">
        <v>15</v>
      </c>
      <c r="F19" s="67">
        <f>SUM(E19/10)</f>
        <v>1.5</v>
      </c>
      <c r="G19" s="67">
        <v>160.22999999999999</v>
      </c>
      <c r="H19" s="68">
        <f t="shared" ref="H19:H26" si="1">SUM(F19*G19/1000)</f>
        <v>0.24034499999999998</v>
      </c>
      <c r="I19" s="13">
        <f>F19*G19</f>
        <v>240.34499999999997</v>
      </c>
      <c r="J19" s="26"/>
      <c r="K19" s="8"/>
      <c r="L19" s="8"/>
      <c r="M19" s="8"/>
    </row>
    <row r="20" spans="1:13" ht="15.75" customHeight="1">
      <c r="A20" s="33">
        <v>5</v>
      </c>
      <c r="B20" s="64" t="s">
        <v>97</v>
      </c>
      <c r="C20" s="65" t="s">
        <v>85</v>
      </c>
      <c r="D20" s="64" t="s">
        <v>201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1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6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1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customHeight="1">
      <c r="A22" s="33">
        <v>7</v>
      </c>
      <c r="B22" s="64" t="s">
        <v>100</v>
      </c>
      <c r="C22" s="65" t="s">
        <v>52</v>
      </c>
      <c r="D22" s="64" t="s">
        <v>216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f>F22*G22</f>
        <v>271.54133999999999</v>
      </c>
      <c r="J22" s="26"/>
      <c r="K22" s="8"/>
      <c r="L22" s="8"/>
      <c r="M22" s="8"/>
    </row>
    <row r="23" spans="1:13" ht="15.75" customHeight="1">
      <c r="A23" s="33">
        <v>8</v>
      </c>
      <c r="B23" s="64" t="s">
        <v>101</v>
      </c>
      <c r="C23" s="65" t="s">
        <v>52</v>
      </c>
      <c r="D23" s="64" t="s">
        <v>215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f t="shared" ref="I23:I26" si="2">F23*G23</f>
        <v>6.0465</v>
      </c>
      <c r="J23" s="26"/>
      <c r="K23" s="8"/>
      <c r="L23" s="8"/>
      <c r="M23" s="8"/>
    </row>
    <row r="24" spans="1:13" ht="15.75" customHeight="1">
      <c r="A24" s="33">
        <v>9</v>
      </c>
      <c r="B24" s="64" t="s">
        <v>102</v>
      </c>
      <c r="C24" s="65" t="s">
        <v>52</v>
      </c>
      <c r="D24" s="64" t="s">
        <v>216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f t="shared" si="2"/>
        <v>22.0182</v>
      </c>
      <c r="J24" s="26"/>
      <c r="K24" s="8"/>
      <c r="L24" s="8"/>
      <c r="M24" s="8"/>
    </row>
    <row r="25" spans="1:13" ht="31.5" customHeight="1">
      <c r="A25" s="33">
        <v>10</v>
      </c>
      <c r="B25" s="64" t="s">
        <v>104</v>
      </c>
      <c r="C25" s="65" t="s">
        <v>52</v>
      </c>
      <c r="D25" s="64" t="s">
        <v>201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f t="shared" si="2"/>
        <v>11.599500000000001</v>
      </c>
      <c r="J25" s="26"/>
      <c r="K25" s="8"/>
      <c r="L25" s="8"/>
      <c r="M25" s="8"/>
    </row>
    <row r="26" spans="1:13" ht="15.75" customHeight="1">
      <c r="A26" s="33">
        <v>11</v>
      </c>
      <c r="B26" s="64" t="s">
        <v>105</v>
      </c>
      <c r="C26" s="65" t="s">
        <v>52</v>
      </c>
      <c r="D26" s="64" t="s">
        <v>217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f t="shared" si="2"/>
        <v>10.414199999999999</v>
      </c>
      <c r="J26" s="26"/>
      <c r="K26" s="8"/>
      <c r="L26" s="8"/>
      <c r="M26" s="8"/>
    </row>
    <row r="27" spans="1:13" ht="15.75" customHeight="1">
      <c r="A27" s="33">
        <v>12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13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4" si="3">SUM(F30*G30/1000)</f>
        <v>2.0347501356</v>
      </c>
      <c r="I30" s="13">
        <f t="shared" ref="I30:I31" si="4">F30/6*G30</f>
        <v>339.12502259999997</v>
      </c>
      <c r="J30" s="26"/>
      <c r="K30" s="8"/>
      <c r="L30" s="8"/>
      <c r="M30" s="8"/>
    </row>
    <row r="31" spans="1:13" ht="31.5" customHeight="1">
      <c r="A31" s="33">
        <v>14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3"/>
        <v>0.91238364360000002</v>
      </c>
      <c r="I31" s="13">
        <f t="shared" si="4"/>
        <v>152.0639406</v>
      </c>
      <c r="J31" s="26"/>
      <c r="K31" s="8"/>
      <c r="L31" s="8"/>
      <c r="M31" s="8"/>
    </row>
    <row r="32" spans="1:13" ht="15.75" customHeight="1">
      <c r="A32" s="33">
        <v>15</v>
      </c>
      <c r="B32" s="64" t="s">
        <v>26</v>
      </c>
      <c r="C32" s="65" t="s">
        <v>88</v>
      </c>
      <c r="D32" s="64" t="s">
        <v>201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3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3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3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5">SUM(F36*G36/1000)</f>
        <v>4.8977999999999993</v>
      </c>
      <c r="I36" s="13">
        <f t="shared" ref="I36:I41" si="6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6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5"/>
        <v>2.4587445555</v>
      </c>
      <c r="I38" s="13">
        <f t="shared" si="6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5"/>
        <v>9.1860641039999997</v>
      </c>
      <c r="I39" s="13">
        <f t="shared" si="6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5"/>
        <v>0.87247215450000015</v>
      </c>
      <c r="I40" s="13">
        <f t="shared" si="6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5"/>
        <v>0.39768020000000004</v>
      </c>
      <c r="I41" s="13">
        <f t="shared" si="6"/>
        <v>66.280033333333336</v>
      </c>
      <c r="J41" s="27"/>
      <c r="L41" s="20"/>
      <c r="M41" s="21"/>
      <c r="N41" s="22"/>
    </row>
    <row r="42" spans="1:14" ht="15.75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15.75" customHeight="1">
      <c r="A43" s="33">
        <v>16</v>
      </c>
      <c r="B43" s="64" t="s">
        <v>113</v>
      </c>
      <c r="C43" s="65" t="s">
        <v>88</v>
      </c>
      <c r="D43" s="64" t="s">
        <v>200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7">SUM(F43*G43/1000)</f>
        <v>0.9703194249999999</v>
      </c>
      <c r="I43" s="13">
        <f t="shared" ref="I43:I46" si="8">F43/2*G43</f>
        <v>485.15971249999996</v>
      </c>
      <c r="J43" s="27"/>
      <c r="L43" s="20"/>
      <c r="M43" s="21"/>
      <c r="N43" s="22"/>
    </row>
    <row r="44" spans="1:14" ht="15.75" customHeight="1">
      <c r="A44" s="33">
        <v>17</v>
      </c>
      <c r="B44" s="64" t="s">
        <v>34</v>
      </c>
      <c r="C44" s="65" t="s">
        <v>88</v>
      </c>
      <c r="D44" s="64" t="s">
        <v>200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7"/>
        <v>2.8373799999999998E-2</v>
      </c>
      <c r="I44" s="13">
        <f t="shared" si="8"/>
        <v>14.1869</v>
      </c>
      <c r="J44" s="27"/>
      <c r="L44" s="20"/>
      <c r="M44" s="21"/>
      <c r="N44" s="22"/>
    </row>
    <row r="45" spans="1:14" ht="15.75" customHeight="1">
      <c r="A45" s="33">
        <v>18</v>
      </c>
      <c r="B45" s="64" t="s">
        <v>35</v>
      </c>
      <c r="C45" s="65" t="s">
        <v>88</v>
      </c>
      <c r="D45" s="64" t="s">
        <v>200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7"/>
        <v>0.63186269999999989</v>
      </c>
      <c r="I45" s="13">
        <f t="shared" si="8"/>
        <v>315.93134999999995</v>
      </c>
      <c r="J45" s="27"/>
      <c r="L45" s="20"/>
      <c r="M45" s="21"/>
      <c r="N45" s="22"/>
    </row>
    <row r="46" spans="1:14" ht="15.75" customHeight="1">
      <c r="A46" s="33">
        <v>19</v>
      </c>
      <c r="B46" s="64" t="s">
        <v>36</v>
      </c>
      <c r="C46" s="65" t="s">
        <v>88</v>
      </c>
      <c r="D46" s="64" t="s">
        <v>200</v>
      </c>
      <c r="E46" s="66">
        <v>683.33</v>
      </c>
      <c r="F46" s="67">
        <f>SUM(E46*2/1000)</f>
        <v>1.36666</v>
      </c>
      <c r="G46" s="13">
        <v>571.35</v>
      </c>
      <c r="H46" s="68">
        <f t="shared" si="7"/>
        <v>0.78084119099999993</v>
      </c>
      <c r="I46" s="13">
        <f t="shared" si="8"/>
        <v>390.42059549999999</v>
      </c>
      <c r="J46" s="27"/>
      <c r="L46" s="20"/>
      <c r="M46" s="21"/>
      <c r="N46" s="22"/>
    </row>
    <row r="47" spans="1:14" ht="15.75" customHeight="1">
      <c r="A47" s="33">
        <v>20</v>
      </c>
      <c r="B47" s="64" t="s">
        <v>32</v>
      </c>
      <c r="C47" s="65" t="s">
        <v>33</v>
      </c>
      <c r="D47" s="64" t="s">
        <v>200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7"/>
        <v>6.0483632000000002E-2</v>
      </c>
      <c r="I47" s="13">
        <f>F47/2*G47</f>
        <v>30.241816</v>
      </c>
      <c r="J47" s="27"/>
      <c r="L47" s="20"/>
      <c r="M47" s="21"/>
      <c r="N47" s="22"/>
    </row>
    <row r="48" spans="1:14" ht="15.75" customHeight="1">
      <c r="A48" s="33">
        <v>21</v>
      </c>
      <c r="B48" s="64" t="s">
        <v>56</v>
      </c>
      <c r="C48" s="65" t="s">
        <v>88</v>
      </c>
      <c r="D48" s="64" t="s">
        <v>200</v>
      </c>
      <c r="E48" s="66">
        <v>1140</v>
      </c>
      <c r="F48" s="67">
        <f>SUM(E48*5/1000)</f>
        <v>5.7</v>
      </c>
      <c r="G48" s="13">
        <v>1142.7</v>
      </c>
      <c r="H48" s="68">
        <f t="shared" si="7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29.25" customHeight="1">
      <c r="A49" s="33">
        <v>22</v>
      </c>
      <c r="B49" s="64" t="s">
        <v>90</v>
      </c>
      <c r="C49" s="65" t="s">
        <v>88</v>
      </c>
      <c r="D49" s="64" t="s">
        <v>200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7"/>
        <v>2.6053559999999996</v>
      </c>
      <c r="I49" s="13">
        <f>G49*F49/2</f>
        <v>1302.6779999999999</v>
      </c>
      <c r="J49" s="27"/>
      <c r="L49" s="20"/>
      <c r="M49" s="21"/>
      <c r="N49" s="22"/>
    </row>
    <row r="50" spans="1:22" ht="34.5" customHeight="1">
      <c r="A50" s="33">
        <v>23</v>
      </c>
      <c r="B50" s="64" t="s">
        <v>91</v>
      </c>
      <c r="C50" s="65" t="s">
        <v>37</v>
      </c>
      <c r="D50" s="64" t="s">
        <v>218</v>
      </c>
      <c r="E50" s="66">
        <v>9</v>
      </c>
      <c r="F50" s="67">
        <f>SUM(E50*2/100)</f>
        <v>0.18</v>
      </c>
      <c r="G50" s="13">
        <v>2571.08</v>
      </c>
      <c r="H50" s="68">
        <f t="shared" si="7"/>
        <v>0.46279439999999999</v>
      </c>
      <c r="I50" s="13">
        <f>G50*F50/2</f>
        <v>231.3972</v>
      </c>
      <c r="J50" s="27"/>
      <c r="L50" s="20"/>
      <c r="M50" s="21"/>
      <c r="N50" s="22"/>
    </row>
    <row r="51" spans="1:22" ht="18" customHeight="1">
      <c r="A51" s="33">
        <v>24</v>
      </c>
      <c r="B51" s="64" t="s">
        <v>38</v>
      </c>
      <c r="C51" s="65" t="s">
        <v>39</v>
      </c>
      <c r="D51" s="64" t="s">
        <v>200</v>
      </c>
      <c r="E51" s="66">
        <v>1</v>
      </c>
      <c r="F51" s="67">
        <v>0.02</v>
      </c>
      <c r="G51" s="13">
        <v>5322.15</v>
      </c>
      <c r="H51" s="68">
        <f t="shared" si="7"/>
        <v>0.106443</v>
      </c>
      <c r="I51" s="13">
        <f>G51*F51/2</f>
        <v>53.221499999999999</v>
      </c>
      <c r="J51" s="27"/>
      <c r="L51" s="20"/>
      <c r="M51" s="21"/>
      <c r="N51" s="22"/>
    </row>
    <row r="52" spans="1:22" ht="15.75" customHeight="1">
      <c r="A52" s="33">
        <v>25</v>
      </c>
      <c r="B52" s="64" t="s">
        <v>40</v>
      </c>
      <c r="C52" s="65" t="s">
        <v>114</v>
      </c>
      <c r="D52" s="114">
        <v>43602</v>
      </c>
      <c r="E52" s="66">
        <v>36</v>
      </c>
      <c r="F52" s="67">
        <f>SUM(E52)*3</f>
        <v>108</v>
      </c>
      <c r="G52" s="13">
        <v>61.84</v>
      </c>
      <c r="H52" s="68">
        <f t="shared" si="7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5.75" hidden="1" customHeight="1">
      <c r="A53" s="132" t="s">
        <v>130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15.7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31.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5.75" hidden="1" customHeight="1">
      <c r="A57" s="33"/>
      <c r="B57" s="64" t="s">
        <v>117</v>
      </c>
      <c r="C57" s="65"/>
      <c r="D57" s="64" t="s">
        <v>53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v>0</v>
      </c>
      <c r="J57" s="27"/>
      <c r="L57" s="20"/>
    </row>
    <row r="58" spans="1:22" ht="15.75" hidden="1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15.75" hidden="1" customHeight="1">
      <c r="A59" s="33">
        <v>17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9">SUM(F59*G59/1000)</f>
        <v>1.1887000000000001</v>
      </c>
      <c r="I59" s="13">
        <f>G59</f>
        <v>237.74</v>
      </c>
    </row>
    <row r="60" spans="1:22" ht="15.7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9"/>
        <v>0.16302</v>
      </c>
      <c r="I60" s="13">
        <v>0</v>
      </c>
    </row>
    <row r="61" spans="1:22" ht="15.75" hidden="1" customHeight="1">
      <c r="A61" s="33">
        <v>27</v>
      </c>
      <c r="B61" s="14" t="s">
        <v>47</v>
      </c>
      <c r="C61" s="16" t="s">
        <v>118</v>
      </c>
      <c r="D61" s="14" t="s">
        <v>53</v>
      </c>
      <c r="E61" s="66">
        <v>4292</v>
      </c>
      <c r="F61" s="13">
        <f>SUM(E61/100)</f>
        <v>42.92</v>
      </c>
      <c r="G61" s="13">
        <v>226.79</v>
      </c>
      <c r="H61" s="79">
        <f t="shared" si="9"/>
        <v>9.733826800000001</v>
      </c>
      <c r="I61" s="13">
        <f>F61*G61</f>
        <v>9733.8268000000007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33">
        <v>28</v>
      </c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9"/>
        <v>0.75801012000000001</v>
      </c>
      <c r="I62" s="13">
        <f t="shared" ref="I62:I75" si="10">F62*G62</f>
        <v>758.01012000000003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3">
        <v>29</v>
      </c>
      <c r="B63" s="14" t="s">
        <v>49</v>
      </c>
      <c r="C63" s="16" t="s">
        <v>76</v>
      </c>
      <c r="D63" s="14" t="s">
        <v>53</v>
      </c>
      <c r="E63" s="66">
        <v>510</v>
      </c>
      <c r="F63" s="13">
        <f>SUM(E63/100)</f>
        <v>5.0999999999999996</v>
      </c>
      <c r="G63" s="13">
        <v>2217.7800000000002</v>
      </c>
      <c r="H63" s="79">
        <f t="shared" si="9"/>
        <v>11.310677999999999</v>
      </c>
      <c r="I63" s="13">
        <f t="shared" si="10"/>
        <v>11310.678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3">
        <v>30</v>
      </c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9"/>
        <v>0.19628199999999998</v>
      </c>
      <c r="I64" s="13">
        <f t="shared" si="10"/>
        <v>196.28199999999998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5.75" hidden="1" customHeight="1">
      <c r="A65" s="33">
        <v>31</v>
      </c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9"/>
        <v>0.18312600000000001</v>
      </c>
      <c r="I65" s="13">
        <f t="shared" si="10"/>
        <v>183.126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3"/>
      <c r="B66" s="14" t="s">
        <v>57</v>
      </c>
      <c r="C66" s="16" t="s">
        <v>58</v>
      </c>
      <c r="D66" s="14" t="s">
        <v>53</v>
      </c>
      <c r="E66" s="18">
        <v>3</v>
      </c>
      <c r="F66" s="67">
        <v>3</v>
      </c>
      <c r="G66" s="13">
        <v>53.32</v>
      </c>
      <c r="H66" s="79">
        <f t="shared" si="9"/>
        <v>0.15996000000000002</v>
      </c>
      <c r="I66" s="13">
        <f t="shared" si="10"/>
        <v>159.96</v>
      </c>
    </row>
    <row r="67" spans="1:21" ht="15.7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>
        <f t="shared" si="10"/>
        <v>0</v>
      </c>
    </row>
    <row r="68" spans="1:21" ht="15.7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9"/>
        <v>0.10724600000000001</v>
      </c>
      <c r="I68" s="13">
        <f t="shared" si="10"/>
        <v>107.24600000000001</v>
      </c>
    </row>
    <row r="69" spans="1:21" ht="15.75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9"/>
        <v>0.91185000000000005</v>
      </c>
      <c r="I69" s="13">
        <f t="shared" si="10"/>
        <v>911.85</v>
      </c>
    </row>
    <row r="70" spans="1:21" ht="15.75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9"/>
        <v>0</v>
      </c>
      <c r="I70" s="13">
        <f t="shared" si="10"/>
        <v>0</v>
      </c>
    </row>
    <row r="71" spans="1:21" ht="15.75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f t="shared" si="10"/>
        <v>383.25</v>
      </c>
    </row>
    <row r="72" spans="1:21" ht="1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15.75" hidden="1" customHeight="1">
      <c r="A73" s="33">
        <v>30</v>
      </c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9"/>
        <v>0.294985</v>
      </c>
      <c r="I73" s="13">
        <f>G73*0.03</f>
        <v>88.495499999999993</v>
      </c>
    </row>
    <row r="74" spans="1:21" ht="14.2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13"/>
    </row>
    <row r="75" spans="1:21" ht="15" hidden="1" customHeight="1">
      <c r="A75" s="33">
        <v>31</v>
      </c>
      <c r="B75" s="87" t="s">
        <v>122</v>
      </c>
      <c r="C75" s="24"/>
      <c r="D75" s="23"/>
      <c r="E75" s="84"/>
      <c r="F75" s="88">
        <v>1</v>
      </c>
      <c r="G75" s="13">
        <v>3592.8</v>
      </c>
      <c r="H75" s="79">
        <f>G75*F75/1000</f>
        <v>3.5928</v>
      </c>
      <c r="I75" s="13">
        <f t="shared" si="10"/>
        <v>3592.8</v>
      </c>
    </row>
    <row r="76" spans="1:21" ht="15.75" customHeight="1">
      <c r="A76" s="132" t="s">
        <v>151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26</v>
      </c>
      <c r="B77" s="64" t="s">
        <v>124</v>
      </c>
      <c r="C77" s="16" t="s">
        <v>54</v>
      </c>
      <c r="D77" s="50"/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27</v>
      </c>
      <c r="B78" s="14" t="s">
        <v>77</v>
      </c>
      <c r="C78" s="16"/>
      <c r="D78" s="50"/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I78+I77+I52+I51+I50+I49+I48+I47+I46+I45+I44+I43+I32+I31+I30+I27+I26+I25+I24+I23+I22+I21+I20+I19+I18+I17+I16</f>
        <v>16128.175376533332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15.75" customHeight="1">
      <c r="A81" s="33">
        <v>28</v>
      </c>
      <c r="B81" s="75" t="s">
        <v>168</v>
      </c>
      <c r="C81" s="74" t="s">
        <v>169</v>
      </c>
      <c r="D81" s="75"/>
      <c r="E81" s="76"/>
      <c r="F81" s="77">
        <v>200</v>
      </c>
      <c r="G81" s="60">
        <v>1.4</v>
      </c>
      <c r="H81" s="78">
        <f>F81*G81/1000</f>
        <v>0.28000000000000003</v>
      </c>
      <c r="I81" s="99">
        <f>G81*100</f>
        <v>140</v>
      </c>
    </row>
    <row r="82" spans="1:9" ht="15.75" customHeight="1">
      <c r="A82" s="33">
        <v>29</v>
      </c>
      <c r="B82" s="101" t="s">
        <v>190</v>
      </c>
      <c r="C82" s="102" t="s">
        <v>28</v>
      </c>
      <c r="D82" s="45"/>
      <c r="E82" s="13"/>
      <c r="F82" s="13"/>
      <c r="G82" s="37">
        <v>1160.81</v>
      </c>
      <c r="H82" s="79"/>
      <c r="I82" s="13">
        <f>G82*0.318</f>
        <v>369.13758000000001</v>
      </c>
    </row>
    <row r="83" spans="1:9" ht="30" customHeight="1">
      <c r="A83" s="33">
        <v>30</v>
      </c>
      <c r="B83" s="101" t="s">
        <v>185</v>
      </c>
      <c r="C83" s="102" t="s">
        <v>37</v>
      </c>
      <c r="D83" s="45"/>
      <c r="E83" s="13"/>
      <c r="F83" s="13"/>
      <c r="G83" s="37">
        <v>3914.31</v>
      </c>
      <c r="H83" s="79"/>
      <c r="I83" s="13">
        <f>G83*0.01</f>
        <v>39.143099999999997</v>
      </c>
    </row>
    <row r="84" spans="1:9" ht="15.75" customHeight="1">
      <c r="A84" s="33">
        <v>31</v>
      </c>
      <c r="B84" s="101" t="s">
        <v>193</v>
      </c>
      <c r="C84" s="105" t="s">
        <v>175</v>
      </c>
      <c r="D84" s="16"/>
      <c r="E84" s="13"/>
      <c r="F84" s="13"/>
      <c r="G84" s="37">
        <v>3349.14</v>
      </c>
      <c r="H84" s="79"/>
      <c r="I84" s="13">
        <f>G84*0.25</f>
        <v>837.28499999999997</v>
      </c>
    </row>
    <row r="85" spans="1:9">
      <c r="A85" s="33"/>
      <c r="B85" s="43" t="s">
        <v>50</v>
      </c>
      <c r="C85" s="39"/>
      <c r="D85" s="46"/>
      <c r="E85" s="39">
        <v>1</v>
      </c>
      <c r="F85" s="39"/>
      <c r="G85" s="39"/>
      <c r="H85" s="39"/>
      <c r="I85" s="35">
        <f>SUM(I81:I84)</f>
        <v>1385.5656799999999</v>
      </c>
    </row>
    <row r="86" spans="1:9" ht="16.5" customHeight="1">
      <c r="A86" s="33"/>
      <c r="B86" s="45" t="s">
        <v>78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161</v>
      </c>
      <c r="C87" s="36"/>
      <c r="D87" s="36"/>
      <c r="E87" s="36"/>
      <c r="F87" s="36"/>
      <c r="G87" s="36"/>
      <c r="H87" s="36"/>
      <c r="I87" s="42">
        <f>I79+I85</f>
        <v>17513.741056533334</v>
      </c>
    </row>
    <row r="88" spans="1:9" ht="15.75" customHeight="1">
      <c r="A88" s="128" t="s">
        <v>219</v>
      </c>
      <c r="B88" s="128"/>
      <c r="C88" s="128"/>
      <c r="D88" s="128"/>
      <c r="E88" s="128"/>
      <c r="F88" s="128"/>
      <c r="G88" s="128"/>
      <c r="H88" s="128"/>
      <c r="I88" s="128"/>
    </row>
    <row r="89" spans="1:9" ht="15.75" customHeight="1">
      <c r="A89" s="57"/>
      <c r="B89" s="129" t="s">
        <v>220</v>
      </c>
      <c r="C89" s="129"/>
      <c r="D89" s="129"/>
      <c r="E89" s="129"/>
      <c r="F89" s="129"/>
      <c r="G89" s="129"/>
      <c r="H89" s="63"/>
      <c r="I89" s="3"/>
    </row>
    <row r="90" spans="1:9">
      <c r="A90" s="56"/>
      <c r="B90" s="130" t="s">
        <v>6</v>
      </c>
      <c r="C90" s="130"/>
      <c r="D90" s="130"/>
      <c r="E90" s="130"/>
      <c r="F90" s="130"/>
      <c r="G90" s="130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31" t="s">
        <v>7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>
      <c r="A93" s="131" t="s">
        <v>8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>
      <c r="A94" s="136" t="s">
        <v>61</v>
      </c>
      <c r="B94" s="136"/>
      <c r="C94" s="136"/>
      <c r="D94" s="136"/>
      <c r="E94" s="136"/>
      <c r="F94" s="136"/>
      <c r="G94" s="136"/>
      <c r="H94" s="136"/>
      <c r="I94" s="136"/>
    </row>
    <row r="95" spans="1:9" ht="15.75">
      <c r="A95" s="11"/>
    </row>
    <row r="96" spans="1:9" ht="15.75">
      <c r="A96" s="137" t="s">
        <v>9</v>
      </c>
      <c r="B96" s="137"/>
      <c r="C96" s="137"/>
      <c r="D96" s="137"/>
      <c r="E96" s="137"/>
      <c r="F96" s="137"/>
      <c r="G96" s="137"/>
      <c r="H96" s="137"/>
      <c r="I96" s="137"/>
    </row>
    <row r="97" spans="1:9" ht="15.75">
      <c r="A97" s="4"/>
    </row>
    <row r="98" spans="1:9" ht="15.75">
      <c r="B98" s="53" t="s">
        <v>10</v>
      </c>
      <c r="C98" s="138" t="s">
        <v>127</v>
      </c>
      <c r="D98" s="138"/>
      <c r="E98" s="138"/>
      <c r="F98" s="61"/>
      <c r="I98" s="55"/>
    </row>
    <row r="99" spans="1:9">
      <c r="A99" s="56"/>
      <c r="C99" s="130" t="s">
        <v>11</v>
      </c>
      <c r="D99" s="130"/>
      <c r="E99" s="130"/>
      <c r="F99" s="28"/>
      <c r="I99" s="54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53" t="s">
        <v>13</v>
      </c>
      <c r="C101" s="139"/>
      <c r="D101" s="139"/>
      <c r="E101" s="139"/>
      <c r="F101" s="62"/>
      <c r="I101" s="55"/>
    </row>
    <row r="102" spans="1:9">
      <c r="A102" s="56"/>
      <c r="C102" s="127" t="s">
        <v>11</v>
      </c>
      <c r="D102" s="127"/>
      <c r="E102" s="127"/>
      <c r="F102" s="56"/>
      <c r="I102" s="54" t="s">
        <v>12</v>
      </c>
    </row>
    <row r="103" spans="1:9" ht="15.75">
      <c r="A103" s="4" t="s">
        <v>14</v>
      </c>
    </row>
    <row r="104" spans="1:9">
      <c r="A104" s="140" t="s">
        <v>15</v>
      </c>
      <c r="B104" s="140"/>
      <c r="C104" s="140"/>
      <c r="D104" s="140"/>
      <c r="E104" s="140"/>
      <c r="F104" s="140"/>
      <c r="G104" s="140"/>
      <c r="H104" s="140"/>
      <c r="I104" s="140"/>
    </row>
    <row r="105" spans="1:9" ht="45" customHeight="1">
      <c r="A105" s="135" t="s">
        <v>16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30" customHeight="1">
      <c r="A106" s="135" t="s">
        <v>17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30" customHeight="1">
      <c r="A107" s="135" t="s">
        <v>21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4.25" customHeight="1">
      <c r="A108" s="135" t="s">
        <v>20</v>
      </c>
      <c r="B108" s="135"/>
      <c r="C108" s="135"/>
      <c r="D108" s="135"/>
      <c r="E108" s="135"/>
      <c r="F108" s="135"/>
      <c r="G108" s="135"/>
      <c r="H108" s="135"/>
      <c r="I108" s="135"/>
    </row>
  </sheetData>
  <autoFilter ref="I12:I59"/>
  <mergeCells count="29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94:I94"/>
    <mergeCell ref="A15:I15"/>
    <mergeCell ref="A28:I28"/>
    <mergeCell ref="A42:I42"/>
    <mergeCell ref="A53:I53"/>
    <mergeCell ref="A88:I88"/>
    <mergeCell ref="B89:G89"/>
    <mergeCell ref="B90:G90"/>
    <mergeCell ref="A92:I92"/>
    <mergeCell ref="A93:I93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7"/>
  <sheetViews>
    <sheetView topLeftCell="A58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154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194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43646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6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4" si="1">SUM(F30*G30/1000)</f>
        <v>2.0347501356</v>
      </c>
      <c r="I30" s="13">
        <f t="shared" ref="I30:I31" si="2">F30/6*G30</f>
        <v>339.12502259999997</v>
      </c>
      <c r="J30" s="26"/>
      <c r="K30" s="8"/>
      <c r="L30" s="8"/>
      <c r="M30" s="8"/>
    </row>
    <row r="31" spans="1:13" ht="31.5" customHeight="1">
      <c r="A31" s="33">
        <v>7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1"/>
        <v>0.91238364360000002</v>
      </c>
      <c r="I31" s="13">
        <f t="shared" si="2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1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1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1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3">SUM(F36*G36/1000)</f>
        <v>4.8977999999999993</v>
      </c>
      <c r="I36" s="13">
        <f t="shared" ref="I36:I41" si="4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4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3"/>
        <v>2.4587445555</v>
      </c>
      <c r="I38" s="13">
        <f t="shared" si="4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3"/>
        <v>9.1860641039999997</v>
      </c>
      <c r="I39" s="13">
        <f t="shared" si="4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3"/>
        <v>0.87247215450000015</v>
      </c>
      <c r="I40" s="13">
        <f t="shared" si="4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3"/>
        <v>0.39768020000000004</v>
      </c>
      <c r="I41" s="13">
        <f t="shared" si="4"/>
        <v>66.280033333333336</v>
      </c>
      <c r="J41" s="27"/>
      <c r="L41" s="20"/>
      <c r="M41" s="21"/>
      <c r="N41" s="22"/>
    </row>
    <row r="42" spans="1:14" ht="15.75" hidden="1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15.75" hidden="1" customHeight="1">
      <c r="A43" s="33"/>
      <c r="B43" s="64" t="s">
        <v>113</v>
      </c>
      <c r="C43" s="65" t="s">
        <v>88</v>
      </c>
      <c r="D43" s="64" t="s">
        <v>41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5">SUM(F43*G43/1000)</f>
        <v>0.9703194249999999</v>
      </c>
      <c r="I43" s="13">
        <v>0</v>
      </c>
      <c r="J43" s="27"/>
      <c r="L43" s="20"/>
      <c r="M43" s="21"/>
      <c r="N43" s="22"/>
    </row>
    <row r="44" spans="1:14" ht="15.75" hidden="1" customHeight="1">
      <c r="A44" s="33"/>
      <c r="B44" s="64" t="s">
        <v>34</v>
      </c>
      <c r="C44" s="65" t="s">
        <v>88</v>
      </c>
      <c r="D44" s="64" t="s">
        <v>41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5"/>
        <v>2.8373799999999998E-2</v>
      </c>
      <c r="I44" s="13">
        <v>0</v>
      </c>
      <c r="J44" s="27"/>
      <c r="L44" s="20"/>
      <c r="M44" s="21"/>
      <c r="N44" s="22"/>
    </row>
    <row r="45" spans="1:14" ht="15.75" hidden="1" customHeight="1">
      <c r="A45" s="33"/>
      <c r="B45" s="64" t="s">
        <v>35</v>
      </c>
      <c r="C45" s="65" t="s">
        <v>88</v>
      </c>
      <c r="D45" s="64" t="s">
        <v>41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5"/>
        <v>0.63186269999999989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36</v>
      </c>
      <c r="C46" s="65" t="s">
        <v>88</v>
      </c>
      <c r="D46" s="64" t="s">
        <v>41</v>
      </c>
      <c r="E46" s="66">
        <v>683.33</v>
      </c>
      <c r="F46" s="67">
        <f>SUM(E46*2/1000)</f>
        <v>1.36666</v>
      </c>
      <c r="G46" s="13">
        <v>571.35</v>
      </c>
      <c r="H46" s="68">
        <f t="shared" si="5"/>
        <v>0.78084119099999993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32</v>
      </c>
      <c r="C47" s="65" t="s">
        <v>33</v>
      </c>
      <c r="D47" s="64" t="s">
        <v>41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5"/>
        <v>6.0483632000000002E-2</v>
      </c>
      <c r="I47" s="13">
        <v>0</v>
      </c>
      <c r="J47" s="27"/>
      <c r="L47" s="20"/>
      <c r="M47" s="21"/>
      <c r="N47" s="22"/>
    </row>
    <row r="48" spans="1:14" ht="15.75" hidden="1" customHeight="1">
      <c r="A48" s="33">
        <v>14</v>
      </c>
      <c r="B48" s="64" t="s">
        <v>56</v>
      </c>
      <c r="C48" s="65" t="s">
        <v>88</v>
      </c>
      <c r="D48" s="64" t="s">
        <v>129</v>
      </c>
      <c r="E48" s="66">
        <v>1140</v>
      </c>
      <c r="F48" s="67">
        <f>SUM(E48*5/1000)</f>
        <v>5.7</v>
      </c>
      <c r="G48" s="13">
        <v>1142.7</v>
      </c>
      <c r="H48" s="68">
        <f t="shared" si="5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31.5" hidden="1" customHeight="1">
      <c r="A49" s="33"/>
      <c r="B49" s="64" t="s">
        <v>90</v>
      </c>
      <c r="C49" s="65" t="s">
        <v>88</v>
      </c>
      <c r="D49" s="64" t="s">
        <v>41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5"/>
        <v>2.6053559999999996</v>
      </c>
      <c r="I49" s="13">
        <v>0</v>
      </c>
      <c r="J49" s="27"/>
      <c r="L49" s="20"/>
      <c r="M49" s="21"/>
      <c r="N49" s="22"/>
    </row>
    <row r="50" spans="1:22" ht="31.5" hidden="1" customHeight="1">
      <c r="A50" s="33"/>
      <c r="B50" s="64" t="s">
        <v>91</v>
      </c>
      <c r="C50" s="65" t="s">
        <v>37</v>
      </c>
      <c r="D50" s="64" t="s">
        <v>41</v>
      </c>
      <c r="E50" s="66">
        <v>9</v>
      </c>
      <c r="F50" s="67">
        <f>SUM(E50*2/100)</f>
        <v>0.18</v>
      </c>
      <c r="G50" s="13">
        <v>2571.08</v>
      </c>
      <c r="H50" s="68">
        <f t="shared" si="5"/>
        <v>0.46279439999999999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4" t="s">
        <v>38</v>
      </c>
      <c r="C51" s="65" t="s">
        <v>39</v>
      </c>
      <c r="D51" s="64" t="s">
        <v>41</v>
      </c>
      <c r="E51" s="66">
        <v>1</v>
      </c>
      <c r="F51" s="67">
        <v>0.02</v>
      </c>
      <c r="G51" s="13">
        <v>5322.15</v>
      </c>
      <c r="H51" s="68">
        <f t="shared" si="5"/>
        <v>0.106443</v>
      </c>
      <c r="I51" s="13">
        <v>0</v>
      </c>
      <c r="J51" s="27"/>
      <c r="L51" s="20"/>
      <c r="M51" s="21"/>
      <c r="N51" s="22"/>
    </row>
    <row r="52" spans="1:22" ht="15.75" hidden="1" customHeight="1">
      <c r="A52" s="33">
        <v>15</v>
      </c>
      <c r="B52" s="64" t="s">
        <v>40</v>
      </c>
      <c r="C52" s="65" t="s">
        <v>114</v>
      </c>
      <c r="D52" s="64" t="s">
        <v>70</v>
      </c>
      <c r="E52" s="66">
        <v>36</v>
      </c>
      <c r="F52" s="67">
        <f>SUM(E52)*3</f>
        <v>108</v>
      </c>
      <c r="G52" s="13">
        <v>61.84</v>
      </c>
      <c r="H52" s="68">
        <f t="shared" si="5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8.75" customHeight="1">
      <c r="A53" s="132" t="s">
        <v>150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20.2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21.7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8" hidden="1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8" hidden="1" customHeight="1">
      <c r="A57" s="33"/>
      <c r="B57" s="64" t="s">
        <v>117</v>
      </c>
      <c r="C57" s="65"/>
      <c r="D57" s="64" t="s">
        <v>53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v>0</v>
      </c>
      <c r="J57" s="27"/>
      <c r="L57" s="20"/>
    </row>
    <row r="58" spans="1:22" ht="18.75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21" hidden="1" customHeight="1">
      <c r="A59" s="33">
        <v>10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6">SUM(F59*G59/1000)</f>
        <v>1.1887000000000001</v>
      </c>
      <c r="I59" s="13">
        <f>G59*2</f>
        <v>475.48</v>
      </c>
    </row>
    <row r="60" spans="1:22" ht="21.7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6"/>
        <v>0.16302</v>
      </c>
      <c r="I60" s="13">
        <v>0</v>
      </c>
    </row>
    <row r="61" spans="1:22" ht="16.5" customHeight="1">
      <c r="A61" s="33">
        <v>8</v>
      </c>
      <c r="B61" s="14" t="s">
        <v>47</v>
      </c>
      <c r="C61" s="16" t="s">
        <v>118</v>
      </c>
      <c r="D61" s="14"/>
      <c r="E61" s="66">
        <v>4292</v>
      </c>
      <c r="F61" s="13">
        <f>SUM(E61/100)</f>
        <v>42.92</v>
      </c>
      <c r="G61" s="13">
        <v>226.79</v>
      </c>
      <c r="H61" s="79">
        <f t="shared" si="6"/>
        <v>9.733826800000001</v>
      </c>
      <c r="I61" s="13">
        <f>G61*F61</f>
        <v>9733.8268000000007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.75" customHeight="1">
      <c r="A62" s="33">
        <v>9</v>
      </c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6"/>
        <v>0.75801012000000001</v>
      </c>
      <c r="I62" s="13">
        <f>G62*F62</f>
        <v>758.01012000000003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3">
        <v>10</v>
      </c>
      <c r="B63" s="14" t="s">
        <v>49</v>
      </c>
      <c r="C63" s="16" t="s">
        <v>76</v>
      </c>
      <c r="D63" s="14"/>
      <c r="E63" s="66">
        <v>510</v>
      </c>
      <c r="F63" s="13">
        <f>SUM(E63/100)</f>
        <v>5.0999999999999996</v>
      </c>
      <c r="G63" s="13">
        <v>2217.7800000000002</v>
      </c>
      <c r="H63" s="79">
        <f t="shared" si="6"/>
        <v>11.310677999999999</v>
      </c>
      <c r="I63" s="13">
        <f>G63*F63</f>
        <v>11310.678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8.75" customHeight="1">
      <c r="A64" s="33">
        <v>11</v>
      </c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6"/>
        <v>0.19628199999999998</v>
      </c>
      <c r="I64" s="13">
        <f>G64*F64</f>
        <v>196.28199999999998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5" customHeight="1">
      <c r="A65" s="33">
        <v>13</v>
      </c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6"/>
        <v>0.18312600000000001</v>
      </c>
      <c r="I65" s="13">
        <f>G65*F65</f>
        <v>183.126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1.75" hidden="1" customHeight="1">
      <c r="A66" s="33">
        <v>10</v>
      </c>
      <c r="B66" s="14" t="s">
        <v>57</v>
      </c>
      <c r="C66" s="16" t="s">
        <v>58</v>
      </c>
      <c r="D66" s="14" t="s">
        <v>53</v>
      </c>
      <c r="E66" s="18">
        <v>3</v>
      </c>
      <c r="F66" s="67">
        <v>3</v>
      </c>
      <c r="G66" s="13">
        <v>53.32</v>
      </c>
      <c r="H66" s="79">
        <f t="shared" si="6"/>
        <v>0.15996000000000002</v>
      </c>
      <c r="I66" s="13">
        <f>F66*G66</f>
        <v>159.96</v>
      </c>
    </row>
    <row r="67" spans="1:21" ht="19.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/>
    </row>
    <row r="68" spans="1:21" ht="27.7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6"/>
        <v>0.10724600000000001</v>
      </c>
      <c r="I68" s="13">
        <v>0</v>
      </c>
    </row>
    <row r="69" spans="1:21" ht="33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6"/>
        <v>0.91185000000000005</v>
      </c>
      <c r="I69" s="13">
        <v>0</v>
      </c>
    </row>
    <row r="70" spans="1:21" ht="22.5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6"/>
        <v>0</v>
      </c>
      <c r="I70" s="13"/>
    </row>
    <row r="71" spans="1:21" ht="21.75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v>0</v>
      </c>
    </row>
    <row r="72" spans="1:21" ht="18.7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24.75" hidden="1" customHeight="1">
      <c r="A73" s="33"/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6"/>
        <v>0.294985</v>
      </c>
      <c r="I73" s="13">
        <v>0</v>
      </c>
    </row>
    <row r="74" spans="1:21" ht="21.7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70"/>
    </row>
    <row r="75" spans="1:21" ht="23.25" hidden="1" customHeight="1">
      <c r="A75" s="33"/>
      <c r="B75" s="87" t="s">
        <v>122</v>
      </c>
      <c r="C75" s="24"/>
      <c r="D75" s="23"/>
      <c r="E75" s="84"/>
      <c r="F75" s="88">
        <v>1</v>
      </c>
      <c r="G75" s="13">
        <v>3124.9</v>
      </c>
      <c r="H75" s="79">
        <f>G75*F75/1000</f>
        <v>3.1249000000000002</v>
      </c>
      <c r="I75" s="13">
        <v>0</v>
      </c>
    </row>
    <row r="76" spans="1:21" ht="15.75" customHeight="1">
      <c r="A76" s="132" t="s">
        <v>151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13</v>
      </c>
      <c r="B77" s="64" t="s">
        <v>124</v>
      </c>
      <c r="C77" s="16" t="s">
        <v>54</v>
      </c>
      <c r="D77" s="50" t="s">
        <v>55</v>
      </c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14</v>
      </c>
      <c r="B78" s="14" t="s">
        <v>77</v>
      </c>
      <c r="C78" s="16"/>
      <c r="D78" s="50" t="s">
        <v>55</v>
      </c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I78+I77+I65+I64+I63+I62+I61+I31+I30+I27+I20+I18+I17+I16</f>
        <v>30635.65560253333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18" customHeight="1">
      <c r="A81" s="104">
        <v>15</v>
      </c>
      <c r="B81" s="75" t="s">
        <v>168</v>
      </c>
      <c r="C81" s="74" t="s">
        <v>169</v>
      </c>
      <c r="D81" s="75"/>
      <c r="E81" s="76"/>
      <c r="F81" s="77">
        <v>200</v>
      </c>
      <c r="G81" s="60">
        <v>1.4</v>
      </c>
      <c r="H81" s="78">
        <f>F81*G81/1000</f>
        <v>0.28000000000000003</v>
      </c>
      <c r="I81" s="99">
        <f>G81*100</f>
        <v>140</v>
      </c>
    </row>
    <row r="82" spans="1:9" ht="29.25" customHeight="1">
      <c r="A82" s="104">
        <v>16</v>
      </c>
      <c r="B82" s="101" t="s">
        <v>195</v>
      </c>
      <c r="C82" s="102" t="s">
        <v>93</v>
      </c>
      <c r="D82" s="14"/>
      <c r="E82" s="18"/>
      <c r="F82" s="13"/>
      <c r="G82" s="37">
        <v>644.72</v>
      </c>
      <c r="H82" s="60"/>
      <c r="I82" s="99">
        <f>G82*1</f>
        <v>644.72</v>
      </c>
    </row>
    <row r="83" spans="1:9" ht="18" hidden="1" customHeight="1">
      <c r="A83" s="33"/>
      <c r="B83" s="14"/>
      <c r="C83" s="16"/>
      <c r="D83" s="14"/>
      <c r="E83" s="18"/>
      <c r="F83" s="13"/>
      <c r="G83" s="13"/>
      <c r="H83" s="60"/>
      <c r="I83" s="99"/>
    </row>
    <row r="84" spans="1:9">
      <c r="A84" s="33"/>
      <c r="B84" s="43" t="s">
        <v>50</v>
      </c>
      <c r="C84" s="39"/>
      <c r="D84" s="46"/>
      <c r="E84" s="39">
        <v>1</v>
      </c>
      <c r="F84" s="39"/>
      <c r="G84" s="39"/>
      <c r="H84" s="39"/>
      <c r="I84" s="35">
        <f>SUM(I81:I83)</f>
        <v>784.72</v>
      </c>
    </row>
    <row r="85" spans="1:9" ht="16.5" customHeight="1">
      <c r="A85" s="33"/>
      <c r="B85" s="45" t="s">
        <v>78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161</v>
      </c>
      <c r="C86" s="36"/>
      <c r="D86" s="36"/>
      <c r="E86" s="36"/>
      <c r="F86" s="36"/>
      <c r="G86" s="36"/>
      <c r="H86" s="36"/>
      <c r="I86" s="42">
        <f>I79+I84</f>
        <v>31420.375602533331</v>
      </c>
    </row>
    <row r="87" spans="1:9" ht="15.75" customHeight="1">
      <c r="A87" s="128" t="s">
        <v>221</v>
      </c>
      <c r="B87" s="128"/>
      <c r="C87" s="128"/>
      <c r="D87" s="128"/>
      <c r="E87" s="128"/>
      <c r="F87" s="128"/>
      <c r="G87" s="128"/>
      <c r="H87" s="128"/>
      <c r="I87" s="128"/>
    </row>
    <row r="88" spans="1:9" ht="15.75" customHeight="1">
      <c r="A88" s="57"/>
      <c r="B88" s="129" t="s">
        <v>222</v>
      </c>
      <c r="C88" s="129"/>
      <c r="D88" s="129"/>
      <c r="E88" s="129"/>
      <c r="F88" s="129"/>
      <c r="G88" s="129"/>
      <c r="H88" s="63"/>
      <c r="I88" s="3"/>
    </row>
    <row r="89" spans="1:9">
      <c r="A89" s="56"/>
      <c r="B89" s="130" t="s">
        <v>6</v>
      </c>
      <c r="C89" s="130"/>
      <c r="D89" s="130"/>
      <c r="E89" s="130"/>
      <c r="F89" s="130"/>
      <c r="G89" s="130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31" t="s">
        <v>7</v>
      </c>
      <c r="B91" s="131"/>
      <c r="C91" s="131"/>
      <c r="D91" s="131"/>
      <c r="E91" s="131"/>
      <c r="F91" s="131"/>
      <c r="G91" s="131"/>
      <c r="H91" s="131"/>
      <c r="I91" s="131"/>
    </row>
    <row r="92" spans="1:9" ht="15.75">
      <c r="A92" s="131" t="s">
        <v>8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>
      <c r="A93" s="136" t="s">
        <v>61</v>
      </c>
      <c r="B93" s="136"/>
      <c r="C93" s="136"/>
      <c r="D93" s="136"/>
      <c r="E93" s="136"/>
      <c r="F93" s="136"/>
      <c r="G93" s="136"/>
      <c r="H93" s="136"/>
      <c r="I93" s="136"/>
    </row>
    <row r="94" spans="1:9" ht="15.75">
      <c r="A94" s="11"/>
    </row>
    <row r="95" spans="1:9" ht="15.75">
      <c r="A95" s="137" t="s">
        <v>9</v>
      </c>
      <c r="B95" s="137"/>
      <c r="C95" s="137"/>
      <c r="D95" s="137"/>
      <c r="E95" s="137"/>
      <c r="F95" s="137"/>
      <c r="G95" s="137"/>
      <c r="H95" s="137"/>
      <c r="I95" s="137"/>
    </row>
    <row r="96" spans="1:9" ht="15.75">
      <c r="A96" s="4"/>
    </row>
    <row r="97" spans="1:9" ht="15.75">
      <c r="B97" s="53" t="s">
        <v>10</v>
      </c>
      <c r="C97" s="138" t="s">
        <v>127</v>
      </c>
      <c r="D97" s="138"/>
      <c r="E97" s="138"/>
      <c r="F97" s="61"/>
      <c r="I97" s="55"/>
    </row>
    <row r="98" spans="1:9">
      <c r="A98" s="56"/>
      <c r="C98" s="130" t="s">
        <v>11</v>
      </c>
      <c r="D98" s="130"/>
      <c r="E98" s="130"/>
      <c r="F98" s="28"/>
      <c r="I98" s="54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53" t="s">
        <v>13</v>
      </c>
      <c r="C100" s="139"/>
      <c r="D100" s="139"/>
      <c r="E100" s="139"/>
      <c r="F100" s="62"/>
      <c r="I100" s="55"/>
    </row>
    <row r="101" spans="1:9">
      <c r="A101" s="56"/>
      <c r="C101" s="127" t="s">
        <v>11</v>
      </c>
      <c r="D101" s="127"/>
      <c r="E101" s="127"/>
      <c r="F101" s="56"/>
      <c r="I101" s="54" t="s">
        <v>12</v>
      </c>
    </row>
    <row r="102" spans="1:9" ht="15.75">
      <c r="A102" s="4" t="s">
        <v>14</v>
      </c>
    </row>
    <row r="103" spans="1:9">
      <c r="A103" s="140" t="s">
        <v>15</v>
      </c>
      <c r="B103" s="140"/>
      <c r="C103" s="140"/>
      <c r="D103" s="140"/>
      <c r="E103" s="140"/>
      <c r="F103" s="140"/>
      <c r="G103" s="140"/>
      <c r="H103" s="140"/>
      <c r="I103" s="140"/>
    </row>
    <row r="104" spans="1:9" ht="45" customHeight="1">
      <c r="A104" s="135" t="s">
        <v>16</v>
      </c>
      <c r="B104" s="135"/>
      <c r="C104" s="135"/>
      <c r="D104" s="135"/>
      <c r="E104" s="135"/>
      <c r="F104" s="135"/>
      <c r="G104" s="135"/>
      <c r="H104" s="135"/>
      <c r="I104" s="135"/>
    </row>
    <row r="105" spans="1:9" ht="30" customHeight="1">
      <c r="A105" s="135" t="s">
        <v>17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30" customHeight="1">
      <c r="A106" s="135" t="s">
        <v>21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14.25" customHeight="1">
      <c r="A107" s="135" t="s">
        <v>20</v>
      </c>
      <c r="B107" s="135"/>
      <c r="C107" s="135"/>
      <c r="D107" s="135"/>
      <c r="E107" s="135"/>
      <c r="F107" s="135"/>
      <c r="G107" s="135"/>
      <c r="H107" s="135"/>
      <c r="I107" s="135"/>
    </row>
  </sheetData>
  <autoFilter ref="I12:I59"/>
  <mergeCells count="29"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  <mergeCell ref="A93:I93"/>
    <mergeCell ref="A15:I15"/>
    <mergeCell ref="A28:I28"/>
    <mergeCell ref="A42:I42"/>
    <mergeCell ref="A53:I53"/>
    <mergeCell ref="A87:I87"/>
    <mergeCell ref="B88:G88"/>
    <mergeCell ref="B89:G89"/>
    <mergeCell ref="A91:I91"/>
    <mergeCell ref="A92:I92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topLeftCell="A82" workbookViewId="0">
      <selection activeCell="B30" sqref="B30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156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223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43677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7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4" si="1">SUM(F30*G30/1000)</f>
        <v>2.0347501356</v>
      </c>
      <c r="I30" s="13">
        <f t="shared" ref="I30:I31" si="2">F30/6*G30</f>
        <v>339.12502259999997</v>
      </c>
      <c r="J30" s="26"/>
      <c r="K30" s="8"/>
      <c r="L30" s="8"/>
      <c r="M30" s="8"/>
    </row>
    <row r="31" spans="1:13" ht="31.5" customHeight="1">
      <c r="A31" s="33">
        <v>8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1"/>
        <v>0.91238364360000002</v>
      </c>
      <c r="I31" s="13">
        <f t="shared" si="2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si="1"/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1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1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3">SUM(F36*G36/1000)</f>
        <v>4.8977999999999993</v>
      </c>
      <c r="I36" s="13">
        <f t="shared" ref="I36:I41" si="4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4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3"/>
        <v>2.4587445555</v>
      </c>
      <c r="I38" s="13">
        <f t="shared" si="4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3"/>
        <v>9.1860641039999997</v>
      </c>
      <c r="I39" s="13">
        <f t="shared" si="4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3"/>
        <v>0.87247215450000015</v>
      </c>
      <c r="I40" s="13">
        <f t="shared" si="4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3"/>
        <v>0.39768020000000004</v>
      </c>
      <c r="I41" s="13">
        <f t="shared" si="4"/>
        <v>66.280033333333336</v>
      </c>
      <c r="J41" s="27"/>
      <c r="L41" s="20"/>
      <c r="M41" s="21"/>
      <c r="N41" s="22"/>
    </row>
    <row r="42" spans="1:14" ht="15.75" hidden="1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15.75" hidden="1" customHeight="1">
      <c r="A43" s="33"/>
      <c r="B43" s="64" t="s">
        <v>113</v>
      </c>
      <c r="C43" s="65" t="s">
        <v>88</v>
      </c>
      <c r="D43" s="64" t="s">
        <v>41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5">SUM(F43*G43/1000)</f>
        <v>0.9703194249999999</v>
      </c>
      <c r="I43" s="13">
        <v>0</v>
      </c>
      <c r="J43" s="27"/>
      <c r="L43" s="20"/>
      <c r="M43" s="21"/>
      <c r="N43" s="22"/>
    </row>
    <row r="44" spans="1:14" ht="15.75" hidden="1" customHeight="1">
      <c r="A44" s="33"/>
      <c r="B44" s="64" t="s">
        <v>34</v>
      </c>
      <c r="C44" s="65" t="s">
        <v>88</v>
      </c>
      <c r="D44" s="64" t="s">
        <v>41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5"/>
        <v>2.8373799999999998E-2</v>
      </c>
      <c r="I44" s="13">
        <v>0</v>
      </c>
      <c r="J44" s="27"/>
      <c r="L44" s="20"/>
      <c r="M44" s="21"/>
      <c r="N44" s="22"/>
    </row>
    <row r="45" spans="1:14" ht="15.75" hidden="1" customHeight="1">
      <c r="A45" s="33"/>
      <c r="B45" s="64" t="s">
        <v>35</v>
      </c>
      <c r="C45" s="65" t="s">
        <v>88</v>
      </c>
      <c r="D45" s="64" t="s">
        <v>41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5"/>
        <v>0.63186269999999989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36</v>
      </c>
      <c r="C46" s="65" t="s">
        <v>88</v>
      </c>
      <c r="D46" s="64" t="s">
        <v>41</v>
      </c>
      <c r="E46" s="66">
        <v>683.33</v>
      </c>
      <c r="F46" s="67">
        <f>SUM(E46*2/1000)</f>
        <v>1.36666</v>
      </c>
      <c r="G46" s="13">
        <v>571.35</v>
      </c>
      <c r="H46" s="68">
        <f t="shared" si="5"/>
        <v>0.78084119099999993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32</v>
      </c>
      <c r="C47" s="65" t="s">
        <v>33</v>
      </c>
      <c r="D47" s="64" t="s">
        <v>41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5"/>
        <v>6.0483632000000002E-2</v>
      </c>
      <c r="I47" s="13">
        <v>0</v>
      </c>
      <c r="J47" s="27"/>
      <c r="L47" s="20"/>
      <c r="M47" s="21"/>
      <c r="N47" s="22"/>
    </row>
    <row r="48" spans="1:14" ht="15.75" hidden="1" customHeight="1">
      <c r="A48" s="33">
        <v>14</v>
      </c>
      <c r="B48" s="64" t="s">
        <v>56</v>
      </c>
      <c r="C48" s="65" t="s">
        <v>88</v>
      </c>
      <c r="D48" s="64" t="s">
        <v>129</v>
      </c>
      <c r="E48" s="66">
        <v>1140</v>
      </c>
      <c r="F48" s="67">
        <f>SUM(E48*5/1000)</f>
        <v>5.7</v>
      </c>
      <c r="G48" s="13">
        <v>1142.7</v>
      </c>
      <c r="H48" s="68">
        <f t="shared" si="5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31.5" hidden="1" customHeight="1">
      <c r="A49" s="33"/>
      <c r="B49" s="64" t="s">
        <v>90</v>
      </c>
      <c r="C49" s="65" t="s">
        <v>88</v>
      </c>
      <c r="D49" s="64" t="s">
        <v>41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5"/>
        <v>2.6053559999999996</v>
      </c>
      <c r="I49" s="13">
        <v>0</v>
      </c>
      <c r="J49" s="27"/>
      <c r="L49" s="20"/>
      <c r="M49" s="21"/>
      <c r="N49" s="22"/>
    </row>
    <row r="50" spans="1:22" ht="31.5" hidden="1" customHeight="1">
      <c r="A50" s="33"/>
      <c r="B50" s="64" t="s">
        <v>91</v>
      </c>
      <c r="C50" s="65" t="s">
        <v>37</v>
      </c>
      <c r="D50" s="64" t="s">
        <v>41</v>
      </c>
      <c r="E50" s="66">
        <v>9</v>
      </c>
      <c r="F50" s="67">
        <f>SUM(E50*2/100)</f>
        <v>0.18</v>
      </c>
      <c r="G50" s="13">
        <v>2571.08</v>
      </c>
      <c r="H50" s="68">
        <f t="shared" si="5"/>
        <v>0.46279439999999999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>
        <v>11</v>
      </c>
      <c r="B51" s="64" t="s">
        <v>38</v>
      </c>
      <c r="C51" s="65" t="s">
        <v>39</v>
      </c>
      <c r="D51" s="64" t="s">
        <v>41</v>
      </c>
      <c r="E51" s="66">
        <v>1</v>
      </c>
      <c r="F51" s="67">
        <v>0.02</v>
      </c>
      <c r="G51" s="13">
        <v>5322.15</v>
      </c>
      <c r="H51" s="68">
        <f t="shared" si="5"/>
        <v>0.106443</v>
      </c>
      <c r="I51" s="13">
        <f>F51/2*G51</f>
        <v>53.221499999999999</v>
      </c>
      <c r="J51" s="27"/>
      <c r="L51" s="20"/>
      <c r="M51" s="21"/>
      <c r="N51" s="22"/>
    </row>
    <row r="52" spans="1:22" ht="15.75" hidden="1" customHeight="1">
      <c r="A52" s="33">
        <v>15</v>
      </c>
      <c r="B52" s="64" t="s">
        <v>40</v>
      </c>
      <c r="C52" s="65" t="s">
        <v>114</v>
      </c>
      <c r="D52" s="64" t="s">
        <v>70</v>
      </c>
      <c r="E52" s="66">
        <v>36</v>
      </c>
      <c r="F52" s="67">
        <f>SUM(E52)*3</f>
        <v>108</v>
      </c>
      <c r="G52" s="13">
        <v>61.84</v>
      </c>
      <c r="H52" s="68">
        <f t="shared" si="5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5.75" hidden="1" customHeight="1">
      <c r="A53" s="132" t="s">
        <v>130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15.7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31.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5.75" hidden="1" customHeight="1">
      <c r="A57" s="33"/>
      <c r="B57" s="64" t="s">
        <v>117</v>
      </c>
      <c r="C57" s="65"/>
      <c r="D57" s="64" t="s">
        <v>53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v>0</v>
      </c>
      <c r="J57" s="27"/>
      <c r="L57" s="20"/>
    </row>
    <row r="58" spans="1:22" ht="15.75" hidden="1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15.75" hidden="1" customHeight="1">
      <c r="A59" s="33">
        <v>17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6">SUM(F59*G59/1000)</f>
        <v>1.1887000000000001</v>
      </c>
      <c r="I59" s="13">
        <f>G59</f>
        <v>237.74</v>
      </c>
    </row>
    <row r="60" spans="1:22" ht="15.7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6"/>
        <v>0.16302</v>
      </c>
      <c r="I60" s="13">
        <v>0</v>
      </c>
    </row>
    <row r="61" spans="1:22" ht="15.75" hidden="1" customHeight="1">
      <c r="A61" s="33"/>
      <c r="B61" s="14" t="s">
        <v>47</v>
      </c>
      <c r="C61" s="16" t="s">
        <v>118</v>
      </c>
      <c r="D61" s="14" t="s">
        <v>53</v>
      </c>
      <c r="E61" s="66">
        <v>4292</v>
      </c>
      <c r="F61" s="13">
        <f>SUM(E61/100)</f>
        <v>42.92</v>
      </c>
      <c r="G61" s="13">
        <v>226.79</v>
      </c>
      <c r="H61" s="79">
        <f t="shared" si="6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33"/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6"/>
        <v>0.75801012000000001</v>
      </c>
      <c r="I62" s="13">
        <v>0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3"/>
      <c r="B63" s="14" t="s">
        <v>49</v>
      </c>
      <c r="C63" s="16" t="s">
        <v>76</v>
      </c>
      <c r="D63" s="14" t="s">
        <v>53</v>
      </c>
      <c r="E63" s="66">
        <v>510</v>
      </c>
      <c r="F63" s="13">
        <f>SUM(E63/100)</f>
        <v>5.0999999999999996</v>
      </c>
      <c r="G63" s="13">
        <v>2217.7800000000002</v>
      </c>
      <c r="H63" s="79">
        <f t="shared" si="6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3"/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6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5.75" hidden="1" customHeight="1">
      <c r="A65" s="33"/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6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3"/>
      <c r="B66" s="14" t="s">
        <v>57</v>
      </c>
      <c r="C66" s="16" t="s">
        <v>58</v>
      </c>
      <c r="D66" s="14" t="s">
        <v>53</v>
      </c>
      <c r="E66" s="18">
        <v>3</v>
      </c>
      <c r="F66" s="67">
        <v>3</v>
      </c>
      <c r="G66" s="13">
        <v>53.32</v>
      </c>
      <c r="H66" s="79">
        <f t="shared" si="6"/>
        <v>0.15996000000000002</v>
      </c>
      <c r="I66" s="13">
        <v>0</v>
      </c>
    </row>
    <row r="67" spans="1:21" ht="15.7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/>
    </row>
    <row r="68" spans="1:21" ht="15.7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6"/>
        <v>0.10724600000000001</v>
      </c>
      <c r="I68" s="13">
        <v>0</v>
      </c>
    </row>
    <row r="69" spans="1:21" ht="15.75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6"/>
        <v>0.91185000000000005</v>
      </c>
      <c r="I69" s="13">
        <v>0</v>
      </c>
    </row>
    <row r="70" spans="1:21" ht="15.75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6"/>
        <v>0</v>
      </c>
      <c r="I70" s="13"/>
    </row>
    <row r="71" spans="1:21" ht="15.75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v>0</v>
      </c>
    </row>
    <row r="72" spans="1:21" ht="15.7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15.75" hidden="1" customHeight="1">
      <c r="A73" s="33"/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6"/>
        <v>0.294985</v>
      </c>
      <c r="I73" s="13">
        <v>0</v>
      </c>
    </row>
    <row r="74" spans="1:21" ht="15.7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70"/>
    </row>
    <row r="75" spans="1:21" ht="15.75" hidden="1" customHeight="1">
      <c r="A75" s="33"/>
      <c r="B75" s="87" t="s">
        <v>122</v>
      </c>
      <c r="C75" s="24"/>
      <c r="D75" s="23"/>
      <c r="E75" s="84"/>
      <c r="F75" s="88">
        <v>1</v>
      </c>
      <c r="G75" s="13">
        <v>3124.9</v>
      </c>
      <c r="H75" s="79">
        <f>G75*F75/1000</f>
        <v>3.1249000000000002</v>
      </c>
      <c r="I75" s="13">
        <v>0</v>
      </c>
    </row>
    <row r="76" spans="1:21" ht="15.75" customHeight="1">
      <c r="A76" s="132" t="s">
        <v>155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9</v>
      </c>
      <c r="B77" s="64" t="s">
        <v>124</v>
      </c>
      <c r="C77" s="16" t="s">
        <v>54</v>
      </c>
      <c r="D77" s="50"/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10</v>
      </c>
      <c r="B78" s="14" t="s">
        <v>77</v>
      </c>
      <c r="C78" s="16"/>
      <c r="D78" s="50"/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I78+I77+I31+I30+I27+I21+I20+I18+I17+I16</f>
        <v>8455.9304825333329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15.75" customHeight="1">
      <c r="A81" s="96">
        <v>11</v>
      </c>
      <c r="B81" s="75" t="s">
        <v>168</v>
      </c>
      <c r="C81" s="74" t="s">
        <v>169</v>
      </c>
      <c r="D81" s="75"/>
      <c r="E81" s="76"/>
      <c r="F81" s="77">
        <v>200</v>
      </c>
      <c r="G81" s="60">
        <v>1.4</v>
      </c>
      <c r="H81" s="78">
        <f>F81*G81/1000</f>
        <v>0.28000000000000003</v>
      </c>
      <c r="I81" s="99">
        <f>G81*100</f>
        <v>140</v>
      </c>
    </row>
    <row r="82" spans="1:9" ht="15.75" customHeight="1">
      <c r="A82" s="33">
        <v>12</v>
      </c>
      <c r="B82" s="101" t="s">
        <v>176</v>
      </c>
      <c r="C82" s="102" t="s">
        <v>172</v>
      </c>
      <c r="D82" s="45"/>
      <c r="E82" s="13"/>
      <c r="F82" s="13">
        <v>1</v>
      </c>
      <c r="G82" s="37">
        <v>273</v>
      </c>
      <c r="H82" s="79">
        <f t="shared" ref="H82" si="7">G82*F82/1000</f>
        <v>0.27300000000000002</v>
      </c>
      <c r="I82" s="19">
        <f>G82*7</f>
        <v>1911</v>
      </c>
    </row>
    <row r="83" spans="1:9" ht="31.5" customHeight="1">
      <c r="A83" s="33">
        <v>13</v>
      </c>
      <c r="B83" s="101" t="s">
        <v>195</v>
      </c>
      <c r="C83" s="102" t="s">
        <v>93</v>
      </c>
      <c r="D83" s="45"/>
      <c r="E83" s="13"/>
      <c r="F83" s="13">
        <v>0.04</v>
      </c>
      <c r="G83" s="37">
        <v>644.72</v>
      </c>
      <c r="H83" s="79">
        <f>G83*F83/1000</f>
        <v>2.5788800000000001E-2</v>
      </c>
      <c r="I83" s="19">
        <f>G83*1</f>
        <v>644.72</v>
      </c>
    </row>
    <row r="84" spans="1:9" ht="32.25" customHeight="1">
      <c r="A84" s="33">
        <v>14</v>
      </c>
      <c r="B84" s="101" t="s">
        <v>224</v>
      </c>
      <c r="C84" s="102" t="s">
        <v>93</v>
      </c>
      <c r="D84" s="45"/>
      <c r="E84" s="13"/>
      <c r="F84" s="13"/>
      <c r="G84" s="37">
        <v>561.86</v>
      </c>
      <c r="H84" s="79"/>
      <c r="I84" s="19">
        <f>G84*1</f>
        <v>561.86</v>
      </c>
    </row>
    <row r="85" spans="1:9" ht="33.75" customHeight="1">
      <c r="A85" s="33">
        <v>15</v>
      </c>
      <c r="B85" s="101" t="s">
        <v>225</v>
      </c>
      <c r="C85" s="102" t="s">
        <v>93</v>
      </c>
      <c r="D85" s="45"/>
      <c r="E85" s="13"/>
      <c r="F85" s="13"/>
      <c r="G85" s="37">
        <v>878.3</v>
      </c>
      <c r="H85" s="79"/>
      <c r="I85" s="19">
        <f>G85*2</f>
        <v>1756.6</v>
      </c>
    </row>
    <row r="86" spans="1:9" ht="18.75" customHeight="1">
      <c r="A86" s="33">
        <v>16</v>
      </c>
      <c r="B86" s="101" t="s">
        <v>226</v>
      </c>
      <c r="C86" s="102" t="s">
        <v>114</v>
      </c>
      <c r="D86" s="45"/>
      <c r="E86" s="13"/>
      <c r="F86" s="13"/>
      <c r="G86" s="37">
        <v>81</v>
      </c>
      <c r="H86" s="79"/>
      <c r="I86" s="19">
        <f>G86*2</f>
        <v>162</v>
      </c>
    </row>
    <row r="87" spans="1:9" ht="18.75" customHeight="1">
      <c r="A87" s="33">
        <v>17</v>
      </c>
      <c r="B87" s="101" t="s">
        <v>227</v>
      </c>
      <c r="C87" s="102" t="s">
        <v>114</v>
      </c>
      <c r="D87" s="45"/>
      <c r="E87" s="13"/>
      <c r="F87" s="13"/>
      <c r="G87" s="37">
        <v>108</v>
      </c>
      <c r="H87" s="79"/>
      <c r="I87" s="19">
        <f>G87*1</f>
        <v>108</v>
      </c>
    </row>
    <row r="88" spans="1:9" ht="18.75" customHeight="1">
      <c r="A88" s="33">
        <v>18</v>
      </c>
      <c r="B88" s="101" t="s">
        <v>228</v>
      </c>
      <c r="C88" s="102" t="s">
        <v>114</v>
      </c>
      <c r="D88" s="45"/>
      <c r="E88" s="13"/>
      <c r="F88" s="13"/>
      <c r="G88" s="37">
        <v>229</v>
      </c>
      <c r="H88" s="79"/>
      <c r="I88" s="19">
        <f>G88*2</f>
        <v>458</v>
      </c>
    </row>
    <row r="89" spans="1:9" ht="30" customHeight="1">
      <c r="A89" s="33">
        <v>19</v>
      </c>
      <c r="B89" s="101" t="s">
        <v>171</v>
      </c>
      <c r="C89" s="102" t="s">
        <v>165</v>
      </c>
      <c r="D89" s="45"/>
      <c r="E89" s="13"/>
      <c r="F89" s="13"/>
      <c r="G89" s="37">
        <v>4742.7700000000004</v>
      </c>
      <c r="H89" s="79"/>
      <c r="I89" s="19">
        <f>G89*0.314</f>
        <v>1489.2297800000001</v>
      </c>
    </row>
    <row r="90" spans="1:9" ht="18.75" customHeight="1">
      <c r="A90" s="33">
        <v>20</v>
      </c>
      <c r="B90" s="101" t="s">
        <v>229</v>
      </c>
      <c r="C90" s="102" t="s">
        <v>114</v>
      </c>
      <c r="D90" s="45"/>
      <c r="E90" s="13"/>
      <c r="F90" s="13"/>
      <c r="G90" s="37">
        <v>330</v>
      </c>
      <c r="H90" s="79"/>
      <c r="I90" s="19">
        <f>G90*2</f>
        <v>660</v>
      </c>
    </row>
    <row r="91" spans="1:9" ht="28.5" customHeight="1">
      <c r="A91" s="33">
        <v>21</v>
      </c>
      <c r="B91" s="101" t="s">
        <v>185</v>
      </c>
      <c r="C91" s="102" t="s">
        <v>37</v>
      </c>
      <c r="D91" s="45"/>
      <c r="E91" s="13"/>
      <c r="F91" s="13"/>
      <c r="G91" s="37">
        <v>3914.31</v>
      </c>
      <c r="H91" s="79"/>
      <c r="I91" s="19">
        <f>G91*0.01</f>
        <v>39.143099999999997</v>
      </c>
    </row>
    <row r="92" spans="1:9" ht="15.75" customHeight="1">
      <c r="A92" s="33"/>
      <c r="B92" s="43" t="s">
        <v>50</v>
      </c>
      <c r="C92" s="39"/>
      <c r="D92" s="46"/>
      <c r="E92" s="39">
        <v>1</v>
      </c>
      <c r="F92" s="39"/>
      <c r="G92" s="39"/>
      <c r="H92" s="39"/>
      <c r="I92" s="35">
        <f>SUM(I81:I91)</f>
        <v>7930.5528800000002</v>
      </c>
    </row>
    <row r="93" spans="1:9" ht="15.75" customHeight="1">
      <c r="A93" s="33"/>
      <c r="B93" s="45" t="s">
        <v>78</v>
      </c>
      <c r="C93" s="15"/>
      <c r="D93" s="15"/>
      <c r="E93" s="40"/>
      <c r="F93" s="40"/>
      <c r="G93" s="41"/>
      <c r="H93" s="41"/>
      <c r="I93" s="17">
        <v>0</v>
      </c>
    </row>
    <row r="94" spans="1:9" ht="16.5" customHeight="1">
      <c r="A94" s="47"/>
      <c r="B94" s="44" t="s">
        <v>161</v>
      </c>
      <c r="C94" s="36"/>
      <c r="D94" s="36"/>
      <c r="E94" s="36"/>
      <c r="F94" s="36"/>
      <c r="G94" s="36"/>
      <c r="H94" s="36"/>
      <c r="I94" s="42">
        <f>I79+I92</f>
        <v>16386.483362533334</v>
      </c>
    </row>
    <row r="95" spans="1:9" ht="15.75" customHeight="1">
      <c r="A95" s="128" t="s">
        <v>230</v>
      </c>
      <c r="B95" s="128"/>
      <c r="C95" s="128"/>
      <c r="D95" s="128"/>
      <c r="E95" s="128"/>
      <c r="F95" s="128"/>
      <c r="G95" s="128"/>
      <c r="H95" s="128"/>
      <c r="I95" s="128"/>
    </row>
    <row r="96" spans="1:9" ht="15.75" customHeight="1">
      <c r="A96" s="57"/>
      <c r="B96" s="129" t="s">
        <v>231</v>
      </c>
      <c r="C96" s="129"/>
      <c r="D96" s="129"/>
      <c r="E96" s="129"/>
      <c r="F96" s="129"/>
      <c r="G96" s="129"/>
      <c r="H96" s="63"/>
      <c r="I96" s="3"/>
    </row>
    <row r="97" spans="1:9">
      <c r="A97" s="56"/>
      <c r="B97" s="130" t="s">
        <v>6</v>
      </c>
      <c r="C97" s="130"/>
      <c r="D97" s="130"/>
      <c r="E97" s="130"/>
      <c r="F97" s="130"/>
      <c r="G97" s="130"/>
      <c r="H97" s="28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1" t="s">
        <v>7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>
      <c r="A100" s="131" t="s">
        <v>8</v>
      </c>
      <c r="B100" s="131"/>
      <c r="C100" s="131"/>
      <c r="D100" s="131"/>
      <c r="E100" s="131"/>
      <c r="F100" s="131"/>
      <c r="G100" s="131"/>
      <c r="H100" s="131"/>
      <c r="I100" s="131"/>
    </row>
    <row r="101" spans="1:9" ht="15.75">
      <c r="A101" s="136" t="s">
        <v>61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>
      <c r="A102" s="11"/>
    </row>
    <row r="103" spans="1:9" ht="15.75">
      <c r="A103" s="137" t="s">
        <v>9</v>
      </c>
      <c r="B103" s="137"/>
      <c r="C103" s="137"/>
      <c r="D103" s="137"/>
      <c r="E103" s="137"/>
      <c r="F103" s="137"/>
      <c r="G103" s="137"/>
      <c r="H103" s="137"/>
      <c r="I103" s="137"/>
    </row>
    <row r="104" spans="1:9" ht="15.75">
      <c r="A104" s="4"/>
    </row>
    <row r="105" spans="1:9" ht="15.75">
      <c r="B105" s="53" t="s">
        <v>10</v>
      </c>
      <c r="C105" s="138" t="s">
        <v>127</v>
      </c>
      <c r="D105" s="138"/>
      <c r="E105" s="138"/>
      <c r="F105" s="61"/>
      <c r="I105" s="55"/>
    </row>
    <row r="106" spans="1:9">
      <c r="A106" s="56"/>
      <c r="C106" s="130" t="s">
        <v>11</v>
      </c>
      <c r="D106" s="130"/>
      <c r="E106" s="130"/>
      <c r="F106" s="28"/>
      <c r="I106" s="54" t="s">
        <v>12</v>
      </c>
    </row>
    <row r="107" spans="1:9" ht="15.75">
      <c r="A107" s="29"/>
      <c r="C107" s="12"/>
      <c r="D107" s="12"/>
      <c r="G107" s="12"/>
      <c r="H107" s="12"/>
    </row>
    <row r="108" spans="1:9" ht="15.75">
      <c r="B108" s="53" t="s">
        <v>13</v>
      </c>
      <c r="C108" s="139"/>
      <c r="D108" s="139"/>
      <c r="E108" s="139"/>
      <c r="F108" s="62"/>
      <c r="I108" s="55"/>
    </row>
    <row r="109" spans="1:9">
      <c r="A109" s="56"/>
      <c r="C109" s="127" t="s">
        <v>11</v>
      </c>
      <c r="D109" s="127"/>
      <c r="E109" s="127"/>
      <c r="F109" s="56"/>
      <c r="I109" s="54" t="s">
        <v>12</v>
      </c>
    </row>
    <row r="110" spans="1:9" ht="15.75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5" customHeight="1">
      <c r="A112" s="135" t="s">
        <v>16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30" customHeight="1">
      <c r="A113" s="135" t="s">
        <v>17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30" customHeight="1">
      <c r="A114" s="135" t="s">
        <v>21</v>
      </c>
      <c r="B114" s="135"/>
      <c r="C114" s="135"/>
      <c r="D114" s="135"/>
      <c r="E114" s="135"/>
      <c r="F114" s="135"/>
      <c r="G114" s="135"/>
      <c r="H114" s="135"/>
      <c r="I114" s="135"/>
    </row>
    <row r="115" spans="1:9" ht="14.25" customHeight="1">
      <c r="A115" s="135" t="s">
        <v>20</v>
      </c>
      <c r="B115" s="135"/>
      <c r="C115" s="135"/>
      <c r="D115" s="135"/>
      <c r="E115" s="135"/>
      <c r="F115" s="135"/>
      <c r="G115" s="135"/>
      <c r="H115" s="135"/>
      <c r="I115" s="135"/>
    </row>
  </sheetData>
  <autoFilter ref="I12:I59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2:I42"/>
    <mergeCell ref="A53:I53"/>
    <mergeCell ref="A95:I95"/>
    <mergeCell ref="B96:G96"/>
    <mergeCell ref="B97:G97"/>
    <mergeCell ref="A99:I99"/>
    <mergeCell ref="A100:I100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topLeftCell="A82" workbookViewId="0">
      <selection activeCell="B30" sqref="B30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157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232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43708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20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200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4" t="s">
        <v>98</v>
      </c>
      <c r="C21" s="65" t="s">
        <v>85</v>
      </c>
      <c r="D21" s="64" t="s">
        <v>99</v>
      </c>
      <c r="E21" s="66">
        <v>1.08</v>
      </c>
      <c r="F21" s="67">
        <f>SUM(E21*6/100)</f>
        <v>6.480000000000001E-2</v>
      </c>
      <c r="G21" s="67">
        <v>203.5</v>
      </c>
      <c r="H21" s="68">
        <f t="shared" ref="H21:H26" si="1">SUM(F21*G21/1000)</f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6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1" si="2">SUM(F30*G30/1000)</f>
        <v>2.0347501356</v>
      </c>
      <c r="I30" s="13">
        <f t="shared" ref="I30:I31" si="3">F30/6*G30</f>
        <v>339.12502259999997</v>
      </c>
      <c r="J30" s="26"/>
      <c r="K30" s="8"/>
      <c r="L30" s="8"/>
      <c r="M30" s="8"/>
    </row>
    <row r="31" spans="1:13" ht="31.5" customHeight="1">
      <c r="A31" s="33">
        <v>7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2"/>
        <v>0.91238364360000002</v>
      </c>
      <c r="I31" s="13">
        <f t="shared" si="3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ref="H32:H34" si="4">SUM(F32*G32/1000)</f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4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4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5">SUM(F36*G36/1000)</f>
        <v>4.8977999999999993</v>
      </c>
      <c r="I36" s="13">
        <f t="shared" ref="I36:I41" si="6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6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5"/>
        <v>2.4587445555</v>
      </c>
      <c r="I38" s="13">
        <f t="shared" si="6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5"/>
        <v>9.1860641039999997</v>
      </c>
      <c r="I39" s="13">
        <f t="shared" si="6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5"/>
        <v>0.87247215450000015</v>
      </c>
      <c r="I40" s="13">
        <f t="shared" si="6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5"/>
        <v>0.39768020000000004</v>
      </c>
      <c r="I41" s="13">
        <f t="shared" si="6"/>
        <v>66.280033333333336</v>
      </c>
      <c r="J41" s="27"/>
      <c r="L41" s="20"/>
      <c r="M41" s="21"/>
      <c r="N41" s="22"/>
    </row>
    <row r="42" spans="1:14" ht="15.75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15.75" hidden="1" customHeight="1">
      <c r="A43" s="33"/>
      <c r="B43" s="64" t="s">
        <v>113</v>
      </c>
      <c r="C43" s="65" t="s">
        <v>88</v>
      </c>
      <c r="D43" s="64" t="s">
        <v>41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7">SUM(F43*G43/1000)</f>
        <v>0.9703194249999999</v>
      </c>
      <c r="I43" s="13">
        <v>0</v>
      </c>
      <c r="J43" s="27"/>
      <c r="L43" s="20"/>
      <c r="M43" s="21"/>
      <c r="N43" s="22"/>
    </row>
    <row r="44" spans="1:14" ht="15.75" hidden="1" customHeight="1">
      <c r="A44" s="33"/>
      <c r="B44" s="64" t="s">
        <v>34</v>
      </c>
      <c r="C44" s="65" t="s">
        <v>88</v>
      </c>
      <c r="D44" s="64" t="s">
        <v>41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7"/>
        <v>2.8373799999999998E-2</v>
      </c>
      <c r="I44" s="13">
        <v>0</v>
      </c>
      <c r="J44" s="27"/>
      <c r="L44" s="20"/>
      <c r="M44" s="21"/>
      <c r="N44" s="22"/>
    </row>
    <row r="45" spans="1:14" ht="15.75" hidden="1" customHeight="1">
      <c r="A45" s="33"/>
      <c r="B45" s="64" t="s">
        <v>35</v>
      </c>
      <c r="C45" s="65" t="s">
        <v>88</v>
      </c>
      <c r="D45" s="64" t="s">
        <v>41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7"/>
        <v>0.63186269999999989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4" t="s">
        <v>36</v>
      </c>
      <c r="C46" s="65" t="s">
        <v>88</v>
      </c>
      <c r="D46" s="64" t="s">
        <v>41</v>
      </c>
      <c r="E46" s="66">
        <v>683.33</v>
      </c>
      <c r="F46" s="67">
        <f>SUM(E46*2/1000)</f>
        <v>1.36666</v>
      </c>
      <c r="G46" s="13">
        <v>571.35</v>
      </c>
      <c r="H46" s="68">
        <f t="shared" si="7"/>
        <v>0.78084119099999993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4" t="s">
        <v>32</v>
      </c>
      <c r="C47" s="65" t="s">
        <v>33</v>
      </c>
      <c r="D47" s="64" t="s">
        <v>41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7"/>
        <v>6.0483632000000002E-2</v>
      </c>
      <c r="I47" s="13">
        <v>0</v>
      </c>
      <c r="J47" s="27"/>
      <c r="L47" s="20"/>
      <c r="M47" s="21"/>
      <c r="N47" s="22"/>
    </row>
    <row r="48" spans="1:14" ht="15.75" hidden="1" customHeight="1">
      <c r="A48" s="33">
        <v>14</v>
      </c>
      <c r="B48" s="64" t="s">
        <v>56</v>
      </c>
      <c r="C48" s="65" t="s">
        <v>88</v>
      </c>
      <c r="D48" s="64" t="s">
        <v>129</v>
      </c>
      <c r="E48" s="66">
        <v>1140</v>
      </c>
      <c r="F48" s="67">
        <f>SUM(E48*5/1000)</f>
        <v>5.7</v>
      </c>
      <c r="G48" s="13">
        <v>1142.7</v>
      </c>
      <c r="H48" s="68">
        <f t="shared" si="7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31.5" hidden="1" customHeight="1">
      <c r="A49" s="33"/>
      <c r="B49" s="64" t="s">
        <v>90</v>
      </c>
      <c r="C49" s="65" t="s">
        <v>88</v>
      </c>
      <c r="D49" s="64" t="s">
        <v>41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7"/>
        <v>2.6053559999999996</v>
      </c>
      <c r="I49" s="13">
        <v>0</v>
      </c>
      <c r="J49" s="27"/>
      <c r="L49" s="20"/>
      <c r="M49" s="21"/>
      <c r="N49" s="22"/>
    </row>
    <row r="50" spans="1:22" ht="31.5" hidden="1" customHeight="1">
      <c r="A50" s="33"/>
      <c r="B50" s="64" t="s">
        <v>91</v>
      </c>
      <c r="C50" s="65" t="s">
        <v>37</v>
      </c>
      <c r="D50" s="64" t="s">
        <v>41</v>
      </c>
      <c r="E50" s="66">
        <v>9</v>
      </c>
      <c r="F50" s="67">
        <f>SUM(E50*2/100)</f>
        <v>0.18</v>
      </c>
      <c r="G50" s="13">
        <v>2571.08</v>
      </c>
      <c r="H50" s="68">
        <f t="shared" si="7"/>
        <v>0.46279439999999999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4" t="s">
        <v>38</v>
      </c>
      <c r="C51" s="65" t="s">
        <v>39</v>
      </c>
      <c r="D51" s="64" t="s">
        <v>41</v>
      </c>
      <c r="E51" s="66">
        <v>1</v>
      </c>
      <c r="F51" s="67">
        <v>0.02</v>
      </c>
      <c r="G51" s="13">
        <v>5322.15</v>
      </c>
      <c r="H51" s="68">
        <f t="shared" si="7"/>
        <v>0.106443</v>
      </c>
      <c r="I51" s="13">
        <v>0</v>
      </c>
      <c r="J51" s="27"/>
      <c r="L51" s="20"/>
      <c r="M51" s="21"/>
      <c r="N51" s="22"/>
    </row>
    <row r="52" spans="1:22" ht="15.75" customHeight="1">
      <c r="A52" s="33">
        <v>8</v>
      </c>
      <c r="B52" s="64" t="s">
        <v>40</v>
      </c>
      <c r="C52" s="65" t="s">
        <v>114</v>
      </c>
      <c r="D52" s="114">
        <v>43703</v>
      </c>
      <c r="E52" s="66">
        <v>36</v>
      </c>
      <c r="F52" s="67">
        <f>SUM(E52)*3</f>
        <v>108</v>
      </c>
      <c r="G52" s="13">
        <v>61.84</v>
      </c>
      <c r="H52" s="68">
        <f t="shared" si="7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5.75" customHeight="1">
      <c r="A53" s="132" t="s">
        <v>130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15.7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31.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5.75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5.75" customHeight="1">
      <c r="A57" s="33">
        <v>9</v>
      </c>
      <c r="B57" s="64" t="s">
        <v>117</v>
      </c>
      <c r="C57" s="65"/>
      <c r="D57" s="64" t="s">
        <v>201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f>G57*1</f>
        <v>848.37</v>
      </c>
      <c r="J57" s="27"/>
      <c r="L57" s="20"/>
    </row>
    <row r="58" spans="1:22" ht="16.5" hidden="1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15.75" hidden="1" customHeight="1">
      <c r="A59" s="33">
        <v>10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8">SUM(F59*G59/1000)</f>
        <v>1.1887000000000001</v>
      </c>
      <c r="I59" s="13">
        <f>G59</f>
        <v>237.74</v>
      </c>
    </row>
    <row r="60" spans="1:22" ht="14.2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8"/>
        <v>0.16302</v>
      </c>
      <c r="I60" s="13">
        <v>0</v>
      </c>
    </row>
    <row r="61" spans="1:22" ht="16.5" hidden="1" customHeight="1">
      <c r="A61" s="33"/>
      <c r="B61" s="14" t="s">
        <v>47</v>
      </c>
      <c r="C61" s="16" t="s">
        <v>118</v>
      </c>
      <c r="D61" s="14" t="s">
        <v>53</v>
      </c>
      <c r="E61" s="66">
        <v>4292</v>
      </c>
      <c r="F61" s="13">
        <f>SUM(E61/100)</f>
        <v>42.92</v>
      </c>
      <c r="G61" s="13">
        <v>226.79</v>
      </c>
      <c r="H61" s="79">
        <f t="shared" si="8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" hidden="1" customHeight="1">
      <c r="A62" s="33"/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8"/>
        <v>0.75801012000000001</v>
      </c>
      <c r="I62" s="13">
        <v>0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21" hidden="1" customHeight="1">
      <c r="A63" s="33"/>
      <c r="B63" s="14" t="s">
        <v>49</v>
      </c>
      <c r="C63" s="16" t="s">
        <v>76</v>
      </c>
      <c r="D63" s="14" t="s">
        <v>53</v>
      </c>
      <c r="E63" s="66">
        <v>510</v>
      </c>
      <c r="F63" s="13">
        <f>SUM(E63/100)</f>
        <v>5.0999999999999996</v>
      </c>
      <c r="G63" s="13">
        <v>2217.7800000000002</v>
      </c>
      <c r="H63" s="79">
        <f t="shared" si="8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22.5" hidden="1" customHeight="1">
      <c r="A64" s="33"/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8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9.5" hidden="1" customHeight="1">
      <c r="A65" s="33"/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8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2.5" hidden="1" customHeight="1">
      <c r="A66" s="33"/>
      <c r="B66" s="14" t="s">
        <v>57</v>
      </c>
      <c r="C66" s="16" t="s">
        <v>58</v>
      </c>
      <c r="D66" s="14" t="s">
        <v>53</v>
      </c>
      <c r="E66" s="18">
        <v>3</v>
      </c>
      <c r="F66" s="67">
        <v>3</v>
      </c>
      <c r="G66" s="13">
        <v>53.32</v>
      </c>
      <c r="H66" s="79">
        <f t="shared" si="8"/>
        <v>0.15996000000000002</v>
      </c>
      <c r="I66" s="13">
        <v>0</v>
      </c>
    </row>
    <row r="67" spans="1:21" ht="22.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/>
    </row>
    <row r="68" spans="1:21" ht="23.2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8"/>
        <v>0.10724600000000001</v>
      </c>
      <c r="I68" s="13">
        <v>0</v>
      </c>
    </row>
    <row r="69" spans="1:21" ht="19.5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8"/>
        <v>0.91185000000000005</v>
      </c>
      <c r="I69" s="13">
        <v>0</v>
      </c>
    </row>
    <row r="70" spans="1:21" ht="21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8"/>
        <v>0</v>
      </c>
      <c r="I70" s="13"/>
    </row>
    <row r="71" spans="1:21" ht="21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v>0</v>
      </c>
    </row>
    <row r="72" spans="1:21" ht="24.7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24.75" hidden="1" customHeight="1">
      <c r="A73" s="33"/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8"/>
        <v>0.294985</v>
      </c>
      <c r="I73" s="13">
        <v>0</v>
      </c>
    </row>
    <row r="74" spans="1:21" ht="25.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70"/>
    </row>
    <row r="75" spans="1:21" ht="19.5" hidden="1" customHeight="1">
      <c r="A75" s="33"/>
      <c r="B75" s="87" t="s">
        <v>122</v>
      </c>
      <c r="C75" s="24"/>
      <c r="D75" s="23"/>
      <c r="E75" s="84"/>
      <c r="F75" s="88">
        <v>1</v>
      </c>
      <c r="G75" s="13">
        <v>3124.9</v>
      </c>
      <c r="H75" s="79">
        <f>G75*F75/1000</f>
        <v>3.1249000000000002</v>
      </c>
      <c r="I75" s="13">
        <v>0</v>
      </c>
    </row>
    <row r="76" spans="1:21" ht="15.75" customHeight="1">
      <c r="A76" s="132" t="s">
        <v>131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10</v>
      </c>
      <c r="B77" s="64" t="s">
        <v>124</v>
      </c>
      <c r="C77" s="16" t="s">
        <v>54</v>
      </c>
      <c r="D77" s="50"/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11</v>
      </c>
      <c r="B78" s="14" t="s">
        <v>77</v>
      </c>
      <c r="C78" s="16"/>
      <c r="D78" s="50"/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I78+I77+I57+I52+I31+I30+I27+I20+I18+I17+I16</f>
        <v>11528.342682533332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16.5" customHeight="1">
      <c r="A81" s="33">
        <v>12</v>
      </c>
      <c r="B81" s="115" t="s">
        <v>168</v>
      </c>
      <c r="C81" s="116" t="s">
        <v>169</v>
      </c>
      <c r="D81" s="75"/>
      <c r="E81" s="76"/>
      <c r="F81" s="77">
        <v>200</v>
      </c>
      <c r="G81" s="117">
        <v>1.4</v>
      </c>
      <c r="H81" s="78">
        <f>F81*G81/1000</f>
        <v>0.28000000000000003</v>
      </c>
      <c r="I81" s="99">
        <f>G81*100</f>
        <v>140</v>
      </c>
    </row>
    <row r="82" spans="1:9" ht="16.5" customHeight="1">
      <c r="A82" s="33">
        <v>13</v>
      </c>
      <c r="B82" s="106" t="s">
        <v>140</v>
      </c>
      <c r="C82" s="107" t="s">
        <v>182</v>
      </c>
      <c r="D82" s="97"/>
      <c r="E82" s="37"/>
      <c r="F82" s="37"/>
      <c r="G82" s="37">
        <v>1730</v>
      </c>
      <c r="H82" s="98"/>
      <c r="I82" s="13">
        <f>G82*2</f>
        <v>3460</v>
      </c>
    </row>
    <row r="83" spans="1:9" ht="29.25" customHeight="1">
      <c r="A83" s="33">
        <v>14</v>
      </c>
      <c r="B83" s="101" t="s">
        <v>138</v>
      </c>
      <c r="C83" s="102" t="s">
        <v>139</v>
      </c>
      <c r="D83" s="97"/>
      <c r="E83" s="37"/>
      <c r="F83" s="37"/>
      <c r="G83" s="37">
        <v>59.21</v>
      </c>
      <c r="H83" s="98"/>
      <c r="I83" s="13">
        <f>G83*1</f>
        <v>59.21</v>
      </c>
    </row>
    <row r="84" spans="1:9" ht="29.25" customHeight="1">
      <c r="A84" s="33">
        <v>15</v>
      </c>
      <c r="B84" s="101" t="s">
        <v>171</v>
      </c>
      <c r="C84" s="102" t="s">
        <v>165</v>
      </c>
      <c r="D84" s="97" t="s">
        <v>236</v>
      </c>
      <c r="E84" s="37"/>
      <c r="F84" s="37"/>
      <c r="G84" s="37">
        <v>4742.7700000000004</v>
      </c>
      <c r="H84" s="98"/>
      <c r="I84" s="13">
        <f>G84*1.42</f>
        <v>6734.7334000000001</v>
      </c>
    </row>
    <row r="85" spans="1:9">
      <c r="A85" s="33">
        <v>16</v>
      </c>
      <c r="B85" s="101" t="s">
        <v>229</v>
      </c>
      <c r="C85" s="102" t="s">
        <v>114</v>
      </c>
      <c r="D85" s="45"/>
      <c r="E85" s="13"/>
      <c r="F85" s="13">
        <v>1</v>
      </c>
      <c r="G85" s="37">
        <v>330</v>
      </c>
      <c r="H85" s="79">
        <f t="shared" ref="H85" si="9">G85*F85/1000</f>
        <v>0.33</v>
      </c>
      <c r="I85" s="13">
        <f>G85*9</f>
        <v>2970</v>
      </c>
    </row>
    <row r="86" spans="1:9">
      <c r="A86" s="33">
        <v>17</v>
      </c>
      <c r="B86" s="101" t="s">
        <v>233</v>
      </c>
      <c r="C86" s="102" t="s">
        <v>114</v>
      </c>
      <c r="D86" s="45"/>
      <c r="E86" s="13"/>
      <c r="F86" s="13"/>
      <c r="G86" s="37">
        <v>154.52000000000001</v>
      </c>
      <c r="H86" s="79"/>
      <c r="I86" s="13">
        <f>G86*1</f>
        <v>154.52000000000001</v>
      </c>
    </row>
    <row r="87" spans="1:9">
      <c r="A87" s="33">
        <v>18</v>
      </c>
      <c r="B87" s="101" t="s">
        <v>164</v>
      </c>
      <c r="C87" s="102" t="s">
        <v>114</v>
      </c>
      <c r="D87" s="45"/>
      <c r="E87" s="13"/>
      <c r="F87" s="13"/>
      <c r="G87" s="37">
        <v>207.55</v>
      </c>
      <c r="H87" s="79"/>
      <c r="I87" s="13">
        <f>G87*4</f>
        <v>830.2</v>
      </c>
    </row>
    <row r="88" spans="1:9" ht="30">
      <c r="A88" s="33">
        <v>19</v>
      </c>
      <c r="B88" s="101" t="s">
        <v>234</v>
      </c>
      <c r="C88" s="102" t="s">
        <v>172</v>
      </c>
      <c r="D88" s="45" t="s">
        <v>235</v>
      </c>
      <c r="E88" s="13"/>
      <c r="F88" s="13"/>
      <c r="G88" s="37">
        <v>1465</v>
      </c>
      <c r="H88" s="79"/>
      <c r="I88" s="13">
        <f>G88*3</f>
        <v>4395</v>
      </c>
    </row>
    <row r="89" spans="1:9">
      <c r="A89" s="33"/>
      <c r="B89" s="43" t="s">
        <v>50</v>
      </c>
      <c r="C89" s="39"/>
      <c r="D89" s="46"/>
      <c r="E89" s="39">
        <v>1</v>
      </c>
      <c r="F89" s="39"/>
      <c r="G89" s="39"/>
      <c r="H89" s="39"/>
      <c r="I89" s="35">
        <f>SUM(I81:I88)</f>
        <v>18743.663400000001</v>
      </c>
    </row>
    <row r="90" spans="1:9" ht="16.5" customHeight="1">
      <c r="A90" s="33"/>
      <c r="B90" s="45" t="s">
        <v>78</v>
      </c>
      <c r="C90" s="15"/>
      <c r="D90" s="15"/>
      <c r="E90" s="40"/>
      <c r="F90" s="40"/>
      <c r="G90" s="41"/>
      <c r="H90" s="41"/>
      <c r="I90" s="17">
        <v>0</v>
      </c>
    </row>
    <row r="91" spans="1:9" ht="16.5" customHeight="1">
      <c r="A91" s="47"/>
      <c r="B91" s="44" t="s">
        <v>161</v>
      </c>
      <c r="C91" s="36"/>
      <c r="D91" s="36"/>
      <c r="E91" s="36"/>
      <c r="F91" s="36"/>
      <c r="G91" s="36"/>
      <c r="H91" s="36"/>
      <c r="I91" s="42">
        <f>I79+I89</f>
        <v>30272.006082533335</v>
      </c>
    </row>
    <row r="92" spans="1:9" ht="15.75" customHeight="1">
      <c r="A92" s="128" t="s">
        <v>237</v>
      </c>
      <c r="B92" s="128"/>
      <c r="C92" s="128"/>
      <c r="D92" s="128"/>
      <c r="E92" s="128"/>
      <c r="F92" s="128"/>
      <c r="G92" s="128"/>
      <c r="H92" s="128"/>
      <c r="I92" s="128"/>
    </row>
    <row r="93" spans="1:9" ht="15.75" customHeight="1">
      <c r="A93" s="57"/>
      <c r="B93" s="129" t="s">
        <v>238</v>
      </c>
      <c r="C93" s="129"/>
      <c r="D93" s="129"/>
      <c r="E93" s="129"/>
      <c r="F93" s="129"/>
      <c r="G93" s="129"/>
      <c r="H93" s="63"/>
      <c r="I93" s="3"/>
    </row>
    <row r="94" spans="1:9">
      <c r="A94" s="56"/>
      <c r="B94" s="130" t="s">
        <v>6</v>
      </c>
      <c r="C94" s="130"/>
      <c r="D94" s="130"/>
      <c r="E94" s="130"/>
      <c r="F94" s="130"/>
      <c r="G94" s="130"/>
      <c r="H94" s="28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6" t="s">
        <v>61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>
      <c r="A99" s="11"/>
    </row>
    <row r="100" spans="1:9" ht="15.75">
      <c r="A100" s="137" t="s">
        <v>9</v>
      </c>
      <c r="B100" s="137"/>
      <c r="C100" s="137"/>
      <c r="D100" s="137"/>
      <c r="E100" s="137"/>
      <c r="F100" s="137"/>
      <c r="G100" s="137"/>
      <c r="H100" s="137"/>
      <c r="I100" s="137"/>
    </row>
    <row r="101" spans="1:9" ht="15.75">
      <c r="A101" s="4"/>
    </row>
    <row r="102" spans="1:9" ht="15.75">
      <c r="B102" s="53" t="s">
        <v>10</v>
      </c>
      <c r="C102" s="138" t="s">
        <v>127</v>
      </c>
      <c r="D102" s="138"/>
      <c r="E102" s="138"/>
      <c r="F102" s="61"/>
      <c r="I102" s="55"/>
    </row>
    <row r="103" spans="1:9">
      <c r="A103" s="56"/>
      <c r="C103" s="130" t="s">
        <v>11</v>
      </c>
      <c r="D103" s="130"/>
      <c r="E103" s="130"/>
      <c r="F103" s="28"/>
      <c r="I103" s="54" t="s">
        <v>12</v>
      </c>
    </row>
    <row r="104" spans="1:9" ht="15.75">
      <c r="A104" s="29"/>
      <c r="C104" s="12"/>
      <c r="D104" s="12"/>
      <c r="G104" s="12"/>
      <c r="H104" s="12"/>
    </row>
    <row r="105" spans="1:9" ht="15.75">
      <c r="B105" s="53" t="s">
        <v>13</v>
      </c>
      <c r="C105" s="139"/>
      <c r="D105" s="139"/>
      <c r="E105" s="139"/>
      <c r="F105" s="62"/>
      <c r="I105" s="55"/>
    </row>
    <row r="106" spans="1:9">
      <c r="A106" s="56"/>
      <c r="C106" s="127" t="s">
        <v>11</v>
      </c>
      <c r="D106" s="127"/>
      <c r="E106" s="127"/>
      <c r="F106" s="56"/>
      <c r="I106" s="54" t="s">
        <v>12</v>
      </c>
    </row>
    <row r="107" spans="1:9" ht="15.75">
      <c r="A107" s="4" t="s">
        <v>14</v>
      </c>
    </row>
    <row r="108" spans="1:9">
      <c r="A108" s="140" t="s">
        <v>15</v>
      </c>
      <c r="B108" s="140"/>
      <c r="C108" s="140"/>
      <c r="D108" s="140"/>
      <c r="E108" s="140"/>
      <c r="F108" s="140"/>
      <c r="G108" s="140"/>
      <c r="H108" s="140"/>
      <c r="I108" s="140"/>
    </row>
    <row r="109" spans="1:9" ht="45" customHeight="1">
      <c r="A109" s="135" t="s">
        <v>16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30" customHeight="1">
      <c r="A110" s="135" t="s">
        <v>17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30" customHeight="1">
      <c r="A111" s="135" t="s">
        <v>21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14.25" customHeight="1">
      <c r="A112" s="135" t="s">
        <v>20</v>
      </c>
      <c r="B112" s="135"/>
      <c r="C112" s="135"/>
      <c r="D112" s="135"/>
      <c r="E112" s="135"/>
      <c r="F112" s="135"/>
      <c r="G112" s="135"/>
      <c r="H112" s="135"/>
      <c r="I112" s="135"/>
    </row>
  </sheetData>
  <autoFilter ref="I12:I59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2:I42"/>
    <mergeCell ref="A53:I53"/>
    <mergeCell ref="A92:I92"/>
    <mergeCell ref="B93:G93"/>
    <mergeCell ref="B94:G94"/>
    <mergeCell ref="A96:I96"/>
    <mergeCell ref="A97:I97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topLeftCell="A51" workbookViewId="0">
      <selection activeCell="B30" sqref="B30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173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21" t="s">
        <v>158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126</v>
      </c>
      <c r="B4" s="122"/>
      <c r="C4" s="122"/>
      <c r="D4" s="122"/>
      <c r="E4" s="122"/>
      <c r="F4" s="122"/>
      <c r="G4" s="122"/>
      <c r="H4" s="122"/>
      <c r="I4" s="122"/>
    </row>
    <row r="5" spans="1:13" ht="15.75">
      <c r="A5" s="121" t="s">
        <v>239</v>
      </c>
      <c r="B5" s="123"/>
      <c r="C5" s="123"/>
      <c r="D5" s="123"/>
      <c r="E5" s="123"/>
      <c r="F5" s="123"/>
      <c r="G5" s="123"/>
      <c r="H5" s="123"/>
      <c r="I5" s="123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34">
        <v>43738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4" t="s">
        <v>174</v>
      </c>
      <c r="B8" s="124"/>
      <c r="C8" s="124"/>
      <c r="D8" s="124"/>
      <c r="E8" s="124"/>
      <c r="F8" s="124"/>
      <c r="G8" s="124"/>
      <c r="H8" s="124"/>
      <c r="I8" s="124"/>
      <c r="J8" s="58"/>
      <c r="K8" s="58"/>
      <c r="L8" s="5"/>
      <c r="M8" s="5"/>
    </row>
    <row r="9" spans="1:13" ht="15.75">
      <c r="A9" s="4"/>
      <c r="L9" s="2"/>
      <c r="M9" s="2"/>
    </row>
    <row r="10" spans="1:13" ht="55.5" customHeight="1">
      <c r="A10" s="125" t="s">
        <v>160</v>
      </c>
      <c r="B10" s="125"/>
      <c r="C10" s="125"/>
      <c r="D10" s="125"/>
      <c r="E10" s="125"/>
      <c r="F10" s="125"/>
      <c r="G10" s="125"/>
      <c r="H10" s="125"/>
      <c r="I10" s="125"/>
      <c r="J10" s="59"/>
      <c r="K10" s="59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6" t="s">
        <v>59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.75" customHeight="1">
      <c r="A16" s="33">
        <v>1</v>
      </c>
      <c r="B16" s="64" t="s">
        <v>84</v>
      </c>
      <c r="C16" s="65" t="s">
        <v>85</v>
      </c>
      <c r="D16" s="64" t="s">
        <v>197</v>
      </c>
      <c r="E16" s="66">
        <v>37.6</v>
      </c>
      <c r="F16" s="67">
        <f>SUM(E16*156/100)</f>
        <v>58.656000000000006</v>
      </c>
      <c r="G16" s="67">
        <v>187.48</v>
      </c>
      <c r="H16" s="68">
        <f t="shared" ref="H16:H18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4" t="s">
        <v>133</v>
      </c>
      <c r="C17" s="65" t="s">
        <v>85</v>
      </c>
      <c r="D17" s="64" t="s">
        <v>198</v>
      </c>
      <c r="E17" s="66">
        <v>75.2</v>
      </c>
      <c r="F17" s="67">
        <f>SUM(E17*104/100)</f>
        <v>78.207999999999998</v>
      </c>
      <c r="G17" s="67">
        <v>187.48</v>
      </c>
      <c r="H17" s="68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4" t="s">
        <v>134</v>
      </c>
      <c r="C18" s="65" t="s">
        <v>85</v>
      </c>
      <c r="D18" s="64" t="s">
        <v>199</v>
      </c>
      <c r="E18" s="66">
        <f>SUM(E16+E17)</f>
        <v>112.80000000000001</v>
      </c>
      <c r="F18" s="67">
        <f>SUM(E18*24/100)</f>
        <v>27.072000000000003</v>
      </c>
      <c r="G18" s="67">
        <v>539.30999999999995</v>
      </c>
      <c r="H18" s="68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4" t="s">
        <v>94</v>
      </c>
      <c r="C19" s="65" t="s">
        <v>95</v>
      </c>
      <c r="D19" s="64" t="s">
        <v>96</v>
      </c>
      <c r="E19" s="66">
        <v>15</v>
      </c>
      <c r="F19" s="67">
        <f>SUM(E19/10)</f>
        <v>1.5</v>
      </c>
      <c r="G19" s="67">
        <v>160.22999999999999</v>
      </c>
      <c r="H19" s="68">
        <f t="shared" ref="H19:H26" si="1">SUM(F19*G19/1000)</f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4" t="s">
        <v>97</v>
      </c>
      <c r="C20" s="65" t="s">
        <v>85</v>
      </c>
      <c r="D20" s="64" t="s">
        <v>201</v>
      </c>
      <c r="E20" s="66">
        <v>8.76</v>
      </c>
      <c r="F20" s="67">
        <f>SUM(E20*12/100)</f>
        <v>1.0512000000000001</v>
      </c>
      <c r="G20" s="67">
        <v>205.16</v>
      </c>
      <c r="H20" s="68">
        <f t="shared" si="1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4" t="s">
        <v>98</v>
      </c>
      <c r="C21" s="65" t="s">
        <v>85</v>
      </c>
      <c r="D21" s="64" t="s">
        <v>201</v>
      </c>
      <c r="E21" s="66">
        <v>1.08</v>
      </c>
      <c r="F21" s="67">
        <f>SUM(E21*6/100)</f>
        <v>6.480000000000001E-2</v>
      </c>
      <c r="G21" s="67">
        <v>203.5</v>
      </c>
      <c r="H21" s="68">
        <f t="shared" si="1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4" t="s">
        <v>100</v>
      </c>
      <c r="C22" s="65" t="s">
        <v>52</v>
      </c>
      <c r="D22" s="64" t="s">
        <v>96</v>
      </c>
      <c r="E22" s="66">
        <v>107.1</v>
      </c>
      <c r="F22" s="67">
        <f>SUM(E22/100)</f>
        <v>1.071</v>
      </c>
      <c r="G22" s="67">
        <v>253.54</v>
      </c>
      <c r="H22" s="68">
        <f t="shared" si="1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4" t="s">
        <v>101</v>
      </c>
      <c r="C23" s="65" t="s">
        <v>52</v>
      </c>
      <c r="D23" s="64" t="s">
        <v>96</v>
      </c>
      <c r="E23" s="69">
        <v>14.5</v>
      </c>
      <c r="F23" s="67">
        <f>SUM(E23/100)</f>
        <v>0.14499999999999999</v>
      </c>
      <c r="G23" s="67">
        <v>41.7</v>
      </c>
      <c r="H23" s="68">
        <f t="shared" si="1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4" t="s">
        <v>102</v>
      </c>
      <c r="C24" s="65" t="s">
        <v>52</v>
      </c>
      <c r="D24" s="64" t="s">
        <v>103</v>
      </c>
      <c r="E24" s="66">
        <v>6</v>
      </c>
      <c r="F24" s="67">
        <f>E24/100</f>
        <v>0.06</v>
      </c>
      <c r="G24" s="67">
        <v>366.97</v>
      </c>
      <c r="H24" s="68">
        <f t="shared" si="1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4" t="s">
        <v>104</v>
      </c>
      <c r="C25" s="65" t="s">
        <v>52</v>
      </c>
      <c r="D25" s="64" t="s">
        <v>53</v>
      </c>
      <c r="E25" s="66">
        <v>5.7</v>
      </c>
      <c r="F25" s="67">
        <f>E25/100</f>
        <v>5.7000000000000002E-2</v>
      </c>
      <c r="G25" s="67">
        <v>203.5</v>
      </c>
      <c r="H25" s="68">
        <f t="shared" si="1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4" t="s">
        <v>105</v>
      </c>
      <c r="C26" s="65" t="s">
        <v>52</v>
      </c>
      <c r="D26" s="64" t="s">
        <v>96</v>
      </c>
      <c r="E26" s="66">
        <v>2.5499999999999998</v>
      </c>
      <c r="F26" s="67">
        <f>SUM(E26/100)</f>
        <v>2.5499999999999998E-2</v>
      </c>
      <c r="G26" s="67">
        <v>408.4</v>
      </c>
      <c r="H26" s="68">
        <f t="shared" si="1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110" t="s">
        <v>196</v>
      </c>
      <c r="C27" s="111" t="s">
        <v>169</v>
      </c>
      <c r="D27" s="110" t="s">
        <v>202</v>
      </c>
      <c r="E27" s="112">
        <v>1.97</v>
      </c>
      <c r="F27" s="113">
        <f>E27*258</f>
        <v>508.26</v>
      </c>
      <c r="G27" s="113">
        <v>10.39</v>
      </c>
      <c r="H27" s="68">
        <f>SUM(F27*G27/1000)</f>
        <v>5.2808213999999998</v>
      </c>
      <c r="I27" s="13">
        <f>F27/12*G27</f>
        <v>440.06844999999998</v>
      </c>
      <c r="J27" s="27"/>
    </row>
    <row r="28" spans="1:13" ht="15.75" customHeight="1">
      <c r="A28" s="132" t="s">
        <v>83</v>
      </c>
      <c r="B28" s="133"/>
      <c r="C28" s="133"/>
      <c r="D28" s="133"/>
      <c r="E28" s="133"/>
      <c r="F28" s="133"/>
      <c r="G28" s="133"/>
      <c r="H28" s="133"/>
      <c r="I28" s="134"/>
      <c r="J28" s="26"/>
      <c r="K28" s="8"/>
      <c r="L28" s="8"/>
      <c r="M28" s="8"/>
    </row>
    <row r="29" spans="1:13" ht="15.75" customHeight="1">
      <c r="A29" s="33"/>
      <c r="B29" s="85" t="s">
        <v>27</v>
      </c>
      <c r="C29" s="65"/>
      <c r="D29" s="64"/>
      <c r="E29" s="66"/>
      <c r="F29" s="67"/>
      <c r="G29" s="67"/>
      <c r="H29" s="68"/>
      <c r="I29" s="13"/>
      <c r="J29" s="26"/>
      <c r="K29" s="8"/>
      <c r="L29" s="8"/>
      <c r="M29" s="8"/>
    </row>
    <row r="30" spans="1:13" ht="15.75" customHeight="1">
      <c r="A30" s="33">
        <v>7</v>
      </c>
      <c r="B30" s="64" t="s">
        <v>110</v>
      </c>
      <c r="C30" s="65" t="s">
        <v>88</v>
      </c>
      <c r="D30" s="64" t="s">
        <v>198</v>
      </c>
      <c r="E30" s="67">
        <v>266.57</v>
      </c>
      <c r="F30" s="67">
        <f>SUM(E30*52/1000)</f>
        <v>13.86164</v>
      </c>
      <c r="G30" s="67">
        <v>146.79</v>
      </c>
      <c r="H30" s="68">
        <f t="shared" ref="H30:H31" si="2">SUM(F30*G30/1000)</f>
        <v>2.0347501356</v>
      </c>
      <c r="I30" s="13">
        <f t="shared" ref="I30:I31" si="3">F30/6*G30</f>
        <v>339.12502259999997</v>
      </c>
      <c r="J30" s="26"/>
      <c r="K30" s="8"/>
      <c r="L30" s="8"/>
      <c r="M30" s="8"/>
    </row>
    <row r="31" spans="1:13" ht="31.5" customHeight="1">
      <c r="A31" s="33">
        <v>8</v>
      </c>
      <c r="B31" s="64" t="s">
        <v>109</v>
      </c>
      <c r="C31" s="65" t="s">
        <v>88</v>
      </c>
      <c r="D31" s="64" t="s">
        <v>197</v>
      </c>
      <c r="E31" s="67">
        <v>48.03</v>
      </c>
      <c r="F31" s="67">
        <f>SUM(E31*78/1000)</f>
        <v>3.74634</v>
      </c>
      <c r="G31" s="67">
        <v>243.54</v>
      </c>
      <c r="H31" s="68">
        <f t="shared" si="2"/>
        <v>0.91238364360000002</v>
      </c>
      <c r="I31" s="13">
        <f t="shared" si="3"/>
        <v>152.0639406</v>
      </c>
      <c r="J31" s="26"/>
      <c r="K31" s="8"/>
      <c r="L31" s="8"/>
      <c r="M31" s="8"/>
    </row>
    <row r="32" spans="1:13" ht="15.75" hidden="1" customHeight="1">
      <c r="A32" s="33">
        <v>10</v>
      </c>
      <c r="B32" s="64" t="s">
        <v>26</v>
      </c>
      <c r="C32" s="65" t="s">
        <v>88</v>
      </c>
      <c r="D32" s="64" t="s">
        <v>53</v>
      </c>
      <c r="E32" s="67">
        <v>266.57</v>
      </c>
      <c r="F32" s="67">
        <f>SUM(E32/1000)</f>
        <v>0.26656999999999997</v>
      </c>
      <c r="G32" s="67">
        <v>2844</v>
      </c>
      <c r="H32" s="68">
        <f t="shared" ref="H32:H34" si="4">SUM(F32*G32/1000)</f>
        <v>0.7581250799999999</v>
      </c>
      <c r="I32" s="13">
        <f>F32*G32</f>
        <v>758.12507999999991</v>
      </c>
      <c r="J32" s="26"/>
      <c r="K32" s="8"/>
      <c r="L32" s="8"/>
      <c r="M32" s="8"/>
    </row>
    <row r="33" spans="1:14" ht="15.75" hidden="1" customHeight="1">
      <c r="A33" s="33"/>
      <c r="B33" s="64" t="s">
        <v>64</v>
      </c>
      <c r="C33" s="65" t="s">
        <v>31</v>
      </c>
      <c r="D33" s="64" t="s">
        <v>66</v>
      </c>
      <c r="E33" s="66"/>
      <c r="F33" s="67">
        <v>1</v>
      </c>
      <c r="G33" s="67">
        <v>180.15</v>
      </c>
      <c r="H33" s="68">
        <f t="shared" si="4"/>
        <v>0.18015</v>
      </c>
      <c r="I33" s="13">
        <v>0</v>
      </c>
      <c r="J33" s="27"/>
    </row>
    <row r="34" spans="1:14" ht="15.75" hidden="1" customHeight="1">
      <c r="A34" s="33"/>
      <c r="B34" s="64" t="s">
        <v>65</v>
      </c>
      <c r="C34" s="65" t="s">
        <v>30</v>
      </c>
      <c r="D34" s="64" t="s">
        <v>66</v>
      </c>
      <c r="E34" s="66"/>
      <c r="F34" s="67">
        <v>1</v>
      </c>
      <c r="G34" s="67">
        <v>1214.74</v>
      </c>
      <c r="H34" s="68">
        <f t="shared" si="4"/>
        <v>1.2147399999999999</v>
      </c>
      <c r="I34" s="13">
        <v>0</v>
      </c>
      <c r="J34" s="27"/>
    </row>
    <row r="35" spans="1:14" ht="15.75" hidden="1" customHeight="1">
      <c r="A35" s="33"/>
      <c r="B35" s="85" t="s">
        <v>5</v>
      </c>
      <c r="C35" s="65"/>
      <c r="D35" s="64"/>
      <c r="E35" s="66"/>
      <c r="F35" s="67"/>
      <c r="G35" s="67"/>
      <c r="H35" s="68" t="s">
        <v>135</v>
      </c>
      <c r="I35" s="13"/>
      <c r="J35" s="27"/>
    </row>
    <row r="36" spans="1:14" ht="15.75" hidden="1" customHeight="1">
      <c r="A36" s="33">
        <v>8</v>
      </c>
      <c r="B36" s="64" t="s">
        <v>25</v>
      </c>
      <c r="C36" s="65" t="s">
        <v>30</v>
      </c>
      <c r="D36" s="64"/>
      <c r="E36" s="66"/>
      <c r="F36" s="67">
        <v>3</v>
      </c>
      <c r="G36" s="67">
        <v>1632.6</v>
      </c>
      <c r="H36" s="68">
        <f t="shared" ref="H36:H41" si="5">SUM(F36*G36/1000)</f>
        <v>4.8977999999999993</v>
      </c>
      <c r="I36" s="13">
        <f t="shared" ref="I36:I41" si="6">F36/6*G36</f>
        <v>816.3</v>
      </c>
      <c r="J36" s="27"/>
    </row>
    <row r="37" spans="1:14" ht="15.75" hidden="1" customHeight="1">
      <c r="A37" s="33">
        <v>9</v>
      </c>
      <c r="B37" s="64" t="s">
        <v>111</v>
      </c>
      <c r="C37" s="65" t="s">
        <v>28</v>
      </c>
      <c r="D37" s="64" t="s">
        <v>86</v>
      </c>
      <c r="E37" s="66">
        <v>48.03</v>
      </c>
      <c r="F37" s="67">
        <v>1.44</v>
      </c>
      <c r="G37" s="67">
        <v>1979.95</v>
      </c>
      <c r="H37" s="68">
        <f>G37*F37/1000</f>
        <v>2.8511280000000001</v>
      </c>
      <c r="I37" s="13">
        <f t="shared" si="6"/>
        <v>475.18799999999999</v>
      </c>
      <c r="J37" s="27"/>
      <c r="L37" s="20"/>
      <c r="M37" s="21"/>
      <c r="N37" s="22"/>
    </row>
    <row r="38" spans="1:14" ht="15.75" hidden="1" customHeight="1">
      <c r="A38" s="33">
        <v>10</v>
      </c>
      <c r="B38" s="64" t="s">
        <v>67</v>
      </c>
      <c r="C38" s="65" t="s">
        <v>28</v>
      </c>
      <c r="D38" s="64" t="s">
        <v>87</v>
      </c>
      <c r="E38" s="67">
        <v>48.03</v>
      </c>
      <c r="F38" s="67">
        <f>SUM(E38*155/1000)</f>
        <v>7.4446500000000002</v>
      </c>
      <c r="G38" s="67">
        <v>330.27</v>
      </c>
      <c r="H38" s="68">
        <f t="shared" si="5"/>
        <v>2.4587445555</v>
      </c>
      <c r="I38" s="13">
        <f t="shared" si="6"/>
        <v>409.79075924999995</v>
      </c>
      <c r="J38" s="27"/>
      <c r="L38" s="20"/>
      <c r="M38" s="21"/>
      <c r="N38" s="22"/>
    </row>
    <row r="39" spans="1:14" ht="47.25" hidden="1" customHeight="1">
      <c r="A39" s="33">
        <v>11</v>
      </c>
      <c r="B39" s="64" t="s">
        <v>81</v>
      </c>
      <c r="C39" s="65" t="s">
        <v>88</v>
      </c>
      <c r="D39" s="64" t="s">
        <v>112</v>
      </c>
      <c r="E39" s="67">
        <v>48.03</v>
      </c>
      <c r="F39" s="67">
        <f>SUM(E39*35/1000)</f>
        <v>1.6810499999999999</v>
      </c>
      <c r="G39" s="67">
        <v>5464.48</v>
      </c>
      <c r="H39" s="68">
        <f t="shared" si="5"/>
        <v>9.1860641039999997</v>
      </c>
      <c r="I39" s="13">
        <f t="shared" si="6"/>
        <v>1531.0106839999999</v>
      </c>
      <c r="J39" s="27"/>
      <c r="L39" s="20"/>
      <c r="M39" s="21"/>
      <c r="N39" s="22"/>
    </row>
    <row r="40" spans="1:14" ht="15.75" hidden="1" customHeight="1">
      <c r="A40" s="33">
        <v>12</v>
      </c>
      <c r="B40" s="64" t="s">
        <v>89</v>
      </c>
      <c r="C40" s="65" t="s">
        <v>88</v>
      </c>
      <c r="D40" s="64" t="s">
        <v>68</v>
      </c>
      <c r="E40" s="67">
        <v>48.03</v>
      </c>
      <c r="F40" s="67">
        <f>SUM(E40*45/1000)</f>
        <v>2.1613500000000001</v>
      </c>
      <c r="G40" s="67">
        <v>403.67</v>
      </c>
      <c r="H40" s="68">
        <f t="shared" si="5"/>
        <v>0.87247215450000015</v>
      </c>
      <c r="I40" s="13">
        <f t="shared" si="6"/>
        <v>145.41202575000003</v>
      </c>
      <c r="J40" s="27"/>
      <c r="L40" s="20"/>
      <c r="M40" s="21"/>
      <c r="N40" s="22"/>
    </row>
    <row r="41" spans="1:14" ht="15.75" hidden="1" customHeight="1">
      <c r="A41" s="33">
        <v>13</v>
      </c>
      <c r="B41" s="64" t="s">
        <v>69</v>
      </c>
      <c r="C41" s="65" t="s">
        <v>31</v>
      </c>
      <c r="D41" s="64"/>
      <c r="E41" s="66"/>
      <c r="F41" s="67">
        <v>0.53</v>
      </c>
      <c r="G41" s="67">
        <v>750.34</v>
      </c>
      <c r="H41" s="68">
        <f t="shared" si="5"/>
        <v>0.39768020000000004</v>
      </c>
      <c r="I41" s="13">
        <f t="shared" si="6"/>
        <v>66.280033333333336</v>
      </c>
      <c r="J41" s="27"/>
      <c r="L41" s="20"/>
      <c r="M41" s="21"/>
      <c r="N41" s="22"/>
    </row>
    <row r="42" spans="1:14" ht="15.75" customHeight="1">
      <c r="A42" s="132" t="s">
        <v>128</v>
      </c>
      <c r="B42" s="133"/>
      <c r="C42" s="133"/>
      <c r="D42" s="133"/>
      <c r="E42" s="133"/>
      <c r="F42" s="133"/>
      <c r="G42" s="133"/>
      <c r="H42" s="133"/>
      <c r="I42" s="134"/>
      <c r="J42" s="27"/>
      <c r="L42" s="20"/>
      <c r="M42" s="21"/>
      <c r="N42" s="22"/>
    </row>
    <row r="43" spans="1:14" ht="15.75" customHeight="1">
      <c r="A43" s="33">
        <v>9</v>
      </c>
      <c r="B43" s="64" t="s">
        <v>113</v>
      </c>
      <c r="C43" s="65" t="s">
        <v>88</v>
      </c>
      <c r="D43" s="64" t="s">
        <v>200</v>
      </c>
      <c r="E43" s="66">
        <v>636.25</v>
      </c>
      <c r="F43" s="67">
        <f>SUM(E43*2/1000)</f>
        <v>1.2725</v>
      </c>
      <c r="G43" s="13">
        <v>762.53</v>
      </c>
      <c r="H43" s="68">
        <f t="shared" ref="H43:H52" si="7">SUM(F43*G43/1000)</f>
        <v>0.9703194249999999</v>
      </c>
      <c r="I43" s="13">
        <f t="shared" ref="I43:I46" si="8">F43/2*G43</f>
        <v>485.15971249999996</v>
      </c>
      <c r="J43" s="27"/>
      <c r="L43" s="20"/>
      <c r="M43" s="21"/>
      <c r="N43" s="22"/>
    </row>
    <row r="44" spans="1:14" ht="15.75" customHeight="1">
      <c r="A44" s="33">
        <v>10</v>
      </c>
      <c r="B44" s="64" t="s">
        <v>34</v>
      </c>
      <c r="C44" s="65" t="s">
        <v>88</v>
      </c>
      <c r="D44" s="64" t="s">
        <v>200</v>
      </c>
      <c r="E44" s="66">
        <v>26</v>
      </c>
      <c r="F44" s="67">
        <f>SUM(E44*2/1000)</f>
        <v>5.1999999999999998E-2</v>
      </c>
      <c r="G44" s="13">
        <v>545.65</v>
      </c>
      <c r="H44" s="68">
        <f t="shared" si="7"/>
        <v>2.8373799999999998E-2</v>
      </c>
      <c r="I44" s="13">
        <f t="shared" si="8"/>
        <v>14.1869</v>
      </c>
      <c r="J44" s="27"/>
      <c r="L44" s="20"/>
      <c r="M44" s="21"/>
      <c r="N44" s="22"/>
    </row>
    <row r="45" spans="1:14" ht="15.75" customHeight="1">
      <c r="A45" s="33">
        <v>11</v>
      </c>
      <c r="B45" s="64" t="s">
        <v>35</v>
      </c>
      <c r="C45" s="65" t="s">
        <v>88</v>
      </c>
      <c r="D45" s="64" t="s">
        <v>200</v>
      </c>
      <c r="E45" s="66">
        <v>579</v>
      </c>
      <c r="F45" s="67">
        <f>SUM(E45*2/1000)</f>
        <v>1.1579999999999999</v>
      </c>
      <c r="G45" s="13">
        <v>545.65</v>
      </c>
      <c r="H45" s="68">
        <f t="shared" si="7"/>
        <v>0.63186269999999989</v>
      </c>
      <c r="I45" s="13">
        <f t="shared" si="8"/>
        <v>315.93134999999995</v>
      </c>
      <c r="J45" s="27"/>
      <c r="L45" s="20"/>
      <c r="M45" s="21"/>
      <c r="N45" s="22"/>
    </row>
    <row r="46" spans="1:14" ht="15.75" customHeight="1">
      <c r="A46" s="33">
        <v>12</v>
      </c>
      <c r="B46" s="64" t="s">
        <v>36</v>
      </c>
      <c r="C46" s="65" t="s">
        <v>88</v>
      </c>
      <c r="D46" s="64" t="s">
        <v>200</v>
      </c>
      <c r="E46" s="66">
        <v>683.33</v>
      </c>
      <c r="F46" s="67">
        <f>SUM(E46*2/1000)</f>
        <v>1.36666</v>
      </c>
      <c r="G46" s="13">
        <v>571.35</v>
      </c>
      <c r="H46" s="68">
        <f t="shared" si="7"/>
        <v>0.78084119099999993</v>
      </c>
      <c r="I46" s="13">
        <f t="shared" si="8"/>
        <v>390.42059549999999</v>
      </c>
      <c r="J46" s="27"/>
      <c r="L46" s="20"/>
      <c r="M46" s="21"/>
      <c r="N46" s="22"/>
    </row>
    <row r="47" spans="1:14" ht="15.75" customHeight="1">
      <c r="A47" s="33">
        <v>13</v>
      </c>
      <c r="B47" s="64" t="s">
        <v>32</v>
      </c>
      <c r="C47" s="65" t="s">
        <v>33</v>
      </c>
      <c r="D47" s="64" t="s">
        <v>200</v>
      </c>
      <c r="E47" s="66">
        <v>44.11</v>
      </c>
      <c r="F47" s="67">
        <f>SUM(E47*2/100)</f>
        <v>0.88219999999999998</v>
      </c>
      <c r="G47" s="13">
        <v>68.56</v>
      </c>
      <c r="H47" s="68">
        <f t="shared" si="7"/>
        <v>6.0483632000000002E-2</v>
      </c>
      <c r="I47" s="13">
        <f>F47/2*G47</f>
        <v>30.241816</v>
      </c>
      <c r="J47" s="27"/>
      <c r="L47" s="20"/>
      <c r="M47" s="21"/>
      <c r="N47" s="22"/>
    </row>
    <row r="48" spans="1:14" ht="15.75" customHeight="1">
      <c r="A48" s="33">
        <v>14</v>
      </c>
      <c r="B48" s="64" t="s">
        <v>56</v>
      </c>
      <c r="C48" s="65" t="s">
        <v>88</v>
      </c>
      <c r="D48" s="64" t="s">
        <v>200</v>
      </c>
      <c r="E48" s="66">
        <v>1140</v>
      </c>
      <c r="F48" s="67">
        <f>SUM(E48*5/1000)</f>
        <v>5.7</v>
      </c>
      <c r="G48" s="13">
        <v>1142.7</v>
      </c>
      <c r="H48" s="68">
        <f t="shared" si="7"/>
        <v>6.5133900000000002</v>
      </c>
      <c r="I48" s="13">
        <f>F48/5*G48</f>
        <v>1302.6780000000001</v>
      </c>
      <c r="J48" s="27"/>
      <c r="L48" s="20"/>
      <c r="M48" s="21"/>
      <c r="N48" s="22"/>
    </row>
    <row r="49" spans="1:22" ht="31.5" customHeight="1">
      <c r="A49" s="33">
        <v>15</v>
      </c>
      <c r="B49" s="64" t="s">
        <v>90</v>
      </c>
      <c r="C49" s="65" t="s">
        <v>88</v>
      </c>
      <c r="D49" s="64" t="s">
        <v>200</v>
      </c>
      <c r="E49" s="66">
        <v>1140</v>
      </c>
      <c r="F49" s="67">
        <f>SUM(E49*2/1000)</f>
        <v>2.2799999999999998</v>
      </c>
      <c r="G49" s="13">
        <v>1142.7</v>
      </c>
      <c r="H49" s="68">
        <f t="shared" si="7"/>
        <v>2.6053559999999996</v>
      </c>
      <c r="I49" s="13">
        <f>G49*F49/2</f>
        <v>1302.6779999999999</v>
      </c>
      <c r="J49" s="27"/>
      <c r="L49" s="20"/>
      <c r="M49" s="21"/>
      <c r="N49" s="22"/>
    </row>
    <row r="50" spans="1:22" ht="31.5" customHeight="1">
      <c r="A50" s="33">
        <v>16</v>
      </c>
      <c r="B50" s="64" t="s">
        <v>91</v>
      </c>
      <c r="C50" s="65" t="s">
        <v>37</v>
      </c>
      <c r="D50" s="64" t="s">
        <v>200</v>
      </c>
      <c r="E50" s="66">
        <v>9</v>
      </c>
      <c r="F50" s="67">
        <f>SUM(E50*2/100)</f>
        <v>0.18</v>
      </c>
      <c r="G50" s="13">
        <v>2571.08</v>
      </c>
      <c r="H50" s="68">
        <f t="shared" si="7"/>
        <v>0.46279439999999999</v>
      </c>
      <c r="I50" s="13">
        <f>G50*F50/2</f>
        <v>231.3972</v>
      </c>
      <c r="J50" s="27"/>
      <c r="L50" s="20"/>
      <c r="M50" s="21"/>
      <c r="N50" s="22"/>
    </row>
    <row r="51" spans="1:22" ht="15.75" customHeight="1">
      <c r="A51" s="33">
        <v>17</v>
      </c>
      <c r="B51" s="64" t="s">
        <v>38</v>
      </c>
      <c r="C51" s="65" t="s">
        <v>39</v>
      </c>
      <c r="D51" s="64" t="s">
        <v>200</v>
      </c>
      <c r="E51" s="66">
        <v>1</v>
      </c>
      <c r="F51" s="67">
        <v>0.02</v>
      </c>
      <c r="G51" s="13">
        <v>5322.15</v>
      </c>
      <c r="H51" s="68">
        <f t="shared" si="7"/>
        <v>0.106443</v>
      </c>
      <c r="I51" s="13">
        <f>G51*F51/2</f>
        <v>53.221499999999999</v>
      </c>
      <c r="J51" s="27"/>
      <c r="L51" s="20"/>
      <c r="M51" s="21"/>
      <c r="N51" s="22"/>
    </row>
    <row r="52" spans="1:22" ht="15.75" hidden="1" customHeight="1">
      <c r="A52" s="33">
        <v>17</v>
      </c>
      <c r="B52" s="64" t="s">
        <v>40</v>
      </c>
      <c r="C52" s="65" t="s">
        <v>114</v>
      </c>
      <c r="D52" s="64" t="s">
        <v>70</v>
      </c>
      <c r="E52" s="66">
        <v>36</v>
      </c>
      <c r="F52" s="67">
        <f>SUM(E52)*3</f>
        <v>108</v>
      </c>
      <c r="G52" s="13">
        <v>61.84</v>
      </c>
      <c r="H52" s="68">
        <f t="shared" si="7"/>
        <v>6.6787200000000002</v>
      </c>
      <c r="I52" s="13">
        <f>E52*G52</f>
        <v>2226.2400000000002</v>
      </c>
      <c r="J52" s="27"/>
      <c r="L52" s="20"/>
      <c r="M52" s="21"/>
      <c r="N52" s="22"/>
    </row>
    <row r="53" spans="1:22" ht="15.75" customHeight="1">
      <c r="A53" s="132" t="s">
        <v>130</v>
      </c>
      <c r="B53" s="133"/>
      <c r="C53" s="133"/>
      <c r="D53" s="133"/>
      <c r="E53" s="133"/>
      <c r="F53" s="133"/>
      <c r="G53" s="133"/>
      <c r="H53" s="133"/>
      <c r="I53" s="134"/>
      <c r="J53" s="27"/>
      <c r="L53" s="20"/>
      <c r="M53" s="21"/>
      <c r="N53" s="22"/>
    </row>
    <row r="54" spans="1:22" ht="15.75" hidden="1" customHeight="1">
      <c r="A54" s="33"/>
      <c r="B54" s="85" t="s">
        <v>42</v>
      </c>
      <c r="C54" s="65"/>
      <c r="D54" s="64"/>
      <c r="E54" s="66"/>
      <c r="F54" s="67"/>
      <c r="G54" s="67"/>
      <c r="H54" s="68"/>
      <c r="I54" s="13"/>
      <c r="J54" s="27"/>
      <c r="L54" s="20"/>
      <c r="M54" s="21"/>
      <c r="N54" s="22"/>
    </row>
    <row r="55" spans="1:22" ht="31.5" hidden="1" customHeight="1">
      <c r="A55" s="33">
        <v>16</v>
      </c>
      <c r="B55" s="64" t="s">
        <v>115</v>
      </c>
      <c r="C55" s="65" t="s">
        <v>85</v>
      </c>
      <c r="D55" s="64" t="s">
        <v>116</v>
      </c>
      <c r="E55" s="66">
        <v>72.33</v>
      </c>
      <c r="F55" s="67">
        <f>SUM(E55*6/100)</f>
        <v>4.3398000000000003</v>
      </c>
      <c r="G55" s="13">
        <v>1456.95</v>
      </c>
      <c r="H55" s="68">
        <f>SUM(F55*G55/1000)</f>
        <v>6.3228716100000009</v>
      </c>
      <c r="I55" s="13">
        <f>F55/6*G55</f>
        <v>1053.8119350000002</v>
      </c>
      <c r="J55" s="27"/>
      <c r="L55" s="20"/>
      <c r="M55" s="21"/>
      <c r="N55" s="22"/>
    </row>
    <row r="56" spans="1:22" ht="15.75" hidden="1" customHeight="1">
      <c r="A56" s="33"/>
      <c r="B56" s="85" t="s">
        <v>43</v>
      </c>
      <c r="C56" s="65"/>
      <c r="D56" s="64"/>
      <c r="E56" s="66"/>
      <c r="F56" s="67"/>
      <c r="G56" s="60"/>
      <c r="H56" s="68"/>
      <c r="I56" s="13"/>
      <c r="J56" s="27"/>
      <c r="L56" s="20"/>
      <c r="M56" s="21"/>
      <c r="N56" s="22"/>
    </row>
    <row r="57" spans="1:22" ht="15.75" hidden="1" customHeight="1">
      <c r="A57" s="33"/>
      <c r="B57" s="64" t="s">
        <v>117</v>
      </c>
      <c r="C57" s="65"/>
      <c r="D57" s="64" t="s">
        <v>53</v>
      </c>
      <c r="E57" s="66">
        <v>952</v>
      </c>
      <c r="F57" s="68">
        <v>9.52</v>
      </c>
      <c r="G57" s="13">
        <v>848.37</v>
      </c>
      <c r="H57" s="73">
        <f>F57*G57/1000</f>
        <v>8.0764823999999997</v>
      </c>
      <c r="I57" s="13">
        <v>0</v>
      </c>
      <c r="J57" s="27"/>
      <c r="L57" s="20"/>
    </row>
    <row r="58" spans="1:22" ht="15.75" customHeight="1">
      <c r="A58" s="33"/>
      <c r="B58" s="86" t="s">
        <v>44</v>
      </c>
      <c r="C58" s="74"/>
      <c r="D58" s="75"/>
      <c r="E58" s="76"/>
      <c r="F58" s="77"/>
      <c r="G58" s="77"/>
      <c r="H58" s="78" t="s">
        <v>135</v>
      </c>
      <c r="I58" s="13"/>
    </row>
    <row r="59" spans="1:22" ht="15.75" hidden="1" customHeight="1">
      <c r="A59" s="33">
        <v>17</v>
      </c>
      <c r="B59" s="14" t="s">
        <v>45</v>
      </c>
      <c r="C59" s="16" t="s">
        <v>114</v>
      </c>
      <c r="D59" s="14" t="s">
        <v>66</v>
      </c>
      <c r="E59" s="18">
        <v>5</v>
      </c>
      <c r="F59" s="67">
        <v>5</v>
      </c>
      <c r="G59" s="13">
        <v>237.74</v>
      </c>
      <c r="H59" s="79">
        <f t="shared" ref="H59:H73" si="9">SUM(F59*G59/1000)</f>
        <v>1.1887000000000001</v>
      </c>
      <c r="I59" s="13">
        <f>G59</f>
        <v>237.74</v>
      </c>
    </row>
    <row r="60" spans="1:22" ht="15.75" hidden="1" customHeight="1">
      <c r="A60" s="33"/>
      <c r="B60" s="14" t="s">
        <v>46</v>
      </c>
      <c r="C60" s="16" t="s">
        <v>114</v>
      </c>
      <c r="D60" s="14" t="s">
        <v>66</v>
      </c>
      <c r="E60" s="18">
        <v>2</v>
      </c>
      <c r="F60" s="67">
        <v>2</v>
      </c>
      <c r="G60" s="13">
        <v>81.510000000000005</v>
      </c>
      <c r="H60" s="79">
        <f t="shared" si="9"/>
        <v>0.16302</v>
      </c>
      <c r="I60" s="13">
        <v>0</v>
      </c>
    </row>
    <row r="61" spans="1:22" ht="15.75" hidden="1" customHeight="1">
      <c r="A61" s="33"/>
      <c r="B61" s="14" t="s">
        <v>47</v>
      </c>
      <c r="C61" s="16" t="s">
        <v>118</v>
      </c>
      <c r="D61" s="14" t="s">
        <v>53</v>
      </c>
      <c r="E61" s="66">
        <v>4292</v>
      </c>
      <c r="F61" s="13">
        <f>SUM(E61/100)</f>
        <v>42.92</v>
      </c>
      <c r="G61" s="13">
        <v>226.79</v>
      </c>
      <c r="H61" s="79">
        <f t="shared" si="9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33"/>
      <c r="B62" s="14" t="s">
        <v>48</v>
      </c>
      <c r="C62" s="16" t="s">
        <v>119</v>
      </c>
      <c r="D62" s="14"/>
      <c r="E62" s="66">
        <v>4292</v>
      </c>
      <c r="F62" s="13">
        <f>SUM(E62/1000)</f>
        <v>4.2919999999999998</v>
      </c>
      <c r="G62" s="13">
        <v>176.61</v>
      </c>
      <c r="H62" s="79">
        <f t="shared" si="9"/>
        <v>0.75801012000000001</v>
      </c>
      <c r="I62" s="13">
        <v>0</v>
      </c>
      <c r="J62" s="29"/>
      <c r="K62" s="29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3"/>
      <c r="B63" s="14" t="s">
        <v>49</v>
      </c>
      <c r="C63" s="16" t="s">
        <v>76</v>
      </c>
      <c r="D63" s="14" t="s">
        <v>53</v>
      </c>
      <c r="E63" s="66">
        <v>510</v>
      </c>
      <c r="F63" s="13">
        <f>SUM(E63/100)</f>
        <v>5.0999999999999996</v>
      </c>
      <c r="G63" s="13">
        <v>2217.7800000000002</v>
      </c>
      <c r="H63" s="79">
        <f t="shared" si="9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3"/>
      <c r="B64" s="80" t="s">
        <v>120</v>
      </c>
      <c r="C64" s="16" t="s">
        <v>31</v>
      </c>
      <c r="D64" s="14"/>
      <c r="E64" s="66">
        <v>4.5999999999999996</v>
      </c>
      <c r="F64" s="13">
        <f>SUM(E64)</f>
        <v>4.5999999999999996</v>
      </c>
      <c r="G64" s="13">
        <v>42.67</v>
      </c>
      <c r="H64" s="79">
        <f t="shared" si="9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27"/>
      <c r="S64" s="127"/>
      <c r="T64" s="127"/>
      <c r="U64" s="127"/>
    </row>
    <row r="65" spans="1:21" ht="15.75" hidden="1" customHeight="1">
      <c r="A65" s="33"/>
      <c r="B65" s="80" t="s">
        <v>121</v>
      </c>
      <c r="C65" s="16" t="s">
        <v>31</v>
      </c>
      <c r="D65" s="14"/>
      <c r="E65" s="66">
        <v>4.5999999999999996</v>
      </c>
      <c r="F65" s="13">
        <f>SUM(E65)</f>
        <v>4.5999999999999996</v>
      </c>
      <c r="G65" s="13">
        <v>39.81</v>
      </c>
      <c r="H65" s="79">
        <f t="shared" si="9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33">
        <v>18</v>
      </c>
      <c r="B66" s="14" t="s">
        <v>57</v>
      </c>
      <c r="C66" s="16" t="s">
        <v>58</v>
      </c>
      <c r="D66" s="14" t="s">
        <v>201</v>
      </c>
      <c r="E66" s="18">
        <v>3</v>
      </c>
      <c r="F66" s="67">
        <v>3</v>
      </c>
      <c r="G66" s="13">
        <v>53.32</v>
      </c>
      <c r="H66" s="79">
        <f t="shared" si="9"/>
        <v>0.15996000000000002</v>
      </c>
      <c r="I66" s="13">
        <f>G66*3</f>
        <v>159.96</v>
      </c>
    </row>
    <row r="67" spans="1:21" ht="15.75" hidden="1" customHeight="1">
      <c r="A67" s="33"/>
      <c r="B67" s="51" t="s">
        <v>71</v>
      </c>
      <c r="C67" s="16"/>
      <c r="D67" s="14"/>
      <c r="E67" s="18"/>
      <c r="F67" s="13"/>
      <c r="G67" s="13"/>
      <c r="H67" s="79" t="s">
        <v>135</v>
      </c>
      <c r="I67" s="13"/>
    </row>
    <row r="68" spans="1:21" ht="15.75" hidden="1" customHeight="1">
      <c r="A68" s="33"/>
      <c r="B68" s="14" t="s">
        <v>72</v>
      </c>
      <c r="C68" s="16" t="s">
        <v>74</v>
      </c>
      <c r="D68" s="14"/>
      <c r="E68" s="18">
        <v>2</v>
      </c>
      <c r="F68" s="13">
        <v>0.2</v>
      </c>
      <c r="G68" s="13">
        <v>536.23</v>
      </c>
      <c r="H68" s="79">
        <f t="shared" si="9"/>
        <v>0.10724600000000001</v>
      </c>
      <c r="I68" s="13">
        <v>0</v>
      </c>
    </row>
    <row r="69" spans="1:21" ht="15.75" hidden="1" customHeight="1">
      <c r="A69" s="33"/>
      <c r="B69" s="14" t="s">
        <v>73</v>
      </c>
      <c r="C69" s="16" t="s">
        <v>29</v>
      </c>
      <c r="D69" s="14"/>
      <c r="E69" s="18">
        <v>1</v>
      </c>
      <c r="F69" s="60">
        <v>1</v>
      </c>
      <c r="G69" s="13">
        <v>911.85</v>
      </c>
      <c r="H69" s="79">
        <f t="shared" si="9"/>
        <v>0.91185000000000005</v>
      </c>
      <c r="I69" s="13">
        <v>0</v>
      </c>
    </row>
    <row r="70" spans="1:21" ht="15.75" hidden="1" customHeight="1">
      <c r="A70" s="33"/>
      <c r="B70" s="14" t="s">
        <v>136</v>
      </c>
      <c r="C70" s="16" t="s">
        <v>137</v>
      </c>
      <c r="D70" s="14"/>
      <c r="E70" s="18"/>
      <c r="F70" s="13"/>
      <c r="G70" s="13">
        <v>31.54</v>
      </c>
      <c r="H70" s="79">
        <f t="shared" si="9"/>
        <v>0</v>
      </c>
      <c r="I70" s="13"/>
    </row>
    <row r="71" spans="1:21" ht="15.75" hidden="1" customHeight="1">
      <c r="A71" s="33"/>
      <c r="B71" s="14" t="s">
        <v>123</v>
      </c>
      <c r="C71" s="16" t="s">
        <v>29</v>
      </c>
      <c r="D71" s="14"/>
      <c r="E71" s="18">
        <v>1</v>
      </c>
      <c r="F71" s="13">
        <v>1</v>
      </c>
      <c r="G71" s="13">
        <v>383.25</v>
      </c>
      <c r="H71" s="79">
        <f>G71*F71/1000</f>
        <v>0.38324999999999998</v>
      </c>
      <c r="I71" s="13">
        <v>0</v>
      </c>
    </row>
    <row r="72" spans="1:21" ht="15.75" hidden="1" customHeight="1">
      <c r="A72" s="33"/>
      <c r="B72" s="82" t="s">
        <v>75</v>
      </c>
      <c r="C72" s="16"/>
      <c r="D72" s="14"/>
      <c r="E72" s="18"/>
      <c r="F72" s="13"/>
      <c r="G72" s="13" t="s">
        <v>135</v>
      </c>
      <c r="H72" s="79" t="s">
        <v>135</v>
      </c>
      <c r="I72" s="13"/>
    </row>
    <row r="73" spans="1:21" ht="15.75" hidden="1" customHeight="1">
      <c r="A73" s="33"/>
      <c r="B73" s="45" t="s">
        <v>147</v>
      </c>
      <c r="C73" s="16" t="s">
        <v>76</v>
      </c>
      <c r="D73" s="14"/>
      <c r="E73" s="18"/>
      <c r="F73" s="13">
        <v>0.1</v>
      </c>
      <c r="G73" s="13">
        <v>2949.85</v>
      </c>
      <c r="H73" s="79">
        <f t="shared" si="9"/>
        <v>0.294985</v>
      </c>
      <c r="I73" s="13">
        <v>0</v>
      </c>
    </row>
    <row r="74" spans="1:21" ht="15.75" hidden="1" customHeight="1">
      <c r="A74" s="33"/>
      <c r="B74" s="89" t="s">
        <v>92</v>
      </c>
      <c r="C74" s="89"/>
      <c r="D74" s="89"/>
      <c r="E74" s="89"/>
      <c r="F74" s="89"/>
      <c r="G74" s="70"/>
      <c r="H74" s="83">
        <f>SUM(H55:H73)</f>
        <v>39.790287929999998</v>
      </c>
      <c r="I74" s="70"/>
    </row>
    <row r="75" spans="1:21" ht="15.75" hidden="1" customHeight="1">
      <c r="A75" s="33">
        <v>18</v>
      </c>
      <c r="B75" s="87" t="s">
        <v>122</v>
      </c>
      <c r="C75" s="24"/>
      <c r="D75" s="23"/>
      <c r="E75" s="84"/>
      <c r="F75" s="88">
        <v>1</v>
      </c>
      <c r="G75" s="13">
        <v>3124.9</v>
      </c>
      <c r="H75" s="79">
        <f>G75*F75/1000</f>
        <v>3.1249000000000002</v>
      </c>
      <c r="I75" s="13">
        <f>G75</f>
        <v>3124.9</v>
      </c>
    </row>
    <row r="76" spans="1:21" ht="15.75" customHeight="1">
      <c r="A76" s="132" t="s">
        <v>131</v>
      </c>
      <c r="B76" s="133"/>
      <c r="C76" s="133"/>
      <c r="D76" s="133"/>
      <c r="E76" s="133"/>
      <c r="F76" s="133"/>
      <c r="G76" s="133"/>
      <c r="H76" s="133"/>
      <c r="I76" s="134"/>
    </row>
    <row r="77" spans="1:21" ht="15.75" customHeight="1">
      <c r="A77" s="33">
        <v>19</v>
      </c>
      <c r="B77" s="64" t="s">
        <v>124</v>
      </c>
      <c r="C77" s="16" t="s">
        <v>54</v>
      </c>
      <c r="D77" s="50"/>
      <c r="E77" s="13">
        <v>1042.5999999999999</v>
      </c>
      <c r="F77" s="13">
        <f>SUM(E77*12)</f>
        <v>12511.199999999999</v>
      </c>
      <c r="G77" s="13">
        <v>2.2400000000000002</v>
      </c>
      <c r="H77" s="79">
        <f>SUM(F77*G77/1000)</f>
        <v>28.025088</v>
      </c>
      <c r="I77" s="13">
        <f>F77/12*G77</f>
        <v>2335.424</v>
      </c>
    </row>
    <row r="78" spans="1:21" ht="31.5" customHeight="1">
      <c r="A78" s="33">
        <v>20</v>
      </c>
      <c r="B78" s="14" t="s">
        <v>77</v>
      </c>
      <c r="C78" s="16"/>
      <c r="D78" s="50"/>
      <c r="E78" s="66">
        <f>E77</f>
        <v>1042.5999999999999</v>
      </c>
      <c r="F78" s="13">
        <f>E78*12</f>
        <v>12511.199999999999</v>
      </c>
      <c r="G78" s="13">
        <v>1.74</v>
      </c>
      <c r="H78" s="79">
        <f>F78*G78/1000</f>
        <v>21.769487999999999</v>
      </c>
      <c r="I78" s="13">
        <f>F78/12*G78</f>
        <v>1814.1239999999998</v>
      </c>
    </row>
    <row r="79" spans="1:21" ht="15.75" customHeight="1">
      <c r="A79" s="33"/>
      <c r="B79" s="38" t="s">
        <v>80</v>
      </c>
      <c r="C79" s="82"/>
      <c r="D79" s="81"/>
      <c r="E79" s="70"/>
      <c r="F79" s="70"/>
      <c r="G79" s="70"/>
      <c r="H79" s="83">
        <f>H78</f>
        <v>21.769487999999999</v>
      </c>
      <c r="I79" s="70">
        <f>I78+I77+I66+I51+I50+I49+I48+I47+I46+I45+I44+I43+I31+I30+I27+I21+I20+I18+I17+I16</f>
        <v>12741.805556533329</v>
      </c>
    </row>
    <row r="80" spans="1:21" ht="15.75" customHeight="1">
      <c r="A80" s="141" t="s">
        <v>60</v>
      </c>
      <c r="B80" s="142"/>
      <c r="C80" s="142"/>
      <c r="D80" s="142"/>
      <c r="E80" s="142"/>
      <c r="F80" s="142"/>
      <c r="G80" s="142"/>
      <c r="H80" s="142"/>
      <c r="I80" s="143"/>
    </row>
    <row r="81" spans="1:9" ht="31.5" hidden="1" customHeight="1">
      <c r="A81" s="33"/>
      <c r="B81" s="48" t="s">
        <v>138</v>
      </c>
      <c r="C81" s="49" t="s">
        <v>139</v>
      </c>
      <c r="D81" s="45"/>
      <c r="E81" s="13"/>
      <c r="F81" s="13">
        <v>1</v>
      </c>
      <c r="G81" s="13">
        <v>51.39</v>
      </c>
      <c r="H81" s="79">
        <f t="shared" ref="H81:H88" si="10">G81*F81/1000</f>
        <v>5.1389999999999998E-2</v>
      </c>
      <c r="I81" s="13">
        <v>0</v>
      </c>
    </row>
    <row r="82" spans="1:9" ht="15.75" hidden="1" customHeight="1">
      <c r="A82" s="33"/>
      <c r="B82" s="48" t="s">
        <v>140</v>
      </c>
      <c r="C82" s="49" t="s">
        <v>141</v>
      </c>
      <c r="D82" s="45"/>
      <c r="E82" s="13"/>
      <c r="F82" s="13">
        <v>5</v>
      </c>
      <c r="G82" s="13">
        <v>1501</v>
      </c>
      <c r="H82" s="79">
        <f t="shared" si="10"/>
        <v>7.5049999999999999</v>
      </c>
      <c r="I82" s="13">
        <v>0</v>
      </c>
    </row>
    <row r="83" spans="1:9" ht="15.75" hidden="1" customHeight="1">
      <c r="A83" s="33"/>
      <c r="B83" s="48" t="s">
        <v>142</v>
      </c>
      <c r="C83" s="49" t="s">
        <v>143</v>
      </c>
      <c r="D83" s="45"/>
      <c r="E83" s="13"/>
      <c r="F83" s="13">
        <v>1</v>
      </c>
      <c r="G83" s="13">
        <v>1646</v>
      </c>
      <c r="H83" s="79">
        <f t="shared" si="10"/>
        <v>1.6459999999999999</v>
      </c>
      <c r="I83" s="13">
        <v>0</v>
      </c>
    </row>
    <row r="84" spans="1:9" ht="15.75" hidden="1" customHeight="1">
      <c r="A84" s="33"/>
      <c r="B84" s="48" t="s">
        <v>144</v>
      </c>
      <c r="C84" s="49" t="s">
        <v>93</v>
      </c>
      <c r="D84" s="45"/>
      <c r="E84" s="13"/>
      <c r="F84" s="13">
        <v>1</v>
      </c>
      <c r="G84" s="13">
        <v>182.63</v>
      </c>
      <c r="H84" s="79">
        <f t="shared" si="10"/>
        <v>0.18262999999999999</v>
      </c>
      <c r="I84" s="13">
        <v>0</v>
      </c>
    </row>
    <row r="85" spans="1:9" ht="15.75" hidden="1" customHeight="1">
      <c r="A85" s="33"/>
      <c r="B85" s="48" t="s">
        <v>125</v>
      </c>
      <c r="C85" s="49" t="s">
        <v>82</v>
      </c>
      <c r="D85" s="45"/>
      <c r="E85" s="13"/>
      <c r="F85" s="13">
        <v>2</v>
      </c>
      <c r="G85" s="13">
        <v>185.81</v>
      </c>
      <c r="H85" s="79">
        <f t="shared" si="10"/>
        <v>0.37162000000000001</v>
      </c>
      <c r="I85" s="13">
        <v>0</v>
      </c>
    </row>
    <row r="86" spans="1:9" ht="15.75" customHeight="1">
      <c r="A86" s="33">
        <v>21</v>
      </c>
      <c r="B86" s="75" t="s">
        <v>168</v>
      </c>
      <c r="C86" s="74" t="s">
        <v>169</v>
      </c>
      <c r="D86" s="75"/>
      <c r="E86" s="76"/>
      <c r="F86" s="77">
        <v>200</v>
      </c>
      <c r="G86" s="60">
        <v>1.4</v>
      </c>
      <c r="H86" s="78">
        <f>F86*G86/1000</f>
        <v>0.28000000000000003</v>
      </c>
      <c r="I86" s="99">
        <f>G86*100</f>
        <v>140</v>
      </c>
    </row>
    <row r="87" spans="1:9" ht="31.5" hidden="1" customHeight="1">
      <c r="A87" s="33"/>
      <c r="B87" s="48" t="s">
        <v>79</v>
      </c>
      <c r="C87" s="49" t="s">
        <v>114</v>
      </c>
      <c r="D87" s="45"/>
      <c r="E87" s="13"/>
      <c r="F87" s="13">
        <v>1</v>
      </c>
      <c r="G87" s="13">
        <v>79.09</v>
      </c>
      <c r="H87" s="79">
        <f t="shared" si="10"/>
        <v>7.9090000000000008E-2</v>
      </c>
      <c r="I87" s="13">
        <v>0</v>
      </c>
    </row>
    <row r="88" spans="1:9" ht="15.75" hidden="1" customHeight="1">
      <c r="A88" s="33"/>
      <c r="B88" s="48" t="s">
        <v>145</v>
      </c>
      <c r="C88" s="49" t="s">
        <v>146</v>
      </c>
      <c r="D88" s="45"/>
      <c r="E88" s="13"/>
      <c r="F88" s="13">
        <v>1</v>
      </c>
      <c r="G88" s="13">
        <v>1072.21</v>
      </c>
      <c r="H88" s="79">
        <f t="shared" si="10"/>
        <v>1.0722100000000001</v>
      </c>
      <c r="I88" s="13">
        <v>0</v>
      </c>
    </row>
    <row r="89" spans="1:9" ht="32.25" customHeight="1">
      <c r="A89" s="33">
        <v>22</v>
      </c>
      <c r="B89" s="101" t="s">
        <v>179</v>
      </c>
      <c r="C89" s="102" t="s">
        <v>180</v>
      </c>
      <c r="D89" s="45"/>
      <c r="E89" s="13"/>
      <c r="F89" s="13"/>
      <c r="G89" s="37">
        <v>26095.37</v>
      </c>
      <c r="H89" s="79"/>
      <c r="I89" s="13">
        <f>G89*0.01</f>
        <v>260.95369999999997</v>
      </c>
    </row>
    <row r="90" spans="1:9">
      <c r="A90" s="33"/>
      <c r="B90" s="43" t="s">
        <v>50</v>
      </c>
      <c r="C90" s="39"/>
      <c r="D90" s="46"/>
      <c r="E90" s="39">
        <v>1</v>
      </c>
      <c r="F90" s="39"/>
      <c r="G90" s="39"/>
      <c r="H90" s="39"/>
      <c r="I90" s="35">
        <f>SUM(I81:I89)</f>
        <v>400.95369999999997</v>
      </c>
    </row>
    <row r="91" spans="1:9" ht="16.5" customHeight="1">
      <c r="A91" s="33"/>
      <c r="B91" s="45" t="s">
        <v>78</v>
      </c>
      <c r="C91" s="15"/>
      <c r="D91" s="15"/>
      <c r="E91" s="40"/>
      <c r="F91" s="40"/>
      <c r="G91" s="41"/>
      <c r="H91" s="41"/>
      <c r="I91" s="17">
        <v>0</v>
      </c>
    </row>
    <row r="92" spans="1:9" ht="16.5" customHeight="1">
      <c r="A92" s="47"/>
      <c r="B92" s="44" t="s">
        <v>161</v>
      </c>
      <c r="C92" s="36"/>
      <c r="D92" s="36"/>
      <c r="E92" s="36"/>
      <c r="F92" s="36"/>
      <c r="G92" s="36"/>
      <c r="H92" s="36"/>
      <c r="I92" s="42">
        <f>I79+I90</f>
        <v>13142.759256533329</v>
      </c>
    </row>
    <row r="93" spans="1:9" ht="15.75" customHeight="1">
      <c r="A93" s="128" t="s">
        <v>240</v>
      </c>
      <c r="B93" s="128"/>
      <c r="C93" s="128"/>
      <c r="D93" s="128"/>
      <c r="E93" s="128"/>
      <c r="F93" s="128"/>
      <c r="G93" s="128"/>
      <c r="H93" s="128"/>
      <c r="I93" s="128"/>
    </row>
    <row r="94" spans="1:9" ht="15.75" customHeight="1">
      <c r="A94" s="57"/>
      <c r="B94" s="129" t="s">
        <v>241</v>
      </c>
      <c r="C94" s="129"/>
      <c r="D94" s="129"/>
      <c r="E94" s="129"/>
      <c r="F94" s="129"/>
      <c r="G94" s="129"/>
      <c r="H94" s="63"/>
      <c r="I94" s="3"/>
    </row>
    <row r="95" spans="1:9">
      <c r="A95" s="56"/>
      <c r="B95" s="130" t="s">
        <v>6</v>
      </c>
      <c r="C95" s="130"/>
      <c r="D95" s="130"/>
      <c r="E95" s="130"/>
      <c r="F95" s="130"/>
      <c r="G95" s="130"/>
      <c r="H95" s="28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1" t="s">
        <v>7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1" t="s">
        <v>8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>
      <c r="A99" s="136" t="s">
        <v>61</v>
      </c>
      <c r="B99" s="136"/>
      <c r="C99" s="136"/>
      <c r="D99" s="136"/>
      <c r="E99" s="136"/>
      <c r="F99" s="136"/>
      <c r="G99" s="136"/>
      <c r="H99" s="136"/>
      <c r="I99" s="136"/>
    </row>
    <row r="100" spans="1:9" ht="7.5" customHeight="1">
      <c r="A100" s="11"/>
    </row>
    <row r="101" spans="1:9" ht="15.75">
      <c r="A101" s="137" t="s">
        <v>9</v>
      </c>
      <c r="B101" s="137"/>
      <c r="C101" s="137"/>
      <c r="D101" s="137"/>
      <c r="E101" s="137"/>
      <c r="F101" s="137"/>
      <c r="G101" s="137"/>
      <c r="H101" s="137"/>
      <c r="I101" s="137"/>
    </row>
    <row r="102" spans="1:9" ht="15.75">
      <c r="A102" s="4"/>
    </row>
    <row r="103" spans="1:9" ht="15.75">
      <c r="B103" s="53" t="s">
        <v>10</v>
      </c>
      <c r="C103" s="138" t="s">
        <v>127</v>
      </c>
      <c r="D103" s="138"/>
      <c r="E103" s="138"/>
      <c r="F103" s="61"/>
      <c r="I103" s="55"/>
    </row>
    <row r="104" spans="1:9">
      <c r="A104" s="56"/>
      <c r="C104" s="130" t="s">
        <v>11</v>
      </c>
      <c r="D104" s="130"/>
      <c r="E104" s="130"/>
      <c r="F104" s="28"/>
      <c r="I104" s="54" t="s">
        <v>12</v>
      </c>
    </row>
    <row r="105" spans="1:9" ht="15.75">
      <c r="A105" s="29"/>
      <c r="C105" s="12"/>
      <c r="D105" s="12"/>
      <c r="G105" s="12"/>
      <c r="H105" s="12"/>
    </row>
    <row r="106" spans="1:9" ht="15.75">
      <c r="B106" s="53" t="s">
        <v>13</v>
      </c>
      <c r="C106" s="139"/>
      <c r="D106" s="139"/>
      <c r="E106" s="139"/>
      <c r="F106" s="62"/>
      <c r="I106" s="55"/>
    </row>
    <row r="107" spans="1:9">
      <c r="A107" s="56"/>
      <c r="C107" s="127" t="s">
        <v>11</v>
      </c>
      <c r="D107" s="127"/>
      <c r="E107" s="127"/>
      <c r="F107" s="56"/>
      <c r="I107" s="54" t="s">
        <v>12</v>
      </c>
    </row>
    <row r="108" spans="1:9" ht="15.75">
      <c r="A108" s="4" t="s">
        <v>14</v>
      </c>
    </row>
    <row r="109" spans="1:9">
      <c r="A109" s="140" t="s">
        <v>15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45" customHeight="1">
      <c r="A110" s="135" t="s">
        <v>16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30" customHeight="1">
      <c r="A111" s="135" t="s">
        <v>17</v>
      </c>
      <c r="B111" s="135"/>
      <c r="C111" s="135"/>
      <c r="D111" s="135"/>
      <c r="E111" s="135"/>
      <c r="F111" s="135"/>
      <c r="G111" s="135"/>
      <c r="H111" s="135"/>
      <c r="I111" s="135"/>
    </row>
    <row r="112" spans="1:9" ht="30" customHeight="1">
      <c r="A112" s="135" t="s">
        <v>21</v>
      </c>
      <c r="B112" s="135"/>
      <c r="C112" s="135"/>
      <c r="D112" s="135"/>
      <c r="E112" s="135"/>
      <c r="F112" s="135"/>
      <c r="G112" s="135"/>
      <c r="H112" s="135"/>
      <c r="I112" s="135"/>
    </row>
    <row r="113" spans="1:9" ht="14.25" customHeight="1">
      <c r="A113" s="135" t="s">
        <v>20</v>
      </c>
      <c r="B113" s="135"/>
      <c r="C113" s="135"/>
      <c r="D113" s="135"/>
      <c r="E113" s="135"/>
      <c r="F113" s="135"/>
      <c r="G113" s="135"/>
      <c r="H113" s="135"/>
      <c r="I113" s="135"/>
    </row>
  </sheetData>
  <autoFilter ref="I12:I59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2:I42"/>
    <mergeCell ref="A53:I53"/>
    <mergeCell ref="A93:I93"/>
    <mergeCell ref="B94:G94"/>
    <mergeCell ref="B95:G95"/>
    <mergeCell ref="A97:I97"/>
    <mergeCell ref="A98:I98"/>
    <mergeCell ref="A80:I80"/>
    <mergeCell ref="R64:U64"/>
    <mergeCell ref="A76:I76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2020-01-13T05:43:07Z</cp:lastPrinted>
  <dcterms:created xsi:type="dcterms:W3CDTF">2016-03-25T08:33:47Z</dcterms:created>
  <dcterms:modified xsi:type="dcterms:W3CDTF">2020-02-04T07:28:28Z</dcterms:modified>
</cp:coreProperties>
</file>