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75" yWindow="-45" windowWidth="15480" windowHeight="11280" activeTab="11"/>
  </bookViews>
  <sheets>
    <sheet name="01.18" sheetId="17" r:id="rId1"/>
    <sheet name="02.18" sheetId="18" r:id="rId2"/>
    <sheet name="03.18" sheetId="19" r:id="rId3"/>
    <sheet name="04.18" sheetId="20" r:id="rId4"/>
    <sheet name="05.18" sheetId="21" r:id="rId5"/>
    <sheet name="06.18" sheetId="22" r:id="rId6"/>
    <sheet name="07.18" sheetId="23" r:id="rId7"/>
    <sheet name="08.18" sheetId="24" r:id="rId8"/>
    <sheet name="09.18" sheetId="25" r:id="rId9"/>
    <sheet name="10.18" sheetId="26" r:id="rId10"/>
    <sheet name="11.18" sheetId="27" r:id="rId11"/>
    <sheet name="12.18" sheetId="28" r:id="rId12"/>
  </sheets>
  <definedNames>
    <definedName name="_xlnm.Print_Area" localSheetId="0">'01.18'!$A$1:$I$109</definedName>
    <definedName name="_xlnm.Print_Area" localSheetId="1">'02.18'!$A$1:$I$107</definedName>
    <definedName name="_xlnm.Print_Area" localSheetId="2">'03.18'!$A$1:$I$109</definedName>
    <definedName name="_xlnm.Print_Area" localSheetId="3">'04.18'!$A$1:$I$110</definedName>
    <definedName name="_xlnm.Print_Area" localSheetId="4">'05.18'!$A$1:$I$108</definedName>
    <definedName name="_xlnm.Print_Area" localSheetId="5">'06.18'!$A$1:$I$107</definedName>
    <definedName name="_xlnm.Print_Area" localSheetId="6">'07.18'!$A$1:$I$109</definedName>
    <definedName name="_xlnm.Print_Area" localSheetId="7">'08.18'!$A$1:$I$114</definedName>
    <definedName name="_xlnm.Print_Area" localSheetId="8">'09.18'!$A$1:$I$114</definedName>
    <definedName name="_xlnm.Print_Area" localSheetId="9">'10.18'!$A$1:$I$112</definedName>
    <definedName name="_xlnm.Print_Area" localSheetId="10">'11.18'!$A$1:$I$118</definedName>
    <definedName name="_xlnm.Print_Area" localSheetId="11">'12.18'!$A$1:$I$110</definedName>
  </definedNames>
  <calcPr calcId="124519"/>
</workbook>
</file>

<file path=xl/calcChain.xml><?xml version="1.0" encoding="utf-8"?>
<calcChain xmlns="http://schemas.openxmlformats.org/spreadsheetml/2006/main">
  <c r="I79" i="28"/>
  <c r="I60"/>
  <c r="I84"/>
  <c r="H84"/>
  <c r="I85"/>
  <c r="H85"/>
  <c r="I82"/>
  <c r="I86" s="1"/>
  <c r="I83"/>
  <c r="I81"/>
  <c r="I44"/>
  <c r="I83" i="27" l="1"/>
  <c r="I94" s="1"/>
  <c r="I93"/>
  <c r="I92"/>
  <c r="I79"/>
  <c r="I73"/>
  <c r="I91"/>
  <c r="I90"/>
  <c r="I89"/>
  <c r="I88"/>
  <c r="I87"/>
  <c r="I86"/>
  <c r="I85"/>
  <c r="I84"/>
  <c r="I82"/>
  <c r="H82"/>
  <c r="I81"/>
  <c r="H81"/>
  <c r="I44"/>
  <c r="I43"/>
  <c r="I79" i="26" l="1"/>
  <c r="I75"/>
  <c r="I88" l="1"/>
  <c r="I87"/>
  <c r="I86"/>
  <c r="H86"/>
  <c r="I54"/>
  <c r="I53"/>
  <c r="I52"/>
  <c r="I85"/>
  <c r="I84"/>
  <c r="I83"/>
  <c r="I82"/>
  <c r="I60"/>
  <c r="I79" i="25"/>
  <c r="I90"/>
  <c r="I89"/>
  <c r="I88"/>
  <c r="I87"/>
  <c r="I86"/>
  <c r="I85"/>
  <c r="I84"/>
  <c r="I83"/>
  <c r="I82"/>
  <c r="H82"/>
  <c r="I90" i="24"/>
  <c r="I89"/>
  <c r="I88"/>
  <c r="I87" l="1"/>
  <c r="I83"/>
  <c r="I82"/>
  <c r="H82"/>
  <c r="I79"/>
  <c r="I60"/>
  <c r="I58" i="20" l="1"/>
  <c r="I79" i="19"/>
  <c r="I58" i="18"/>
  <c r="I58" i="17"/>
  <c r="I85"/>
  <c r="I84"/>
  <c r="I85" i="23"/>
  <c r="I84"/>
  <c r="I83"/>
  <c r="I79"/>
  <c r="I60"/>
  <c r="I81"/>
  <c r="H81"/>
  <c r="I69"/>
  <c r="I84" i="21" l="1"/>
  <c r="I83"/>
  <c r="I79" i="22" l="1"/>
  <c r="I60"/>
  <c r="I67"/>
  <c r="I83"/>
  <c r="I82"/>
  <c r="H82"/>
  <c r="I81" i="21"/>
  <c r="H81"/>
  <c r="I19"/>
  <c r="I83" i="18"/>
  <c r="I85" i="19"/>
  <c r="I79" i="20"/>
  <c r="I86"/>
  <c r="I85"/>
  <c r="I84"/>
  <c r="I83"/>
  <c r="I82"/>
  <c r="H82"/>
  <c r="I81"/>
  <c r="H81"/>
  <c r="I44"/>
  <c r="I43"/>
  <c r="I84" i="19" l="1"/>
  <c r="I83"/>
  <c r="H84"/>
  <c r="H83"/>
  <c r="I82"/>
  <c r="H82"/>
  <c r="I81"/>
  <c r="H81"/>
  <c r="I60"/>
  <c r="I44"/>
  <c r="I43"/>
  <c r="I82" i="18"/>
  <c r="H82"/>
  <c r="I81"/>
  <c r="H81"/>
  <c r="I44"/>
  <c r="I43"/>
  <c r="I83" i="17"/>
  <c r="H83"/>
  <c r="I82"/>
  <c r="H82"/>
  <c r="I81"/>
  <c r="H81"/>
  <c r="I44" l="1"/>
  <c r="H83" i="28" l="1"/>
  <c r="H82"/>
  <c r="H81"/>
  <c r="E78"/>
  <c r="F78" s="1"/>
  <c r="F77"/>
  <c r="I77" s="1"/>
  <c r="H75"/>
  <c r="H73"/>
  <c r="H71"/>
  <c r="H70"/>
  <c r="I69"/>
  <c r="H69"/>
  <c r="H67"/>
  <c r="F66"/>
  <c r="H66" s="1"/>
  <c r="F65"/>
  <c r="H65" s="1"/>
  <c r="F64"/>
  <c r="H64" s="1"/>
  <c r="F63"/>
  <c r="H63" s="1"/>
  <c r="F62"/>
  <c r="H62" s="1"/>
  <c r="H61"/>
  <c r="H60"/>
  <c r="F58"/>
  <c r="I58" s="1"/>
  <c r="I55"/>
  <c r="F55"/>
  <c r="H55" s="1"/>
  <c r="I54"/>
  <c r="H54"/>
  <c r="F53"/>
  <c r="I53" s="1"/>
  <c r="F52"/>
  <c r="H52" s="1"/>
  <c r="F51"/>
  <c r="I51" s="1"/>
  <c r="F50"/>
  <c r="H50" s="1"/>
  <c r="F49"/>
  <c r="H49" s="1"/>
  <c r="F48"/>
  <c r="H48" s="1"/>
  <c r="F47"/>
  <c r="H47" s="1"/>
  <c r="F46"/>
  <c r="H46" s="1"/>
  <c r="H44"/>
  <c r="F43"/>
  <c r="F42"/>
  <c r="I42" s="1"/>
  <c r="F41"/>
  <c r="H41" s="1"/>
  <c r="H40"/>
  <c r="F39"/>
  <c r="H39" s="1"/>
  <c r="I38"/>
  <c r="H38"/>
  <c r="H36"/>
  <c r="H35"/>
  <c r="H34"/>
  <c r="F34"/>
  <c r="I34" s="1"/>
  <c r="F33"/>
  <c r="H33" s="1"/>
  <c r="F32"/>
  <c r="I32" s="1"/>
  <c r="F31"/>
  <c r="H31" s="1"/>
  <c r="F28"/>
  <c r="I28" s="1"/>
  <c r="F27"/>
  <c r="H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F86" i="27"/>
  <c r="H86" s="1"/>
  <c r="H85"/>
  <c r="I69"/>
  <c r="I54"/>
  <c r="H84"/>
  <c r="H83"/>
  <c r="E78"/>
  <c r="F78" s="1"/>
  <c r="F77"/>
  <c r="I77" s="1"/>
  <c r="H75"/>
  <c r="H73"/>
  <c r="H71"/>
  <c r="H70"/>
  <c r="H69"/>
  <c r="H67"/>
  <c r="F66"/>
  <c r="H66" s="1"/>
  <c r="F65"/>
  <c r="H65" s="1"/>
  <c r="F64"/>
  <c r="H64" s="1"/>
  <c r="F63"/>
  <c r="H63" s="1"/>
  <c r="F62"/>
  <c r="H62" s="1"/>
  <c r="H61"/>
  <c r="I60"/>
  <c r="H60"/>
  <c r="F58"/>
  <c r="I58" s="1"/>
  <c r="I55"/>
  <c r="F55"/>
  <c r="H55" s="1"/>
  <c r="H54"/>
  <c r="F53"/>
  <c r="H53" s="1"/>
  <c r="F52"/>
  <c r="H52" s="1"/>
  <c r="F51"/>
  <c r="I51" s="1"/>
  <c r="F50"/>
  <c r="H50" s="1"/>
  <c r="F49"/>
  <c r="H49" s="1"/>
  <c r="F48"/>
  <c r="H48" s="1"/>
  <c r="F47"/>
  <c r="H47" s="1"/>
  <c r="F46"/>
  <c r="H46" s="1"/>
  <c r="H44"/>
  <c r="F43"/>
  <c r="F42"/>
  <c r="I42" s="1"/>
  <c r="F41"/>
  <c r="I41" s="1"/>
  <c r="H40"/>
  <c r="F39"/>
  <c r="I39" s="1"/>
  <c r="I38"/>
  <c r="H38"/>
  <c r="H36"/>
  <c r="H35"/>
  <c r="H34"/>
  <c r="F34"/>
  <c r="I34" s="1"/>
  <c r="F33"/>
  <c r="I33" s="1"/>
  <c r="F32"/>
  <c r="I32" s="1"/>
  <c r="F31"/>
  <c r="I31" s="1"/>
  <c r="F28"/>
  <c r="I28" s="1"/>
  <c r="F27"/>
  <c r="I27" s="1"/>
  <c r="F26"/>
  <c r="H26" s="1"/>
  <c r="F25"/>
  <c r="H25" s="1"/>
  <c r="F24"/>
  <c r="H24" s="1"/>
  <c r="F23"/>
  <c r="H23" s="1"/>
  <c r="F22"/>
  <c r="H22" s="1"/>
  <c r="F21"/>
  <c r="I21" s="1"/>
  <c r="F20"/>
  <c r="I20" s="1"/>
  <c r="F19"/>
  <c r="H19" s="1"/>
  <c r="E18"/>
  <c r="F18" s="1"/>
  <c r="I18" s="1"/>
  <c r="F17"/>
  <c r="I17" s="1"/>
  <c r="F16"/>
  <c r="I16" s="1"/>
  <c r="H85" i="26"/>
  <c r="H84"/>
  <c r="H83"/>
  <c r="H82"/>
  <c r="H43" i="28" l="1"/>
  <c r="I43"/>
  <c r="I78"/>
  <c r="H78"/>
  <c r="H79" s="1"/>
  <c r="I18"/>
  <c r="H18"/>
  <c r="I16"/>
  <c r="H17"/>
  <c r="I20"/>
  <c r="H21"/>
  <c r="I27"/>
  <c r="H28"/>
  <c r="I31"/>
  <c r="H32"/>
  <c r="I33"/>
  <c r="I39"/>
  <c r="I41"/>
  <c r="H42"/>
  <c r="H51"/>
  <c r="I52"/>
  <c r="H53"/>
  <c r="H58"/>
  <c r="H74" s="1"/>
  <c r="H77"/>
  <c r="H20" i="27"/>
  <c r="H33"/>
  <c r="H39"/>
  <c r="H16"/>
  <c r="H43"/>
  <c r="I52"/>
  <c r="I96" s="1"/>
  <c r="I53"/>
  <c r="H58"/>
  <c r="H74" s="1"/>
  <c r="H31"/>
  <c r="H41"/>
  <c r="H27"/>
  <c r="I78"/>
  <c r="H78"/>
  <c r="H79" s="1"/>
  <c r="H17"/>
  <c r="H18"/>
  <c r="H21"/>
  <c r="H28"/>
  <c r="H32"/>
  <c r="H42"/>
  <c r="H51"/>
  <c r="H77"/>
  <c r="I88" i="28" l="1"/>
  <c r="H86" i="24" l="1"/>
  <c r="H85"/>
  <c r="H84"/>
  <c r="H83"/>
  <c r="I69" i="22" l="1"/>
  <c r="I54" i="19"/>
  <c r="I75" i="17"/>
  <c r="I81" i="26" l="1"/>
  <c r="H81"/>
  <c r="E78"/>
  <c r="F78" s="1"/>
  <c r="F77"/>
  <c r="I77" s="1"/>
  <c r="H75"/>
  <c r="H73"/>
  <c r="H71"/>
  <c r="H70"/>
  <c r="H69"/>
  <c r="H67"/>
  <c r="F66"/>
  <c r="H66" s="1"/>
  <c r="F65"/>
  <c r="H65" s="1"/>
  <c r="F64"/>
  <c r="H64" s="1"/>
  <c r="F63"/>
  <c r="H63" s="1"/>
  <c r="F62"/>
  <c r="H62" s="1"/>
  <c r="H61"/>
  <c r="H60"/>
  <c r="F58"/>
  <c r="I58" s="1"/>
  <c r="I55"/>
  <c r="F55"/>
  <c r="H55" s="1"/>
  <c r="H54"/>
  <c r="F53"/>
  <c r="H53" s="1"/>
  <c r="F52"/>
  <c r="H52" s="1"/>
  <c r="F51"/>
  <c r="I51" s="1"/>
  <c r="F50"/>
  <c r="H50" s="1"/>
  <c r="F49"/>
  <c r="H49" s="1"/>
  <c r="F48"/>
  <c r="H48" s="1"/>
  <c r="F47"/>
  <c r="H47" s="1"/>
  <c r="F46"/>
  <c r="H46" s="1"/>
  <c r="I44"/>
  <c r="H44"/>
  <c r="F43"/>
  <c r="I43" s="1"/>
  <c r="F42"/>
  <c r="I42" s="1"/>
  <c r="F41"/>
  <c r="I41" s="1"/>
  <c r="H40"/>
  <c r="F39"/>
  <c r="I39" s="1"/>
  <c r="I38"/>
  <c r="H38"/>
  <c r="H36"/>
  <c r="H35"/>
  <c r="H34"/>
  <c r="F34"/>
  <c r="I34" s="1"/>
  <c r="F33"/>
  <c r="I33" s="1"/>
  <c r="F32"/>
  <c r="I32" s="1"/>
  <c r="F31"/>
  <c r="I31" s="1"/>
  <c r="F28"/>
  <c r="I28" s="1"/>
  <c r="F27"/>
  <c r="I27" s="1"/>
  <c r="F26"/>
  <c r="H26" s="1"/>
  <c r="F25"/>
  <c r="H25" s="1"/>
  <c r="F24"/>
  <c r="H24" s="1"/>
  <c r="F23"/>
  <c r="H23" s="1"/>
  <c r="F22"/>
  <c r="H22" s="1"/>
  <c r="F21"/>
  <c r="I21" s="1"/>
  <c r="F20"/>
  <c r="I20" s="1"/>
  <c r="F19"/>
  <c r="H19" s="1"/>
  <c r="E18"/>
  <c r="F18" s="1"/>
  <c r="I18" s="1"/>
  <c r="F17"/>
  <c r="I17" s="1"/>
  <c r="F16"/>
  <c r="I16" s="1"/>
  <c r="I67" i="25"/>
  <c r="I81"/>
  <c r="H81"/>
  <c r="E78"/>
  <c r="F78" s="1"/>
  <c r="F77"/>
  <c r="I77" s="1"/>
  <c r="H75"/>
  <c r="H73"/>
  <c r="H71"/>
  <c r="H70"/>
  <c r="H69"/>
  <c r="H67"/>
  <c r="F66"/>
  <c r="H66" s="1"/>
  <c r="F65"/>
  <c r="H65" s="1"/>
  <c r="F64"/>
  <c r="H64" s="1"/>
  <c r="F63"/>
  <c r="H63" s="1"/>
  <c r="F62"/>
  <c r="H62" s="1"/>
  <c r="H61"/>
  <c r="I60"/>
  <c r="H60"/>
  <c r="F58"/>
  <c r="H58" s="1"/>
  <c r="I55"/>
  <c r="F55"/>
  <c r="H55" s="1"/>
  <c r="H54"/>
  <c r="F53"/>
  <c r="H53" s="1"/>
  <c r="F52"/>
  <c r="H52" s="1"/>
  <c r="F51"/>
  <c r="I51" s="1"/>
  <c r="F50"/>
  <c r="H50" s="1"/>
  <c r="F49"/>
  <c r="H49" s="1"/>
  <c r="F48"/>
  <c r="H48" s="1"/>
  <c r="F47"/>
  <c r="H47" s="1"/>
  <c r="F46"/>
  <c r="H46" s="1"/>
  <c r="I44"/>
  <c r="H44"/>
  <c r="F43"/>
  <c r="I43" s="1"/>
  <c r="F42"/>
  <c r="I42" s="1"/>
  <c r="F41"/>
  <c r="I41" s="1"/>
  <c r="H40"/>
  <c r="F39"/>
  <c r="I39" s="1"/>
  <c r="I38"/>
  <c r="H38"/>
  <c r="H36"/>
  <c r="H35"/>
  <c r="H34"/>
  <c r="F34"/>
  <c r="I34" s="1"/>
  <c r="F33"/>
  <c r="I33" s="1"/>
  <c r="F32"/>
  <c r="I32" s="1"/>
  <c r="F31"/>
  <c r="I31" s="1"/>
  <c r="F28"/>
  <c r="I28" s="1"/>
  <c r="F27"/>
  <c r="I27" s="1"/>
  <c r="F26"/>
  <c r="H26" s="1"/>
  <c r="F25"/>
  <c r="H25" s="1"/>
  <c r="F24"/>
  <c r="H24" s="1"/>
  <c r="F23"/>
  <c r="H23" s="1"/>
  <c r="F22"/>
  <c r="H22" s="1"/>
  <c r="F21"/>
  <c r="I21" s="1"/>
  <c r="F20"/>
  <c r="I20" s="1"/>
  <c r="F19"/>
  <c r="H19" s="1"/>
  <c r="E18"/>
  <c r="F18" s="1"/>
  <c r="I18" s="1"/>
  <c r="F17"/>
  <c r="I17" s="1"/>
  <c r="F16"/>
  <c r="I16" s="1"/>
  <c r="I54" i="24"/>
  <c r="I81"/>
  <c r="H81"/>
  <c r="E78"/>
  <c r="F78" s="1"/>
  <c r="F77"/>
  <c r="I77" s="1"/>
  <c r="H75"/>
  <c r="H73"/>
  <c r="H71"/>
  <c r="H70"/>
  <c r="H69"/>
  <c r="H67"/>
  <c r="F66"/>
  <c r="H66" s="1"/>
  <c r="F65"/>
  <c r="H65" s="1"/>
  <c r="F64"/>
  <c r="H64" s="1"/>
  <c r="F63"/>
  <c r="H63" s="1"/>
  <c r="F62"/>
  <c r="H62" s="1"/>
  <c r="H61"/>
  <c r="H60"/>
  <c r="F58"/>
  <c r="H58" s="1"/>
  <c r="I55"/>
  <c r="F55"/>
  <c r="H55" s="1"/>
  <c r="H54"/>
  <c r="F53"/>
  <c r="H53" s="1"/>
  <c r="F52"/>
  <c r="H52" s="1"/>
  <c r="F51"/>
  <c r="I51" s="1"/>
  <c r="F50"/>
  <c r="H50" s="1"/>
  <c r="F49"/>
  <c r="H49" s="1"/>
  <c r="F48"/>
  <c r="H48" s="1"/>
  <c r="F47"/>
  <c r="H47" s="1"/>
  <c r="F46"/>
  <c r="H46" s="1"/>
  <c r="I44"/>
  <c r="H44"/>
  <c r="F43"/>
  <c r="H43" s="1"/>
  <c r="F42"/>
  <c r="I42" s="1"/>
  <c r="F41"/>
  <c r="H41" s="1"/>
  <c r="H40"/>
  <c r="F39"/>
  <c r="H39" s="1"/>
  <c r="I38"/>
  <c r="H38"/>
  <c r="H36"/>
  <c r="H35"/>
  <c r="H34"/>
  <c r="F34"/>
  <c r="I34" s="1"/>
  <c r="F33"/>
  <c r="H33" s="1"/>
  <c r="F32"/>
  <c r="I32" s="1"/>
  <c r="F31"/>
  <c r="H31" s="1"/>
  <c r="F28"/>
  <c r="I28" s="1"/>
  <c r="F27"/>
  <c r="H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H82" i="23"/>
  <c r="I82"/>
  <c r="E78"/>
  <c r="F78" s="1"/>
  <c r="F77"/>
  <c r="I77" s="1"/>
  <c r="H75"/>
  <c r="H73"/>
  <c r="H71"/>
  <c r="H70"/>
  <c r="H69"/>
  <c r="H67"/>
  <c r="F66"/>
  <c r="H66" s="1"/>
  <c r="F65"/>
  <c r="H65" s="1"/>
  <c r="F64"/>
  <c r="H64" s="1"/>
  <c r="F63"/>
  <c r="H63" s="1"/>
  <c r="F62"/>
  <c r="H62" s="1"/>
  <c r="H61"/>
  <c r="F58"/>
  <c r="H58" s="1"/>
  <c r="I55"/>
  <c r="F55"/>
  <c r="H55" s="1"/>
  <c r="H54"/>
  <c r="F53"/>
  <c r="H53" s="1"/>
  <c r="F52"/>
  <c r="H52" s="1"/>
  <c r="F51"/>
  <c r="I51" s="1"/>
  <c r="F50"/>
  <c r="H50" s="1"/>
  <c r="F49"/>
  <c r="H49" s="1"/>
  <c r="F48"/>
  <c r="H48" s="1"/>
  <c r="F47"/>
  <c r="H47" s="1"/>
  <c r="F46"/>
  <c r="H46" s="1"/>
  <c r="I44"/>
  <c r="H44"/>
  <c r="F43"/>
  <c r="H43" s="1"/>
  <c r="F42"/>
  <c r="I42" s="1"/>
  <c r="F41"/>
  <c r="H41" s="1"/>
  <c r="H40"/>
  <c r="F39"/>
  <c r="H39" s="1"/>
  <c r="I38"/>
  <c r="H38"/>
  <c r="H36"/>
  <c r="H35"/>
  <c r="H34"/>
  <c r="F34"/>
  <c r="I34" s="1"/>
  <c r="F33"/>
  <c r="H33" s="1"/>
  <c r="F32"/>
  <c r="I32" s="1"/>
  <c r="F31"/>
  <c r="H31" s="1"/>
  <c r="F28"/>
  <c r="I28" s="1"/>
  <c r="F27"/>
  <c r="H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I81" i="22"/>
  <c r="H81"/>
  <c r="E78"/>
  <c r="F78" s="1"/>
  <c r="F77"/>
  <c r="I77" s="1"/>
  <c r="H75"/>
  <c r="H73"/>
  <c r="H71"/>
  <c r="H70"/>
  <c r="H69"/>
  <c r="H67"/>
  <c r="F66"/>
  <c r="H66" s="1"/>
  <c r="F65"/>
  <c r="H65" s="1"/>
  <c r="F64"/>
  <c r="H64" s="1"/>
  <c r="F63"/>
  <c r="H63" s="1"/>
  <c r="F62"/>
  <c r="H62" s="1"/>
  <c r="H61"/>
  <c r="H60"/>
  <c r="F58"/>
  <c r="H58" s="1"/>
  <c r="I55"/>
  <c r="F55"/>
  <c r="H55" s="1"/>
  <c r="H54"/>
  <c r="F53"/>
  <c r="H53" s="1"/>
  <c r="F52"/>
  <c r="H52" s="1"/>
  <c r="F51"/>
  <c r="I51" s="1"/>
  <c r="F50"/>
  <c r="H50" s="1"/>
  <c r="F49"/>
  <c r="H49" s="1"/>
  <c r="F48"/>
  <c r="H48" s="1"/>
  <c r="F47"/>
  <c r="H47" s="1"/>
  <c r="F46"/>
  <c r="H46" s="1"/>
  <c r="I44"/>
  <c r="H44"/>
  <c r="F43"/>
  <c r="I43" s="1"/>
  <c r="F42"/>
  <c r="I42" s="1"/>
  <c r="F41"/>
  <c r="I41" s="1"/>
  <c r="H40"/>
  <c r="F39"/>
  <c r="I39" s="1"/>
  <c r="I38"/>
  <c r="H38"/>
  <c r="H36"/>
  <c r="H35"/>
  <c r="H34"/>
  <c r="F34"/>
  <c r="I34" s="1"/>
  <c r="F33"/>
  <c r="I33" s="1"/>
  <c r="F32"/>
  <c r="I32" s="1"/>
  <c r="F31"/>
  <c r="H31" s="1"/>
  <c r="F28"/>
  <c r="I28" s="1"/>
  <c r="F27"/>
  <c r="H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I82" i="21"/>
  <c r="H82"/>
  <c r="E78"/>
  <c r="F78" s="1"/>
  <c r="F77"/>
  <c r="I77" s="1"/>
  <c r="H75"/>
  <c r="H73"/>
  <c r="H71"/>
  <c r="H70"/>
  <c r="H69"/>
  <c r="H67"/>
  <c r="F66"/>
  <c r="H66" s="1"/>
  <c r="F65"/>
  <c r="H65" s="1"/>
  <c r="F64"/>
  <c r="H64" s="1"/>
  <c r="F63"/>
  <c r="H63" s="1"/>
  <c r="F62"/>
  <c r="H62" s="1"/>
  <c r="H61"/>
  <c r="I60"/>
  <c r="H60"/>
  <c r="F58"/>
  <c r="I58" s="1"/>
  <c r="I55"/>
  <c r="F55"/>
  <c r="H55" s="1"/>
  <c r="H54"/>
  <c r="F53"/>
  <c r="H53" s="1"/>
  <c r="F52"/>
  <c r="H52" s="1"/>
  <c r="F51"/>
  <c r="I51" s="1"/>
  <c r="F50"/>
  <c r="H50" s="1"/>
  <c r="F49"/>
  <c r="H49" s="1"/>
  <c r="F48"/>
  <c r="H48" s="1"/>
  <c r="F47"/>
  <c r="H47" s="1"/>
  <c r="F46"/>
  <c r="H46" s="1"/>
  <c r="I44"/>
  <c r="H44"/>
  <c r="F43"/>
  <c r="I43" s="1"/>
  <c r="F42"/>
  <c r="I42" s="1"/>
  <c r="F41"/>
  <c r="I41" s="1"/>
  <c r="H40"/>
  <c r="F39"/>
  <c r="I39" s="1"/>
  <c r="I38"/>
  <c r="H38"/>
  <c r="H36"/>
  <c r="H35"/>
  <c r="H34"/>
  <c r="F34"/>
  <c r="I34" s="1"/>
  <c r="F33"/>
  <c r="I33" s="1"/>
  <c r="F32"/>
  <c r="I32" s="1"/>
  <c r="F31"/>
  <c r="I31" s="1"/>
  <c r="F28"/>
  <c r="I28" s="1"/>
  <c r="F27"/>
  <c r="I27" s="1"/>
  <c r="F26"/>
  <c r="H26" s="1"/>
  <c r="F25"/>
  <c r="H25" s="1"/>
  <c r="F24"/>
  <c r="H24" s="1"/>
  <c r="F23"/>
  <c r="H23" s="1"/>
  <c r="F22"/>
  <c r="H22" s="1"/>
  <c r="F21"/>
  <c r="I21" s="1"/>
  <c r="F20"/>
  <c r="I20" s="1"/>
  <c r="F19"/>
  <c r="H19" s="1"/>
  <c r="E18"/>
  <c r="F18" s="1"/>
  <c r="I18" s="1"/>
  <c r="F17"/>
  <c r="I17" s="1"/>
  <c r="F16"/>
  <c r="I16" s="1"/>
  <c r="I54" i="20"/>
  <c r="E78"/>
  <c r="F78" s="1"/>
  <c r="F77"/>
  <c r="I77" s="1"/>
  <c r="H75"/>
  <c r="H73"/>
  <c r="H71"/>
  <c r="H70"/>
  <c r="H69"/>
  <c r="H67"/>
  <c r="F66"/>
  <c r="H66" s="1"/>
  <c r="F65"/>
  <c r="H65" s="1"/>
  <c r="F64"/>
  <c r="H64" s="1"/>
  <c r="F63"/>
  <c r="H63" s="1"/>
  <c r="F62"/>
  <c r="H62" s="1"/>
  <c r="H61"/>
  <c r="I60"/>
  <c r="H60"/>
  <c r="F58"/>
  <c r="H58" s="1"/>
  <c r="H74" s="1"/>
  <c r="I55"/>
  <c r="F55"/>
  <c r="H55" s="1"/>
  <c r="H54"/>
  <c r="F53"/>
  <c r="H53" s="1"/>
  <c r="F52"/>
  <c r="H52" s="1"/>
  <c r="F51"/>
  <c r="I51" s="1"/>
  <c r="F50"/>
  <c r="H50" s="1"/>
  <c r="F49"/>
  <c r="H49" s="1"/>
  <c r="F48"/>
  <c r="H48" s="1"/>
  <c r="F47"/>
  <c r="H47" s="1"/>
  <c r="F46"/>
  <c r="H46" s="1"/>
  <c r="H44"/>
  <c r="H43"/>
  <c r="F43"/>
  <c r="F42"/>
  <c r="I42" s="1"/>
  <c r="F41"/>
  <c r="I41" s="1"/>
  <c r="H40"/>
  <c r="F39"/>
  <c r="I39" s="1"/>
  <c r="I38"/>
  <c r="H38"/>
  <c r="H36"/>
  <c r="H35"/>
  <c r="H34"/>
  <c r="F34"/>
  <c r="I34" s="1"/>
  <c r="F33"/>
  <c r="I33" s="1"/>
  <c r="F32"/>
  <c r="I32" s="1"/>
  <c r="F31"/>
  <c r="I31" s="1"/>
  <c r="F28"/>
  <c r="I28" s="1"/>
  <c r="F27"/>
  <c r="I27" s="1"/>
  <c r="F26"/>
  <c r="H26" s="1"/>
  <c r="F25"/>
  <c r="H25" s="1"/>
  <c r="F24"/>
  <c r="H24" s="1"/>
  <c r="F23"/>
  <c r="H23" s="1"/>
  <c r="F22"/>
  <c r="H22" s="1"/>
  <c r="F21"/>
  <c r="I21" s="1"/>
  <c r="F20"/>
  <c r="I20" s="1"/>
  <c r="F19"/>
  <c r="H19" s="1"/>
  <c r="E18"/>
  <c r="F18" s="1"/>
  <c r="I18" s="1"/>
  <c r="F17"/>
  <c r="I17" s="1"/>
  <c r="F16"/>
  <c r="I16" s="1"/>
  <c r="E78" i="19"/>
  <c r="F78" s="1"/>
  <c r="F77"/>
  <c r="I77" s="1"/>
  <c r="H75"/>
  <c r="H73"/>
  <c r="H71"/>
  <c r="H70"/>
  <c r="H69"/>
  <c r="H67"/>
  <c r="F66"/>
  <c r="H66" s="1"/>
  <c r="F65"/>
  <c r="H65" s="1"/>
  <c r="F64"/>
  <c r="H64" s="1"/>
  <c r="F63"/>
  <c r="H63" s="1"/>
  <c r="F62"/>
  <c r="H62" s="1"/>
  <c r="H61"/>
  <c r="H60"/>
  <c r="F58"/>
  <c r="H58" s="1"/>
  <c r="I55"/>
  <c r="F55"/>
  <c r="H55" s="1"/>
  <c r="H54"/>
  <c r="F53"/>
  <c r="H53" s="1"/>
  <c r="F52"/>
  <c r="H52" s="1"/>
  <c r="F51"/>
  <c r="I51" s="1"/>
  <c r="F50"/>
  <c r="H50" s="1"/>
  <c r="F49"/>
  <c r="H49" s="1"/>
  <c r="F48"/>
  <c r="H48" s="1"/>
  <c r="F47"/>
  <c r="H47" s="1"/>
  <c r="F46"/>
  <c r="H46" s="1"/>
  <c r="H44"/>
  <c r="H43"/>
  <c r="F43"/>
  <c r="F42"/>
  <c r="I42" s="1"/>
  <c r="F41"/>
  <c r="I41" s="1"/>
  <c r="H40"/>
  <c r="F39"/>
  <c r="I39" s="1"/>
  <c r="I38"/>
  <c r="H38"/>
  <c r="H36"/>
  <c r="H35"/>
  <c r="H34"/>
  <c r="F34"/>
  <c r="I34" s="1"/>
  <c r="F33"/>
  <c r="I33" s="1"/>
  <c r="F32"/>
  <c r="I32" s="1"/>
  <c r="F31"/>
  <c r="H31" s="1"/>
  <c r="F28"/>
  <c r="I28" s="1"/>
  <c r="F27"/>
  <c r="H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I69" i="18"/>
  <c r="I60"/>
  <c r="E78"/>
  <c r="F78" s="1"/>
  <c r="F77"/>
  <c r="I77" s="1"/>
  <c r="H75"/>
  <c r="H73"/>
  <c r="H71"/>
  <c r="H70"/>
  <c r="H69"/>
  <c r="H67"/>
  <c r="F66"/>
  <c r="H66" s="1"/>
  <c r="F65"/>
  <c r="H65" s="1"/>
  <c r="F64"/>
  <c r="H64" s="1"/>
  <c r="F63"/>
  <c r="H63" s="1"/>
  <c r="F62"/>
  <c r="H62" s="1"/>
  <c r="H61"/>
  <c r="H60"/>
  <c r="F58"/>
  <c r="H58" s="1"/>
  <c r="H74" s="1"/>
  <c r="I55"/>
  <c r="F55"/>
  <c r="H55" s="1"/>
  <c r="H54"/>
  <c r="F53"/>
  <c r="H53" s="1"/>
  <c r="F52"/>
  <c r="H52" s="1"/>
  <c r="H51"/>
  <c r="F51"/>
  <c r="I51" s="1"/>
  <c r="H50"/>
  <c r="F50"/>
  <c r="H49"/>
  <c r="F49"/>
  <c r="H48"/>
  <c r="F48"/>
  <c r="H47"/>
  <c r="F47"/>
  <c r="H46"/>
  <c r="F46"/>
  <c r="H44"/>
  <c r="F43"/>
  <c r="H43" s="1"/>
  <c r="F42"/>
  <c r="I42" s="1"/>
  <c r="F41"/>
  <c r="H41" s="1"/>
  <c r="H40"/>
  <c r="F39"/>
  <c r="H39" s="1"/>
  <c r="I38"/>
  <c r="H38"/>
  <c r="H36"/>
  <c r="H35"/>
  <c r="H34"/>
  <c r="F34"/>
  <c r="I34" s="1"/>
  <c r="F33"/>
  <c r="H33" s="1"/>
  <c r="F32"/>
  <c r="I32" s="1"/>
  <c r="F31"/>
  <c r="H31" s="1"/>
  <c r="H28"/>
  <c r="F28"/>
  <c r="I28" s="1"/>
  <c r="F27"/>
  <c r="H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H74" i="23" l="1"/>
  <c r="H74" i="19"/>
  <c r="H74" i="25"/>
  <c r="H74" i="22"/>
  <c r="H20" i="26"/>
  <c r="H16"/>
  <c r="H27"/>
  <c r="H39"/>
  <c r="H58"/>
  <c r="H74" s="1"/>
  <c r="H43"/>
  <c r="H41"/>
  <c r="H33"/>
  <c r="H31"/>
  <c r="I78"/>
  <c r="I90" s="1"/>
  <c r="H78"/>
  <c r="H79" s="1"/>
  <c r="H17"/>
  <c r="H18"/>
  <c r="H21"/>
  <c r="H28"/>
  <c r="H32"/>
  <c r="H42"/>
  <c r="H51"/>
  <c r="H77"/>
  <c r="H20" i="25"/>
  <c r="I50"/>
  <c r="I48"/>
  <c r="I46"/>
  <c r="H16"/>
  <c r="H27"/>
  <c r="I49"/>
  <c r="I47"/>
  <c r="H39"/>
  <c r="H43"/>
  <c r="H41"/>
  <c r="H33"/>
  <c r="H31"/>
  <c r="I78"/>
  <c r="H78"/>
  <c r="H79" s="1"/>
  <c r="H17"/>
  <c r="H18"/>
  <c r="H21"/>
  <c r="H28"/>
  <c r="H32"/>
  <c r="H42"/>
  <c r="H51"/>
  <c r="I58"/>
  <c r="H77"/>
  <c r="H17" i="24"/>
  <c r="H77"/>
  <c r="H28"/>
  <c r="H51"/>
  <c r="H42"/>
  <c r="H32"/>
  <c r="H21"/>
  <c r="I18"/>
  <c r="H18"/>
  <c r="I78"/>
  <c r="H78"/>
  <c r="H79" s="1"/>
  <c r="H74"/>
  <c r="I16"/>
  <c r="I20"/>
  <c r="I27"/>
  <c r="I31"/>
  <c r="I33"/>
  <c r="I39"/>
  <c r="I41"/>
  <c r="I43"/>
  <c r="I58"/>
  <c r="H21" i="23"/>
  <c r="H28"/>
  <c r="H17"/>
  <c r="I18"/>
  <c r="H18"/>
  <c r="I78"/>
  <c r="H78"/>
  <c r="H79" s="1"/>
  <c r="I16"/>
  <c r="I20"/>
  <c r="I27"/>
  <c r="I31"/>
  <c r="H32"/>
  <c r="I33"/>
  <c r="I39"/>
  <c r="I41"/>
  <c r="H42"/>
  <c r="I43"/>
  <c r="H51"/>
  <c r="I58"/>
  <c r="H77"/>
  <c r="H17" i="22"/>
  <c r="H39"/>
  <c r="H41"/>
  <c r="H43"/>
  <c r="H33"/>
  <c r="H21"/>
  <c r="I18"/>
  <c r="H18"/>
  <c r="I78"/>
  <c r="H78"/>
  <c r="H79" s="1"/>
  <c r="I16"/>
  <c r="I20"/>
  <c r="I27"/>
  <c r="H28"/>
  <c r="I31"/>
  <c r="H32"/>
  <c r="H42"/>
  <c r="H51"/>
  <c r="I58"/>
  <c r="H77"/>
  <c r="H16" i="21"/>
  <c r="H39"/>
  <c r="I79"/>
  <c r="I26"/>
  <c r="I24"/>
  <c r="I50"/>
  <c r="I48"/>
  <c r="I46"/>
  <c r="I66"/>
  <c r="I64"/>
  <c r="I22"/>
  <c r="I25"/>
  <c r="I23"/>
  <c r="I49"/>
  <c r="I47"/>
  <c r="I62"/>
  <c r="I65"/>
  <c r="I63"/>
  <c r="H58"/>
  <c r="H74" s="1"/>
  <c r="H41"/>
  <c r="H43"/>
  <c r="H20"/>
  <c r="H27"/>
  <c r="H31"/>
  <c r="H33"/>
  <c r="I78"/>
  <c r="H78"/>
  <c r="H79" s="1"/>
  <c r="H17"/>
  <c r="H18"/>
  <c r="H21"/>
  <c r="H28"/>
  <c r="H32"/>
  <c r="H42"/>
  <c r="H51"/>
  <c r="H77"/>
  <c r="H16" i="20"/>
  <c r="H27"/>
  <c r="H33"/>
  <c r="H39"/>
  <c r="I52"/>
  <c r="I53"/>
  <c r="H20"/>
  <c r="H31"/>
  <c r="H41"/>
  <c r="I78"/>
  <c r="H78"/>
  <c r="H79" s="1"/>
  <c r="H17"/>
  <c r="H18"/>
  <c r="H21"/>
  <c r="H28"/>
  <c r="H32"/>
  <c r="H42"/>
  <c r="H51"/>
  <c r="H77"/>
  <c r="H39" i="19"/>
  <c r="H33"/>
  <c r="H17"/>
  <c r="H41"/>
  <c r="I18"/>
  <c r="H18"/>
  <c r="I78"/>
  <c r="H78"/>
  <c r="H79" s="1"/>
  <c r="I16"/>
  <c r="I20"/>
  <c r="H21"/>
  <c r="I27"/>
  <c r="H28"/>
  <c r="I31"/>
  <c r="H32"/>
  <c r="H42"/>
  <c r="H51"/>
  <c r="I58"/>
  <c r="H77"/>
  <c r="H17" i="18"/>
  <c r="H32"/>
  <c r="H42"/>
  <c r="H77"/>
  <c r="H21"/>
  <c r="I18"/>
  <c r="H18"/>
  <c r="I78"/>
  <c r="H78"/>
  <c r="H79" s="1"/>
  <c r="I20"/>
  <c r="I27"/>
  <c r="I31"/>
  <c r="I33"/>
  <c r="I39"/>
  <c r="I41"/>
  <c r="I16"/>
  <c r="I87" i="23" l="1"/>
  <c r="I85" i="22"/>
  <c r="I88" i="20"/>
  <c r="I87" i="19"/>
  <c r="I79" i="18"/>
  <c r="I85" s="1"/>
  <c r="I92" i="25"/>
  <c r="I92" i="24"/>
  <c r="I86" i="21"/>
  <c r="E78" i="17" l="1"/>
  <c r="F78" s="1"/>
  <c r="F77"/>
  <c r="H77" s="1"/>
  <c r="H75"/>
  <c r="H73"/>
  <c r="H71"/>
  <c r="H70"/>
  <c r="H69"/>
  <c r="H67"/>
  <c r="F66"/>
  <c r="H66" s="1"/>
  <c r="F65"/>
  <c r="H65" s="1"/>
  <c r="F64"/>
  <c r="H64" s="1"/>
  <c r="F63"/>
  <c r="H63" s="1"/>
  <c r="F62"/>
  <c r="H62" s="1"/>
  <c r="H61"/>
  <c r="I60"/>
  <c r="H60"/>
  <c r="F58"/>
  <c r="I55"/>
  <c r="F55"/>
  <c r="H55" s="1"/>
  <c r="H54"/>
  <c r="F53"/>
  <c r="H53" s="1"/>
  <c r="F52"/>
  <c r="H52" s="1"/>
  <c r="F51"/>
  <c r="I51" s="1"/>
  <c r="F50"/>
  <c r="H50" s="1"/>
  <c r="F49"/>
  <c r="H49" s="1"/>
  <c r="F48"/>
  <c r="H48" s="1"/>
  <c r="F47"/>
  <c r="H47" s="1"/>
  <c r="F46"/>
  <c r="H46" s="1"/>
  <c r="H44"/>
  <c r="F43"/>
  <c r="I43" s="1"/>
  <c r="F42"/>
  <c r="H42" s="1"/>
  <c r="F41"/>
  <c r="I41" s="1"/>
  <c r="H40"/>
  <c r="F39"/>
  <c r="I39" s="1"/>
  <c r="I38"/>
  <c r="H38"/>
  <c r="F28"/>
  <c r="I28" s="1"/>
  <c r="H36"/>
  <c r="H35"/>
  <c r="F27"/>
  <c r="H27" s="1"/>
  <c r="H34"/>
  <c r="F34"/>
  <c r="I34" s="1"/>
  <c r="F33"/>
  <c r="H33" s="1"/>
  <c r="F32"/>
  <c r="H32" s="1"/>
  <c r="F31"/>
  <c r="H31" s="1"/>
  <c r="F26"/>
  <c r="H26" s="1"/>
  <c r="F25"/>
  <c r="H25" s="1"/>
  <c r="F24"/>
  <c r="H24" s="1"/>
  <c r="F23"/>
  <c r="H23" s="1"/>
  <c r="F22"/>
  <c r="H22" s="1"/>
  <c r="F21"/>
  <c r="H21" s="1"/>
  <c r="F20"/>
  <c r="I20" s="1"/>
  <c r="F19"/>
  <c r="H19" s="1"/>
  <c r="E18"/>
  <c r="F18" s="1"/>
  <c r="H18" s="1"/>
  <c r="F17"/>
  <c r="H17" s="1"/>
  <c r="F16"/>
  <c r="I16" s="1"/>
  <c r="H51" l="1"/>
  <c r="I33"/>
  <c r="I31"/>
  <c r="I32"/>
  <c r="H28"/>
  <c r="H39"/>
  <c r="H43"/>
  <c r="H16"/>
  <c r="H20"/>
  <c r="H41"/>
  <c r="I78"/>
  <c r="H78"/>
  <c r="H79" s="1"/>
  <c r="I17"/>
  <c r="I18"/>
  <c r="I21"/>
  <c r="I27"/>
  <c r="I42"/>
  <c r="H58"/>
  <c r="H74" s="1"/>
  <c r="I77"/>
  <c r="I79" l="1"/>
  <c r="I87" s="1"/>
</calcChain>
</file>

<file path=xl/sharedStrings.xml><?xml version="1.0" encoding="utf-8"?>
<sst xmlns="http://schemas.openxmlformats.org/spreadsheetml/2006/main" count="2536" uniqueCount="255">
  <si>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</si>
  <si>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</si>
  <si>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</si>
  <si>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</si>
  <si>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</si>
  <si>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</si>
  <si>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</si>
  <si>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</si>
  <si>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</si>
  <si>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</si>
  <si>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</si>
  <si>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</si>
  <si>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</si>
  <si>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</si>
  <si>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</si>
  <si>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</si>
  <si>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</si>
  <si>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</si>
  <si>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</si>
  <si>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</si>
  <si>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</si>
  <si>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</si>
  <si>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</si>
  <si>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</si>
  <si>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</si>
  <si>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</si>
  <si>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</si>
  <si>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</si>
  <si>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</si>
  <si>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шт.</t>
  </si>
  <si>
    <t>м/час</t>
  </si>
  <si>
    <t>м3</t>
  </si>
  <si>
    <t>Осмотр деревянных конструкций стропил</t>
  </si>
  <si>
    <t>100 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</si>
  <si>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</si>
  <si>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</si>
  <si>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</si>
  <si>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</si>
  <si>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</si>
  <si>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</si>
  <si>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</si>
  <si>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</si>
  <si>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</si>
  <si>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</si>
  <si>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</si>
  <si>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</si>
  <si>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</si>
  <si>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</si>
  <si>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</si>
  <si>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</si>
  <si>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Итого годовые затраты</t>
  </si>
  <si>
    <t>100 м2</t>
  </si>
  <si>
    <t>1 раз в год</t>
  </si>
  <si>
    <t>1 м2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</si>
  <si>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</si>
  <si>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</si>
  <si>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</si>
  <si>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</si>
  <si>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</si>
  <si>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</si>
  <si>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</si>
  <si>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</si>
  <si>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>Подборка мусора на контейнерной площадке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</si>
  <si>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</si>
  <si>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</si>
  <si>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</si>
  <si>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</si>
  <si>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</si>
  <si>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</si>
  <si>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3 раза в год</t>
  </si>
  <si>
    <t>Электроснабжение</t>
  </si>
  <si>
    <t>Смена ламп накаливания</t>
  </si>
  <si>
    <t>Смена плавкой вставки в электрощите</t>
  </si>
  <si>
    <t>10 шт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</si>
  <si>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</si>
  <si>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</si>
  <si>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</si>
  <si>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</si>
  <si>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Итого:</t>
  </si>
  <si>
    <t>1 м</t>
  </si>
  <si>
    <t>Подключение и отключение сварочного аппарата</t>
  </si>
  <si>
    <t>Внеплановый осмотр электросетей, арматуры и электрооборудования на лестничных клетках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</si>
  <si>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</si>
  <si>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место</t>
  </si>
  <si>
    <t>II. Уборка земельного участка</t>
  </si>
  <si>
    <t>ООО «Жилсервис»</t>
  </si>
  <si>
    <t>Влажное подметание лестничных клеток 1 этажа</t>
  </si>
  <si>
    <t>100м2</t>
  </si>
  <si>
    <t>30 раз за сезон</t>
  </si>
  <si>
    <t>155 раз за сезон</t>
  </si>
  <si>
    <t>1000м2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</si>
  <si>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</si>
  <si>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</si>
  <si>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Техническое обслуживание наружных газопроводов</t>
  </si>
  <si>
    <t>Мытье окон</t>
  </si>
  <si>
    <t>10м2</t>
  </si>
  <si>
    <t xml:space="preserve">1 раз в год   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</si>
  <si>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</si>
  <si>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</si>
  <si>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</si>
  <si>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</si>
  <si>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подоконников</t>
  </si>
  <si>
    <t xml:space="preserve">1 раз в год  </t>
  </si>
  <si>
    <t>Влажная протирка шкафов для щитов и слаботочн. устройств</t>
  </si>
  <si>
    <t>Влажная протирка отопительных приборов</t>
  </si>
  <si>
    <t>2 раза в неделю 52 раза в сезон</t>
  </si>
  <si>
    <t>3 раза в неделю 78 раз за сезон</t>
  </si>
  <si>
    <t>Уборка контейнерной площадки (16 кв.м.)</t>
  </si>
  <si>
    <t>Подметание территории с усовершенствованным покрытием асф.: крыльца, контейнерн. пл., проезд, тротуар</t>
  </si>
  <si>
    <t>Уборка газонов</t>
  </si>
  <si>
    <t>Осмотр шиферной кровли</t>
  </si>
  <si>
    <t>шт</t>
  </si>
  <si>
    <t>Очистка края кровли от слежавшегося снега со сбрасыванием сосулек (10% от S кровли и козырьки)</t>
  </si>
  <si>
    <t xml:space="preserve">6 раз за сезон </t>
  </si>
  <si>
    <t>100м3</t>
  </si>
  <si>
    <t>1000м3</t>
  </si>
  <si>
    <t>Вода для промывки СО</t>
  </si>
  <si>
    <t>Сброс воды после промывки СО в канализацию</t>
  </si>
  <si>
    <t>ТО внутридомового газ.оборудования</t>
  </si>
  <si>
    <t>Аварийно-диспетчерское обслуживание</t>
  </si>
  <si>
    <t xml:space="preserve"> </t>
  </si>
  <si>
    <t>Прочистка каналов</t>
  </si>
  <si>
    <t>Снятие показаний эл.счетчика коммунального назначения</t>
  </si>
  <si>
    <t>Влажное подметание лестничных клеток 2-4 этажа</t>
  </si>
  <si>
    <t>Мытье лестничных  площадок и маршей 1-4 этаж.</t>
  </si>
  <si>
    <t xml:space="preserve">1 раз в месяц </t>
  </si>
  <si>
    <t>1 раз в 2 месяца</t>
  </si>
  <si>
    <t>Сдвигание снега в дни снегопада (крыльца, тротуары)</t>
  </si>
  <si>
    <t>35 раз за сезон</t>
  </si>
  <si>
    <t xml:space="preserve">Пескопосыпка территории: крыльца и тротуары </t>
  </si>
  <si>
    <t>Замена ламп ДРЛ</t>
  </si>
  <si>
    <t>1 соединение</t>
  </si>
  <si>
    <t xml:space="preserve">приемки оказанных услуг и выполненных работ по содержанию и текущему ремонту
общего имущества в многоквартирном доме №51 по ул.Октябрьская пгт.Ярега
</t>
  </si>
  <si>
    <t>III. Проведение технических осмотров</t>
  </si>
  <si>
    <t>IV. Содержание общего имущества МКД</t>
  </si>
  <si>
    <t>V. Прочие услуги</t>
  </si>
  <si>
    <t>генеральный директор Куканов Ю.Л.</t>
  </si>
  <si>
    <t>АКТ №1</t>
  </si>
  <si>
    <t>Вывоз снега с придомовой территории</t>
  </si>
  <si>
    <t>1м3</t>
  </si>
  <si>
    <t>Смена арматуры - вентилей и клапанов обратных муфтовых диаметром до 20 мм</t>
  </si>
  <si>
    <t>Работа автовышки</t>
  </si>
  <si>
    <t>маш/час</t>
  </si>
  <si>
    <t>10 м2</t>
  </si>
  <si>
    <t>5 раз в год</t>
  </si>
  <si>
    <t>ежемесячно</t>
  </si>
  <si>
    <t>АКТ №2</t>
  </si>
  <si>
    <t>АКТ №3</t>
  </si>
  <si>
    <t>III. Содержание общего имущества МКД</t>
  </si>
  <si>
    <t>IV. Прочие услуги</t>
  </si>
  <si>
    <t>АКТ №4</t>
  </si>
  <si>
    <t>АКТ №5</t>
  </si>
  <si>
    <t>АКТ №6</t>
  </si>
  <si>
    <t>III. Прочие услуги</t>
  </si>
  <si>
    <t>АКТ №7</t>
  </si>
  <si>
    <t>АКТ №8</t>
  </si>
  <si>
    <t>АКТ №9</t>
  </si>
  <si>
    <t>АКТ №10</t>
  </si>
  <si>
    <r>
      <t xml:space="preserve">    Собственники помещений в многоквартирном доме, расположенном по адресу: пгт.Ярега, ул.Октябрьская, д.51,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 14.02.2014г.  стороны, и ООО «Жилсервис», именуемое в дальнейшем "Исполнитель", в лице генерального директора Куканова  Юрия 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</si>
  <si>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r>
      <t>1.   Исполнителем   предъявлены   к   приемке   следующие   оказанные   на   основании   Договора   на   содержание   и   ремонт   многоквартирного   дома   №</t>
    </r>
    <r>
      <rPr>
        <u/>
        <sz val="12"/>
        <rFont val="Times New Roman"/>
        <family val="1"/>
        <charset val="204"/>
      </rPr>
      <t xml:space="preserve">  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ул.Октябрьская, д.51</t>
    </r>
  </si>
  <si>
    <t>156 раз в год</t>
  </si>
  <si>
    <t>104 раза в год</t>
  </si>
  <si>
    <t xml:space="preserve">24 раза в год </t>
  </si>
  <si>
    <t>Итого затраты за месяц</t>
  </si>
  <si>
    <t>52 раза в сезон</t>
  </si>
  <si>
    <t>78 раз за сезон</t>
  </si>
  <si>
    <t>Ремонт отдельных мест покрытия из асбоцементных листов обыкновенного профиля</t>
  </si>
  <si>
    <t>АКТ №11</t>
  </si>
  <si>
    <t>АКТ №12</t>
  </si>
  <si>
    <t>Ремонт штукатурки внутренних стен по камню и бетону цементно-известковым раствором площадью до 1 м2 толщиной слоя до 20 мм</t>
  </si>
  <si>
    <t>за период с 01.01.2018 г. по 31.01.2018 г.</t>
  </si>
  <si>
    <t>Дератизация</t>
  </si>
  <si>
    <t>м2</t>
  </si>
  <si>
    <t>Водосчетчик ВСКМ Ду25 в комплекте с присоед.узлом</t>
  </si>
  <si>
    <t>за период с 01.02.2018 г. по 28.02.2018 г.</t>
  </si>
  <si>
    <t>за период с 01.03.2018 г. по 31.03.2018 г.</t>
  </si>
  <si>
    <t>Смена пакетных выключателей</t>
  </si>
  <si>
    <t>за период с 01.04.2018 г. по 30.04.2018 г.</t>
  </si>
  <si>
    <t>102 м2</t>
  </si>
  <si>
    <t>*20</t>
  </si>
  <si>
    <t>*20-справочно</t>
  </si>
  <si>
    <t>*18</t>
  </si>
  <si>
    <t>*18-справочно</t>
  </si>
  <si>
    <t>за период с 01.05.2018 г. по 31.05.2018 г.</t>
  </si>
  <si>
    <t>*32-справочно</t>
  </si>
  <si>
    <t>*33</t>
  </si>
  <si>
    <t>за период с 01.06.2018 г. по 30.06.2018 г.</t>
  </si>
  <si>
    <t>*14</t>
  </si>
  <si>
    <t>*14-справочно</t>
  </si>
  <si>
    <t>2. Всего за период с 01.06.2018 по 30.06.2018 выполнено работ (оказано услуг) на общую сумму: 30868,32 руб.</t>
  </si>
  <si>
    <t>(тридцать тысяч восемьсот шестьдесят восемь рублей 32 копейки)</t>
  </si>
  <si>
    <t>Ремонт и регулировка доводчика ( без стоимости доводчика)</t>
  </si>
  <si>
    <t>2. Всего за период с 01.05.2018 по 31.05.2018 выполнено работ (оказано услуг) на общую сумму: 94093,58 руб.</t>
  </si>
  <si>
    <t>(девяносто четыре тысячи девяносто три рубля 58 копеек)</t>
  </si>
  <si>
    <t>ООО «Движение»</t>
  </si>
  <si>
    <t>за период с 01.07.2018 г. по 31.07.2018 г.</t>
  </si>
  <si>
    <r>
      <t xml:space="preserve">    Собственники помещений в многоквартирном доме, расположенном по адресу: пгт.Ярега, ул.Октябрьская, д.51,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 14.02.2014г.  стороны, и ООО «Движение», именуемое в дальнейшем "Исполнитель", в лице генерального директора Куканова  Юрия 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</si>
  <si>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t>*16</t>
  </si>
  <si>
    <t>*16-справочно</t>
  </si>
  <si>
    <t>2. Всего за период с 01.07.2018 по 31.07.2018 выполнено работ (оказано услуг) на общую сумму: 44689,99 руб.</t>
  </si>
  <si>
    <t>(сорок четыре тысячи шестьсот восемьдесят девять рублей 99 копеек)</t>
  </si>
  <si>
    <t>2. Всего за период с 01.01.2018 по 31.01.2018 выполнено работ (оказано услуг) на общую сумму: 48395,18 руб.</t>
  </si>
  <si>
    <t>(сорок восемь тысяч триста девяносто пять рублей 18 копеек)</t>
  </si>
  <si>
    <t>2. Всего за период с 01.02.2018 по 28.02.2018 выполнено работ (оказано услуг) на общую сумму: 36319,93 руб.</t>
  </si>
  <si>
    <t>(тридцать шесть тысяч триста девятьнадцать рублей 93 копейки)</t>
  </si>
  <si>
    <t>2. Всего за период с 01.03.2018 по 31.03.2018 выполнено работ (оказано услуг) на общую сумму: 36714,23 руб.</t>
  </si>
  <si>
    <t>(тридцать шесть тысяч семьсот четырнадцать рублей 23 копейки)</t>
  </si>
  <si>
    <t>2. Всего за период с 01.04.2018 по 30.04.2018 выполнено работ (оказано услуг) на общую сумму: 38259,91 руб.</t>
  </si>
  <si>
    <t>(тридцать восемь тысяч двести пятьдесят девять рублей 91 копейка)</t>
  </si>
  <si>
    <t>за период с 01.08.2018 г. по 31.08.2018 г.</t>
  </si>
  <si>
    <t xml:space="preserve">Смена внутренних трубопроводов диаметром до 25 мм </t>
  </si>
  <si>
    <t>*13</t>
  </si>
  <si>
    <t>*13-справочно</t>
  </si>
  <si>
    <t>Внеплпновый осмотр водопроводов, канализации, отопления в квартирах</t>
  </si>
  <si>
    <t>100 кв.</t>
  </si>
  <si>
    <t xml:space="preserve">Уплотнение сгонов с применением льняной пряди или асбестового шнура (без разборки сгонов) </t>
  </si>
  <si>
    <t>2. Всего за период с 01.08.2018 по 31.08.2018 выполнено работ (оказано услуг) на общую сумму: 31302,40 руб.</t>
  </si>
  <si>
    <t>(тридцать одна тысяча триста два рубля 40 копеек)</t>
  </si>
  <si>
    <t>за период с 01.09.2018 г. по 30.09.2018 г.</t>
  </si>
  <si>
    <t>Очистка канализационной сети внутренней</t>
  </si>
  <si>
    <t>1м</t>
  </si>
  <si>
    <t>Смена розеток</t>
  </si>
  <si>
    <t>Ремонт и регулировка доводчика (без стоимости доводчика)</t>
  </si>
  <si>
    <t>1шт.</t>
  </si>
  <si>
    <t>Смена радиаторов отопительных стальных  (кв 32)</t>
  </si>
  <si>
    <t>1 шт</t>
  </si>
  <si>
    <t xml:space="preserve">Смена сгонов у трубопроводов диаметром до 20 мм </t>
  </si>
  <si>
    <t>1 сгон</t>
  </si>
  <si>
    <t>*21</t>
  </si>
  <si>
    <t>2. Всего за период с 01.09.2018 по 30.09.2018 выполнено работ (оказано услуг) на общую сумму: 47546,76 руб.</t>
  </si>
  <si>
    <t>(сорок семь тысяч пятьсот сорок шесть рублей 76 копеек)</t>
  </si>
  <si>
    <t>*21-справочно</t>
  </si>
  <si>
    <t>за период с 01.10.2018 г. по 31.10.2018 г.</t>
  </si>
  <si>
    <t>Утепление трубопроводов минеральной ватой УРСА</t>
  </si>
  <si>
    <t>Внеплановый осмотр электросетей, армазуры и электрооборудования на лестничных клетках</t>
  </si>
  <si>
    <t>Установка хомута д=до 50 мм</t>
  </si>
  <si>
    <t>*17</t>
  </si>
  <si>
    <t>2. Всего за период с 01.10.2018 по 31.10.2018 выполнено работ (оказано услуг) на общую сумму: 34727,99 руб.</t>
  </si>
  <si>
    <t>(тридцать четыре тысячи семьсот двадцать семь рублей 99 копеек)</t>
  </si>
  <si>
    <t>*17-справочно</t>
  </si>
  <si>
    <t>за период с 01.11.2018 г. по 30.11.2018 г.</t>
  </si>
  <si>
    <t>Внеплановая проверка вентканалов</t>
  </si>
  <si>
    <t>Закрыли венткороба на чердаке</t>
  </si>
  <si>
    <t>Очистка вручную от снега и наледи люков каналиационных и водопроводных колодцев</t>
  </si>
  <si>
    <t>Внеплановый осмотр канализации в чердачных и подвальных помещениях</t>
  </si>
  <si>
    <t>Разборка вент. шахты</t>
  </si>
  <si>
    <t>Ремонт перил (2 под.)</t>
  </si>
  <si>
    <t>Ремонт поверхности кирпичных стен при глубине заделки в 1 кирпич</t>
  </si>
  <si>
    <t>Погрузка строительного мусора</t>
  </si>
  <si>
    <t>мЗ</t>
  </si>
  <si>
    <t>2. Всего за период с 01.11.2018 по 30.11.2018 выполнено работ (оказано услуг) на общую сумму: 33979,70 руб.</t>
  </si>
  <si>
    <t>(тридцать три тысячи девятьсот семьдесят девять рублей 70 копеек)</t>
  </si>
  <si>
    <t>за период с 01.12.2018 г. по 31.12.2018 г.</t>
  </si>
  <si>
    <t>2. Всего за период с 01.12.2018 по 31.12.2018 выполнено работ (оказано услуг) на общую сумму: 27370,68 руб.</t>
  </si>
  <si>
    <t>(двадцать семь тысяч триста семьдесят рублей 68 копеек)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</si>
</sst>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.5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6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133">
    <xf numFmtId="0" fontId="0" fillId="0" borderId="0" xfId="0"/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0" fontId="13" fillId="0" borderId="3" xfId="0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14" fillId="0" borderId="3" xfId="0" applyFont="1" applyBorder="1"/>
    <xf numFmtId="4" fontId="11" fillId="2" borderId="3" xfId="0" applyNumberFormat="1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vertical="center" wrapText="1"/>
    </xf>
    <xf numFmtId="4" fontId="11" fillId="0" borderId="0" xfId="0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center" vertical="center"/>
    </xf>
    <xf numFmtId="4" fontId="11" fillId="0" borderId="8" xfId="0" applyNumberFormat="1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/>
    </xf>
    <xf numFmtId="4" fontId="11" fillId="0" borderId="12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/>
    </xf>
    <xf numFmtId="4" fontId="17" fillId="0" borderId="8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left" vertical="center" wrapText="1"/>
    </xf>
    <xf numFmtId="4" fontId="11" fillId="0" borderId="9" xfId="0" applyNumberFormat="1" applyFont="1" applyFill="1" applyBorder="1" applyAlignment="1">
      <alignment horizontal="center" vertical="center" wrapText="1"/>
    </xf>
    <xf numFmtId="4" fontId="11" fillId="0" borderId="9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4" fontId="11" fillId="3" borderId="3" xfId="0" applyNumberFormat="1" applyFont="1" applyFill="1" applyBorder="1" applyAlignment="1">
      <alignment horizontal="center" vertical="center"/>
    </xf>
    <xf numFmtId="4" fontId="11" fillId="2" borderId="5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9" fillId="0" borderId="3" xfId="0" applyFont="1" applyFill="1" applyBorder="1" applyAlignment="1">
      <alignment horizontal="left" vertical="center" wrapText="1"/>
    </xf>
    <xf numFmtId="4" fontId="11" fillId="0" borderId="11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left" vertical="center" wrapText="1"/>
    </xf>
    <xf numFmtId="4" fontId="11" fillId="0" borderId="6" xfId="0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wrapText="1"/>
    </xf>
    <xf numFmtId="4" fontId="20" fillId="2" borderId="3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21" fillId="4" borderId="9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6" fillId="0" borderId="0" xfId="0" applyFont="1" applyAlignment="1">
      <alignment horizontal="left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left"/>
    </xf>
    <xf numFmtId="0" fontId="14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2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11" fillId="0" borderId="6" xfId="0" applyFont="1" applyBorder="1" applyAlignment="1"/>
    <xf numFmtId="0" fontId="0" fillId="0" borderId="6" xfId="0" applyBorder="1" applyAlignment="1"/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9"/>
  <sheetViews>
    <sheetView topLeftCell="A55" workbookViewId="0">
      <selection activeCell="B90" sqref="B90:G9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85</v>
      </c>
      <c r="I1" s="18"/>
    </row>
    <row r="2" spans="1:9" ht="15.75">
      <c r="A2" s="20" t="s">
        <v>60</v>
      </c>
    </row>
    <row r="3" spans="1:9" ht="15.75">
      <c r="A3" s="128" t="s">
        <v>137</v>
      </c>
      <c r="B3" s="128"/>
      <c r="C3" s="128"/>
      <c r="D3" s="128"/>
      <c r="E3" s="128"/>
      <c r="F3" s="128"/>
      <c r="G3" s="128"/>
      <c r="H3" s="128"/>
      <c r="I3" s="128"/>
    </row>
    <row r="4" spans="1:9" ht="31.5" customHeight="1">
      <c r="A4" s="129" t="s">
        <v>132</v>
      </c>
      <c r="B4" s="129"/>
      <c r="C4" s="129"/>
      <c r="D4" s="129"/>
      <c r="E4" s="129"/>
      <c r="F4" s="129"/>
      <c r="G4" s="129"/>
      <c r="H4" s="129"/>
      <c r="I4" s="129"/>
    </row>
    <row r="5" spans="1:9" ht="15.75">
      <c r="A5" s="128" t="s">
        <v>170</v>
      </c>
      <c r="B5" s="130"/>
      <c r="C5" s="130"/>
      <c r="D5" s="130"/>
      <c r="E5" s="130"/>
      <c r="F5" s="130"/>
      <c r="G5" s="130"/>
      <c r="H5" s="130"/>
      <c r="I5" s="130"/>
    </row>
    <row r="6" spans="1:9" ht="15.75">
      <c r="A6" s="1"/>
      <c r="B6" s="43"/>
      <c r="C6" s="43"/>
      <c r="D6" s="43"/>
      <c r="E6" s="43"/>
      <c r="F6" s="43"/>
      <c r="G6" s="43"/>
      <c r="H6" s="43"/>
      <c r="I6" s="22">
        <v>43131</v>
      </c>
    </row>
    <row r="7" spans="1:9" ht="15.75">
      <c r="B7" s="44"/>
      <c r="C7" s="44"/>
      <c r="D7" s="44"/>
      <c r="E7" s="2"/>
      <c r="F7" s="2"/>
      <c r="G7" s="2"/>
      <c r="H7" s="2"/>
    </row>
    <row r="8" spans="1:9" ht="78.75" customHeight="1">
      <c r="A8" s="131" t="s">
        <v>158</v>
      </c>
      <c r="B8" s="131"/>
      <c r="C8" s="131"/>
      <c r="D8" s="131"/>
      <c r="E8" s="131"/>
      <c r="F8" s="131"/>
      <c r="G8" s="131"/>
      <c r="H8" s="131"/>
      <c r="I8" s="131"/>
    </row>
    <row r="9" spans="1:9" ht="15.75">
      <c r="A9" s="3"/>
    </row>
    <row r="10" spans="1:9" ht="47.25" customHeight="1">
      <c r="A10" s="132" t="s">
        <v>159</v>
      </c>
      <c r="B10" s="132"/>
      <c r="C10" s="132"/>
      <c r="D10" s="132"/>
      <c r="E10" s="132"/>
      <c r="F10" s="132"/>
      <c r="G10" s="132"/>
      <c r="H10" s="132"/>
      <c r="I10" s="132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>
      <c r="A14" s="127" t="s">
        <v>57</v>
      </c>
      <c r="B14" s="127"/>
      <c r="C14" s="127"/>
      <c r="D14" s="127"/>
      <c r="E14" s="127"/>
      <c r="F14" s="127"/>
      <c r="G14" s="127"/>
      <c r="H14" s="127"/>
      <c r="I14" s="127"/>
    </row>
    <row r="15" spans="1:9">
      <c r="A15" s="120" t="s">
        <v>4</v>
      </c>
      <c r="B15" s="120"/>
      <c r="C15" s="120"/>
      <c r="D15" s="120"/>
      <c r="E15" s="120"/>
      <c r="F15" s="120"/>
      <c r="G15" s="120"/>
      <c r="H15" s="120"/>
      <c r="I15" s="120"/>
    </row>
    <row r="16" spans="1:9" ht="15.75" customHeight="1">
      <c r="A16" s="21">
        <v>1</v>
      </c>
      <c r="B16" s="60" t="s">
        <v>86</v>
      </c>
      <c r="C16" s="61" t="s">
        <v>87</v>
      </c>
      <c r="D16" s="60" t="s">
        <v>160</v>
      </c>
      <c r="E16" s="62">
        <v>55</v>
      </c>
      <c r="F16" s="63">
        <f>SUM(E16*156/100)</f>
        <v>85.8</v>
      </c>
      <c r="G16" s="63">
        <v>187.48</v>
      </c>
      <c r="H16" s="64">
        <f t="shared" ref="H16:H26" si="0">SUM(F16*G16/1000)</f>
        <v>16.085783999999997</v>
      </c>
      <c r="I16" s="10">
        <f>F16/12*G16</f>
        <v>1340.4819999999997</v>
      </c>
    </row>
    <row r="17" spans="1:9" ht="15.75" customHeight="1">
      <c r="A17" s="21">
        <v>2</v>
      </c>
      <c r="B17" s="60" t="s">
        <v>123</v>
      </c>
      <c r="C17" s="61" t="s">
        <v>87</v>
      </c>
      <c r="D17" s="60" t="s">
        <v>161</v>
      </c>
      <c r="E17" s="62">
        <v>165</v>
      </c>
      <c r="F17" s="63">
        <f>SUM(E17*104/100)</f>
        <v>171.6</v>
      </c>
      <c r="G17" s="63">
        <v>187.48</v>
      </c>
      <c r="H17" s="64">
        <f t="shared" si="0"/>
        <v>32.171567999999994</v>
      </c>
      <c r="I17" s="10">
        <f>F17/12*G17</f>
        <v>2680.9639999999995</v>
      </c>
    </row>
    <row r="18" spans="1:9" ht="15.75" customHeight="1">
      <c r="A18" s="21">
        <v>3</v>
      </c>
      <c r="B18" s="60" t="s">
        <v>124</v>
      </c>
      <c r="C18" s="61" t="s">
        <v>87</v>
      </c>
      <c r="D18" s="60" t="s">
        <v>162</v>
      </c>
      <c r="E18" s="62">
        <f>SUM(E16+E17)</f>
        <v>220</v>
      </c>
      <c r="F18" s="63">
        <f>SUM(E18*24/100)</f>
        <v>52.8</v>
      </c>
      <c r="G18" s="63">
        <v>539.30999999999995</v>
      </c>
      <c r="H18" s="64">
        <f t="shared" si="0"/>
        <v>28.475567999999996</v>
      </c>
      <c r="I18" s="10">
        <f>F18/12*G18</f>
        <v>2372.9639999999995</v>
      </c>
    </row>
    <row r="19" spans="1:9" ht="15.75" hidden="1" customHeight="1">
      <c r="A19" s="21">
        <v>4</v>
      </c>
      <c r="B19" s="60" t="s">
        <v>94</v>
      </c>
      <c r="C19" s="61" t="s">
        <v>95</v>
      </c>
      <c r="D19" s="60" t="s">
        <v>96</v>
      </c>
      <c r="E19" s="62">
        <v>32.4</v>
      </c>
      <c r="F19" s="63">
        <f>SUM(E19/10)</f>
        <v>3.2399999999999998</v>
      </c>
      <c r="G19" s="63">
        <v>181.91</v>
      </c>
      <c r="H19" s="64">
        <f t="shared" si="0"/>
        <v>0.58938839999999992</v>
      </c>
      <c r="I19" s="10">
        <v>0</v>
      </c>
    </row>
    <row r="20" spans="1:9" ht="15.75" customHeight="1">
      <c r="A20" s="21">
        <v>4</v>
      </c>
      <c r="B20" s="60" t="s">
        <v>97</v>
      </c>
      <c r="C20" s="61" t="s">
        <v>87</v>
      </c>
      <c r="D20" s="60" t="s">
        <v>125</v>
      </c>
      <c r="E20" s="62">
        <v>12.24</v>
      </c>
      <c r="F20" s="63">
        <f>SUM(E20*12/100)</f>
        <v>1.4687999999999999</v>
      </c>
      <c r="G20" s="63">
        <v>232.92</v>
      </c>
      <c r="H20" s="64">
        <f t="shared" si="0"/>
        <v>0.342112896</v>
      </c>
      <c r="I20" s="10">
        <f>F20/12*G20</f>
        <v>28.509407999999997</v>
      </c>
    </row>
    <row r="21" spans="1:9" ht="15.75" customHeight="1">
      <c r="A21" s="21">
        <v>5</v>
      </c>
      <c r="B21" s="60" t="s">
        <v>98</v>
      </c>
      <c r="C21" s="61" t="s">
        <v>87</v>
      </c>
      <c r="D21" s="60" t="s">
        <v>126</v>
      </c>
      <c r="E21" s="62">
        <v>10.08</v>
      </c>
      <c r="F21" s="63">
        <f>SUM(E21*6/100)</f>
        <v>0.6048</v>
      </c>
      <c r="G21" s="63">
        <v>231.03</v>
      </c>
      <c r="H21" s="64">
        <f t="shared" si="0"/>
        <v>0.13972694399999999</v>
      </c>
      <c r="I21" s="10">
        <f>F21/6*G21</f>
        <v>23.287824000000001</v>
      </c>
    </row>
    <row r="22" spans="1:9" ht="15.75" hidden="1" customHeight="1">
      <c r="A22" s="21">
        <v>7</v>
      </c>
      <c r="B22" s="60" t="s">
        <v>99</v>
      </c>
      <c r="C22" s="61" t="s">
        <v>51</v>
      </c>
      <c r="D22" s="60" t="s">
        <v>96</v>
      </c>
      <c r="E22" s="62">
        <v>293.76</v>
      </c>
      <c r="F22" s="63">
        <f>SUM(E22/100)</f>
        <v>2.9375999999999998</v>
      </c>
      <c r="G22" s="63">
        <v>287.83999999999997</v>
      </c>
      <c r="H22" s="64">
        <f t="shared" si="0"/>
        <v>0.84555878399999984</v>
      </c>
      <c r="I22" s="10">
        <v>0</v>
      </c>
    </row>
    <row r="23" spans="1:9" ht="15.75" hidden="1" customHeight="1">
      <c r="A23" s="21">
        <v>8</v>
      </c>
      <c r="B23" s="60" t="s">
        <v>100</v>
      </c>
      <c r="C23" s="61" t="s">
        <v>51</v>
      </c>
      <c r="D23" s="60" t="s">
        <v>96</v>
      </c>
      <c r="E23" s="65">
        <v>17.64</v>
      </c>
      <c r="F23" s="63">
        <f>SUM(E23/100)</f>
        <v>0.1764</v>
      </c>
      <c r="G23" s="63">
        <v>47.34</v>
      </c>
      <c r="H23" s="64">
        <f t="shared" si="0"/>
        <v>8.3507760000000007E-3</v>
      </c>
      <c r="I23" s="10">
        <v>0</v>
      </c>
    </row>
    <row r="24" spans="1:9" ht="15.75" hidden="1" customHeight="1">
      <c r="A24" s="21">
        <v>9</v>
      </c>
      <c r="B24" s="60" t="s">
        <v>101</v>
      </c>
      <c r="C24" s="61" t="s">
        <v>51</v>
      </c>
      <c r="D24" s="60" t="s">
        <v>102</v>
      </c>
      <c r="E24" s="62">
        <v>10.8</v>
      </c>
      <c r="F24" s="63">
        <f>E24/100</f>
        <v>0.10800000000000001</v>
      </c>
      <c r="G24" s="63">
        <v>416.62</v>
      </c>
      <c r="H24" s="64">
        <f t="shared" si="0"/>
        <v>4.4994960000000007E-2</v>
      </c>
      <c r="I24" s="10">
        <v>0</v>
      </c>
    </row>
    <row r="25" spans="1:9" ht="15.75" hidden="1" customHeight="1">
      <c r="A25" s="21">
        <v>10</v>
      </c>
      <c r="B25" s="60" t="s">
        <v>103</v>
      </c>
      <c r="C25" s="61" t="s">
        <v>51</v>
      </c>
      <c r="D25" s="60" t="s">
        <v>52</v>
      </c>
      <c r="E25" s="62">
        <v>12.6</v>
      </c>
      <c r="F25" s="63">
        <f>E25/100</f>
        <v>0.126</v>
      </c>
      <c r="G25" s="63">
        <v>231.03</v>
      </c>
      <c r="H25" s="64">
        <f>G25*F25/1000</f>
        <v>2.9109780000000002E-2</v>
      </c>
      <c r="I25" s="10">
        <v>0</v>
      </c>
    </row>
    <row r="26" spans="1:9" ht="15.75" hidden="1" customHeight="1">
      <c r="A26" s="21">
        <v>11</v>
      </c>
      <c r="B26" s="60" t="s">
        <v>104</v>
      </c>
      <c r="C26" s="61" t="s">
        <v>51</v>
      </c>
      <c r="D26" s="60" t="s">
        <v>96</v>
      </c>
      <c r="E26" s="62">
        <v>14.4</v>
      </c>
      <c r="F26" s="63">
        <f>SUM(E26/100)</f>
        <v>0.14400000000000002</v>
      </c>
      <c r="G26" s="63">
        <v>556.74</v>
      </c>
      <c r="H26" s="64">
        <f t="shared" si="0"/>
        <v>8.0170560000000016E-2</v>
      </c>
      <c r="I26" s="10">
        <v>0</v>
      </c>
    </row>
    <row r="27" spans="1:9" ht="15.75" customHeight="1">
      <c r="A27" s="21">
        <v>6</v>
      </c>
      <c r="B27" s="60" t="s">
        <v>62</v>
      </c>
      <c r="C27" s="61" t="s">
        <v>31</v>
      </c>
      <c r="D27" s="60"/>
      <c r="E27" s="62">
        <v>0.1</v>
      </c>
      <c r="F27" s="63">
        <f>SUM(E27*365)</f>
        <v>36.5</v>
      </c>
      <c r="G27" s="63">
        <v>157.18</v>
      </c>
      <c r="H27" s="64">
        <f>SUM(F27*G27/1000)</f>
        <v>5.737070000000001</v>
      </c>
      <c r="I27" s="10">
        <f>F27/12*G27</f>
        <v>478.08916666666664</v>
      </c>
    </row>
    <row r="28" spans="1:9" ht="15.75" customHeight="1">
      <c r="A28" s="21">
        <v>7</v>
      </c>
      <c r="B28" s="68" t="s">
        <v>23</v>
      </c>
      <c r="C28" s="61" t="s">
        <v>24</v>
      </c>
      <c r="D28" s="60"/>
      <c r="E28" s="62">
        <v>2054.6</v>
      </c>
      <c r="F28" s="63">
        <f>SUM(E28*12)</f>
        <v>24655.199999999997</v>
      </c>
      <c r="G28" s="63">
        <v>6.15</v>
      </c>
      <c r="H28" s="64">
        <f>SUM(F28*G28/1000)</f>
        <v>151.62947999999997</v>
      </c>
      <c r="I28" s="10">
        <f>F28/12*G28</f>
        <v>12635.79</v>
      </c>
    </row>
    <row r="29" spans="1:9" ht="15.75" customHeight="1">
      <c r="A29" s="108" t="s">
        <v>84</v>
      </c>
      <c r="B29" s="109"/>
      <c r="C29" s="109"/>
      <c r="D29" s="109"/>
      <c r="E29" s="109"/>
      <c r="F29" s="109"/>
      <c r="G29" s="109"/>
      <c r="H29" s="109"/>
      <c r="I29" s="110"/>
    </row>
    <row r="30" spans="1:9" ht="15.75" hidden="1" customHeight="1">
      <c r="A30" s="21"/>
      <c r="B30" s="81" t="s">
        <v>27</v>
      </c>
      <c r="C30" s="61"/>
      <c r="D30" s="60"/>
      <c r="E30" s="62"/>
      <c r="F30" s="63"/>
      <c r="G30" s="63"/>
      <c r="H30" s="64"/>
      <c r="I30" s="10"/>
    </row>
    <row r="31" spans="1:9" ht="31.5" hidden="1" customHeight="1">
      <c r="A31" s="21">
        <v>8</v>
      </c>
      <c r="B31" s="60" t="s">
        <v>109</v>
      </c>
      <c r="C31" s="61" t="s">
        <v>90</v>
      </c>
      <c r="D31" s="60" t="s">
        <v>105</v>
      </c>
      <c r="E31" s="63">
        <v>600.63</v>
      </c>
      <c r="F31" s="63">
        <f>SUM(E31*52/1000)</f>
        <v>31.232759999999999</v>
      </c>
      <c r="G31" s="63">
        <v>166.65</v>
      </c>
      <c r="H31" s="64">
        <f t="shared" ref="H31:H36" si="1">SUM(F31*G31/1000)</f>
        <v>5.2049394540000007</v>
      </c>
      <c r="I31" s="10">
        <f>F31/6*G31</f>
        <v>867.4899089999999</v>
      </c>
    </row>
    <row r="32" spans="1:9" ht="31.5" hidden="1" customHeight="1">
      <c r="A32" s="21">
        <v>9</v>
      </c>
      <c r="B32" s="60" t="s">
        <v>108</v>
      </c>
      <c r="C32" s="61" t="s">
        <v>90</v>
      </c>
      <c r="D32" s="60" t="s">
        <v>106</v>
      </c>
      <c r="E32" s="63">
        <v>186.39</v>
      </c>
      <c r="F32" s="63">
        <f>SUM(E32*78/1000)</f>
        <v>14.538419999999999</v>
      </c>
      <c r="G32" s="63">
        <v>276.48</v>
      </c>
      <c r="H32" s="64">
        <f t="shared" si="1"/>
        <v>4.0195823615999995</v>
      </c>
      <c r="I32" s="10">
        <f t="shared" ref="I32:I34" si="2">F32/6*G32</f>
        <v>669.93039359999989</v>
      </c>
    </row>
    <row r="33" spans="1:9" ht="15.75" hidden="1" customHeight="1">
      <c r="A33" s="21">
        <v>16</v>
      </c>
      <c r="B33" s="60" t="s">
        <v>26</v>
      </c>
      <c r="C33" s="61" t="s">
        <v>90</v>
      </c>
      <c r="D33" s="60" t="s">
        <v>52</v>
      </c>
      <c r="E33" s="63">
        <v>600.63</v>
      </c>
      <c r="F33" s="63">
        <f>SUM(E33/1000)</f>
        <v>0.60063</v>
      </c>
      <c r="G33" s="63">
        <v>3228.73</v>
      </c>
      <c r="H33" s="64">
        <f t="shared" si="1"/>
        <v>1.9392720999000002</v>
      </c>
      <c r="I33" s="10">
        <f>F33*G33</f>
        <v>1939.2720999000001</v>
      </c>
    </row>
    <row r="34" spans="1:9" ht="15.75" hidden="1" customHeight="1">
      <c r="A34" s="21">
        <v>10</v>
      </c>
      <c r="B34" s="60" t="s">
        <v>107</v>
      </c>
      <c r="C34" s="61" t="s">
        <v>29</v>
      </c>
      <c r="D34" s="60" t="s">
        <v>61</v>
      </c>
      <c r="E34" s="67">
        <v>0.33333333333333331</v>
      </c>
      <c r="F34" s="63">
        <f>155/3</f>
        <v>51.666666666666664</v>
      </c>
      <c r="G34" s="63">
        <v>60.6</v>
      </c>
      <c r="H34" s="64">
        <f>SUM(G34*155/3/1000)</f>
        <v>3.1309999999999998</v>
      </c>
      <c r="I34" s="10">
        <f t="shared" si="2"/>
        <v>521.83333333333337</v>
      </c>
    </row>
    <row r="35" spans="1:9" ht="15.75" hidden="1" customHeight="1">
      <c r="A35" s="21"/>
      <c r="B35" s="60" t="s">
        <v>63</v>
      </c>
      <c r="C35" s="61" t="s">
        <v>31</v>
      </c>
      <c r="D35" s="60" t="s">
        <v>65</v>
      </c>
      <c r="E35" s="62"/>
      <c r="F35" s="63">
        <v>2</v>
      </c>
      <c r="G35" s="63">
        <v>204.52</v>
      </c>
      <c r="H35" s="64">
        <f t="shared" si="1"/>
        <v>0.40904000000000001</v>
      </c>
      <c r="I35" s="10">
        <v>0</v>
      </c>
    </row>
    <row r="36" spans="1:9" ht="15.75" hidden="1" customHeight="1">
      <c r="A36" s="21"/>
      <c r="B36" s="60" t="s">
        <v>64</v>
      </c>
      <c r="C36" s="61" t="s">
        <v>30</v>
      </c>
      <c r="D36" s="60" t="s">
        <v>65</v>
      </c>
      <c r="E36" s="62"/>
      <c r="F36" s="63">
        <v>1</v>
      </c>
      <c r="G36" s="63">
        <v>1214.74</v>
      </c>
      <c r="H36" s="64">
        <f t="shared" si="1"/>
        <v>1.2147399999999999</v>
      </c>
      <c r="I36" s="10">
        <v>0</v>
      </c>
    </row>
    <row r="37" spans="1:9" ht="15.75" customHeight="1">
      <c r="A37" s="21"/>
      <c r="B37" s="81" t="s">
        <v>5</v>
      </c>
      <c r="C37" s="61"/>
      <c r="D37" s="60"/>
      <c r="E37" s="62"/>
      <c r="F37" s="63"/>
      <c r="G37" s="63"/>
      <c r="H37" s="64" t="s">
        <v>120</v>
      </c>
      <c r="I37" s="10"/>
    </row>
    <row r="38" spans="1:9" ht="15.75" customHeight="1">
      <c r="A38" s="21">
        <v>8</v>
      </c>
      <c r="B38" s="60" t="s">
        <v>25</v>
      </c>
      <c r="C38" s="61" t="s">
        <v>30</v>
      </c>
      <c r="D38" s="60"/>
      <c r="E38" s="62"/>
      <c r="F38" s="63">
        <v>5</v>
      </c>
      <c r="G38" s="63">
        <v>1632.6</v>
      </c>
      <c r="H38" s="64">
        <f t="shared" ref="H38:H44" si="3">SUM(F38*G38/1000)</f>
        <v>8.1630000000000003</v>
      </c>
      <c r="I38" s="10">
        <f>F38/6*G38</f>
        <v>1360.5</v>
      </c>
    </row>
    <row r="39" spans="1:9" ht="15.75" customHeight="1">
      <c r="A39" s="21">
        <v>9</v>
      </c>
      <c r="B39" s="60" t="s">
        <v>127</v>
      </c>
      <c r="C39" s="61" t="s">
        <v>28</v>
      </c>
      <c r="D39" s="60" t="s">
        <v>88</v>
      </c>
      <c r="E39" s="62">
        <v>186.39</v>
      </c>
      <c r="F39" s="63">
        <f>E39*30/1000</f>
        <v>5.5916999999999994</v>
      </c>
      <c r="G39" s="63">
        <v>2247.8000000000002</v>
      </c>
      <c r="H39" s="64">
        <f>G39*F39/1000</f>
        <v>12.56902326</v>
      </c>
      <c r="I39" s="10">
        <f>F39/6*G39</f>
        <v>2094.8372100000001</v>
      </c>
    </row>
    <row r="40" spans="1:9" ht="15.75" hidden="1" customHeight="1">
      <c r="A40" s="21"/>
      <c r="B40" s="60" t="s">
        <v>138</v>
      </c>
      <c r="C40" s="61" t="s">
        <v>139</v>
      </c>
      <c r="D40" s="60" t="s">
        <v>65</v>
      </c>
      <c r="E40" s="62"/>
      <c r="F40" s="63">
        <v>72.3</v>
      </c>
      <c r="G40" s="63">
        <v>199.44</v>
      </c>
      <c r="H40" s="64">
        <f>G40*F40/1000</f>
        <v>14.419511999999999</v>
      </c>
      <c r="I40" s="10">
        <v>0</v>
      </c>
    </row>
    <row r="41" spans="1:9" ht="15.75" customHeight="1">
      <c r="A41" s="21">
        <v>10</v>
      </c>
      <c r="B41" s="60" t="s">
        <v>66</v>
      </c>
      <c r="C41" s="61" t="s">
        <v>28</v>
      </c>
      <c r="D41" s="60" t="s">
        <v>89</v>
      </c>
      <c r="E41" s="63">
        <v>186.39</v>
      </c>
      <c r="F41" s="63">
        <f>SUM(E41*155/1000)</f>
        <v>28.890449999999998</v>
      </c>
      <c r="G41" s="63">
        <v>374.95</v>
      </c>
      <c r="H41" s="64">
        <f t="shared" si="3"/>
        <v>10.832474227499999</v>
      </c>
      <c r="I41" s="10">
        <f>F41/6*G41</f>
        <v>1805.4123712499998</v>
      </c>
    </row>
    <row r="42" spans="1:9" ht="47.25" customHeight="1">
      <c r="A42" s="21">
        <v>11</v>
      </c>
      <c r="B42" s="60" t="s">
        <v>82</v>
      </c>
      <c r="C42" s="61" t="s">
        <v>90</v>
      </c>
      <c r="D42" s="60" t="s">
        <v>128</v>
      </c>
      <c r="E42" s="63">
        <v>52.2</v>
      </c>
      <c r="F42" s="63">
        <f>SUM(E42*35/1000)</f>
        <v>1.827</v>
      </c>
      <c r="G42" s="63">
        <v>6203.7</v>
      </c>
      <c r="H42" s="64">
        <f t="shared" si="3"/>
        <v>11.3341599</v>
      </c>
      <c r="I42" s="10">
        <f>F42/6*G42</f>
        <v>1889.0266499999998</v>
      </c>
    </row>
    <row r="43" spans="1:9" ht="15.75" customHeight="1">
      <c r="A43" s="21">
        <v>12</v>
      </c>
      <c r="B43" s="60" t="s">
        <v>129</v>
      </c>
      <c r="C43" s="61" t="s">
        <v>90</v>
      </c>
      <c r="D43" s="60" t="s">
        <v>67</v>
      </c>
      <c r="E43" s="63">
        <v>52.2</v>
      </c>
      <c r="F43" s="63">
        <f>SUM(E43*45/1000)</f>
        <v>2.3490000000000002</v>
      </c>
      <c r="G43" s="63">
        <v>458.28</v>
      </c>
      <c r="H43" s="64">
        <f t="shared" si="3"/>
        <v>1.0764997199999999</v>
      </c>
      <c r="I43" s="10">
        <f>F43/7.5*G43</f>
        <v>143.53329600000001</v>
      </c>
    </row>
    <row r="44" spans="1:9" ht="15.75" customHeight="1">
      <c r="A44" s="21">
        <v>13</v>
      </c>
      <c r="B44" s="60" t="s">
        <v>68</v>
      </c>
      <c r="C44" s="61" t="s">
        <v>31</v>
      </c>
      <c r="D44" s="60"/>
      <c r="E44" s="62"/>
      <c r="F44" s="63">
        <v>0.5</v>
      </c>
      <c r="G44" s="63">
        <v>853.06</v>
      </c>
      <c r="H44" s="64">
        <f t="shared" si="3"/>
        <v>0.42652999999999996</v>
      </c>
      <c r="I44" s="10">
        <f>F44/7.5*G44</f>
        <v>56.870666666666665</v>
      </c>
    </row>
    <row r="45" spans="1:9" ht="15.75" customHeight="1">
      <c r="A45" s="108" t="s">
        <v>133</v>
      </c>
      <c r="B45" s="109"/>
      <c r="C45" s="109"/>
      <c r="D45" s="109"/>
      <c r="E45" s="109"/>
      <c r="F45" s="109"/>
      <c r="G45" s="109"/>
      <c r="H45" s="109"/>
      <c r="I45" s="110"/>
    </row>
    <row r="46" spans="1:9" ht="15.75" hidden="1" customHeight="1">
      <c r="A46" s="21"/>
      <c r="B46" s="60" t="s">
        <v>110</v>
      </c>
      <c r="C46" s="61" t="s">
        <v>90</v>
      </c>
      <c r="D46" s="60" t="s">
        <v>41</v>
      </c>
      <c r="E46" s="62">
        <v>917.75</v>
      </c>
      <c r="F46" s="63">
        <f>SUM(E46*2/1000)</f>
        <v>1.8354999999999999</v>
      </c>
      <c r="G46" s="10">
        <v>865.61</v>
      </c>
      <c r="H46" s="64">
        <f t="shared" ref="H46:H55" si="4">SUM(F46*G46/1000)</f>
        <v>1.5888271549999999</v>
      </c>
      <c r="I46" s="10">
        <v>0</v>
      </c>
    </row>
    <row r="47" spans="1:9" ht="15.75" hidden="1" customHeight="1">
      <c r="A47" s="21"/>
      <c r="B47" s="60" t="s">
        <v>34</v>
      </c>
      <c r="C47" s="61" t="s">
        <v>90</v>
      </c>
      <c r="D47" s="60" t="s">
        <v>41</v>
      </c>
      <c r="E47" s="62">
        <v>48</v>
      </c>
      <c r="F47" s="63">
        <f>E47*2/1000</f>
        <v>9.6000000000000002E-2</v>
      </c>
      <c r="G47" s="10">
        <v>619.46</v>
      </c>
      <c r="H47" s="64">
        <f t="shared" si="4"/>
        <v>5.9468160000000006E-2</v>
      </c>
      <c r="I47" s="10">
        <v>0</v>
      </c>
    </row>
    <row r="48" spans="1:9" ht="15.75" hidden="1" customHeight="1">
      <c r="A48" s="21"/>
      <c r="B48" s="60" t="s">
        <v>35</v>
      </c>
      <c r="C48" s="61" t="s">
        <v>90</v>
      </c>
      <c r="D48" s="60" t="s">
        <v>41</v>
      </c>
      <c r="E48" s="62">
        <v>937.4</v>
      </c>
      <c r="F48" s="63">
        <f>SUM(E48*2/1000)</f>
        <v>1.8748</v>
      </c>
      <c r="G48" s="10">
        <v>619.46</v>
      </c>
      <c r="H48" s="64">
        <f t="shared" si="4"/>
        <v>1.161363608</v>
      </c>
      <c r="I48" s="10">
        <v>0</v>
      </c>
    </row>
    <row r="49" spans="1:9" ht="15.75" hidden="1" customHeight="1">
      <c r="A49" s="21"/>
      <c r="B49" s="60" t="s">
        <v>36</v>
      </c>
      <c r="C49" s="61" t="s">
        <v>90</v>
      </c>
      <c r="D49" s="60" t="s">
        <v>41</v>
      </c>
      <c r="E49" s="62">
        <v>1243.28</v>
      </c>
      <c r="F49" s="63">
        <f>SUM(E49*2/1000)</f>
        <v>2.4865599999999999</v>
      </c>
      <c r="G49" s="10">
        <v>648.64</v>
      </c>
      <c r="H49" s="64">
        <f t="shared" si="4"/>
        <v>1.6128822783999999</v>
      </c>
      <c r="I49" s="10">
        <v>0</v>
      </c>
    </row>
    <row r="50" spans="1:9" ht="15.75" hidden="1" customHeight="1">
      <c r="A50" s="21"/>
      <c r="B50" s="60" t="s">
        <v>32</v>
      </c>
      <c r="C50" s="61" t="s">
        <v>33</v>
      </c>
      <c r="D50" s="60" t="s">
        <v>41</v>
      </c>
      <c r="E50" s="62">
        <v>64.5</v>
      </c>
      <c r="F50" s="63">
        <f>SUM(E50*2/100)</f>
        <v>1.29</v>
      </c>
      <c r="G50" s="10">
        <v>77.84</v>
      </c>
      <c r="H50" s="64">
        <f t="shared" si="4"/>
        <v>0.10041360000000001</v>
      </c>
      <c r="I50" s="10">
        <v>0</v>
      </c>
    </row>
    <row r="51" spans="1:9" ht="15.75" customHeight="1">
      <c r="A51" s="21">
        <v>14</v>
      </c>
      <c r="B51" s="60" t="s">
        <v>54</v>
      </c>
      <c r="C51" s="61" t="s">
        <v>90</v>
      </c>
      <c r="D51" s="60" t="s">
        <v>144</v>
      </c>
      <c r="E51" s="62">
        <v>678.4</v>
      </c>
      <c r="F51" s="63">
        <f>SUM(E51*5/1000)</f>
        <v>3.3919999999999999</v>
      </c>
      <c r="G51" s="10">
        <v>1297.28</v>
      </c>
      <c r="H51" s="64">
        <f t="shared" si="4"/>
        <v>4.4003737599999999</v>
      </c>
      <c r="I51" s="10">
        <f>F51/5*G51</f>
        <v>880.07475199999999</v>
      </c>
    </row>
    <row r="52" spans="1:9" ht="31.5" hidden="1" customHeight="1">
      <c r="A52" s="21"/>
      <c r="B52" s="60" t="s">
        <v>91</v>
      </c>
      <c r="C52" s="61" t="s">
        <v>90</v>
      </c>
      <c r="D52" s="60" t="s">
        <v>41</v>
      </c>
      <c r="E52" s="62">
        <v>678.4</v>
      </c>
      <c r="F52" s="63">
        <f>SUM(E52*2/1000)</f>
        <v>1.3568</v>
      </c>
      <c r="G52" s="10">
        <v>1297.28</v>
      </c>
      <c r="H52" s="64">
        <f t="shared" si="4"/>
        <v>1.7601495039999999</v>
      </c>
      <c r="I52" s="10">
        <v>0</v>
      </c>
    </row>
    <row r="53" spans="1:9" ht="31.5" hidden="1" customHeight="1">
      <c r="A53" s="21"/>
      <c r="B53" s="60" t="s">
        <v>92</v>
      </c>
      <c r="C53" s="61" t="s">
        <v>37</v>
      </c>
      <c r="D53" s="60" t="s">
        <v>41</v>
      </c>
      <c r="E53" s="62">
        <v>12</v>
      </c>
      <c r="F53" s="63">
        <f>SUM(E53*2/100)</f>
        <v>0.24</v>
      </c>
      <c r="G53" s="10">
        <v>2918.89</v>
      </c>
      <c r="H53" s="64">
        <f t="shared" si="4"/>
        <v>0.70053359999999998</v>
      </c>
      <c r="I53" s="10">
        <v>0</v>
      </c>
    </row>
    <row r="54" spans="1:9" ht="15.75" hidden="1" customHeight="1">
      <c r="A54" s="21"/>
      <c r="B54" s="60" t="s">
        <v>38</v>
      </c>
      <c r="C54" s="61" t="s">
        <v>39</v>
      </c>
      <c r="D54" s="60" t="s">
        <v>41</v>
      </c>
      <c r="E54" s="62">
        <v>1</v>
      </c>
      <c r="F54" s="63">
        <v>0.02</v>
      </c>
      <c r="G54" s="10">
        <v>6042.12</v>
      </c>
      <c r="H54" s="64">
        <f t="shared" si="4"/>
        <v>0.1208424</v>
      </c>
      <c r="I54" s="10">
        <v>0</v>
      </c>
    </row>
    <row r="55" spans="1:9" ht="15.75" customHeight="1">
      <c r="A55" s="21">
        <v>15</v>
      </c>
      <c r="B55" s="60" t="s">
        <v>40</v>
      </c>
      <c r="C55" s="61" t="s">
        <v>111</v>
      </c>
      <c r="D55" s="60" t="s">
        <v>69</v>
      </c>
      <c r="E55" s="62">
        <v>72</v>
      </c>
      <c r="F55" s="63">
        <f>SUM(E55)*3</f>
        <v>216</v>
      </c>
      <c r="G55" s="10">
        <v>70.209999999999994</v>
      </c>
      <c r="H55" s="64">
        <f t="shared" si="4"/>
        <v>15.165359999999998</v>
      </c>
      <c r="I55" s="10">
        <f>E55*G55</f>
        <v>5055.12</v>
      </c>
    </row>
    <row r="56" spans="1:9" ht="15.75" customHeight="1">
      <c r="A56" s="108" t="s">
        <v>134</v>
      </c>
      <c r="B56" s="109"/>
      <c r="C56" s="109"/>
      <c r="D56" s="109"/>
      <c r="E56" s="109"/>
      <c r="F56" s="109"/>
      <c r="G56" s="109"/>
      <c r="H56" s="109"/>
      <c r="I56" s="110"/>
    </row>
    <row r="57" spans="1:9" ht="15.75" customHeight="1">
      <c r="A57" s="21"/>
      <c r="B57" s="81" t="s">
        <v>42</v>
      </c>
      <c r="C57" s="61"/>
      <c r="D57" s="60"/>
      <c r="E57" s="62"/>
      <c r="F57" s="63"/>
      <c r="G57" s="63"/>
      <c r="H57" s="64"/>
      <c r="I57" s="10"/>
    </row>
    <row r="58" spans="1:9" ht="31.5" customHeight="1">
      <c r="A58" s="21">
        <v>16</v>
      </c>
      <c r="B58" s="60" t="s">
        <v>112</v>
      </c>
      <c r="C58" s="61" t="s">
        <v>87</v>
      </c>
      <c r="D58" s="60" t="s">
        <v>113</v>
      </c>
      <c r="E58" s="62">
        <v>110.66</v>
      </c>
      <c r="F58" s="63">
        <f>SUM(E58*6/100)</f>
        <v>6.6396000000000006</v>
      </c>
      <c r="G58" s="10">
        <v>1654.04</v>
      </c>
      <c r="H58" s="64">
        <f>SUM(F58*G58/1000)</f>
        <v>10.982163984000001</v>
      </c>
      <c r="I58" s="10">
        <f>G58*0.28</f>
        <v>463.13120000000004</v>
      </c>
    </row>
    <row r="59" spans="1:9" ht="15.75" hidden="1" customHeight="1">
      <c r="A59" s="21"/>
      <c r="B59" s="82" t="s">
        <v>43</v>
      </c>
      <c r="C59" s="69"/>
      <c r="D59" s="70"/>
      <c r="E59" s="71"/>
      <c r="F59" s="72"/>
      <c r="G59" s="72"/>
      <c r="H59" s="73" t="s">
        <v>120</v>
      </c>
      <c r="I59" s="10"/>
    </row>
    <row r="60" spans="1:9" ht="15.75" hidden="1" customHeight="1">
      <c r="A60" s="21">
        <v>17</v>
      </c>
      <c r="B60" s="11" t="s">
        <v>44</v>
      </c>
      <c r="C60" s="13" t="s">
        <v>111</v>
      </c>
      <c r="D60" s="11" t="s">
        <v>65</v>
      </c>
      <c r="E60" s="15">
        <v>8</v>
      </c>
      <c r="F60" s="63">
        <v>8</v>
      </c>
      <c r="G60" s="10">
        <v>237.74</v>
      </c>
      <c r="H60" s="74">
        <f t="shared" ref="H60:H73" si="5">SUM(F60*G60/1000)</f>
        <v>1.9019200000000001</v>
      </c>
      <c r="I60" s="10">
        <f>G60</f>
        <v>237.74</v>
      </c>
    </row>
    <row r="61" spans="1:9" ht="15.75" hidden="1" customHeight="1">
      <c r="A61" s="21"/>
      <c r="B61" s="11" t="s">
        <v>45</v>
      </c>
      <c r="C61" s="13" t="s">
        <v>111</v>
      </c>
      <c r="D61" s="11" t="s">
        <v>65</v>
      </c>
      <c r="E61" s="15">
        <v>3</v>
      </c>
      <c r="F61" s="63">
        <v>3</v>
      </c>
      <c r="G61" s="10">
        <v>81.510000000000005</v>
      </c>
      <c r="H61" s="74">
        <f t="shared" si="5"/>
        <v>0.24453000000000003</v>
      </c>
      <c r="I61" s="10">
        <v>0</v>
      </c>
    </row>
    <row r="62" spans="1:9" ht="15.75" hidden="1" customHeight="1">
      <c r="A62" s="21"/>
      <c r="B62" s="11" t="s">
        <v>46</v>
      </c>
      <c r="C62" s="13" t="s">
        <v>114</v>
      </c>
      <c r="D62" s="11" t="s">
        <v>52</v>
      </c>
      <c r="E62" s="62">
        <v>8539</v>
      </c>
      <c r="F62" s="10">
        <f>SUM(E62/100)</f>
        <v>85.39</v>
      </c>
      <c r="G62" s="10">
        <v>226.79</v>
      </c>
      <c r="H62" s="74">
        <f t="shared" si="5"/>
        <v>19.3655981</v>
      </c>
      <c r="I62" s="10">
        <v>0</v>
      </c>
    </row>
    <row r="63" spans="1:9" ht="15.75" hidden="1" customHeight="1">
      <c r="A63" s="21"/>
      <c r="B63" s="11" t="s">
        <v>47</v>
      </c>
      <c r="C63" s="13" t="s">
        <v>115</v>
      </c>
      <c r="D63" s="11"/>
      <c r="E63" s="62">
        <v>8539</v>
      </c>
      <c r="F63" s="10">
        <f>SUM(E63/1000)</f>
        <v>8.5389999999999997</v>
      </c>
      <c r="G63" s="10">
        <v>176.61</v>
      </c>
      <c r="H63" s="74">
        <f t="shared" si="5"/>
        <v>1.5080727900000002</v>
      </c>
      <c r="I63" s="10">
        <v>0</v>
      </c>
    </row>
    <row r="64" spans="1:9" ht="15.75" hidden="1" customHeight="1">
      <c r="A64" s="21"/>
      <c r="B64" s="11" t="s">
        <v>48</v>
      </c>
      <c r="C64" s="13" t="s">
        <v>75</v>
      </c>
      <c r="D64" s="11" t="s">
        <v>52</v>
      </c>
      <c r="E64" s="62">
        <v>1370</v>
      </c>
      <c r="F64" s="10">
        <f>SUM(E64/100)</f>
        <v>13.7</v>
      </c>
      <c r="G64" s="10">
        <v>2217.7800000000002</v>
      </c>
      <c r="H64" s="74">
        <f t="shared" si="5"/>
        <v>30.383586000000005</v>
      </c>
      <c r="I64" s="10">
        <v>0</v>
      </c>
    </row>
    <row r="65" spans="1:9" ht="15.75" hidden="1" customHeight="1">
      <c r="A65" s="21"/>
      <c r="B65" s="75" t="s">
        <v>116</v>
      </c>
      <c r="C65" s="13" t="s">
        <v>31</v>
      </c>
      <c r="D65" s="11"/>
      <c r="E65" s="62">
        <v>9</v>
      </c>
      <c r="F65" s="10">
        <f>SUM(E65)</f>
        <v>9</v>
      </c>
      <c r="G65" s="10">
        <v>42.67</v>
      </c>
      <c r="H65" s="74">
        <f t="shared" si="5"/>
        <v>0.38403000000000004</v>
      </c>
      <c r="I65" s="10">
        <v>0</v>
      </c>
    </row>
    <row r="66" spans="1:9" ht="15.75" hidden="1" customHeight="1">
      <c r="A66" s="21"/>
      <c r="B66" s="75" t="s">
        <v>117</v>
      </c>
      <c r="C66" s="13" t="s">
        <v>31</v>
      </c>
      <c r="D66" s="11"/>
      <c r="E66" s="62">
        <v>9</v>
      </c>
      <c r="F66" s="10">
        <f>SUM(E66)</f>
        <v>9</v>
      </c>
      <c r="G66" s="10">
        <v>39.81</v>
      </c>
      <c r="H66" s="74">
        <f t="shared" si="5"/>
        <v>0.35829</v>
      </c>
      <c r="I66" s="10">
        <v>0</v>
      </c>
    </row>
    <row r="67" spans="1:9" ht="15.75" hidden="1" customHeight="1">
      <c r="A67" s="21"/>
      <c r="B67" s="11" t="s">
        <v>55</v>
      </c>
      <c r="C67" s="13" t="s">
        <v>56</v>
      </c>
      <c r="D67" s="11" t="s">
        <v>52</v>
      </c>
      <c r="E67" s="15">
        <v>3</v>
      </c>
      <c r="F67" s="63">
        <v>3</v>
      </c>
      <c r="G67" s="10">
        <v>53.62</v>
      </c>
      <c r="H67" s="74">
        <f t="shared" si="5"/>
        <v>0.16085999999999998</v>
      </c>
      <c r="I67" s="10">
        <v>0</v>
      </c>
    </row>
    <row r="68" spans="1:9" ht="15.75" hidden="1" customHeight="1">
      <c r="A68" s="21"/>
      <c r="B68" s="23" t="s">
        <v>70</v>
      </c>
      <c r="C68" s="13"/>
      <c r="D68" s="11"/>
      <c r="E68" s="15"/>
      <c r="F68" s="10"/>
      <c r="G68" s="10"/>
      <c r="H68" s="74" t="s">
        <v>120</v>
      </c>
      <c r="I68" s="10"/>
    </row>
    <row r="69" spans="1:9" ht="15.75" hidden="1" customHeight="1">
      <c r="A69" s="21"/>
      <c r="B69" s="11" t="s">
        <v>71</v>
      </c>
      <c r="C69" s="13" t="s">
        <v>73</v>
      </c>
      <c r="D69" s="11"/>
      <c r="E69" s="15">
        <v>2</v>
      </c>
      <c r="F69" s="10">
        <v>0.2</v>
      </c>
      <c r="G69" s="10">
        <v>536.23</v>
      </c>
      <c r="H69" s="74">
        <f t="shared" si="5"/>
        <v>0.10724600000000001</v>
      </c>
      <c r="I69" s="10">
        <v>0</v>
      </c>
    </row>
    <row r="70" spans="1:9" ht="15.75" hidden="1" customHeight="1">
      <c r="A70" s="21"/>
      <c r="B70" s="11" t="s">
        <v>72</v>
      </c>
      <c r="C70" s="13" t="s">
        <v>29</v>
      </c>
      <c r="D70" s="11"/>
      <c r="E70" s="15">
        <v>1</v>
      </c>
      <c r="F70" s="56">
        <v>1</v>
      </c>
      <c r="G70" s="10">
        <v>911.85</v>
      </c>
      <c r="H70" s="74">
        <f>F70*G70/1000</f>
        <v>0.91185000000000005</v>
      </c>
      <c r="I70" s="10">
        <v>0</v>
      </c>
    </row>
    <row r="71" spans="1:9" ht="15.75" hidden="1" customHeight="1">
      <c r="A71" s="21"/>
      <c r="B71" s="11" t="s">
        <v>130</v>
      </c>
      <c r="C71" s="13" t="s">
        <v>29</v>
      </c>
      <c r="D71" s="11"/>
      <c r="E71" s="15">
        <v>1</v>
      </c>
      <c r="F71" s="10">
        <v>1</v>
      </c>
      <c r="G71" s="10">
        <v>383.25</v>
      </c>
      <c r="H71" s="74">
        <f>G71*F71/1000</f>
        <v>0.38324999999999998</v>
      </c>
      <c r="I71" s="10">
        <v>0</v>
      </c>
    </row>
    <row r="72" spans="1:9" ht="15.75" hidden="1" customHeight="1">
      <c r="A72" s="21"/>
      <c r="B72" s="76" t="s">
        <v>74</v>
      </c>
      <c r="C72" s="13"/>
      <c r="D72" s="11"/>
      <c r="E72" s="15"/>
      <c r="F72" s="10"/>
      <c r="G72" s="10" t="s">
        <v>120</v>
      </c>
      <c r="H72" s="74" t="s">
        <v>120</v>
      </c>
      <c r="I72" s="10"/>
    </row>
    <row r="73" spans="1:9" ht="15.75" hidden="1" customHeight="1">
      <c r="A73" s="21"/>
      <c r="B73" s="36" t="s">
        <v>121</v>
      </c>
      <c r="C73" s="13" t="s">
        <v>75</v>
      </c>
      <c r="D73" s="11"/>
      <c r="E73" s="15"/>
      <c r="F73" s="10">
        <v>1.35</v>
      </c>
      <c r="G73" s="10">
        <v>2949.85</v>
      </c>
      <c r="H73" s="74">
        <f t="shared" si="5"/>
        <v>3.9822975</v>
      </c>
      <c r="I73" s="10">
        <v>0</v>
      </c>
    </row>
    <row r="74" spans="1:9" ht="15.75" hidden="1" customHeight="1">
      <c r="A74" s="21"/>
      <c r="B74" s="55" t="s">
        <v>93</v>
      </c>
      <c r="C74" s="77"/>
      <c r="D74" s="23"/>
      <c r="E74" s="24"/>
      <c r="F74" s="66"/>
      <c r="G74" s="66"/>
      <c r="H74" s="78">
        <f>SUM(H58:H73)</f>
        <v>70.673694374000007</v>
      </c>
      <c r="I74" s="66"/>
    </row>
    <row r="75" spans="1:9" ht="15.75" hidden="1" customHeight="1">
      <c r="A75" s="21">
        <v>18</v>
      </c>
      <c r="B75" s="60" t="s">
        <v>118</v>
      </c>
      <c r="C75" s="13"/>
      <c r="D75" s="11"/>
      <c r="E75" s="79"/>
      <c r="F75" s="10">
        <v>1</v>
      </c>
      <c r="G75" s="90">
        <v>7669.4</v>
      </c>
      <c r="H75" s="74">
        <f>G75*F75/1000</f>
        <v>7.6693999999999996</v>
      </c>
      <c r="I75" s="10">
        <f>G75</f>
        <v>7669.4</v>
      </c>
    </row>
    <row r="76" spans="1:9" ht="15.75" customHeight="1">
      <c r="A76" s="108" t="s">
        <v>135</v>
      </c>
      <c r="B76" s="109"/>
      <c r="C76" s="109"/>
      <c r="D76" s="109"/>
      <c r="E76" s="109"/>
      <c r="F76" s="109"/>
      <c r="G76" s="109"/>
      <c r="H76" s="109"/>
      <c r="I76" s="110"/>
    </row>
    <row r="77" spans="1:9" ht="15.75" customHeight="1">
      <c r="A77" s="21">
        <v>17</v>
      </c>
      <c r="B77" s="60" t="s">
        <v>119</v>
      </c>
      <c r="C77" s="13" t="s">
        <v>53</v>
      </c>
      <c r="D77" s="80" t="s">
        <v>145</v>
      </c>
      <c r="E77" s="10">
        <v>2054.6</v>
      </c>
      <c r="F77" s="10">
        <f>SUM(E77*12)</f>
        <v>24655.199999999997</v>
      </c>
      <c r="G77" s="10">
        <v>2.2400000000000002</v>
      </c>
      <c r="H77" s="74">
        <f>SUM(F77*G77/1000)</f>
        <v>55.227648000000002</v>
      </c>
      <c r="I77" s="10">
        <f>F77/12*G77</f>
        <v>4602.3040000000001</v>
      </c>
    </row>
    <row r="78" spans="1:9" ht="31.5" customHeight="1">
      <c r="A78" s="21">
        <v>18</v>
      </c>
      <c r="B78" s="11" t="s">
        <v>76</v>
      </c>
      <c r="C78" s="13"/>
      <c r="D78" s="80" t="s">
        <v>145</v>
      </c>
      <c r="E78" s="62">
        <f>E77</f>
        <v>2054.6</v>
      </c>
      <c r="F78" s="10">
        <f>E78*12</f>
        <v>24655.199999999997</v>
      </c>
      <c r="G78" s="10">
        <v>1.74</v>
      </c>
      <c r="H78" s="74">
        <f>F78*G78/1000</f>
        <v>42.900047999999998</v>
      </c>
      <c r="I78" s="10">
        <f>F78/12*G78</f>
        <v>3575.0039999999999</v>
      </c>
    </row>
    <row r="79" spans="1:9" ht="15.75" customHeight="1">
      <c r="A79" s="21"/>
      <c r="B79" s="28" t="s">
        <v>78</v>
      </c>
      <c r="C79" s="77"/>
      <c r="D79" s="76"/>
      <c r="E79" s="66"/>
      <c r="F79" s="66"/>
      <c r="G79" s="66"/>
      <c r="H79" s="78">
        <f>H78</f>
        <v>42.900047999999998</v>
      </c>
      <c r="I79" s="66">
        <f>I16+I17+I18+I20+I21+I27+I28+I38+I39+I41+I42+I43+I44+I51+I55+I58+I77+I78</f>
        <v>41485.900544583346</v>
      </c>
    </row>
    <row r="80" spans="1:9" ht="15.75" customHeight="1">
      <c r="A80" s="122" t="s">
        <v>58</v>
      </c>
      <c r="B80" s="123"/>
      <c r="C80" s="123"/>
      <c r="D80" s="123"/>
      <c r="E80" s="123"/>
      <c r="F80" s="123"/>
      <c r="G80" s="123"/>
      <c r="H80" s="123"/>
      <c r="I80" s="124"/>
    </row>
    <row r="81" spans="1:9" ht="15.75" customHeight="1">
      <c r="A81" s="21">
        <v>19</v>
      </c>
      <c r="B81" s="70" t="s">
        <v>171</v>
      </c>
      <c r="C81" s="69" t="s">
        <v>172</v>
      </c>
      <c r="D81" s="70"/>
      <c r="E81" s="71"/>
      <c r="F81" s="72">
        <v>360</v>
      </c>
      <c r="G81" s="56">
        <v>1.2</v>
      </c>
      <c r="H81" s="73">
        <f>F81*G81/1000</f>
        <v>0.432</v>
      </c>
      <c r="I81" s="94">
        <f>G81*120</f>
        <v>144</v>
      </c>
    </row>
    <row r="82" spans="1:9" ht="15.75" customHeight="1">
      <c r="A82" s="21" t="s">
        <v>179</v>
      </c>
      <c r="B82" s="39" t="s">
        <v>122</v>
      </c>
      <c r="C82" s="40" t="s">
        <v>111</v>
      </c>
      <c r="D82" s="36"/>
      <c r="E82" s="10"/>
      <c r="F82" s="10">
        <v>72</v>
      </c>
      <c r="G82" s="10">
        <v>55.55</v>
      </c>
      <c r="H82" s="10">
        <f>G82*F82/1000</f>
        <v>3.9996</v>
      </c>
      <c r="I82" s="10">
        <f>G82*36</f>
        <v>1999.8</v>
      </c>
    </row>
    <row r="83" spans="1:9" ht="15.75" customHeight="1">
      <c r="A83" s="21">
        <v>21</v>
      </c>
      <c r="B83" s="93" t="s">
        <v>173</v>
      </c>
      <c r="C83" s="21" t="s">
        <v>111</v>
      </c>
      <c r="D83" s="95"/>
      <c r="E83" s="15"/>
      <c r="F83" s="96">
        <v>1</v>
      </c>
      <c r="G83" s="10">
        <v>4297.78</v>
      </c>
      <c r="H83" s="74">
        <f t="shared" ref="H83" si="6">G83*F83/1000</f>
        <v>4.2977799999999995</v>
      </c>
      <c r="I83" s="94">
        <f>G83</f>
        <v>4297.78</v>
      </c>
    </row>
    <row r="84" spans="1:9" ht="15.75" customHeight="1">
      <c r="A84" s="21">
        <v>22</v>
      </c>
      <c r="B84" s="92" t="s">
        <v>141</v>
      </c>
      <c r="C84" s="42" t="s">
        <v>142</v>
      </c>
      <c r="D84" s="95"/>
      <c r="E84" s="15"/>
      <c r="F84" s="96"/>
      <c r="G84" s="27">
        <v>1645</v>
      </c>
      <c r="H84" s="74"/>
      <c r="I84" s="94">
        <f>G84*1.5</f>
        <v>2467.5</v>
      </c>
    </row>
    <row r="85" spans="1:9" ht="15.75" customHeight="1">
      <c r="A85" s="21"/>
      <c r="B85" s="34" t="s">
        <v>49</v>
      </c>
      <c r="C85" s="30"/>
      <c r="D85" s="37"/>
      <c r="E85" s="30">
        <v>1</v>
      </c>
      <c r="F85" s="30"/>
      <c r="G85" s="30"/>
      <c r="H85" s="30"/>
      <c r="I85" s="24">
        <f>I84++I83+I81</f>
        <v>6909.28</v>
      </c>
    </row>
    <row r="86" spans="1:9" ht="15.75" customHeight="1">
      <c r="A86" s="21"/>
      <c r="B86" s="36" t="s">
        <v>77</v>
      </c>
      <c r="C86" s="12"/>
      <c r="D86" s="12"/>
      <c r="E86" s="31"/>
      <c r="F86" s="31"/>
      <c r="G86" s="32"/>
      <c r="H86" s="32"/>
      <c r="I86" s="14">
        <v>0</v>
      </c>
    </row>
    <row r="87" spans="1:9" ht="15.75" customHeight="1">
      <c r="A87" s="38"/>
      <c r="B87" s="35" t="s">
        <v>163</v>
      </c>
      <c r="C87" s="26"/>
      <c r="D87" s="26"/>
      <c r="E87" s="26"/>
      <c r="F87" s="26"/>
      <c r="G87" s="26"/>
      <c r="H87" s="26"/>
      <c r="I87" s="33">
        <f>I79+I85</f>
        <v>48395.180544583345</v>
      </c>
    </row>
    <row r="88" spans="1:9" ht="15.75" customHeight="1">
      <c r="A88" s="125" t="s">
        <v>180</v>
      </c>
      <c r="B88" s="126"/>
      <c r="C88" s="126"/>
      <c r="D88" s="126"/>
      <c r="E88" s="126"/>
      <c r="F88" s="126"/>
      <c r="G88" s="126"/>
      <c r="H88" s="126"/>
      <c r="I88" s="126"/>
    </row>
    <row r="89" spans="1:9" ht="15.75">
      <c r="A89" s="121" t="s">
        <v>201</v>
      </c>
      <c r="B89" s="121"/>
      <c r="C89" s="121"/>
      <c r="D89" s="121"/>
      <c r="E89" s="121"/>
      <c r="F89" s="121"/>
      <c r="G89" s="121"/>
      <c r="H89" s="121"/>
      <c r="I89" s="121"/>
    </row>
    <row r="90" spans="1:9" ht="15.75">
      <c r="A90" s="48"/>
      <c r="B90" s="116" t="s">
        <v>202</v>
      </c>
      <c r="C90" s="116"/>
      <c r="D90" s="116"/>
      <c r="E90" s="116"/>
      <c r="F90" s="116"/>
      <c r="G90" s="116"/>
      <c r="H90" s="59"/>
      <c r="I90" s="2"/>
    </row>
    <row r="91" spans="1:9">
      <c r="A91" s="47"/>
      <c r="B91" s="112" t="s">
        <v>6</v>
      </c>
      <c r="C91" s="112"/>
      <c r="D91" s="112"/>
      <c r="E91" s="112"/>
      <c r="F91" s="112"/>
      <c r="G91" s="112"/>
      <c r="H91" s="16"/>
      <c r="I91" s="4"/>
    </row>
    <row r="92" spans="1:9">
      <c r="A92" s="7"/>
      <c r="B92" s="7"/>
      <c r="C92" s="7"/>
      <c r="D92" s="7"/>
      <c r="E92" s="7"/>
      <c r="F92" s="7"/>
      <c r="G92" s="7"/>
      <c r="H92" s="7"/>
      <c r="I92" s="7"/>
    </row>
    <row r="93" spans="1:9" ht="15.75">
      <c r="A93" s="117" t="s">
        <v>7</v>
      </c>
      <c r="B93" s="117"/>
      <c r="C93" s="117"/>
      <c r="D93" s="117"/>
      <c r="E93" s="117"/>
      <c r="F93" s="117"/>
      <c r="G93" s="117"/>
      <c r="H93" s="117"/>
      <c r="I93" s="117"/>
    </row>
    <row r="94" spans="1:9" ht="15.75">
      <c r="A94" s="117" t="s">
        <v>8</v>
      </c>
      <c r="B94" s="117"/>
      <c r="C94" s="117"/>
      <c r="D94" s="117"/>
      <c r="E94" s="117"/>
      <c r="F94" s="117"/>
      <c r="G94" s="117"/>
      <c r="H94" s="117"/>
      <c r="I94" s="117"/>
    </row>
    <row r="95" spans="1:9" ht="15.75">
      <c r="A95" s="118" t="s">
        <v>59</v>
      </c>
      <c r="B95" s="118"/>
      <c r="C95" s="118"/>
      <c r="D95" s="118"/>
      <c r="E95" s="118"/>
      <c r="F95" s="118"/>
      <c r="G95" s="118"/>
      <c r="H95" s="118"/>
      <c r="I95" s="118"/>
    </row>
    <row r="96" spans="1:9" ht="15.75">
      <c r="A96" s="8"/>
    </row>
    <row r="97" spans="1:9" ht="15.75">
      <c r="A97" s="119" t="s">
        <v>9</v>
      </c>
      <c r="B97" s="119"/>
      <c r="C97" s="119"/>
      <c r="D97" s="119"/>
      <c r="E97" s="119"/>
      <c r="F97" s="119"/>
      <c r="G97" s="119"/>
      <c r="H97" s="119"/>
      <c r="I97" s="119"/>
    </row>
    <row r="98" spans="1:9" ht="15.75">
      <c r="A98" s="3"/>
    </row>
    <row r="99" spans="1:9" ht="15.75">
      <c r="B99" s="44" t="s">
        <v>10</v>
      </c>
      <c r="C99" s="111" t="s">
        <v>136</v>
      </c>
      <c r="D99" s="111"/>
      <c r="E99" s="111"/>
      <c r="F99" s="57"/>
      <c r="I99" s="46"/>
    </row>
    <row r="100" spans="1:9">
      <c r="A100" s="47"/>
      <c r="C100" s="112" t="s">
        <v>11</v>
      </c>
      <c r="D100" s="112"/>
      <c r="E100" s="112"/>
      <c r="F100" s="16"/>
      <c r="I100" s="45" t="s">
        <v>12</v>
      </c>
    </row>
    <row r="101" spans="1:9" ht="15.75">
      <c r="A101" s="17"/>
      <c r="C101" s="9"/>
      <c r="D101" s="9"/>
      <c r="G101" s="9"/>
      <c r="H101" s="9"/>
    </row>
    <row r="102" spans="1:9" ht="15.75">
      <c r="B102" s="44" t="s">
        <v>13</v>
      </c>
      <c r="C102" s="113"/>
      <c r="D102" s="113"/>
      <c r="E102" s="113"/>
      <c r="F102" s="58"/>
      <c r="I102" s="46"/>
    </row>
    <row r="103" spans="1:9">
      <c r="A103" s="47"/>
      <c r="C103" s="114" t="s">
        <v>11</v>
      </c>
      <c r="D103" s="114"/>
      <c r="E103" s="114"/>
      <c r="F103" s="47"/>
      <c r="I103" s="45" t="s">
        <v>12</v>
      </c>
    </row>
    <row r="104" spans="1:9" ht="15.75">
      <c r="A104" s="3" t="s">
        <v>14</v>
      </c>
    </row>
    <row r="105" spans="1:9">
      <c r="A105" s="115" t="s">
        <v>15</v>
      </c>
      <c r="B105" s="115"/>
      <c r="C105" s="115"/>
      <c r="D105" s="115"/>
      <c r="E105" s="115"/>
      <c r="F105" s="115"/>
      <c r="G105" s="115"/>
      <c r="H105" s="115"/>
      <c r="I105" s="115"/>
    </row>
    <row r="106" spans="1:9" ht="45" customHeight="1">
      <c r="A106" s="107" t="s">
        <v>16</v>
      </c>
      <c r="B106" s="107"/>
      <c r="C106" s="107"/>
      <c r="D106" s="107"/>
      <c r="E106" s="107"/>
      <c r="F106" s="107"/>
      <c r="G106" s="107"/>
      <c r="H106" s="107"/>
      <c r="I106" s="107"/>
    </row>
    <row r="107" spans="1:9" ht="30" customHeight="1">
      <c r="A107" s="107" t="s">
        <v>17</v>
      </c>
      <c r="B107" s="107"/>
      <c r="C107" s="107"/>
      <c r="D107" s="107"/>
      <c r="E107" s="107"/>
      <c r="F107" s="107"/>
      <c r="G107" s="107"/>
      <c r="H107" s="107"/>
      <c r="I107" s="107"/>
    </row>
    <row r="108" spans="1:9" ht="30" customHeight="1">
      <c r="A108" s="107" t="s">
        <v>21</v>
      </c>
      <c r="B108" s="107"/>
      <c r="C108" s="107"/>
      <c r="D108" s="107"/>
      <c r="E108" s="107"/>
      <c r="F108" s="107"/>
      <c r="G108" s="107"/>
      <c r="H108" s="107"/>
      <c r="I108" s="107"/>
    </row>
    <row r="109" spans="1:9" ht="15" customHeight="1">
      <c r="A109" s="107" t="s">
        <v>20</v>
      </c>
      <c r="B109" s="107"/>
      <c r="C109" s="107"/>
      <c r="D109" s="107"/>
      <c r="E109" s="107"/>
      <c r="F109" s="107"/>
      <c r="G109" s="107"/>
      <c r="H109" s="107"/>
      <c r="I109" s="107"/>
    </row>
  </sheetData>
  <mergeCells count="29">
    <mergeCell ref="A14:I14"/>
    <mergeCell ref="A3:I3"/>
    <mergeCell ref="A4:I4"/>
    <mergeCell ref="A5:I5"/>
    <mergeCell ref="A8:I8"/>
    <mergeCell ref="A10:I10"/>
    <mergeCell ref="A95:I95"/>
    <mergeCell ref="A97:I97"/>
    <mergeCell ref="A15:I15"/>
    <mergeCell ref="A29:I29"/>
    <mergeCell ref="A89:I89"/>
    <mergeCell ref="A80:I80"/>
    <mergeCell ref="A88:I88"/>
    <mergeCell ref="A107:I107"/>
    <mergeCell ref="A108:I108"/>
    <mergeCell ref="A109:I109"/>
    <mergeCell ref="A45:I45"/>
    <mergeCell ref="A56:I56"/>
    <mergeCell ref="A76:I76"/>
    <mergeCell ref="C99:E99"/>
    <mergeCell ref="C100:E100"/>
    <mergeCell ref="C102:E102"/>
    <mergeCell ref="C103:E103"/>
    <mergeCell ref="A105:I105"/>
    <mergeCell ref="A106:I106"/>
    <mergeCell ref="B90:G90"/>
    <mergeCell ref="B91:G91"/>
    <mergeCell ref="A93:I93"/>
    <mergeCell ref="A94:I94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112"/>
  <sheetViews>
    <sheetView topLeftCell="A56" workbookViewId="0">
      <selection activeCell="B86" sqref="B86:I86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2.85546875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194</v>
      </c>
      <c r="I1" s="18"/>
    </row>
    <row r="2" spans="1:9" ht="15.75">
      <c r="A2" s="20" t="s">
        <v>60</v>
      </c>
    </row>
    <row r="3" spans="1:9" ht="15.75">
      <c r="A3" s="128" t="s">
        <v>157</v>
      </c>
      <c r="B3" s="128"/>
      <c r="C3" s="128"/>
      <c r="D3" s="128"/>
      <c r="E3" s="128"/>
      <c r="F3" s="128"/>
      <c r="G3" s="128"/>
      <c r="H3" s="128"/>
      <c r="I3" s="128"/>
    </row>
    <row r="4" spans="1:9" ht="31.5" customHeight="1">
      <c r="A4" s="129" t="s">
        <v>132</v>
      </c>
      <c r="B4" s="129"/>
      <c r="C4" s="129"/>
      <c r="D4" s="129"/>
      <c r="E4" s="129"/>
      <c r="F4" s="129"/>
      <c r="G4" s="129"/>
      <c r="H4" s="129"/>
      <c r="I4" s="129"/>
    </row>
    <row r="5" spans="1:9" ht="15.75">
      <c r="A5" s="128" t="s">
        <v>232</v>
      </c>
      <c r="B5" s="130"/>
      <c r="C5" s="130"/>
      <c r="D5" s="130"/>
      <c r="E5" s="130"/>
      <c r="F5" s="130"/>
      <c r="G5" s="130"/>
      <c r="H5" s="130"/>
      <c r="I5" s="130"/>
    </row>
    <row r="6" spans="1:9" ht="15.75">
      <c r="A6" s="1"/>
      <c r="B6" s="54"/>
      <c r="C6" s="54"/>
      <c r="D6" s="54"/>
      <c r="E6" s="54"/>
      <c r="F6" s="54"/>
      <c r="G6" s="54"/>
      <c r="H6" s="54"/>
      <c r="I6" s="22">
        <v>43404</v>
      </c>
    </row>
    <row r="7" spans="1:9" ht="15.75">
      <c r="B7" s="52"/>
      <c r="C7" s="52"/>
      <c r="D7" s="52"/>
      <c r="E7" s="2"/>
      <c r="F7" s="2"/>
      <c r="G7" s="2"/>
      <c r="H7" s="2"/>
    </row>
    <row r="8" spans="1:9" ht="78.75" customHeight="1">
      <c r="A8" s="131" t="s">
        <v>196</v>
      </c>
      <c r="B8" s="131"/>
      <c r="C8" s="131"/>
      <c r="D8" s="131"/>
      <c r="E8" s="131"/>
      <c r="F8" s="131"/>
      <c r="G8" s="131"/>
      <c r="H8" s="131"/>
      <c r="I8" s="131"/>
    </row>
    <row r="9" spans="1:9" ht="15.75">
      <c r="A9" s="3"/>
    </row>
    <row r="10" spans="1:9" ht="47.25" customHeight="1">
      <c r="A10" s="132" t="s">
        <v>159</v>
      </c>
      <c r="B10" s="132"/>
      <c r="C10" s="132"/>
      <c r="D10" s="132"/>
      <c r="E10" s="132"/>
      <c r="F10" s="132"/>
      <c r="G10" s="132"/>
      <c r="H10" s="132"/>
      <c r="I10" s="132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>
      <c r="A14" s="127" t="s">
        <v>57</v>
      </c>
      <c r="B14" s="127"/>
      <c r="C14" s="127"/>
      <c r="D14" s="127"/>
      <c r="E14" s="127"/>
      <c r="F14" s="127"/>
      <c r="G14" s="127"/>
      <c r="H14" s="127"/>
      <c r="I14" s="127"/>
    </row>
    <row r="15" spans="1:9">
      <c r="A15" s="120" t="s">
        <v>4</v>
      </c>
      <c r="B15" s="120"/>
      <c r="C15" s="120"/>
      <c r="D15" s="120"/>
      <c r="E15" s="120"/>
      <c r="F15" s="120"/>
      <c r="G15" s="120"/>
      <c r="H15" s="120"/>
      <c r="I15" s="120"/>
    </row>
    <row r="16" spans="1:9" ht="15.75" customHeight="1">
      <c r="A16" s="21">
        <v>1</v>
      </c>
      <c r="B16" s="60" t="s">
        <v>86</v>
      </c>
      <c r="C16" s="61" t="s">
        <v>87</v>
      </c>
      <c r="D16" s="60" t="s">
        <v>160</v>
      </c>
      <c r="E16" s="62">
        <v>55</v>
      </c>
      <c r="F16" s="63">
        <f>SUM(E16*156/100)</f>
        <v>85.8</v>
      </c>
      <c r="G16" s="63">
        <v>187.48</v>
      </c>
      <c r="H16" s="64">
        <f t="shared" ref="H16:H26" si="0">SUM(F16*G16/1000)</f>
        <v>16.085783999999997</v>
      </c>
      <c r="I16" s="10">
        <f>F16/12*G16</f>
        <v>1340.4819999999997</v>
      </c>
    </row>
    <row r="17" spans="1:9" ht="15.75" customHeight="1">
      <c r="A17" s="21">
        <v>2</v>
      </c>
      <c r="B17" s="60" t="s">
        <v>123</v>
      </c>
      <c r="C17" s="61" t="s">
        <v>87</v>
      </c>
      <c r="D17" s="60" t="s">
        <v>161</v>
      </c>
      <c r="E17" s="62">
        <v>165</v>
      </c>
      <c r="F17" s="63">
        <f>SUM(E17*104/100)</f>
        <v>171.6</v>
      </c>
      <c r="G17" s="63">
        <v>187.48</v>
      </c>
      <c r="H17" s="64">
        <f t="shared" si="0"/>
        <v>32.171567999999994</v>
      </c>
      <c r="I17" s="10">
        <f>F17/12*G17</f>
        <v>2680.9639999999995</v>
      </c>
    </row>
    <row r="18" spans="1:9" ht="15.75" customHeight="1">
      <c r="A18" s="21">
        <v>3</v>
      </c>
      <c r="B18" s="60" t="s">
        <v>124</v>
      </c>
      <c r="C18" s="61" t="s">
        <v>87</v>
      </c>
      <c r="D18" s="60" t="s">
        <v>162</v>
      </c>
      <c r="E18" s="62">
        <f>SUM(E16+E17)</f>
        <v>220</v>
      </c>
      <c r="F18" s="63">
        <f>SUM(E18*24/100)</f>
        <v>52.8</v>
      </c>
      <c r="G18" s="63">
        <v>539.30999999999995</v>
      </c>
      <c r="H18" s="64">
        <f t="shared" si="0"/>
        <v>28.475567999999996</v>
      </c>
      <c r="I18" s="10">
        <f>F18/12*G18</f>
        <v>2372.9639999999995</v>
      </c>
    </row>
    <row r="19" spans="1:9" ht="15.75" hidden="1" customHeight="1">
      <c r="A19" s="21">
        <v>4</v>
      </c>
      <c r="B19" s="60" t="s">
        <v>94</v>
      </c>
      <c r="C19" s="61" t="s">
        <v>95</v>
      </c>
      <c r="D19" s="60" t="s">
        <v>96</v>
      </c>
      <c r="E19" s="62">
        <v>32.4</v>
      </c>
      <c r="F19" s="63">
        <f>SUM(E19/10)</f>
        <v>3.2399999999999998</v>
      </c>
      <c r="G19" s="63">
        <v>181.91</v>
      </c>
      <c r="H19" s="64">
        <f t="shared" si="0"/>
        <v>0.58938839999999992</v>
      </c>
      <c r="I19" s="10">
        <v>0</v>
      </c>
    </row>
    <row r="20" spans="1:9" ht="15.75" customHeight="1">
      <c r="A20" s="21">
        <v>4</v>
      </c>
      <c r="B20" s="60" t="s">
        <v>97</v>
      </c>
      <c r="C20" s="61" t="s">
        <v>87</v>
      </c>
      <c r="D20" s="60" t="s">
        <v>125</v>
      </c>
      <c r="E20" s="62">
        <v>12.24</v>
      </c>
      <c r="F20" s="63">
        <f>SUM(E20*12/100)</f>
        <v>1.4687999999999999</v>
      </c>
      <c r="G20" s="63">
        <v>232.92</v>
      </c>
      <c r="H20" s="64">
        <f t="shared" si="0"/>
        <v>0.342112896</v>
      </c>
      <c r="I20" s="10">
        <f>F20/12*G20</f>
        <v>28.509407999999997</v>
      </c>
    </row>
    <row r="21" spans="1:9" ht="15.75" hidden="1" customHeight="1">
      <c r="A21" s="21">
        <v>5</v>
      </c>
      <c r="B21" s="60" t="s">
        <v>98</v>
      </c>
      <c r="C21" s="61" t="s">
        <v>87</v>
      </c>
      <c r="D21" s="60" t="s">
        <v>126</v>
      </c>
      <c r="E21" s="62">
        <v>10.08</v>
      </c>
      <c r="F21" s="63">
        <f>SUM(E21*6/100)</f>
        <v>0.6048</v>
      </c>
      <c r="G21" s="63">
        <v>231.03</v>
      </c>
      <c r="H21" s="64">
        <f t="shared" si="0"/>
        <v>0.13972694399999999</v>
      </c>
      <c r="I21" s="10">
        <f>F21/6*G21</f>
        <v>23.287824000000001</v>
      </c>
    </row>
    <row r="22" spans="1:9" ht="15.75" hidden="1" customHeight="1">
      <c r="A22" s="21">
        <v>7</v>
      </c>
      <c r="B22" s="60" t="s">
        <v>99</v>
      </c>
      <c r="C22" s="61" t="s">
        <v>51</v>
      </c>
      <c r="D22" s="60" t="s">
        <v>96</v>
      </c>
      <c r="E22" s="62">
        <v>293.76</v>
      </c>
      <c r="F22" s="63">
        <f>SUM(E22/100)</f>
        <v>2.9375999999999998</v>
      </c>
      <c r="G22" s="63">
        <v>287.83999999999997</v>
      </c>
      <c r="H22" s="64">
        <f t="shared" si="0"/>
        <v>0.84555878399999984</v>
      </c>
      <c r="I22" s="10">
        <v>0</v>
      </c>
    </row>
    <row r="23" spans="1:9" ht="15.75" hidden="1" customHeight="1">
      <c r="A23" s="21">
        <v>8</v>
      </c>
      <c r="B23" s="60" t="s">
        <v>100</v>
      </c>
      <c r="C23" s="61" t="s">
        <v>51</v>
      </c>
      <c r="D23" s="60" t="s">
        <v>96</v>
      </c>
      <c r="E23" s="65">
        <v>17.64</v>
      </c>
      <c r="F23" s="63">
        <f>SUM(E23/100)</f>
        <v>0.1764</v>
      </c>
      <c r="G23" s="63">
        <v>47.34</v>
      </c>
      <c r="H23" s="64">
        <f t="shared" si="0"/>
        <v>8.3507760000000007E-3</v>
      </c>
      <c r="I23" s="10">
        <v>0</v>
      </c>
    </row>
    <row r="24" spans="1:9" ht="15.75" hidden="1" customHeight="1">
      <c r="A24" s="21">
        <v>9</v>
      </c>
      <c r="B24" s="60" t="s">
        <v>101</v>
      </c>
      <c r="C24" s="61" t="s">
        <v>51</v>
      </c>
      <c r="D24" s="60" t="s">
        <v>102</v>
      </c>
      <c r="E24" s="62">
        <v>10.8</v>
      </c>
      <c r="F24" s="63">
        <f>E24/100</f>
        <v>0.10800000000000001</v>
      </c>
      <c r="G24" s="63">
        <v>416.62</v>
      </c>
      <c r="H24" s="64">
        <f t="shared" si="0"/>
        <v>4.4994960000000007E-2</v>
      </c>
      <c r="I24" s="10">
        <v>0</v>
      </c>
    </row>
    <row r="25" spans="1:9" ht="15.75" hidden="1" customHeight="1">
      <c r="A25" s="21">
        <v>10</v>
      </c>
      <c r="B25" s="60" t="s">
        <v>103</v>
      </c>
      <c r="C25" s="61" t="s">
        <v>51</v>
      </c>
      <c r="D25" s="60" t="s">
        <v>52</v>
      </c>
      <c r="E25" s="62">
        <v>12.6</v>
      </c>
      <c r="F25" s="63">
        <f>E25/100</f>
        <v>0.126</v>
      </c>
      <c r="G25" s="63">
        <v>231.03</v>
      </c>
      <c r="H25" s="64">
        <f>G25*F25/1000</f>
        <v>2.9109780000000002E-2</v>
      </c>
      <c r="I25" s="10">
        <v>0</v>
      </c>
    </row>
    <row r="26" spans="1:9" ht="15.75" hidden="1" customHeight="1">
      <c r="A26" s="21">
        <v>11</v>
      </c>
      <c r="B26" s="60" t="s">
        <v>104</v>
      </c>
      <c r="C26" s="61" t="s">
        <v>51</v>
      </c>
      <c r="D26" s="60" t="s">
        <v>96</v>
      </c>
      <c r="E26" s="62">
        <v>14.4</v>
      </c>
      <c r="F26" s="63">
        <f>SUM(E26/100)</f>
        <v>0.14400000000000002</v>
      </c>
      <c r="G26" s="63">
        <v>556.74</v>
      </c>
      <c r="H26" s="64">
        <f t="shared" si="0"/>
        <v>8.0170560000000016E-2</v>
      </c>
      <c r="I26" s="10">
        <v>0</v>
      </c>
    </row>
    <row r="27" spans="1:9" ht="15.75" customHeight="1">
      <c r="A27" s="21">
        <v>5</v>
      </c>
      <c r="B27" s="60" t="s">
        <v>62</v>
      </c>
      <c r="C27" s="61" t="s">
        <v>31</v>
      </c>
      <c r="D27" s="60"/>
      <c r="E27" s="62">
        <v>0.1</v>
      </c>
      <c r="F27" s="63">
        <f>SUM(E27*365)</f>
        <v>36.5</v>
      </c>
      <c r="G27" s="63">
        <v>157.18</v>
      </c>
      <c r="H27" s="64">
        <f>SUM(F27*G27/1000)</f>
        <v>5.737070000000001</v>
      </c>
      <c r="I27" s="10">
        <f>F27/12*G27</f>
        <v>478.08916666666664</v>
      </c>
    </row>
    <row r="28" spans="1:9" ht="15.75" customHeight="1">
      <c r="A28" s="21">
        <v>6</v>
      </c>
      <c r="B28" s="68" t="s">
        <v>23</v>
      </c>
      <c r="C28" s="61" t="s">
        <v>24</v>
      </c>
      <c r="D28" s="60"/>
      <c r="E28" s="62">
        <v>2054.6</v>
      </c>
      <c r="F28" s="63">
        <f>SUM(E28*12)</f>
        <v>24655.199999999997</v>
      </c>
      <c r="G28" s="63">
        <v>6.15</v>
      </c>
      <c r="H28" s="64">
        <f>SUM(F28*G28/1000)</f>
        <v>151.62947999999997</v>
      </c>
      <c r="I28" s="10">
        <f>F28/12*G28</f>
        <v>12635.79</v>
      </c>
    </row>
    <row r="29" spans="1:9" ht="15.75" customHeight="1">
      <c r="A29" s="108" t="s">
        <v>84</v>
      </c>
      <c r="B29" s="109"/>
      <c r="C29" s="109"/>
      <c r="D29" s="109"/>
      <c r="E29" s="109"/>
      <c r="F29" s="109"/>
      <c r="G29" s="109"/>
      <c r="H29" s="109"/>
      <c r="I29" s="110"/>
    </row>
    <row r="30" spans="1:9" ht="15.75" customHeight="1">
      <c r="A30" s="21"/>
      <c r="B30" s="81" t="s">
        <v>27</v>
      </c>
      <c r="C30" s="61"/>
      <c r="D30" s="60"/>
      <c r="E30" s="62"/>
      <c r="F30" s="63"/>
      <c r="G30" s="63"/>
      <c r="H30" s="64"/>
      <c r="I30" s="10"/>
    </row>
    <row r="31" spans="1:9" ht="15.75" customHeight="1">
      <c r="A31" s="21">
        <v>7</v>
      </c>
      <c r="B31" s="60" t="s">
        <v>109</v>
      </c>
      <c r="C31" s="61" t="s">
        <v>90</v>
      </c>
      <c r="D31" s="60" t="s">
        <v>164</v>
      </c>
      <c r="E31" s="63">
        <v>600.63</v>
      </c>
      <c r="F31" s="63">
        <f>SUM(E31*52/1000)</f>
        <v>31.232759999999999</v>
      </c>
      <c r="G31" s="63">
        <v>166.65</v>
      </c>
      <c r="H31" s="64">
        <f t="shared" ref="H31:H36" si="1">SUM(F31*G31/1000)</f>
        <v>5.2049394540000007</v>
      </c>
      <c r="I31" s="10">
        <f>F31/6*G31</f>
        <v>867.4899089999999</v>
      </c>
    </row>
    <row r="32" spans="1:9" ht="31.5" customHeight="1">
      <c r="A32" s="21">
        <v>8</v>
      </c>
      <c r="B32" s="60" t="s">
        <v>108</v>
      </c>
      <c r="C32" s="61" t="s">
        <v>90</v>
      </c>
      <c r="D32" s="60" t="s">
        <v>165</v>
      </c>
      <c r="E32" s="63">
        <v>186.39</v>
      </c>
      <c r="F32" s="63">
        <f>SUM(E32*78/1000)</f>
        <v>14.538419999999999</v>
      </c>
      <c r="G32" s="63">
        <v>276.48</v>
      </c>
      <c r="H32" s="64">
        <f t="shared" si="1"/>
        <v>4.0195823615999995</v>
      </c>
      <c r="I32" s="10">
        <f t="shared" ref="I32:I34" si="2">F32/6*G32</f>
        <v>669.93039359999989</v>
      </c>
    </row>
    <row r="33" spans="1:9" ht="15.75" hidden="1" customHeight="1">
      <c r="A33" s="21">
        <v>16</v>
      </c>
      <c r="B33" s="60" t="s">
        <v>26</v>
      </c>
      <c r="C33" s="61" t="s">
        <v>90</v>
      </c>
      <c r="D33" s="60" t="s">
        <v>52</v>
      </c>
      <c r="E33" s="63">
        <v>600.63</v>
      </c>
      <c r="F33" s="63">
        <f>SUM(E33/1000)</f>
        <v>0.60063</v>
      </c>
      <c r="G33" s="63">
        <v>3228.73</v>
      </c>
      <c r="H33" s="64">
        <f t="shared" si="1"/>
        <v>1.9392720999000002</v>
      </c>
      <c r="I33" s="10">
        <f>F33*G33</f>
        <v>1939.2720999000001</v>
      </c>
    </row>
    <row r="34" spans="1:9" ht="14.25" customHeight="1">
      <c r="A34" s="21">
        <v>9</v>
      </c>
      <c r="B34" s="60" t="s">
        <v>107</v>
      </c>
      <c r="C34" s="61" t="s">
        <v>29</v>
      </c>
      <c r="D34" s="60" t="s">
        <v>61</v>
      </c>
      <c r="E34" s="67">
        <v>0.33333333333333331</v>
      </c>
      <c r="F34" s="63">
        <f>155/3</f>
        <v>51.666666666666664</v>
      </c>
      <c r="G34" s="63">
        <v>60.6</v>
      </c>
      <c r="H34" s="64">
        <f>SUM(G34*155/3/1000)</f>
        <v>3.1309999999999998</v>
      </c>
      <c r="I34" s="10">
        <f t="shared" si="2"/>
        <v>521.83333333333337</v>
      </c>
    </row>
    <row r="35" spans="1:9" ht="15.75" hidden="1" customHeight="1">
      <c r="A35" s="21"/>
      <c r="B35" s="60" t="s">
        <v>63</v>
      </c>
      <c r="C35" s="61" t="s">
        <v>31</v>
      </c>
      <c r="D35" s="60" t="s">
        <v>65</v>
      </c>
      <c r="E35" s="62"/>
      <c r="F35" s="63">
        <v>2</v>
      </c>
      <c r="G35" s="63">
        <v>204.52</v>
      </c>
      <c r="H35" s="64">
        <f t="shared" si="1"/>
        <v>0.40904000000000001</v>
      </c>
      <c r="I35" s="10">
        <v>0</v>
      </c>
    </row>
    <row r="36" spans="1:9" ht="15.75" hidden="1" customHeight="1">
      <c r="A36" s="21"/>
      <c r="B36" s="60" t="s">
        <v>64</v>
      </c>
      <c r="C36" s="61" t="s">
        <v>30</v>
      </c>
      <c r="D36" s="60" t="s">
        <v>65</v>
      </c>
      <c r="E36" s="62"/>
      <c r="F36" s="63">
        <v>1</v>
      </c>
      <c r="G36" s="63">
        <v>1214.74</v>
      </c>
      <c r="H36" s="64">
        <f t="shared" si="1"/>
        <v>1.2147399999999999</v>
      </c>
      <c r="I36" s="10">
        <v>0</v>
      </c>
    </row>
    <row r="37" spans="1:9" ht="15.75" hidden="1" customHeight="1">
      <c r="A37" s="21"/>
      <c r="B37" s="81" t="s">
        <v>5</v>
      </c>
      <c r="C37" s="61"/>
      <c r="D37" s="60"/>
      <c r="E37" s="62"/>
      <c r="F37" s="63"/>
      <c r="G37" s="63"/>
      <c r="H37" s="64" t="s">
        <v>120</v>
      </c>
      <c r="I37" s="10"/>
    </row>
    <row r="38" spans="1:9" ht="15.75" hidden="1" customHeight="1">
      <c r="A38" s="21">
        <v>8</v>
      </c>
      <c r="B38" s="60" t="s">
        <v>25</v>
      </c>
      <c r="C38" s="61" t="s">
        <v>30</v>
      </c>
      <c r="D38" s="60"/>
      <c r="E38" s="62"/>
      <c r="F38" s="63">
        <v>5</v>
      </c>
      <c r="G38" s="63">
        <v>1632.6</v>
      </c>
      <c r="H38" s="64">
        <f t="shared" ref="H38:H44" si="3">SUM(F38*G38/1000)</f>
        <v>8.1630000000000003</v>
      </c>
      <c r="I38" s="10">
        <f>F38/6*G38</f>
        <v>1360.5</v>
      </c>
    </row>
    <row r="39" spans="1:9" ht="15.75" hidden="1" customHeight="1">
      <c r="A39" s="21">
        <v>9</v>
      </c>
      <c r="B39" s="60" t="s">
        <v>127</v>
      </c>
      <c r="C39" s="61" t="s">
        <v>28</v>
      </c>
      <c r="D39" s="60" t="s">
        <v>88</v>
      </c>
      <c r="E39" s="62">
        <v>186.39</v>
      </c>
      <c r="F39" s="63">
        <f>E39*30/1000</f>
        <v>5.5916999999999994</v>
      </c>
      <c r="G39" s="63">
        <v>2247.8000000000002</v>
      </c>
      <c r="H39" s="64">
        <f>G39*F39/1000</f>
        <v>12.56902326</v>
      </c>
      <c r="I39" s="10">
        <f>F39/6*G39</f>
        <v>2094.8372100000001</v>
      </c>
    </row>
    <row r="40" spans="1:9" ht="15.75" hidden="1" customHeight="1">
      <c r="A40" s="21"/>
      <c r="B40" s="60" t="s">
        <v>138</v>
      </c>
      <c r="C40" s="61" t="s">
        <v>139</v>
      </c>
      <c r="D40" s="60" t="s">
        <v>65</v>
      </c>
      <c r="E40" s="62"/>
      <c r="F40" s="63">
        <v>72.3</v>
      </c>
      <c r="G40" s="63">
        <v>199.44</v>
      </c>
      <c r="H40" s="64">
        <f>G40*F40/1000</f>
        <v>14.419511999999999</v>
      </c>
      <c r="I40" s="10">
        <v>0</v>
      </c>
    </row>
    <row r="41" spans="1:9" ht="15.75" hidden="1" customHeight="1">
      <c r="A41" s="21">
        <v>10</v>
      </c>
      <c r="B41" s="60" t="s">
        <v>66</v>
      </c>
      <c r="C41" s="61" t="s">
        <v>28</v>
      </c>
      <c r="D41" s="60" t="s">
        <v>89</v>
      </c>
      <c r="E41" s="63">
        <v>186.39</v>
      </c>
      <c r="F41" s="63">
        <f>SUM(E41*155/1000)</f>
        <v>28.890449999999998</v>
      </c>
      <c r="G41" s="63">
        <v>374.95</v>
      </c>
      <c r="H41" s="64">
        <f t="shared" si="3"/>
        <v>10.832474227499999</v>
      </c>
      <c r="I41" s="10">
        <f>F41/6*G41</f>
        <v>1805.4123712499998</v>
      </c>
    </row>
    <row r="42" spans="1:9" ht="47.25" hidden="1" customHeight="1">
      <c r="A42" s="21">
        <v>11</v>
      </c>
      <c r="B42" s="60" t="s">
        <v>82</v>
      </c>
      <c r="C42" s="61" t="s">
        <v>90</v>
      </c>
      <c r="D42" s="60" t="s">
        <v>128</v>
      </c>
      <c r="E42" s="63">
        <v>52.2</v>
      </c>
      <c r="F42" s="63">
        <f>SUM(E42*35/1000)</f>
        <v>1.827</v>
      </c>
      <c r="G42" s="63">
        <v>6203.7</v>
      </c>
      <c r="H42" s="64">
        <f t="shared" si="3"/>
        <v>11.3341599</v>
      </c>
      <c r="I42" s="10">
        <f>F42/6*G42</f>
        <v>1889.0266499999998</v>
      </c>
    </row>
    <row r="43" spans="1:9" ht="15.75" hidden="1" customHeight="1">
      <c r="A43" s="21">
        <v>12</v>
      </c>
      <c r="B43" s="60" t="s">
        <v>129</v>
      </c>
      <c r="C43" s="61" t="s">
        <v>90</v>
      </c>
      <c r="D43" s="60" t="s">
        <v>67</v>
      </c>
      <c r="E43" s="63">
        <v>52.2</v>
      </c>
      <c r="F43" s="63">
        <f>SUM(E43*45/1000)</f>
        <v>2.3490000000000002</v>
      </c>
      <c r="G43" s="63">
        <v>458.28</v>
      </c>
      <c r="H43" s="64">
        <f t="shared" si="3"/>
        <v>1.0764997199999999</v>
      </c>
      <c r="I43" s="10">
        <f>F43/6*G43</f>
        <v>179.41661999999999</v>
      </c>
    </row>
    <row r="44" spans="1:9" ht="15.75" hidden="1" customHeight="1">
      <c r="A44" s="21">
        <v>13</v>
      </c>
      <c r="B44" s="60" t="s">
        <v>68</v>
      </c>
      <c r="C44" s="61" t="s">
        <v>31</v>
      </c>
      <c r="D44" s="60"/>
      <c r="E44" s="62"/>
      <c r="F44" s="63">
        <v>0.5</v>
      </c>
      <c r="G44" s="63">
        <v>853.06</v>
      </c>
      <c r="H44" s="64">
        <f t="shared" si="3"/>
        <v>0.42652999999999996</v>
      </c>
      <c r="I44" s="10">
        <f>F44/6*G44</f>
        <v>71.088333333333324</v>
      </c>
    </row>
    <row r="45" spans="1:9" ht="18" customHeight="1">
      <c r="A45" s="108" t="s">
        <v>133</v>
      </c>
      <c r="B45" s="109"/>
      <c r="C45" s="109"/>
      <c r="D45" s="109"/>
      <c r="E45" s="109"/>
      <c r="F45" s="109"/>
      <c r="G45" s="109"/>
      <c r="H45" s="109"/>
      <c r="I45" s="110"/>
    </row>
    <row r="46" spans="1:9" ht="21.75" hidden="1" customHeight="1">
      <c r="A46" s="21"/>
      <c r="B46" s="60" t="s">
        <v>110</v>
      </c>
      <c r="C46" s="61" t="s">
        <v>90</v>
      </c>
      <c r="D46" s="60" t="s">
        <v>41</v>
      </c>
      <c r="E46" s="62">
        <v>917.75</v>
      </c>
      <c r="F46" s="63">
        <f>SUM(E46*2/1000)</f>
        <v>1.8354999999999999</v>
      </c>
      <c r="G46" s="10">
        <v>865.61</v>
      </c>
      <c r="H46" s="64">
        <f t="shared" ref="H46:H55" si="4">SUM(F46*G46/1000)</f>
        <v>1.5888271549999999</v>
      </c>
      <c r="I46" s="10">
        <v>0</v>
      </c>
    </row>
    <row r="47" spans="1:9" ht="21" hidden="1" customHeight="1">
      <c r="A47" s="21"/>
      <c r="B47" s="60" t="s">
        <v>34</v>
      </c>
      <c r="C47" s="61" t="s">
        <v>90</v>
      </c>
      <c r="D47" s="60" t="s">
        <v>41</v>
      </c>
      <c r="E47" s="62">
        <v>48</v>
      </c>
      <c r="F47" s="63">
        <f>E47*2/1000</f>
        <v>9.6000000000000002E-2</v>
      </c>
      <c r="G47" s="10">
        <v>619.46</v>
      </c>
      <c r="H47" s="64">
        <f t="shared" si="4"/>
        <v>5.9468160000000006E-2</v>
      </c>
      <c r="I47" s="10">
        <v>0</v>
      </c>
    </row>
    <row r="48" spans="1:9" ht="21" hidden="1" customHeight="1">
      <c r="A48" s="21"/>
      <c r="B48" s="60" t="s">
        <v>35</v>
      </c>
      <c r="C48" s="61" t="s">
        <v>90</v>
      </c>
      <c r="D48" s="60" t="s">
        <v>41</v>
      </c>
      <c r="E48" s="62">
        <v>937.4</v>
      </c>
      <c r="F48" s="63">
        <f>SUM(E48*2/1000)</f>
        <v>1.8748</v>
      </c>
      <c r="G48" s="10">
        <v>619.46</v>
      </c>
      <c r="H48" s="64">
        <f t="shared" si="4"/>
        <v>1.161363608</v>
      </c>
      <c r="I48" s="10">
        <v>0</v>
      </c>
    </row>
    <row r="49" spans="1:9" ht="21.75" hidden="1" customHeight="1">
      <c r="A49" s="21"/>
      <c r="B49" s="60" t="s">
        <v>36</v>
      </c>
      <c r="C49" s="61" t="s">
        <v>90</v>
      </c>
      <c r="D49" s="60" t="s">
        <v>41</v>
      </c>
      <c r="E49" s="62">
        <v>1243.28</v>
      </c>
      <c r="F49" s="63">
        <f>SUM(E49*2/1000)</f>
        <v>2.4865599999999999</v>
      </c>
      <c r="G49" s="10">
        <v>648.64</v>
      </c>
      <c r="H49" s="64">
        <f t="shared" si="4"/>
        <v>1.6128822783999999</v>
      </c>
      <c r="I49" s="10">
        <v>0</v>
      </c>
    </row>
    <row r="50" spans="1:9" ht="22.5" hidden="1" customHeight="1">
      <c r="A50" s="21"/>
      <c r="B50" s="60" t="s">
        <v>32</v>
      </c>
      <c r="C50" s="61" t="s">
        <v>33</v>
      </c>
      <c r="D50" s="60" t="s">
        <v>41</v>
      </c>
      <c r="E50" s="62">
        <v>64.5</v>
      </c>
      <c r="F50" s="63">
        <f>SUM(E50*2/100)</f>
        <v>1.29</v>
      </c>
      <c r="G50" s="10">
        <v>77.84</v>
      </c>
      <c r="H50" s="64">
        <f t="shared" si="4"/>
        <v>0.10041360000000001</v>
      </c>
      <c r="I50" s="10">
        <v>0</v>
      </c>
    </row>
    <row r="51" spans="1:9" ht="23.25" hidden="1" customHeight="1">
      <c r="A51" s="21">
        <v>14</v>
      </c>
      <c r="B51" s="60" t="s">
        <v>54</v>
      </c>
      <c r="C51" s="61" t="s">
        <v>90</v>
      </c>
      <c r="D51" s="60" t="s">
        <v>144</v>
      </c>
      <c r="E51" s="62">
        <v>678.4</v>
      </c>
      <c r="F51" s="63">
        <f>SUM(E51*5/1000)</f>
        <v>3.3919999999999999</v>
      </c>
      <c r="G51" s="10">
        <v>1297.28</v>
      </c>
      <c r="H51" s="64">
        <f t="shared" si="4"/>
        <v>4.4003737599999999</v>
      </c>
      <c r="I51" s="10">
        <f>F51/5*G51</f>
        <v>880.07475199999999</v>
      </c>
    </row>
    <row r="52" spans="1:9" ht="30.75" customHeight="1">
      <c r="A52" s="21">
        <v>10</v>
      </c>
      <c r="B52" s="60" t="s">
        <v>91</v>
      </c>
      <c r="C52" s="61" t="s">
        <v>90</v>
      </c>
      <c r="D52" s="60" t="s">
        <v>41</v>
      </c>
      <c r="E52" s="62">
        <v>678.4</v>
      </c>
      <c r="F52" s="63">
        <f>SUM(E52*2/1000)</f>
        <v>1.3568</v>
      </c>
      <c r="G52" s="10">
        <v>1297.28</v>
      </c>
      <c r="H52" s="64">
        <f t="shared" si="4"/>
        <v>1.7601495039999999</v>
      </c>
      <c r="I52" s="10">
        <f>G52*F52/2</f>
        <v>880.07475199999999</v>
      </c>
    </row>
    <row r="53" spans="1:9" ht="29.25" customHeight="1">
      <c r="A53" s="21">
        <v>11</v>
      </c>
      <c r="B53" s="60" t="s">
        <v>92</v>
      </c>
      <c r="C53" s="61" t="s">
        <v>37</v>
      </c>
      <c r="D53" s="60" t="s">
        <v>41</v>
      </c>
      <c r="E53" s="62">
        <v>12</v>
      </c>
      <c r="F53" s="63">
        <f>SUM(E53*2/100)</f>
        <v>0.24</v>
      </c>
      <c r="G53" s="10">
        <v>2918.89</v>
      </c>
      <c r="H53" s="64">
        <f t="shared" si="4"/>
        <v>0.70053359999999998</v>
      </c>
      <c r="I53" s="10">
        <f>G53*F53/2</f>
        <v>350.26679999999999</v>
      </c>
    </row>
    <row r="54" spans="1:9" ht="21.75" customHeight="1">
      <c r="A54" s="21">
        <v>12</v>
      </c>
      <c r="B54" s="60" t="s">
        <v>38</v>
      </c>
      <c r="C54" s="61" t="s">
        <v>39</v>
      </c>
      <c r="D54" s="60" t="s">
        <v>41</v>
      </c>
      <c r="E54" s="62">
        <v>1</v>
      </c>
      <c r="F54" s="63">
        <v>0.02</v>
      </c>
      <c r="G54" s="10">
        <v>6042.12</v>
      </c>
      <c r="H54" s="64">
        <f t="shared" si="4"/>
        <v>0.1208424</v>
      </c>
      <c r="I54" s="10">
        <f>G54*F54/2</f>
        <v>60.421199999999999</v>
      </c>
    </row>
    <row r="55" spans="1:9" ht="21" hidden="1" customHeight="1">
      <c r="A55" s="21">
        <v>15</v>
      </c>
      <c r="B55" s="60" t="s">
        <v>40</v>
      </c>
      <c r="C55" s="61" t="s">
        <v>111</v>
      </c>
      <c r="D55" s="60" t="s">
        <v>69</v>
      </c>
      <c r="E55" s="62">
        <v>72</v>
      </c>
      <c r="F55" s="63">
        <f>SUM(E55)*3</f>
        <v>216</v>
      </c>
      <c r="G55" s="10">
        <v>70.209999999999994</v>
      </c>
      <c r="H55" s="64">
        <f t="shared" si="4"/>
        <v>15.165359999999998</v>
      </c>
      <c r="I55" s="10">
        <f>E55*G55</f>
        <v>5055.12</v>
      </c>
    </row>
    <row r="56" spans="1:9" ht="15.75" customHeight="1">
      <c r="A56" s="108" t="s">
        <v>134</v>
      </c>
      <c r="B56" s="109"/>
      <c r="C56" s="109"/>
      <c r="D56" s="109"/>
      <c r="E56" s="109"/>
      <c r="F56" s="109"/>
      <c r="G56" s="109"/>
      <c r="H56" s="109"/>
      <c r="I56" s="110"/>
    </row>
    <row r="57" spans="1:9" ht="15.75" hidden="1" customHeight="1">
      <c r="A57" s="21"/>
      <c r="B57" s="81" t="s">
        <v>42</v>
      </c>
      <c r="C57" s="61"/>
      <c r="D57" s="60"/>
      <c r="E57" s="62"/>
      <c r="F57" s="63"/>
      <c r="G57" s="63"/>
      <c r="H57" s="64"/>
      <c r="I57" s="10"/>
    </row>
    <row r="58" spans="1:9" ht="31.5" hidden="1" customHeight="1">
      <c r="A58" s="21">
        <v>16</v>
      </c>
      <c r="B58" s="60" t="s">
        <v>112</v>
      </c>
      <c r="C58" s="61" t="s">
        <v>87</v>
      </c>
      <c r="D58" s="60" t="s">
        <v>113</v>
      </c>
      <c r="E58" s="62">
        <v>110.66</v>
      </c>
      <c r="F58" s="63">
        <f>SUM(E58*6/100)</f>
        <v>6.6396000000000006</v>
      </c>
      <c r="G58" s="10">
        <v>1654.04</v>
      </c>
      <c r="H58" s="64">
        <f>SUM(F58*G58/1000)</f>
        <v>10.982163984000001</v>
      </c>
      <c r="I58" s="10">
        <f>F58/6*G58</f>
        <v>1830.360664</v>
      </c>
    </row>
    <row r="59" spans="1:9" ht="15.75" customHeight="1">
      <c r="A59" s="21"/>
      <c r="B59" s="82" t="s">
        <v>43</v>
      </c>
      <c r="C59" s="69"/>
      <c r="D59" s="70"/>
      <c r="E59" s="71"/>
      <c r="F59" s="72"/>
      <c r="G59" s="72"/>
      <c r="H59" s="73" t="s">
        <v>120</v>
      </c>
      <c r="I59" s="10"/>
    </row>
    <row r="60" spans="1:9" ht="15.75" customHeight="1">
      <c r="A60" s="21">
        <v>13</v>
      </c>
      <c r="B60" s="11" t="s">
        <v>44</v>
      </c>
      <c r="C60" s="13" t="s">
        <v>111</v>
      </c>
      <c r="D60" s="11" t="s">
        <v>65</v>
      </c>
      <c r="E60" s="15">
        <v>8</v>
      </c>
      <c r="F60" s="63">
        <v>8</v>
      </c>
      <c r="G60" s="10">
        <v>237.74</v>
      </c>
      <c r="H60" s="74">
        <f t="shared" ref="H60:H73" si="5">SUM(F60*G60/1000)</f>
        <v>1.9019200000000001</v>
      </c>
      <c r="I60" s="10">
        <f>G60*4</f>
        <v>950.96</v>
      </c>
    </row>
    <row r="61" spans="1:9" ht="15.75" hidden="1" customHeight="1">
      <c r="A61" s="21"/>
      <c r="B61" s="11" t="s">
        <v>45</v>
      </c>
      <c r="C61" s="13" t="s">
        <v>111</v>
      </c>
      <c r="D61" s="11" t="s">
        <v>65</v>
      </c>
      <c r="E61" s="15">
        <v>3</v>
      </c>
      <c r="F61" s="63">
        <v>3</v>
      </c>
      <c r="G61" s="10">
        <v>81.510000000000005</v>
      </c>
      <c r="H61" s="74">
        <f t="shared" si="5"/>
        <v>0.24453000000000003</v>
      </c>
      <c r="I61" s="10">
        <v>0</v>
      </c>
    </row>
    <row r="62" spans="1:9" ht="15.75" hidden="1" customHeight="1">
      <c r="A62" s="21"/>
      <c r="B62" s="11" t="s">
        <v>46</v>
      </c>
      <c r="C62" s="13" t="s">
        <v>114</v>
      </c>
      <c r="D62" s="11" t="s">
        <v>52</v>
      </c>
      <c r="E62" s="62">
        <v>8539</v>
      </c>
      <c r="F62" s="10">
        <f>SUM(E62/100)</f>
        <v>85.39</v>
      </c>
      <c r="G62" s="10">
        <v>226.79</v>
      </c>
      <c r="H62" s="74">
        <f t="shared" si="5"/>
        <v>19.3655981</v>
      </c>
      <c r="I62" s="10">
        <v>0</v>
      </c>
    </row>
    <row r="63" spans="1:9" ht="15.75" hidden="1" customHeight="1">
      <c r="A63" s="21"/>
      <c r="B63" s="11" t="s">
        <v>47</v>
      </c>
      <c r="C63" s="13" t="s">
        <v>115</v>
      </c>
      <c r="D63" s="11"/>
      <c r="E63" s="62">
        <v>8539</v>
      </c>
      <c r="F63" s="10">
        <f>SUM(E63/1000)</f>
        <v>8.5389999999999997</v>
      </c>
      <c r="G63" s="10">
        <v>176.61</v>
      </c>
      <c r="H63" s="74">
        <f t="shared" si="5"/>
        <v>1.5080727900000002</v>
      </c>
      <c r="I63" s="10">
        <v>0</v>
      </c>
    </row>
    <row r="64" spans="1:9" ht="15.75" hidden="1" customHeight="1">
      <c r="A64" s="21"/>
      <c r="B64" s="11" t="s">
        <v>48</v>
      </c>
      <c r="C64" s="13" t="s">
        <v>75</v>
      </c>
      <c r="D64" s="11" t="s">
        <v>52</v>
      </c>
      <c r="E64" s="62">
        <v>1370</v>
      </c>
      <c r="F64" s="10">
        <f>SUM(E64/100)</f>
        <v>13.7</v>
      </c>
      <c r="G64" s="10">
        <v>2217.7800000000002</v>
      </c>
      <c r="H64" s="74">
        <f t="shared" si="5"/>
        <v>30.383586000000005</v>
      </c>
      <c r="I64" s="10">
        <v>0</v>
      </c>
    </row>
    <row r="65" spans="1:9" ht="15.75" hidden="1" customHeight="1">
      <c r="A65" s="21"/>
      <c r="B65" s="75" t="s">
        <v>116</v>
      </c>
      <c r="C65" s="13" t="s">
        <v>31</v>
      </c>
      <c r="D65" s="11"/>
      <c r="E65" s="62">
        <v>9</v>
      </c>
      <c r="F65" s="10">
        <f>SUM(E65)</f>
        <v>9</v>
      </c>
      <c r="G65" s="10">
        <v>42.67</v>
      </c>
      <c r="H65" s="74">
        <f t="shared" si="5"/>
        <v>0.38403000000000004</v>
      </c>
      <c r="I65" s="10">
        <v>0</v>
      </c>
    </row>
    <row r="66" spans="1:9" ht="15.75" hidden="1" customHeight="1">
      <c r="A66" s="21"/>
      <c r="B66" s="75" t="s">
        <v>117</v>
      </c>
      <c r="C66" s="13" t="s">
        <v>31</v>
      </c>
      <c r="D66" s="11"/>
      <c r="E66" s="62">
        <v>9</v>
      </c>
      <c r="F66" s="10">
        <f>SUM(E66)</f>
        <v>9</v>
      </c>
      <c r="G66" s="10">
        <v>39.81</v>
      </c>
      <c r="H66" s="74">
        <f t="shared" si="5"/>
        <v>0.35829</v>
      </c>
      <c r="I66" s="10">
        <v>0</v>
      </c>
    </row>
    <row r="67" spans="1:9" ht="15.75" hidden="1" customHeight="1">
      <c r="A67" s="21"/>
      <c r="B67" s="11" t="s">
        <v>55</v>
      </c>
      <c r="C67" s="13" t="s">
        <v>56</v>
      </c>
      <c r="D67" s="11" t="s">
        <v>52</v>
      </c>
      <c r="E67" s="15">
        <v>3</v>
      </c>
      <c r="F67" s="63">
        <v>3</v>
      </c>
      <c r="G67" s="10">
        <v>53.62</v>
      </c>
      <c r="H67" s="74">
        <f t="shared" si="5"/>
        <v>0.16085999999999998</v>
      </c>
      <c r="I67" s="10">
        <v>0</v>
      </c>
    </row>
    <row r="68" spans="1:9" ht="15.75" hidden="1" customHeight="1">
      <c r="A68" s="21"/>
      <c r="B68" s="23" t="s">
        <v>70</v>
      </c>
      <c r="C68" s="13"/>
      <c r="D68" s="11"/>
      <c r="E68" s="15"/>
      <c r="F68" s="10"/>
      <c r="G68" s="10"/>
      <c r="H68" s="74" t="s">
        <v>120</v>
      </c>
      <c r="I68" s="10"/>
    </row>
    <row r="69" spans="1:9" ht="15.75" hidden="1" customHeight="1">
      <c r="A69" s="21"/>
      <c r="B69" s="11" t="s">
        <v>71</v>
      </c>
      <c r="C69" s="13" t="s">
        <v>73</v>
      </c>
      <c r="D69" s="11"/>
      <c r="E69" s="15">
        <v>2</v>
      </c>
      <c r="F69" s="10">
        <v>0.2</v>
      </c>
      <c r="G69" s="10">
        <v>536.23</v>
      </c>
      <c r="H69" s="74">
        <f t="shared" si="5"/>
        <v>0.10724600000000001</v>
      </c>
      <c r="I69" s="10">
        <v>0</v>
      </c>
    </row>
    <row r="70" spans="1:9" ht="15.75" hidden="1" customHeight="1">
      <c r="A70" s="21"/>
      <c r="B70" s="11" t="s">
        <v>72</v>
      </c>
      <c r="C70" s="13" t="s">
        <v>29</v>
      </c>
      <c r="D70" s="11"/>
      <c r="E70" s="15">
        <v>1</v>
      </c>
      <c r="F70" s="56">
        <v>1</v>
      </c>
      <c r="G70" s="10">
        <v>911.85</v>
      </c>
      <c r="H70" s="74">
        <f>F70*G70/1000</f>
        <v>0.91185000000000005</v>
      </c>
      <c r="I70" s="10">
        <v>0</v>
      </c>
    </row>
    <row r="71" spans="1:9" ht="15.75" hidden="1" customHeight="1">
      <c r="A71" s="21"/>
      <c r="B71" s="11" t="s">
        <v>130</v>
      </c>
      <c r="C71" s="13" t="s">
        <v>29</v>
      </c>
      <c r="D71" s="11"/>
      <c r="E71" s="15">
        <v>1</v>
      </c>
      <c r="F71" s="10">
        <v>1</v>
      </c>
      <c r="G71" s="10">
        <v>383.25</v>
      </c>
      <c r="H71" s="74">
        <f>G71*F71/1000</f>
        <v>0.38324999999999998</v>
      </c>
      <c r="I71" s="10">
        <v>0</v>
      </c>
    </row>
    <row r="72" spans="1:9" ht="15.75" hidden="1" customHeight="1">
      <c r="A72" s="21"/>
      <c r="B72" s="76" t="s">
        <v>74</v>
      </c>
      <c r="C72" s="13"/>
      <c r="D72" s="11"/>
      <c r="E72" s="15"/>
      <c r="F72" s="10"/>
      <c r="G72" s="10" t="s">
        <v>120</v>
      </c>
      <c r="H72" s="74" t="s">
        <v>120</v>
      </c>
      <c r="I72" s="10"/>
    </row>
    <row r="73" spans="1:9" ht="15.75" hidden="1" customHeight="1">
      <c r="A73" s="21"/>
      <c r="B73" s="36" t="s">
        <v>121</v>
      </c>
      <c r="C73" s="13" t="s">
        <v>75</v>
      </c>
      <c r="D73" s="11"/>
      <c r="E73" s="15"/>
      <c r="F73" s="10">
        <v>1.35</v>
      </c>
      <c r="G73" s="10">
        <v>2949.85</v>
      </c>
      <c r="H73" s="74">
        <f t="shared" si="5"/>
        <v>3.9822975</v>
      </c>
      <c r="I73" s="10">
        <v>0</v>
      </c>
    </row>
    <row r="74" spans="1:9" ht="19.5" customHeight="1">
      <c r="A74" s="21"/>
      <c r="B74" s="55" t="s">
        <v>93</v>
      </c>
      <c r="C74" s="77"/>
      <c r="D74" s="23"/>
      <c r="E74" s="24"/>
      <c r="F74" s="66"/>
      <c r="G74" s="66"/>
      <c r="H74" s="78">
        <f>SUM(H58:H73)</f>
        <v>70.673694374000007</v>
      </c>
      <c r="I74" s="66"/>
    </row>
    <row r="75" spans="1:9" ht="15" customHeight="1">
      <c r="A75" s="21">
        <v>14</v>
      </c>
      <c r="B75" s="60" t="s">
        <v>118</v>
      </c>
      <c r="C75" s="13"/>
      <c r="D75" s="11"/>
      <c r="E75" s="79"/>
      <c r="F75" s="10">
        <v>1</v>
      </c>
      <c r="G75" s="10">
        <v>1046.8</v>
      </c>
      <c r="H75" s="74">
        <f>G75*F75/1000</f>
        <v>1.0468</v>
      </c>
      <c r="I75" s="10">
        <f>G75*1</f>
        <v>1046.8</v>
      </c>
    </row>
    <row r="76" spans="1:9" ht="15.75" customHeight="1">
      <c r="A76" s="108" t="s">
        <v>135</v>
      </c>
      <c r="B76" s="109"/>
      <c r="C76" s="109"/>
      <c r="D76" s="109"/>
      <c r="E76" s="109"/>
      <c r="F76" s="109"/>
      <c r="G76" s="109"/>
      <c r="H76" s="109"/>
      <c r="I76" s="110"/>
    </row>
    <row r="77" spans="1:9" ht="15.75" customHeight="1">
      <c r="A77" s="21">
        <v>15</v>
      </c>
      <c r="B77" s="60" t="s">
        <v>119</v>
      </c>
      <c r="C77" s="13" t="s">
        <v>53</v>
      </c>
      <c r="D77" s="80" t="s">
        <v>145</v>
      </c>
      <c r="E77" s="10">
        <v>2054.6</v>
      </c>
      <c r="F77" s="10">
        <f>SUM(E77*12)</f>
        <v>24655.199999999997</v>
      </c>
      <c r="G77" s="10">
        <v>2.2400000000000002</v>
      </c>
      <c r="H77" s="74">
        <f>SUM(F77*G77/1000)</f>
        <v>55.227648000000002</v>
      </c>
      <c r="I77" s="10">
        <f>F77/12*G77</f>
        <v>4602.3040000000001</v>
      </c>
    </row>
    <row r="78" spans="1:9" ht="31.5" customHeight="1">
      <c r="A78" s="21">
        <v>16</v>
      </c>
      <c r="B78" s="11" t="s">
        <v>76</v>
      </c>
      <c r="C78" s="13"/>
      <c r="D78" s="80" t="s">
        <v>145</v>
      </c>
      <c r="E78" s="62">
        <f>E77</f>
        <v>2054.6</v>
      </c>
      <c r="F78" s="10">
        <f>E78*12</f>
        <v>24655.199999999997</v>
      </c>
      <c r="G78" s="10">
        <v>1.74</v>
      </c>
      <c r="H78" s="74">
        <f>F78*G78/1000</f>
        <v>42.900047999999998</v>
      </c>
      <c r="I78" s="10">
        <f>F78/12*G78</f>
        <v>3575.0039999999999</v>
      </c>
    </row>
    <row r="79" spans="1:9" ht="15.75" customHeight="1">
      <c r="A79" s="21"/>
      <c r="B79" s="28" t="s">
        <v>78</v>
      </c>
      <c r="C79" s="77"/>
      <c r="D79" s="76"/>
      <c r="E79" s="66"/>
      <c r="F79" s="66"/>
      <c r="G79" s="66"/>
      <c r="H79" s="78">
        <f>H78</f>
        <v>42.900047999999998</v>
      </c>
      <c r="I79" s="66">
        <f>I78+I77+I75+I60+I54+I53+I52+I34+I32+I31+I28+I27+I20+I18+I17+I16</f>
        <v>33061.882962600001</v>
      </c>
    </row>
    <row r="80" spans="1:9" ht="15.75" customHeight="1">
      <c r="A80" s="122" t="s">
        <v>58</v>
      </c>
      <c r="B80" s="123"/>
      <c r="C80" s="123"/>
      <c r="D80" s="123"/>
      <c r="E80" s="123"/>
      <c r="F80" s="123"/>
      <c r="G80" s="123"/>
      <c r="H80" s="123"/>
      <c r="I80" s="124"/>
    </row>
    <row r="81" spans="1:9" ht="15.75" customHeight="1">
      <c r="A81" s="21" t="s">
        <v>236</v>
      </c>
      <c r="B81" s="39" t="s">
        <v>122</v>
      </c>
      <c r="C81" s="40" t="s">
        <v>111</v>
      </c>
      <c r="D81" s="36"/>
      <c r="E81" s="10"/>
      <c r="F81" s="10">
        <v>432</v>
      </c>
      <c r="G81" s="10">
        <v>55.55</v>
      </c>
      <c r="H81" s="10">
        <f>G81*F81/1000</f>
        <v>23.997599999999998</v>
      </c>
      <c r="I81" s="10">
        <f>G81*36</f>
        <v>1999.8</v>
      </c>
    </row>
    <row r="82" spans="1:9" ht="15.75" customHeight="1">
      <c r="A82" s="21">
        <v>18</v>
      </c>
      <c r="B82" s="92" t="s">
        <v>219</v>
      </c>
      <c r="C82" s="42" t="s">
        <v>220</v>
      </c>
      <c r="D82" s="41"/>
      <c r="E82" s="27"/>
      <c r="F82" s="27">
        <v>5.5</v>
      </c>
      <c r="G82" s="27">
        <v>134.12</v>
      </c>
      <c r="H82" s="91">
        <f t="shared" ref="H82:H85" si="6">G82*F82/1000</f>
        <v>0.73766000000000009</v>
      </c>
      <c r="I82" s="10">
        <f>G82*7</f>
        <v>938.84</v>
      </c>
    </row>
    <row r="83" spans="1:9" ht="31.5" customHeight="1">
      <c r="A83" s="21">
        <v>19</v>
      </c>
      <c r="B83" s="92" t="s">
        <v>213</v>
      </c>
      <c r="C83" s="42" t="s">
        <v>214</v>
      </c>
      <c r="D83" s="41"/>
      <c r="E83" s="27"/>
      <c r="F83" s="27">
        <v>5</v>
      </c>
      <c r="G83" s="27">
        <v>24829.08</v>
      </c>
      <c r="H83" s="91">
        <f t="shared" si="6"/>
        <v>124.14540000000001</v>
      </c>
      <c r="I83" s="10">
        <f>G83*0.01</f>
        <v>248.29080000000002</v>
      </c>
    </row>
    <row r="84" spans="1:9" ht="13.5" customHeight="1">
      <c r="A84" s="21">
        <v>20</v>
      </c>
      <c r="B84" s="92" t="s">
        <v>233</v>
      </c>
      <c r="C84" s="42" t="s">
        <v>139</v>
      </c>
      <c r="D84" s="41"/>
      <c r="E84" s="27"/>
      <c r="F84" s="27">
        <v>12</v>
      </c>
      <c r="G84" s="27">
        <v>6312</v>
      </c>
      <c r="H84" s="91">
        <f t="shared" si="6"/>
        <v>75.744</v>
      </c>
      <c r="I84" s="10">
        <f>G84*0.009</f>
        <v>56.807999999999993</v>
      </c>
    </row>
    <row r="85" spans="1:9" ht="31.5" customHeight="1">
      <c r="A85" s="21">
        <v>21</v>
      </c>
      <c r="B85" s="92" t="s">
        <v>234</v>
      </c>
      <c r="C85" s="42" t="s">
        <v>37</v>
      </c>
      <c r="D85" s="41"/>
      <c r="E85" s="27"/>
      <c r="F85" s="27">
        <v>1</v>
      </c>
      <c r="G85" s="27">
        <v>3724.37</v>
      </c>
      <c r="H85" s="91">
        <f t="shared" si="6"/>
        <v>3.72437</v>
      </c>
      <c r="I85" s="10">
        <f>G85*0.02</f>
        <v>74.487399999999994</v>
      </c>
    </row>
    <row r="86" spans="1:9" ht="18" customHeight="1">
      <c r="A86" s="21">
        <v>22</v>
      </c>
      <c r="B86" s="70" t="s">
        <v>171</v>
      </c>
      <c r="C86" s="69" t="s">
        <v>172</v>
      </c>
      <c r="D86" s="70"/>
      <c r="E86" s="71"/>
      <c r="F86" s="72">
        <v>360</v>
      </c>
      <c r="G86" s="56">
        <v>1.2</v>
      </c>
      <c r="H86" s="73">
        <f>F86*G86/1000</f>
        <v>0.432</v>
      </c>
      <c r="I86" s="94">
        <f>G86*120</f>
        <v>144</v>
      </c>
    </row>
    <row r="87" spans="1:9" ht="18" customHeight="1">
      <c r="A87" s="21">
        <v>23</v>
      </c>
      <c r="B87" s="92" t="s">
        <v>235</v>
      </c>
      <c r="C87" s="42" t="s">
        <v>83</v>
      </c>
      <c r="D87" s="11"/>
      <c r="E87" s="79"/>
      <c r="F87" s="56"/>
      <c r="G87" s="27">
        <v>203.68</v>
      </c>
      <c r="H87" s="56"/>
      <c r="I87" s="94">
        <f>G87*1</f>
        <v>203.68</v>
      </c>
    </row>
    <row r="88" spans="1:9" ht="15.75" customHeight="1">
      <c r="A88" s="21"/>
      <c r="B88" s="34" t="s">
        <v>49</v>
      </c>
      <c r="C88" s="30"/>
      <c r="D88" s="37"/>
      <c r="E88" s="30">
        <v>1</v>
      </c>
      <c r="F88" s="30"/>
      <c r="G88" s="30"/>
      <c r="H88" s="30"/>
      <c r="I88" s="24">
        <f>SUM(I82:I87)</f>
        <v>1666.1062000000002</v>
      </c>
    </row>
    <row r="89" spans="1:9" ht="15.75" customHeight="1">
      <c r="A89" s="21"/>
      <c r="B89" s="36" t="s">
        <v>77</v>
      </c>
      <c r="C89" s="12"/>
      <c r="D89" s="12"/>
      <c r="E89" s="31"/>
      <c r="F89" s="31"/>
      <c r="G89" s="32"/>
      <c r="H89" s="32"/>
      <c r="I89" s="14">
        <v>0</v>
      </c>
    </row>
    <row r="90" spans="1:9" ht="15.75" customHeight="1">
      <c r="A90" s="38"/>
      <c r="B90" s="35" t="s">
        <v>50</v>
      </c>
      <c r="C90" s="26"/>
      <c r="D90" s="26"/>
      <c r="E90" s="26"/>
      <c r="F90" s="26"/>
      <c r="G90" s="26"/>
      <c r="H90" s="26"/>
      <c r="I90" s="33">
        <f>I79+I88</f>
        <v>34727.989162600003</v>
      </c>
    </row>
    <row r="91" spans="1:9" ht="15.75" customHeight="1">
      <c r="A91" s="125" t="s">
        <v>239</v>
      </c>
      <c r="B91" s="126"/>
      <c r="C91" s="126"/>
      <c r="D91" s="126"/>
      <c r="E91" s="126"/>
      <c r="F91" s="126"/>
      <c r="G91" s="126"/>
      <c r="H91" s="126"/>
      <c r="I91" s="126"/>
    </row>
    <row r="92" spans="1:9" ht="15.75">
      <c r="A92" s="121" t="s">
        <v>237</v>
      </c>
      <c r="B92" s="121"/>
      <c r="C92" s="121"/>
      <c r="D92" s="121"/>
      <c r="E92" s="121"/>
      <c r="F92" s="121"/>
      <c r="G92" s="121"/>
      <c r="H92" s="121"/>
      <c r="I92" s="121"/>
    </row>
    <row r="93" spans="1:9" ht="15.75">
      <c r="A93" s="48"/>
      <c r="B93" s="116" t="s">
        <v>238</v>
      </c>
      <c r="C93" s="116"/>
      <c r="D93" s="116"/>
      <c r="E93" s="116"/>
      <c r="F93" s="116"/>
      <c r="G93" s="116"/>
      <c r="H93" s="59"/>
      <c r="I93" s="2"/>
    </row>
    <row r="94" spans="1:9">
      <c r="A94" s="51"/>
      <c r="B94" s="112" t="s">
        <v>6</v>
      </c>
      <c r="C94" s="112"/>
      <c r="D94" s="112"/>
      <c r="E94" s="112"/>
      <c r="F94" s="112"/>
      <c r="G94" s="112"/>
      <c r="H94" s="16"/>
      <c r="I94" s="4"/>
    </row>
    <row r="95" spans="1:9">
      <c r="A95" s="7"/>
      <c r="B95" s="7"/>
      <c r="C95" s="7"/>
      <c r="D95" s="7"/>
      <c r="E95" s="7"/>
      <c r="F95" s="7"/>
      <c r="G95" s="7"/>
      <c r="H95" s="7"/>
      <c r="I95" s="7"/>
    </row>
    <row r="96" spans="1:9" ht="15.75">
      <c r="A96" s="117" t="s">
        <v>7</v>
      </c>
      <c r="B96" s="117"/>
      <c r="C96" s="117"/>
      <c r="D96" s="117"/>
      <c r="E96" s="117"/>
      <c r="F96" s="117"/>
      <c r="G96" s="117"/>
      <c r="H96" s="117"/>
      <c r="I96" s="117"/>
    </row>
    <row r="97" spans="1:9" ht="15.75">
      <c r="A97" s="117" t="s">
        <v>8</v>
      </c>
      <c r="B97" s="117"/>
      <c r="C97" s="117"/>
      <c r="D97" s="117"/>
      <c r="E97" s="117"/>
      <c r="F97" s="117"/>
      <c r="G97" s="117"/>
      <c r="H97" s="117"/>
      <c r="I97" s="117"/>
    </row>
    <row r="98" spans="1:9" ht="15.75">
      <c r="A98" s="118" t="s">
        <v>59</v>
      </c>
      <c r="B98" s="118"/>
      <c r="C98" s="118"/>
      <c r="D98" s="118"/>
      <c r="E98" s="118"/>
      <c r="F98" s="118"/>
      <c r="G98" s="118"/>
      <c r="H98" s="118"/>
      <c r="I98" s="118"/>
    </row>
    <row r="99" spans="1:9" ht="15.75">
      <c r="A99" s="8"/>
    </row>
    <row r="100" spans="1:9" ht="15.75">
      <c r="A100" s="119" t="s">
        <v>9</v>
      </c>
      <c r="B100" s="119"/>
      <c r="C100" s="119"/>
      <c r="D100" s="119"/>
      <c r="E100" s="119"/>
      <c r="F100" s="119"/>
      <c r="G100" s="119"/>
      <c r="H100" s="119"/>
      <c r="I100" s="119"/>
    </row>
    <row r="101" spans="1:9" ht="15.75">
      <c r="A101" s="3"/>
    </row>
    <row r="102" spans="1:9" ht="15.75">
      <c r="B102" s="52" t="s">
        <v>10</v>
      </c>
      <c r="C102" s="111" t="s">
        <v>136</v>
      </c>
      <c r="D102" s="111"/>
      <c r="E102" s="111"/>
      <c r="F102" s="57"/>
      <c r="I102" s="50"/>
    </row>
    <row r="103" spans="1:9">
      <c r="A103" s="51"/>
      <c r="C103" s="112" t="s">
        <v>11</v>
      </c>
      <c r="D103" s="112"/>
      <c r="E103" s="112"/>
      <c r="F103" s="16"/>
      <c r="I103" s="49" t="s">
        <v>12</v>
      </c>
    </row>
    <row r="104" spans="1:9" ht="15.75">
      <c r="A104" s="17"/>
      <c r="C104" s="9"/>
      <c r="D104" s="9"/>
      <c r="G104" s="9"/>
      <c r="H104" s="9"/>
    </row>
    <row r="105" spans="1:9" ht="15.75">
      <c r="B105" s="52" t="s">
        <v>13</v>
      </c>
      <c r="C105" s="113"/>
      <c r="D105" s="113"/>
      <c r="E105" s="113"/>
      <c r="F105" s="58"/>
      <c r="I105" s="50"/>
    </row>
    <row r="106" spans="1:9">
      <c r="A106" s="51"/>
      <c r="C106" s="114" t="s">
        <v>11</v>
      </c>
      <c r="D106" s="114"/>
      <c r="E106" s="114"/>
      <c r="F106" s="51"/>
      <c r="I106" s="49" t="s">
        <v>12</v>
      </c>
    </row>
    <row r="107" spans="1:9" ht="15.75">
      <c r="A107" s="3" t="s">
        <v>14</v>
      </c>
    </row>
    <row r="108" spans="1:9">
      <c r="A108" s="115" t="s">
        <v>15</v>
      </c>
      <c r="B108" s="115"/>
      <c r="C108" s="115"/>
      <c r="D108" s="115"/>
      <c r="E108" s="115"/>
      <c r="F108" s="115"/>
      <c r="G108" s="115"/>
      <c r="H108" s="115"/>
      <c r="I108" s="115"/>
    </row>
    <row r="109" spans="1:9" ht="45" customHeight="1">
      <c r="A109" s="107" t="s">
        <v>16</v>
      </c>
      <c r="B109" s="107"/>
      <c r="C109" s="107"/>
      <c r="D109" s="107"/>
      <c r="E109" s="107"/>
      <c r="F109" s="107"/>
      <c r="G109" s="107"/>
      <c r="H109" s="107"/>
      <c r="I109" s="107"/>
    </row>
    <row r="110" spans="1:9" ht="30" customHeight="1">
      <c r="A110" s="107" t="s">
        <v>17</v>
      </c>
      <c r="B110" s="107"/>
      <c r="C110" s="107"/>
      <c r="D110" s="107"/>
      <c r="E110" s="107"/>
      <c r="F110" s="107"/>
      <c r="G110" s="107"/>
      <c r="H110" s="107"/>
      <c r="I110" s="107"/>
    </row>
    <row r="111" spans="1:9" ht="30" customHeight="1">
      <c r="A111" s="107" t="s">
        <v>21</v>
      </c>
      <c r="B111" s="107"/>
      <c r="C111" s="107"/>
      <c r="D111" s="107"/>
      <c r="E111" s="107"/>
      <c r="F111" s="107"/>
      <c r="G111" s="107"/>
      <c r="H111" s="107"/>
      <c r="I111" s="107"/>
    </row>
    <row r="112" spans="1:9" ht="15" customHeight="1">
      <c r="A112" s="107" t="s">
        <v>20</v>
      </c>
      <c r="B112" s="107"/>
      <c r="C112" s="107"/>
      <c r="D112" s="107"/>
      <c r="E112" s="107"/>
      <c r="F112" s="107"/>
      <c r="G112" s="107"/>
      <c r="H112" s="107"/>
      <c r="I112" s="107"/>
    </row>
  </sheetData>
  <mergeCells count="29">
    <mergeCell ref="A110:I110"/>
    <mergeCell ref="A111:I111"/>
    <mergeCell ref="A112:I112"/>
    <mergeCell ref="C102:E102"/>
    <mergeCell ref="C103:E103"/>
    <mergeCell ref="C105:E105"/>
    <mergeCell ref="C106:E106"/>
    <mergeCell ref="A108:I108"/>
    <mergeCell ref="A109:I109"/>
    <mergeCell ref="A100:I100"/>
    <mergeCell ref="A15:I15"/>
    <mergeCell ref="A29:I29"/>
    <mergeCell ref="A45:I45"/>
    <mergeCell ref="A56:I56"/>
    <mergeCell ref="A76:I76"/>
    <mergeCell ref="A92:I92"/>
    <mergeCell ref="B93:G93"/>
    <mergeCell ref="B94:G94"/>
    <mergeCell ref="A96:I96"/>
    <mergeCell ref="A97:I97"/>
    <mergeCell ref="A98:I98"/>
    <mergeCell ref="A80:I80"/>
    <mergeCell ref="A91:I91"/>
    <mergeCell ref="A14:I14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118"/>
  <sheetViews>
    <sheetView topLeftCell="A44" workbookViewId="0">
      <selection activeCell="B85" sqref="B85:I85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194</v>
      </c>
      <c r="I1" s="18"/>
    </row>
    <row r="2" spans="1:9" ht="15.75">
      <c r="A2" s="20" t="s">
        <v>60</v>
      </c>
    </row>
    <row r="3" spans="1:9" ht="15.75">
      <c r="A3" s="128" t="s">
        <v>167</v>
      </c>
      <c r="B3" s="128"/>
      <c r="C3" s="128"/>
      <c r="D3" s="128"/>
      <c r="E3" s="128"/>
      <c r="F3" s="128"/>
      <c r="G3" s="128"/>
      <c r="H3" s="128"/>
      <c r="I3" s="128"/>
    </row>
    <row r="4" spans="1:9" ht="31.5" customHeight="1">
      <c r="A4" s="129" t="s">
        <v>132</v>
      </c>
      <c r="B4" s="129"/>
      <c r="C4" s="129"/>
      <c r="D4" s="129"/>
      <c r="E4" s="129"/>
      <c r="F4" s="129"/>
      <c r="G4" s="129"/>
      <c r="H4" s="129"/>
      <c r="I4" s="129"/>
    </row>
    <row r="5" spans="1:9" ht="15.75">
      <c r="A5" s="128" t="s">
        <v>240</v>
      </c>
      <c r="B5" s="130"/>
      <c r="C5" s="130"/>
      <c r="D5" s="130"/>
      <c r="E5" s="130"/>
      <c r="F5" s="130"/>
      <c r="G5" s="130"/>
      <c r="H5" s="130"/>
      <c r="I5" s="130"/>
    </row>
    <row r="6" spans="1:9" ht="15.75">
      <c r="A6" s="1"/>
      <c r="B6" s="85"/>
      <c r="C6" s="85"/>
      <c r="D6" s="85"/>
      <c r="E6" s="85"/>
      <c r="F6" s="85"/>
      <c r="G6" s="85"/>
      <c r="H6" s="85"/>
      <c r="I6" s="22">
        <v>43434</v>
      </c>
    </row>
    <row r="7" spans="1:9" ht="15.75">
      <c r="B7" s="86"/>
      <c r="C7" s="86"/>
      <c r="D7" s="86"/>
      <c r="E7" s="2"/>
      <c r="F7" s="2"/>
      <c r="G7" s="2"/>
      <c r="H7" s="2"/>
    </row>
    <row r="8" spans="1:9" ht="78.75" customHeight="1">
      <c r="A8" s="131" t="s">
        <v>196</v>
      </c>
      <c r="B8" s="131"/>
      <c r="C8" s="131"/>
      <c r="D8" s="131"/>
      <c r="E8" s="131"/>
      <c r="F8" s="131"/>
      <c r="G8" s="131"/>
      <c r="H8" s="131"/>
      <c r="I8" s="131"/>
    </row>
    <row r="9" spans="1:9" ht="15.75">
      <c r="A9" s="3"/>
    </row>
    <row r="10" spans="1:9" ht="47.25" customHeight="1">
      <c r="A10" s="132" t="s">
        <v>159</v>
      </c>
      <c r="B10" s="132"/>
      <c r="C10" s="132"/>
      <c r="D10" s="132"/>
      <c r="E10" s="132"/>
      <c r="F10" s="132"/>
      <c r="G10" s="132"/>
      <c r="H10" s="132"/>
      <c r="I10" s="132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>
      <c r="A14" s="127" t="s">
        <v>57</v>
      </c>
      <c r="B14" s="127"/>
      <c r="C14" s="127"/>
      <c r="D14" s="127"/>
      <c r="E14" s="127"/>
      <c r="F14" s="127"/>
      <c r="G14" s="127"/>
      <c r="H14" s="127"/>
      <c r="I14" s="127"/>
    </row>
    <row r="15" spans="1:9">
      <c r="A15" s="120" t="s">
        <v>4</v>
      </c>
      <c r="B15" s="120"/>
      <c r="C15" s="120"/>
      <c r="D15" s="120"/>
      <c r="E15" s="120"/>
      <c r="F15" s="120"/>
      <c r="G15" s="120"/>
      <c r="H15" s="120"/>
      <c r="I15" s="120"/>
    </row>
    <row r="16" spans="1:9" ht="15.75" customHeight="1">
      <c r="A16" s="21">
        <v>1</v>
      </c>
      <c r="B16" s="60" t="s">
        <v>86</v>
      </c>
      <c r="C16" s="61" t="s">
        <v>87</v>
      </c>
      <c r="D16" s="60" t="s">
        <v>160</v>
      </c>
      <c r="E16" s="62">
        <v>55</v>
      </c>
      <c r="F16" s="63">
        <f>SUM(E16*156/100)</f>
        <v>85.8</v>
      </c>
      <c r="G16" s="63">
        <v>187.48</v>
      </c>
      <c r="H16" s="64">
        <f t="shared" ref="H16:H26" si="0">SUM(F16*G16/1000)</f>
        <v>16.085783999999997</v>
      </c>
      <c r="I16" s="10">
        <f>F16/12*G16</f>
        <v>1340.4819999999997</v>
      </c>
    </row>
    <row r="17" spans="1:9" ht="15.75" customHeight="1">
      <c r="A17" s="21">
        <v>2</v>
      </c>
      <c r="B17" s="60" t="s">
        <v>123</v>
      </c>
      <c r="C17" s="61" t="s">
        <v>87</v>
      </c>
      <c r="D17" s="60" t="s">
        <v>161</v>
      </c>
      <c r="E17" s="62">
        <v>165</v>
      </c>
      <c r="F17" s="63">
        <f>SUM(E17*104/100)</f>
        <v>171.6</v>
      </c>
      <c r="G17" s="63">
        <v>187.48</v>
      </c>
      <c r="H17" s="64">
        <f t="shared" si="0"/>
        <v>32.171567999999994</v>
      </c>
      <c r="I17" s="10">
        <f>F17/12*G17</f>
        <v>2680.9639999999995</v>
      </c>
    </row>
    <row r="18" spans="1:9" ht="15.75" customHeight="1">
      <c r="A18" s="21">
        <v>3</v>
      </c>
      <c r="B18" s="60" t="s">
        <v>124</v>
      </c>
      <c r="C18" s="61" t="s">
        <v>87</v>
      </c>
      <c r="D18" s="60" t="s">
        <v>162</v>
      </c>
      <c r="E18" s="62">
        <f>SUM(E16+E17)</f>
        <v>220</v>
      </c>
      <c r="F18" s="63">
        <f>SUM(E18*24/100)</f>
        <v>52.8</v>
      </c>
      <c r="G18" s="63">
        <v>539.30999999999995</v>
      </c>
      <c r="H18" s="64">
        <f t="shared" si="0"/>
        <v>28.475567999999996</v>
      </c>
      <c r="I18" s="10">
        <f>F18/12*G18</f>
        <v>2372.9639999999995</v>
      </c>
    </row>
    <row r="19" spans="1:9" ht="15.75" hidden="1" customHeight="1">
      <c r="A19" s="21">
        <v>4</v>
      </c>
      <c r="B19" s="60" t="s">
        <v>94</v>
      </c>
      <c r="C19" s="61" t="s">
        <v>95</v>
      </c>
      <c r="D19" s="60" t="s">
        <v>96</v>
      </c>
      <c r="E19" s="62">
        <v>32.4</v>
      </c>
      <c r="F19" s="63">
        <f>SUM(E19/10)</f>
        <v>3.2399999999999998</v>
      </c>
      <c r="G19" s="63">
        <v>181.91</v>
      </c>
      <c r="H19" s="64">
        <f t="shared" si="0"/>
        <v>0.58938839999999992</v>
      </c>
      <c r="I19" s="10">
        <v>0</v>
      </c>
    </row>
    <row r="20" spans="1:9" ht="15.75" customHeight="1">
      <c r="A20" s="21">
        <v>4</v>
      </c>
      <c r="B20" s="60" t="s">
        <v>97</v>
      </c>
      <c r="C20" s="61" t="s">
        <v>87</v>
      </c>
      <c r="D20" s="60" t="s">
        <v>125</v>
      </c>
      <c r="E20" s="62">
        <v>12.24</v>
      </c>
      <c r="F20" s="63">
        <f>SUM(E20*12/100)</f>
        <v>1.4687999999999999</v>
      </c>
      <c r="G20" s="63">
        <v>232.92</v>
      </c>
      <c r="H20" s="64">
        <f t="shared" si="0"/>
        <v>0.342112896</v>
      </c>
      <c r="I20" s="10">
        <f>F20/12*G20</f>
        <v>28.509407999999997</v>
      </c>
    </row>
    <row r="21" spans="1:9" ht="15.75" customHeight="1">
      <c r="A21" s="21">
        <v>5</v>
      </c>
      <c r="B21" s="60" t="s">
        <v>98</v>
      </c>
      <c r="C21" s="61" t="s">
        <v>87</v>
      </c>
      <c r="D21" s="60" t="s">
        <v>126</v>
      </c>
      <c r="E21" s="62">
        <v>10.08</v>
      </c>
      <c r="F21" s="63">
        <f>SUM(E21*6/100)</f>
        <v>0.6048</v>
      </c>
      <c r="G21" s="63">
        <v>231.03</v>
      </c>
      <c r="H21" s="64">
        <f t="shared" si="0"/>
        <v>0.13972694399999999</v>
      </c>
      <c r="I21" s="10">
        <f>F21/6*G21</f>
        <v>23.287824000000001</v>
      </c>
    </row>
    <row r="22" spans="1:9" ht="15.75" hidden="1" customHeight="1">
      <c r="A22" s="21">
        <v>7</v>
      </c>
      <c r="B22" s="60" t="s">
        <v>99</v>
      </c>
      <c r="C22" s="61" t="s">
        <v>51</v>
      </c>
      <c r="D22" s="60" t="s">
        <v>96</v>
      </c>
      <c r="E22" s="62">
        <v>293.76</v>
      </c>
      <c r="F22" s="63">
        <f>SUM(E22/100)</f>
        <v>2.9375999999999998</v>
      </c>
      <c r="G22" s="63">
        <v>287.83999999999997</v>
      </c>
      <c r="H22" s="64">
        <f t="shared" si="0"/>
        <v>0.84555878399999984</v>
      </c>
      <c r="I22" s="10">
        <v>0</v>
      </c>
    </row>
    <row r="23" spans="1:9" ht="15.75" hidden="1" customHeight="1">
      <c r="A23" s="21">
        <v>8</v>
      </c>
      <c r="B23" s="60" t="s">
        <v>100</v>
      </c>
      <c r="C23" s="61" t="s">
        <v>51</v>
      </c>
      <c r="D23" s="60" t="s">
        <v>96</v>
      </c>
      <c r="E23" s="65">
        <v>17.64</v>
      </c>
      <c r="F23" s="63">
        <f>SUM(E23/100)</f>
        <v>0.1764</v>
      </c>
      <c r="G23" s="63">
        <v>47.34</v>
      </c>
      <c r="H23" s="64">
        <f t="shared" si="0"/>
        <v>8.3507760000000007E-3</v>
      </c>
      <c r="I23" s="10">
        <v>0</v>
      </c>
    </row>
    <row r="24" spans="1:9" ht="15.75" hidden="1" customHeight="1">
      <c r="A24" s="21">
        <v>9</v>
      </c>
      <c r="B24" s="60" t="s">
        <v>101</v>
      </c>
      <c r="C24" s="61" t="s">
        <v>51</v>
      </c>
      <c r="D24" s="60" t="s">
        <v>102</v>
      </c>
      <c r="E24" s="62">
        <v>10.8</v>
      </c>
      <c r="F24" s="63">
        <f>E24/100</f>
        <v>0.10800000000000001</v>
      </c>
      <c r="G24" s="63">
        <v>416.62</v>
      </c>
      <c r="H24" s="64">
        <f t="shared" si="0"/>
        <v>4.4994960000000007E-2</v>
      </c>
      <c r="I24" s="10">
        <v>0</v>
      </c>
    </row>
    <row r="25" spans="1:9" ht="15.75" hidden="1" customHeight="1">
      <c r="A25" s="21">
        <v>10</v>
      </c>
      <c r="B25" s="60" t="s">
        <v>103</v>
      </c>
      <c r="C25" s="61" t="s">
        <v>51</v>
      </c>
      <c r="D25" s="60" t="s">
        <v>52</v>
      </c>
      <c r="E25" s="62">
        <v>12.6</v>
      </c>
      <c r="F25" s="63">
        <f>E25/100</f>
        <v>0.126</v>
      </c>
      <c r="G25" s="63">
        <v>231.03</v>
      </c>
      <c r="H25" s="64">
        <f>G25*F25/1000</f>
        <v>2.9109780000000002E-2</v>
      </c>
      <c r="I25" s="10">
        <v>0</v>
      </c>
    </row>
    <row r="26" spans="1:9" ht="15.75" hidden="1" customHeight="1">
      <c r="A26" s="21">
        <v>11</v>
      </c>
      <c r="B26" s="60" t="s">
        <v>104</v>
      </c>
      <c r="C26" s="61" t="s">
        <v>51</v>
      </c>
      <c r="D26" s="60" t="s">
        <v>96</v>
      </c>
      <c r="E26" s="62">
        <v>14.4</v>
      </c>
      <c r="F26" s="63">
        <f>SUM(E26/100)</f>
        <v>0.14400000000000002</v>
      </c>
      <c r="G26" s="63">
        <v>556.74</v>
      </c>
      <c r="H26" s="64">
        <f t="shared" si="0"/>
        <v>8.0170560000000016E-2</v>
      </c>
      <c r="I26" s="10">
        <v>0</v>
      </c>
    </row>
    <row r="27" spans="1:9" ht="15.75" customHeight="1">
      <c r="A27" s="21">
        <v>6</v>
      </c>
      <c r="B27" s="60" t="s">
        <v>62</v>
      </c>
      <c r="C27" s="61" t="s">
        <v>31</v>
      </c>
      <c r="D27" s="60"/>
      <c r="E27" s="62">
        <v>0.1</v>
      </c>
      <c r="F27" s="63">
        <f>SUM(E27*365)</f>
        <v>36.5</v>
      </c>
      <c r="G27" s="63">
        <v>157.18</v>
      </c>
      <c r="H27" s="64">
        <f>SUM(F27*G27/1000)</f>
        <v>5.737070000000001</v>
      </c>
      <c r="I27" s="10">
        <f>F27/12*G27</f>
        <v>478.08916666666664</v>
      </c>
    </row>
    <row r="28" spans="1:9" ht="15.75" hidden="1" customHeight="1">
      <c r="A28" s="21">
        <v>7</v>
      </c>
      <c r="B28" s="68" t="s">
        <v>23</v>
      </c>
      <c r="C28" s="61" t="s">
        <v>24</v>
      </c>
      <c r="D28" s="60"/>
      <c r="E28" s="62">
        <v>2054.6</v>
      </c>
      <c r="F28" s="63">
        <f>SUM(E28*12)</f>
        <v>24655.199999999997</v>
      </c>
      <c r="G28" s="63">
        <v>6.15</v>
      </c>
      <c r="H28" s="64">
        <f>SUM(F28*G28/1000)</f>
        <v>151.62947999999997</v>
      </c>
      <c r="I28" s="10">
        <f>F28/12*G28</f>
        <v>12635.79</v>
      </c>
    </row>
    <row r="29" spans="1:9" ht="15.75" customHeight="1">
      <c r="A29" s="108" t="s">
        <v>84</v>
      </c>
      <c r="B29" s="109"/>
      <c r="C29" s="109"/>
      <c r="D29" s="109"/>
      <c r="E29" s="109"/>
      <c r="F29" s="109"/>
      <c r="G29" s="109"/>
      <c r="H29" s="109"/>
      <c r="I29" s="110"/>
    </row>
    <row r="30" spans="1:9" ht="15.75" hidden="1" customHeight="1">
      <c r="A30" s="21"/>
      <c r="B30" s="81" t="s">
        <v>27</v>
      </c>
      <c r="C30" s="61"/>
      <c r="D30" s="60"/>
      <c r="E30" s="62"/>
      <c r="F30" s="63"/>
      <c r="G30" s="63"/>
      <c r="H30" s="64"/>
      <c r="I30" s="10"/>
    </row>
    <row r="31" spans="1:9" ht="15.75" hidden="1" customHeight="1">
      <c r="A31" s="21">
        <v>7</v>
      </c>
      <c r="B31" s="60" t="s">
        <v>109</v>
      </c>
      <c r="C31" s="61" t="s">
        <v>90</v>
      </c>
      <c r="D31" s="60" t="s">
        <v>164</v>
      </c>
      <c r="E31" s="63">
        <v>600.63</v>
      </c>
      <c r="F31" s="63">
        <f>SUM(E31*52/1000)</f>
        <v>31.232759999999999</v>
      </c>
      <c r="G31" s="63">
        <v>166.65</v>
      </c>
      <c r="H31" s="64">
        <f t="shared" ref="H31:H36" si="1">SUM(F31*G31/1000)</f>
        <v>5.2049394540000007</v>
      </c>
      <c r="I31" s="10">
        <f>F31/6*G31</f>
        <v>867.4899089999999</v>
      </c>
    </row>
    <row r="32" spans="1:9" ht="31.5" hidden="1" customHeight="1">
      <c r="A32" s="21">
        <v>8</v>
      </c>
      <c r="B32" s="60" t="s">
        <v>108</v>
      </c>
      <c r="C32" s="61" t="s">
        <v>90</v>
      </c>
      <c r="D32" s="60" t="s">
        <v>165</v>
      </c>
      <c r="E32" s="63">
        <v>186.39</v>
      </c>
      <c r="F32" s="63">
        <f>SUM(E32*78/1000)</f>
        <v>14.538419999999999</v>
      </c>
      <c r="G32" s="63">
        <v>276.48</v>
      </c>
      <c r="H32" s="64">
        <f t="shared" si="1"/>
        <v>4.0195823615999995</v>
      </c>
      <c r="I32" s="10">
        <f t="shared" ref="I32:I34" si="2">F32/6*G32</f>
        <v>669.93039359999989</v>
      </c>
    </row>
    <row r="33" spans="1:9" ht="15.75" hidden="1" customHeight="1">
      <c r="A33" s="21">
        <v>16</v>
      </c>
      <c r="B33" s="60" t="s">
        <v>26</v>
      </c>
      <c r="C33" s="61" t="s">
        <v>90</v>
      </c>
      <c r="D33" s="60" t="s">
        <v>52</v>
      </c>
      <c r="E33" s="63">
        <v>600.63</v>
      </c>
      <c r="F33" s="63">
        <f>SUM(E33/1000)</f>
        <v>0.60063</v>
      </c>
      <c r="G33" s="63">
        <v>3228.73</v>
      </c>
      <c r="H33" s="64">
        <f t="shared" si="1"/>
        <v>1.9392720999000002</v>
      </c>
      <c r="I33" s="10">
        <f>F33*G33</f>
        <v>1939.2720999000001</v>
      </c>
    </row>
    <row r="34" spans="1:9" ht="15.75" hidden="1" customHeight="1">
      <c r="A34" s="21">
        <v>9</v>
      </c>
      <c r="B34" s="60" t="s">
        <v>107</v>
      </c>
      <c r="C34" s="61" t="s">
        <v>29</v>
      </c>
      <c r="D34" s="60" t="s">
        <v>61</v>
      </c>
      <c r="E34" s="67">
        <v>0.33333333333333331</v>
      </c>
      <c r="F34" s="63">
        <f>155/3</f>
        <v>51.666666666666664</v>
      </c>
      <c r="G34" s="63">
        <v>60.6</v>
      </c>
      <c r="H34" s="64">
        <f>SUM(G34*155/3/1000)</f>
        <v>3.1309999999999998</v>
      </c>
      <c r="I34" s="10">
        <f t="shared" si="2"/>
        <v>521.83333333333337</v>
      </c>
    </row>
    <row r="35" spans="1:9" ht="15.75" hidden="1" customHeight="1">
      <c r="A35" s="21"/>
      <c r="B35" s="60" t="s">
        <v>63</v>
      </c>
      <c r="C35" s="61" t="s">
        <v>31</v>
      </c>
      <c r="D35" s="60" t="s">
        <v>65</v>
      </c>
      <c r="E35" s="62"/>
      <c r="F35" s="63">
        <v>2</v>
      </c>
      <c r="G35" s="63">
        <v>204.52</v>
      </c>
      <c r="H35" s="64">
        <f t="shared" si="1"/>
        <v>0.40904000000000001</v>
      </c>
      <c r="I35" s="10">
        <v>0</v>
      </c>
    </row>
    <row r="36" spans="1:9" ht="15.75" hidden="1" customHeight="1">
      <c r="A36" s="21"/>
      <c r="B36" s="60" t="s">
        <v>64</v>
      </c>
      <c r="C36" s="61" t="s">
        <v>30</v>
      </c>
      <c r="D36" s="60" t="s">
        <v>65</v>
      </c>
      <c r="E36" s="62"/>
      <c r="F36" s="63">
        <v>1</v>
      </c>
      <c r="G36" s="63">
        <v>1214.74</v>
      </c>
      <c r="H36" s="64">
        <f t="shared" si="1"/>
        <v>1.2147399999999999</v>
      </c>
      <c r="I36" s="10">
        <v>0</v>
      </c>
    </row>
    <row r="37" spans="1:9" ht="15.75" customHeight="1">
      <c r="A37" s="21"/>
      <c r="B37" s="81" t="s">
        <v>5</v>
      </c>
      <c r="C37" s="61"/>
      <c r="D37" s="60"/>
      <c r="E37" s="62"/>
      <c r="F37" s="63"/>
      <c r="G37" s="63"/>
      <c r="H37" s="64" t="s">
        <v>120</v>
      </c>
      <c r="I37" s="10"/>
    </row>
    <row r="38" spans="1:9" ht="15.75" customHeight="1">
      <c r="A38" s="21">
        <v>7</v>
      </c>
      <c r="B38" s="60" t="s">
        <v>25</v>
      </c>
      <c r="C38" s="61" t="s">
        <v>30</v>
      </c>
      <c r="D38" s="60"/>
      <c r="E38" s="62"/>
      <c r="F38" s="63">
        <v>5</v>
      </c>
      <c r="G38" s="63">
        <v>1632.6</v>
      </c>
      <c r="H38" s="64">
        <f t="shared" ref="H38:H44" si="3">SUM(F38*G38/1000)</f>
        <v>8.1630000000000003</v>
      </c>
      <c r="I38" s="10">
        <f>F38/6*G38</f>
        <v>1360.5</v>
      </c>
    </row>
    <row r="39" spans="1:9" ht="15.75" customHeight="1">
      <c r="A39" s="21">
        <v>8</v>
      </c>
      <c r="B39" s="60" t="s">
        <v>127</v>
      </c>
      <c r="C39" s="61" t="s">
        <v>28</v>
      </c>
      <c r="D39" s="60" t="s">
        <v>88</v>
      </c>
      <c r="E39" s="62">
        <v>186.39</v>
      </c>
      <c r="F39" s="63">
        <f>E39*30/1000</f>
        <v>5.5916999999999994</v>
      </c>
      <c r="G39" s="63">
        <v>2247.8000000000002</v>
      </c>
      <c r="H39" s="64">
        <f>G39*F39/1000</f>
        <v>12.56902326</v>
      </c>
      <c r="I39" s="10">
        <f>F39/6*G39</f>
        <v>2094.8372100000001</v>
      </c>
    </row>
    <row r="40" spans="1:9" ht="15.75" hidden="1" customHeight="1">
      <c r="A40" s="21"/>
      <c r="B40" s="60" t="s">
        <v>138</v>
      </c>
      <c r="C40" s="61" t="s">
        <v>139</v>
      </c>
      <c r="D40" s="60" t="s">
        <v>65</v>
      </c>
      <c r="E40" s="62"/>
      <c r="F40" s="63">
        <v>72.3</v>
      </c>
      <c r="G40" s="63">
        <v>199.44</v>
      </c>
      <c r="H40" s="64">
        <f>G40*F40/1000</f>
        <v>14.419511999999999</v>
      </c>
      <c r="I40" s="10">
        <v>0</v>
      </c>
    </row>
    <row r="41" spans="1:9" ht="15.75" customHeight="1">
      <c r="A41" s="21">
        <v>9</v>
      </c>
      <c r="B41" s="60" t="s">
        <v>66</v>
      </c>
      <c r="C41" s="61" t="s">
        <v>28</v>
      </c>
      <c r="D41" s="60" t="s">
        <v>89</v>
      </c>
      <c r="E41" s="63">
        <v>186.39</v>
      </c>
      <c r="F41" s="63">
        <f>SUM(E41*155/1000)</f>
        <v>28.890449999999998</v>
      </c>
      <c r="G41" s="63">
        <v>374.95</v>
      </c>
      <c r="H41" s="64">
        <f t="shared" si="3"/>
        <v>10.832474227499999</v>
      </c>
      <c r="I41" s="10">
        <f>F41/6*G41</f>
        <v>1805.4123712499998</v>
      </c>
    </row>
    <row r="42" spans="1:9" ht="47.25" customHeight="1">
      <c r="A42" s="21">
        <v>10</v>
      </c>
      <c r="B42" s="60" t="s">
        <v>82</v>
      </c>
      <c r="C42" s="61" t="s">
        <v>90</v>
      </c>
      <c r="D42" s="60" t="s">
        <v>128</v>
      </c>
      <c r="E42" s="63">
        <v>52.2</v>
      </c>
      <c r="F42" s="63">
        <f>SUM(E42*35/1000)</f>
        <v>1.827</v>
      </c>
      <c r="G42" s="63">
        <v>6203.7</v>
      </c>
      <c r="H42" s="64">
        <f t="shared" si="3"/>
        <v>11.3341599</v>
      </c>
      <c r="I42" s="10">
        <f>F42/6*G42</f>
        <v>1889.0266499999998</v>
      </c>
    </row>
    <row r="43" spans="1:9" ht="15.75" customHeight="1">
      <c r="A43" s="21">
        <v>11</v>
      </c>
      <c r="B43" s="60" t="s">
        <v>129</v>
      </c>
      <c r="C43" s="61" t="s">
        <v>90</v>
      </c>
      <c r="D43" s="60" t="s">
        <v>67</v>
      </c>
      <c r="E43" s="63">
        <v>52.2</v>
      </c>
      <c r="F43" s="63">
        <f>SUM(E43*45/1000)</f>
        <v>2.3490000000000002</v>
      </c>
      <c r="G43" s="63">
        <v>458.28</v>
      </c>
      <c r="H43" s="64">
        <f t="shared" si="3"/>
        <v>1.0764997199999999</v>
      </c>
      <c r="I43" s="10">
        <f>F43/7.5*G43</f>
        <v>143.53329600000001</v>
      </c>
    </row>
    <row r="44" spans="1:9" ht="15.75" customHeight="1">
      <c r="A44" s="21">
        <v>12</v>
      </c>
      <c r="B44" s="60" t="s">
        <v>68</v>
      </c>
      <c r="C44" s="61" t="s">
        <v>31</v>
      </c>
      <c r="D44" s="60"/>
      <c r="E44" s="62"/>
      <c r="F44" s="63">
        <v>0.5</v>
      </c>
      <c r="G44" s="63">
        <v>853.06</v>
      </c>
      <c r="H44" s="64">
        <f t="shared" si="3"/>
        <v>0.42652999999999996</v>
      </c>
      <c r="I44" s="10">
        <f>F44/7.5*G44</f>
        <v>56.870666666666665</v>
      </c>
    </row>
    <row r="45" spans="1:9" ht="15.75" hidden="1" customHeight="1">
      <c r="A45" s="108" t="s">
        <v>133</v>
      </c>
      <c r="B45" s="109"/>
      <c r="C45" s="109"/>
      <c r="D45" s="109"/>
      <c r="E45" s="109"/>
      <c r="F45" s="109"/>
      <c r="G45" s="109"/>
      <c r="H45" s="109"/>
      <c r="I45" s="110"/>
    </row>
    <row r="46" spans="1:9" ht="15.75" hidden="1" customHeight="1">
      <c r="A46" s="21"/>
      <c r="B46" s="60" t="s">
        <v>110</v>
      </c>
      <c r="C46" s="61" t="s">
        <v>90</v>
      </c>
      <c r="D46" s="60" t="s">
        <v>41</v>
      </c>
      <c r="E46" s="62">
        <v>917.75</v>
      </c>
      <c r="F46" s="63">
        <f>SUM(E46*2/1000)</f>
        <v>1.8354999999999999</v>
      </c>
      <c r="G46" s="10">
        <v>865.61</v>
      </c>
      <c r="H46" s="64">
        <f t="shared" ref="H46:H55" si="4">SUM(F46*G46/1000)</f>
        <v>1.5888271549999999</v>
      </c>
      <c r="I46" s="10">
        <v>0</v>
      </c>
    </row>
    <row r="47" spans="1:9" ht="15.75" hidden="1" customHeight="1">
      <c r="A47" s="21"/>
      <c r="B47" s="60" t="s">
        <v>34</v>
      </c>
      <c r="C47" s="61" t="s">
        <v>90</v>
      </c>
      <c r="D47" s="60" t="s">
        <v>41</v>
      </c>
      <c r="E47" s="62">
        <v>48</v>
      </c>
      <c r="F47" s="63">
        <f>E47*2/1000</f>
        <v>9.6000000000000002E-2</v>
      </c>
      <c r="G47" s="10">
        <v>619.46</v>
      </c>
      <c r="H47" s="64">
        <f t="shared" si="4"/>
        <v>5.9468160000000006E-2</v>
      </c>
      <c r="I47" s="10">
        <v>0</v>
      </c>
    </row>
    <row r="48" spans="1:9" ht="15.75" hidden="1" customHeight="1">
      <c r="A48" s="21"/>
      <c r="B48" s="60" t="s">
        <v>35</v>
      </c>
      <c r="C48" s="61" t="s">
        <v>90</v>
      </c>
      <c r="D48" s="60" t="s">
        <v>41</v>
      </c>
      <c r="E48" s="62">
        <v>937.4</v>
      </c>
      <c r="F48" s="63">
        <f>SUM(E48*2/1000)</f>
        <v>1.8748</v>
      </c>
      <c r="G48" s="10">
        <v>619.46</v>
      </c>
      <c r="H48" s="64">
        <f t="shared" si="4"/>
        <v>1.161363608</v>
      </c>
      <c r="I48" s="10">
        <v>0</v>
      </c>
    </row>
    <row r="49" spans="1:9" ht="15.75" hidden="1" customHeight="1">
      <c r="A49" s="21"/>
      <c r="B49" s="60" t="s">
        <v>36</v>
      </c>
      <c r="C49" s="61" t="s">
        <v>90</v>
      </c>
      <c r="D49" s="60" t="s">
        <v>41</v>
      </c>
      <c r="E49" s="62">
        <v>1243.28</v>
      </c>
      <c r="F49" s="63">
        <f>SUM(E49*2/1000)</f>
        <v>2.4865599999999999</v>
      </c>
      <c r="G49" s="10">
        <v>648.64</v>
      </c>
      <c r="H49" s="64">
        <f t="shared" si="4"/>
        <v>1.6128822783999999</v>
      </c>
      <c r="I49" s="10">
        <v>0</v>
      </c>
    </row>
    <row r="50" spans="1:9" ht="15.75" hidden="1" customHeight="1">
      <c r="A50" s="21"/>
      <c r="B50" s="60" t="s">
        <v>32</v>
      </c>
      <c r="C50" s="61" t="s">
        <v>33</v>
      </c>
      <c r="D50" s="60" t="s">
        <v>41</v>
      </c>
      <c r="E50" s="62">
        <v>64.5</v>
      </c>
      <c r="F50" s="63">
        <f>SUM(E50*2/100)</f>
        <v>1.29</v>
      </c>
      <c r="G50" s="10">
        <v>77.84</v>
      </c>
      <c r="H50" s="64">
        <f t="shared" si="4"/>
        <v>0.10041360000000001</v>
      </c>
      <c r="I50" s="10">
        <v>0</v>
      </c>
    </row>
    <row r="51" spans="1:9" ht="15.75" hidden="1" customHeight="1">
      <c r="A51" s="21">
        <v>14</v>
      </c>
      <c r="B51" s="60" t="s">
        <v>54</v>
      </c>
      <c r="C51" s="61" t="s">
        <v>90</v>
      </c>
      <c r="D51" s="60" t="s">
        <v>144</v>
      </c>
      <c r="E51" s="62">
        <v>678.4</v>
      </c>
      <c r="F51" s="63">
        <f>SUM(E51*5/1000)</f>
        <v>3.3919999999999999</v>
      </c>
      <c r="G51" s="10">
        <v>1297.28</v>
      </c>
      <c r="H51" s="64">
        <f t="shared" si="4"/>
        <v>4.4003737599999999</v>
      </c>
      <c r="I51" s="10">
        <f>F51/5*G51</f>
        <v>880.07475199999999</v>
      </c>
    </row>
    <row r="52" spans="1:9" ht="31.5" hidden="1" customHeight="1">
      <c r="A52" s="21">
        <v>14</v>
      </c>
      <c r="B52" s="60" t="s">
        <v>91</v>
      </c>
      <c r="C52" s="61" t="s">
        <v>90</v>
      </c>
      <c r="D52" s="60" t="s">
        <v>41</v>
      </c>
      <c r="E52" s="62">
        <v>678.4</v>
      </c>
      <c r="F52" s="63">
        <f>SUM(E52*2/1000)</f>
        <v>1.3568</v>
      </c>
      <c r="G52" s="10">
        <v>1297.28</v>
      </c>
      <c r="H52" s="64">
        <f t="shared" si="4"/>
        <v>1.7601495039999999</v>
      </c>
      <c r="I52" s="10">
        <f>F52/2*G52</f>
        <v>880.07475199999999</v>
      </c>
    </row>
    <row r="53" spans="1:9" ht="31.5" hidden="1" customHeight="1">
      <c r="A53" s="21">
        <v>15</v>
      </c>
      <c r="B53" s="60" t="s">
        <v>92</v>
      </c>
      <c r="C53" s="61" t="s">
        <v>37</v>
      </c>
      <c r="D53" s="60" t="s">
        <v>41</v>
      </c>
      <c r="E53" s="62">
        <v>12</v>
      </c>
      <c r="F53" s="63">
        <f>SUM(E53*2/100)</f>
        <v>0.24</v>
      </c>
      <c r="G53" s="10">
        <v>2918.89</v>
      </c>
      <c r="H53" s="64">
        <f t="shared" si="4"/>
        <v>0.70053359999999998</v>
      </c>
      <c r="I53" s="10">
        <f t="shared" ref="I53:I54" si="5">F53/2*G53</f>
        <v>350.26679999999999</v>
      </c>
    </row>
    <row r="54" spans="1:9" ht="15.75" hidden="1" customHeight="1">
      <c r="A54" s="21">
        <v>16</v>
      </c>
      <c r="B54" s="60" t="s">
        <v>38</v>
      </c>
      <c r="C54" s="61" t="s">
        <v>39</v>
      </c>
      <c r="D54" s="60" t="s">
        <v>41</v>
      </c>
      <c r="E54" s="62">
        <v>1</v>
      </c>
      <c r="F54" s="63">
        <v>0.02</v>
      </c>
      <c r="G54" s="10">
        <v>6042.12</v>
      </c>
      <c r="H54" s="64">
        <f t="shared" si="4"/>
        <v>0.1208424</v>
      </c>
      <c r="I54" s="10">
        <f t="shared" si="5"/>
        <v>60.421199999999999</v>
      </c>
    </row>
    <row r="55" spans="1:9" ht="24.75" hidden="1" customHeight="1">
      <c r="A55" s="21">
        <v>15</v>
      </c>
      <c r="B55" s="60" t="s">
        <v>40</v>
      </c>
      <c r="C55" s="61" t="s">
        <v>111</v>
      </c>
      <c r="D55" s="60" t="s">
        <v>69</v>
      </c>
      <c r="E55" s="62">
        <v>72</v>
      </c>
      <c r="F55" s="63">
        <f>SUM(E55)*3</f>
        <v>216</v>
      </c>
      <c r="G55" s="10">
        <v>70.209999999999994</v>
      </c>
      <c r="H55" s="64">
        <f t="shared" si="4"/>
        <v>15.165359999999998</v>
      </c>
      <c r="I55" s="10">
        <f>E55*G55</f>
        <v>5055.12</v>
      </c>
    </row>
    <row r="56" spans="1:9" ht="21.75" customHeight="1">
      <c r="A56" s="108" t="s">
        <v>148</v>
      </c>
      <c r="B56" s="109"/>
      <c r="C56" s="109"/>
      <c r="D56" s="109"/>
      <c r="E56" s="109"/>
      <c r="F56" s="109"/>
      <c r="G56" s="109"/>
      <c r="H56" s="109"/>
      <c r="I56" s="110"/>
    </row>
    <row r="57" spans="1:9" ht="17.25" hidden="1" customHeight="1">
      <c r="A57" s="21"/>
      <c r="B57" s="81" t="s">
        <v>42</v>
      </c>
      <c r="C57" s="61"/>
      <c r="D57" s="60"/>
      <c r="E57" s="62"/>
      <c r="F57" s="63"/>
      <c r="G57" s="63"/>
      <c r="H57" s="64"/>
      <c r="I57" s="10"/>
    </row>
    <row r="58" spans="1:9" ht="19.5" hidden="1" customHeight="1">
      <c r="A58" s="21">
        <v>17</v>
      </c>
      <c r="B58" s="60" t="s">
        <v>112</v>
      </c>
      <c r="C58" s="61" t="s">
        <v>87</v>
      </c>
      <c r="D58" s="60" t="s">
        <v>113</v>
      </c>
      <c r="E58" s="62">
        <v>110.66</v>
      </c>
      <c r="F58" s="63">
        <f>SUM(E58*6/100)</f>
        <v>6.6396000000000006</v>
      </c>
      <c r="G58" s="10">
        <v>1654.04</v>
      </c>
      <c r="H58" s="64">
        <f>SUM(F58*G58/1000)</f>
        <v>10.982163984000001</v>
      </c>
      <c r="I58" s="10">
        <f>F58/6*G58</f>
        <v>1830.360664</v>
      </c>
    </row>
    <row r="59" spans="1:9" ht="19.5" hidden="1" customHeight="1">
      <c r="A59" s="21"/>
      <c r="B59" s="82" t="s">
        <v>43</v>
      </c>
      <c r="C59" s="69"/>
      <c r="D59" s="70"/>
      <c r="E59" s="71"/>
      <c r="F59" s="72"/>
      <c r="G59" s="72"/>
      <c r="H59" s="73" t="s">
        <v>120</v>
      </c>
      <c r="I59" s="10"/>
    </row>
    <row r="60" spans="1:9" ht="18.75" hidden="1" customHeight="1">
      <c r="A60" s="21">
        <v>10</v>
      </c>
      <c r="B60" s="11" t="s">
        <v>44</v>
      </c>
      <c r="C60" s="13" t="s">
        <v>111</v>
      </c>
      <c r="D60" s="11" t="s">
        <v>65</v>
      </c>
      <c r="E60" s="15">
        <v>8</v>
      </c>
      <c r="F60" s="63">
        <v>8</v>
      </c>
      <c r="G60" s="10">
        <v>237.74</v>
      </c>
      <c r="H60" s="74">
        <f t="shared" ref="H60:H73" si="6">SUM(F60*G60/1000)</f>
        <v>1.9019200000000001</v>
      </c>
      <c r="I60" s="10">
        <f>G60*2</f>
        <v>475.48</v>
      </c>
    </row>
    <row r="61" spans="1:9" ht="20.25" hidden="1" customHeight="1">
      <c r="A61" s="21"/>
      <c r="B61" s="11" t="s">
        <v>45</v>
      </c>
      <c r="C61" s="13" t="s">
        <v>111</v>
      </c>
      <c r="D61" s="11" t="s">
        <v>65</v>
      </c>
      <c r="E61" s="15">
        <v>3</v>
      </c>
      <c r="F61" s="63">
        <v>3</v>
      </c>
      <c r="G61" s="10">
        <v>81.510000000000005</v>
      </c>
      <c r="H61" s="74">
        <f t="shared" si="6"/>
        <v>0.24453000000000003</v>
      </c>
      <c r="I61" s="10">
        <v>0</v>
      </c>
    </row>
    <row r="62" spans="1:9" ht="16.5" hidden="1" customHeight="1">
      <c r="A62" s="21"/>
      <c r="B62" s="11" t="s">
        <v>46</v>
      </c>
      <c r="C62" s="13" t="s">
        <v>114</v>
      </c>
      <c r="D62" s="11" t="s">
        <v>52</v>
      </c>
      <c r="E62" s="62">
        <v>8539</v>
      </c>
      <c r="F62" s="10">
        <f>SUM(E62/100)</f>
        <v>85.39</v>
      </c>
      <c r="G62" s="10">
        <v>226.79</v>
      </c>
      <c r="H62" s="74">
        <f t="shared" si="6"/>
        <v>19.3655981</v>
      </c>
      <c r="I62" s="10">
        <v>0</v>
      </c>
    </row>
    <row r="63" spans="1:9" ht="18" hidden="1" customHeight="1">
      <c r="A63" s="21"/>
      <c r="B63" s="11" t="s">
        <v>47</v>
      </c>
      <c r="C63" s="13" t="s">
        <v>115</v>
      </c>
      <c r="D63" s="11"/>
      <c r="E63" s="62">
        <v>8539</v>
      </c>
      <c r="F63" s="10">
        <f>SUM(E63/1000)</f>
        <v>8.5389999999999997</v>
      </c>
      <c r="G63" s="10">
        <v>176.61</v>
      </c>
      <c r="H63" s="74">
        <f t="shared" si="6"/>
        <v>1.5080727900000002</v>
      </c>
      <c r="I63" s="10">
        <v>0</v>
      </c>
    </row>
    <row r="64" spans="1:9" ht="18.75" hidden="1" customHeight="1">
      <c r="A64" s="21"/>
      <c r="B64" s="11" t="s">
        <v>48</v>
      </c>
      <c r="C64" s="13" t="s">
        <v>75</v>
      </c>
      <c r="D64" s="11" t="s">
        <v>52</v>
      </c>
      <c r="E64" s="62">
        <v>1370</v>
      </c>
      <c r="F64" s="10">
        <f>SUM(E64/100)</f>
        <v>13.7</v>
      </c>
      <c r="G64" s="10">
        <v>2217.7800000000002</v>
      </c>
      <c r="H64" s="74">
        <f t="shared" si="6"/>
        <v>30.383586000000005</v>
      </c>
      <c r="I64" s="10">
        <v>0</v>
      </c>
    </row>
    <row r="65" spans="1:9" ht="18" hidden="1" customHeight="1">
      <c r="A65" s="21"/>
      <c r="B65" s="75" t="s">
        <v>116</v>
      </c>
      <c r="C65" s="13" t="s">
        <v>31</v>
      </c>
      <c r="D65" s="11"/>
      <c r="E65" s="62">
        <v>9</v>
      </c>
      <c r="F65" s="10">
        <f>SUM(E65)</f>
        <v>9</v>
      </c>
      <c r="G65" s="10">
        <v>42.67</v>
      </c>
      <c r="H65" s="74">
        <f t="shared" si="6"/>
        <v>0.38403000000000004</v>
      </c>
      <c r="I65" s="10">
        <v>0</v>
      </c>
    </row>
    <row r="66" spans="1:9" ht="25.5" hidden="1" customHeight="1">
      <c r="A66" s="21"/>
      <c r="B66" s="75" t="s">
        <v>117</v>
      </c>
      <c r="C66" s="13" t="s">
        <v>31</v>
      </c>
      <c r="D66" s="11"/>
      <c r="E66" s="62">
        <v>9</v>
      </c>
      <c r="F66" s="10">
        <f>SUM(E66)</f>
        <v>9</v>
      </c>
      <c r="G66" s="10">
        <v>39.81</v>
      </c>
      <c r="H66" s="74">
        <f t="shared" si="6"/>
        <v>0.35829</v>
      </c>
      <c r="I66" s="10">
        <v>0</v>
      </c>
    </row>
    <row r="67" spans="1:9" ht="18" hidden="1" customHeight="1">
      <c r="A67" s="21"/>
      <c r="B67" s="11" t="s">
        <v>55</v>
      </c>
      <c r="C67" s="13" t="s">
        <v>56</v>
      </c>
      <c r="D67" s="11" t="s">
        <v>52</v>
      </c>
      <c r="E67" s="15">
        <v>3</v>
      </c>
      <c r="F67" s="63">
        <v>3</v>
      </c>
      <c r="G67" s="10">
        <v>53.62</v>
      </c>
      <c r="H67" s="74">
        <f t="shared" si="6"/>
        <v>0.16085999999999998</v>
      </c>
      <c r="I67" s="10">
        <v>0</v>
      </c>
    </row>
    <row r="68" spans="1:9" ht="15" hidden="1" customHeight="1">
      <c r="A68" s="21"/>
      <c r="B68" s="84" t="s">
        <v>70</v>
      </c>
      <c r="C68" s="13"/>
      <c r="D68" s="11"/>
      <c r="E68" s="15"/>
      <c r="F68" s="10"/>
      <c r="G68" s="10"/>
      <c r="H68" s="74" t="s">
        <v>120</v>
      </c>
      <c r="I68" s="10"/>
    </row>
    <row r="69" spans="1:9" ht="21.75" hidden="1" customHeight="1">
      <c r="A69" s="21">
        <v>18</v>
      </c>
      <c r="B69" s="11" t="s">
        <v>71</v>
      </c>
      <c r="C69" s="13" t="s">
        <v>73</v>
      </c>
      <c r="D69" s="11"/>
      <c r="E69" s="15">
        <v>2</v>
      </c>
      <c r="F69" s="10">
        <v>0.2</v>
      </c>
      <c r="G69" s="10">
        <v>536.23</v>
      </c>
      <c r="H69" s="74">
        <f t="shared" si="6"/>
        <v>0.10724600000000001</v>
      </c>
      <c r="I69" s="10">
        <f>G69*0.2</f>
        <v>107.24600000000001</v>
      </c>
    </row>
    <row r="70" spans="1:9" ht="16.5" hidden="1" customHeight="1">
      <c r="A70" s="21"/>
      <c r="B70" s="11" t="s">
        <v>72</v>
      </c>
      <c r="C70" s="13" t="s">
        <v>29</v>
      </c>
      <c r="D70" s="11"/>
      <c r="E70" s="15">
        <v>1</v>
      </c>
      <c r="F70" s="56">
        <v>1</v>
      </c>
      <c r="G70" s="10">
        <v>911.85</v>
      </c>
      <c r="H70" s="74">
        <f>F70*G70/1000</f>
        <v>0.91185000000000005</v>
      </c>
      <c r="I70" s="10">
        <v>0</v>
      </c>
    </row>
    <row r="71" spans="1:9" ht="18.75" hidden="1" customHeight="1">
      <c r="A71" s="21"/>
      <c r="B71" s="11" t="s">
        <v>130</v>
      </c>
      <c r="C71" s="13" t="s">
        <v>29</v>
      </c>
      <c r="D71" s="11"/>
      <c r="E71" s="15">
        <v>1</v>
      </c>
      <c r="F71" s="10">
        <v>1</v>
      </c>
      <c r="G71" s="10">
        <v>383.25</v>
      </c>
      <c r="H71" s="74">
        <f>G71*F71/1000</f>
        <v>0.38324999999999998</v>
      </c>
      <c r="I71" s="10">
        <v>0</v>
      </c>
    </row>
    <row r="72" spans="1:9" ht="16.5" customHeight="1">
      <c r="A72" s="21"/>
      <c r="B72" s="76" t="s">
        <v>74</v>
      </c>
      <c r="C72" s="13"/>
      <c r="D72" s="11"/>
      <c r="E72" s="15"/>
      <c r="F72" s="10"/>
      <c r="G72" s="10" t="s">
        <v>120</v>
      </c>
      <c r="H72" s="74" t="s">
        <v>120</v>
      </c>
      <c r="I72" s="10"/>
    </row>
    <row r="73" spans="1:9" ht="17.25" customHeight="1">
      <c r="A73" s="21">
        <v>13</v>
      </c>
      <c r="B73" s="36" t="s">
        <v>121</v>
      </c>
      <c r="C73" s="13" t="s">
        <v>75</v>
      </c>
      <c r="D73" s="11"/>
      <c r="E73" s="15"/>
      <c r="F73" s="10">
        <v>1.35</v>
      </c>
      <c r="G73" s="10">
        <v>2949.85</v>
      </c>
      <c r="H73" s="74">
        <f t="shared" si="6"/>
        <v>3.9822975</v>
      </c>
      <c r="I73" s="10">
        <f>G73*0.12</f>
        <v>353.98199999999997</v>
      </c>
    </row>
    <row r="74" spans="1:9" ht="24.75" hidden="1" customHeight="1">
      <c r="A74" s="21"/>
      <c r="B74" s="55" t="s">
        <v>93</v>
      </c>
      <c r="C74" s="77"/>
      <c r="D74" s="23"/>
      <c r="E74" s="24"/>
      <c r="F74" s="66"/>
      <c r="G74" s="66"/>
      <c r="H74" s="78">
        <f>SUM(H58:H73)</f>
        <v>70.673694374000007</v>
      </c>
      <c r="I74" s="66"/>
    </row>
    <row r="75" spans="1:9" ht="21" hidden="1" customHeight="1">
      <c r="A75" s="21"/>
      <c r="B75" s="60" t="s">
        <v>118</v>
      </c>
      <c r="C75" s="13"/>
      <c r="D75" s="11"/>
      <c r="E75" s="79"/>
      <c r="F75" s="10">
        <v>1</v>
      </c>
      <c r="G75" s="10">
        <v>7101.4</v>
      </c>
      <c r="H75" s="74">
        <f>G75*F75/1000</f>
        <v>7.1013999999999999</v>
      </c>
      <c r="I75" s="10">
        <v>0</v>
      </c>
    </row>
    <row r="76" spans="1:9" ht="15.75" customHeight="1">
      <c r="A76" s="108" t="s">
        <v>149</v>
      </c>
      <c r="B76" s="109"/>
      <c r="C76" s="109"/>
      <c r="D76" s="109"/>
      <c r="E76" s="109"/>
      <c r="F76" s="109"/>
      <c r="G76" s="109"/>
      <c r="H76" s="109"/>
      <c r="I76" s="110"/>
    </row>
    <row r="77" spans="1:9" ht="15.75" customHeight="1">
      <c r="A77" s="21">
        <v>14</v>
      </c>
      <c r="B77" s="60" t="s">
        <v>119</v>
      </c>
      <c r="C77" s="13" t="s">
        <v>53</v>
      </c>
      <c r="D77" s="80" t="s">
        <v>145</v>
      </c>
      <c r="E77" s="10">
        <v>2054.6</v>
      </c>
      <c r="F77" s="10">
        <f>SUM(E77*12)</f>
        <v>24655.199999999997</v>
      </c>
      <c r="G77" s="10">
        <v>2.2400000000000002</v>
      </c>
      <c r="H77" s="74">
        <f>SUM(F77*G77/1000)</f>
        <v>55.227648000000002</v>
      </c>
      <c r="I77" s="10">
        <f>F77/12*G77</f>
        <v>4602.3040000000001</v>
      </c>
    </row>
    <row r="78" spans="1:9" ht="31.5" customHeight="1">
      <c r="A78" s="21">
        <v>15</v>
      </c>
      <c r="B78" s="11" t="s">
        <v>76</v>
      </c>
      <c r="C78" s="13"/>
      <c r="D78" s="80" t="s">
        <v>145</v>
      </c>
      <c r="E78" s="62">
        <f>E77</f>
        <v>2054.6</v>
      </c>
      <c r="F78" s="10">
        <f>E78*12</f>
        <v>24655.199999999997</v>
      </c>
      <c r="G78" s="10">
        <v>1.74</v>
      </c>
      <c r="H78" s="74">
        <f>F78*G78/1000</f>
        <v>42.900047999999998</v>
      </c>
      <c r="I78" s="10">
        <f>F78/12*G78</f>
        <v>3575.0039999999999</v>
      </c>
    </row>
    <row r="79" spans="1:9" ht="15.75" customHeight="1">
      <c r="A79" s="21"/>
      <c r="B79" s="28" t="s">
        <v>78</v>
      </c>
      <c r="C79" s="77"/>
      <c r="D79" s="76"/>
      <c r="E79" s="66"/>
      <c r="F79" s="66"/>
      <c r="G79" s="66"/>
      <c r="H79" s="78">
        <f>H78</f>
        <v>42.900047999999998</v>
      </c>
      <c r="I79" s="66">
        <f>I78+I77+I73+I44+I43+I42+I41+I39+I38+I27+I21+I20+I18+I17+I16</f>
        <v>22805.766592583335</v>
      </c>
    </row>
    <row r="80" spans="1:9" ht="15.75" customHeight="1">
      <c r="A80" s="122" t="s">
        <v>58</v>
      </c>
      <c r="B80" s="123"/>
      <c r="C80" s="123"/>
      <c r="D80" s="123"/>
      <c r="E80" s="123"/>
      <c r="F80" s="123"/>
      <c r="G80" s="123"/>
      <c r="H80" s="123"/>
      <c r="I80" s="124"/>
    </row>
    <row r="81" spans="1:9" ht="15.75" customHeight="1">
      <c r="A81" s="21" t="s">
        <v>197</v>
      </c>
      <c r="B81" s="39" t="s">
        <v>122</v>
      </c>
      <c r="C81" s="40" t="s">
        <v>111</v>
      </c>
      <c r="D81" s="36"/>
      <c r="E81" s="10"/>
      <c r="F81" s="10">
        <v>432</v>
      </c>
      <c r="G81" s="10">
        <v>55.55</v>
      </c>
      <c r="H81" s="10">
        <f>G81*F81/1000</f>
        <v>23.997599999999998</v>
      </c>
      <c r="I81" s="10">
        <f>G81*1</f>
        <v>55.55</v>
      </c>
    </row>
    <row r="82" spans="1:9" ht="15.75" customHeight="1">
      <c r="A82" s="21">
        <v>17</v>
      </c>
      <c r="B82" s="70" t="s">
        <v>171</v>
      </c>
      <c r="C82" s="69" t="s">
        <v>172</v>
      </c>
      <c r="D82" s="70"/>
      <c r="E82" s="71"/>
      <c r="F82" s="72">
        <v>360</v>
      </c>
      <c r="G82" s="56">
        <v>1.2</v>
      </c>
      <c r="H82" s="73">
        <f>F82*G82/1000</f>
        <v>0.432</v>
      </c>
      <c r="I82" s="94">
        <f>G82*120</f>
        <v>144</v>
      </c>
    </row>
    <row r="83" spans="1:9" ht="15.75" customHeight="1">
      <c r="A83" s="21">
        <v>18</v>
      </c>
      <c r="B83" s="92" t="s">
        <v>241</v>
      </c>
      <c r="C83" s="42" t="s">
        <v>111</v>
      </c>
      <c r="D83" s="36"/>
      <c r="E83" s="10"/>
      <c r="F83" s="10">
        <v>2</v>
      </c>
      <c r="G83" s="27">
        <v>89.59</v>
      </c>
      <c r="H83" s="74">
        <f t="shared" ref="H83:H84" si="7">G83*F83/1000</f>
        <v>0.17918000000000001</v>
      </c>
      <c r="I83" s="10">
        <f>G83*2</f>
        <v>179.18</v>
      </c>
    </row>
    <row r="84" spans="1:9" ht="15.75" customHeight="1">
      <c r="A84" s="21">
        <v>19</v>
      </c>
      <c r="B84" s="103" t="s">
        <v>242</v>
      </c>
      <c r="C84" s="104" t="s">
        <v>95</v>
      </c>
      <c r="D84" s="41"/>
      <c r="E84" s="27"/>
      <c r="F84" s="27">
        <v>5.5</v>
      </c>
      <c r="G84" s="27">
        <v>3413.41</v>
      </c>
      <c r="H84" s="91">
        <f t="shared" si="7"/>
        <v>18.773754999999998</v>
      </c>
      <c r="I84" s="10">
        <f>G84*0.2</f>
        <v>682.68200000000002</v>
      </c>
    </row>
    <row r="85" spans="1:9" ht="30.75" customHeight="1">
      <c r="A85" s="21">
        <v>20</v>
      </c>
      <c r="B85" s="92" t="s">
        <v>243</v>
      </c>
      <c r="C85" s="42" t="s">
        <v>28</v>
      </c>
      <c r="D85" s="41"/>
      <c r="E85" s="27"/>
      <c r="F85" s="27">
        <v>1</v>
      </c>
      <c r="G85" s="27">
        <v>18798.34</v>
      </c>
      <c r="H85" s="91">
        <f>G85*F85/1000</f>
        <v>18.79834</v>
      </c>
      <c r="I85" s="10">
        <f>G85*3*0.599/1000</f>
        <v>33.780616979999998</v>
      </c>
    </row>
    <row r="86" spans="1:9" ht="29.25" customHeight="1">
      <c r="A86" s="21">
        <v>21</v>
      </c>
      <c r="B86" s="92" t="s">
        <v>213</v>
      </c>
      <c r="C86" s="42" t="s">
        <v>214</v>
      </c>
      <c r="D86" s="41"/>
      <c r="E86" s="27"/>
      <c r="F86" s="27">
        <f>1/100</f>
        <v>0.01</v>
      </c>
      <c r="G86" s="27">
        <v>24829.08</v>
      </c>
      <c r="H86" s="91">
        <f>G86*F86/1000</f>
        <v>0.24829080000000001</v>
      </c>
      <c r="I86" s="10">
        <f>G86*0.01</f>
        <v>248.29080000000002</v>
      </c>
    </row>
    <row r="87" spans="1:9" ht="29.25" customHeight="1">
      <c r="A87" s="21">
        <v>22</v>
      </c>
      <c r="B87" s="92" t="s">
        <v>244</v>
      </c>
      <c r="C87" s="42" t="s">
        <v>28</v>
      </c>
      <c r="D87" s="41"/>
      <c r="E87" s="27"/>
      <c r="F87" s="27"/>
      <c r="G87" s="27">
        <v>1655.27</v>
      </c>
      <c r="H87" s="91"/>
      <c r="I87" s="10">
        <f>G87*0.226</f>
        <v>374.09102000000001</v>
      </c>
    </row>
    <row r="88" spans="1:9" ht="15.75" customHeight="1">
      <c r="A88" s="21">
        <v>23</v>
      </c>
      <c r="B88" s="105" t="s">
        <v>245</v>
      </c>
      <c r="C88" s="104" t="s">
        <v>143</v>
      </c>
      <c r="D88" s="41"/>
      <c r="E88" s="27"/>
      <c r="F88" s="27"/>
      <c r="G88" s="27">
        <v>1397.92</v>
      </c>
      <c r="H88" s="91"/>
      <c r="I88" s="10">
        <f>G88*0.15</f>
        <v>209.68800000000002</v>
      </c>
    </row>
    <row r="89" spans="1:9" ht="15.75" customHeight="1">
      <c r="A89" s="21">
        <v>24</v>
      </c>
      <c r="B89" s="92" t="s">
        <v>246</v>
      </c>
      <c r="C89" s="42" t="s">
        <v>220</v>
      </c>
      <c r="D89" s="41"/>
      <c r="E89" s="27"/>
      <c r="F89" s="27"/>
      <c r="G89" s="27">
        <v>202.21</v>
      </c>
      <c r="H89" s="91"/>
      <c r="I89" s="10">
        <f>G89*3</f>
        <v>606.63</v>
      </c>
    </row>
    <row r="90" spans="1:9" ht="33.75" customHeight="1">
      <c r="A90" s="21">
        <v>25</v>
      </c>
      <c r="B90" s="103" t="s">
        <v>247</v>
      </c>
      <c r="C90" s="104" t="s">
        <v>95</v>
      </c>
      <c r="D90" s="41"/>
      <c r="E90" s="27"/>
      <c r="F90" s="27"/>
      <c r="G90" s="27">
        <v>42994.68</v>
      </c>
      <c r="H90" s="91"/>
      <c r="I90" s="10">
        <f>G90*0.15</f>
        <v>6449.2020000000002</v>
      </c>
    </row>
    <row r="91" spans="1:9" ht="15.75" customHeight="1">
      <c r="A91" s="21">
        <v>26</v>
      </c>
      <c r="B91" s="92" t="s">
        <v>80</v>
      </c>
      <c r="C91" s="42" t="s">
        <v>111</v>
      </c>
      <c r="D91" s="41"/>
      <c r="E91" s="27"/>
      <c r="F91" s="27"/>
      <c r="G91" s="27">
        <v>197.48</v>
      </c>
      <c r="H91" s="91"/>
      <c r="I91" s="10">
        <f>G91*3</f>
        <v>592.43999999999994</v>
      </c>
    </row>
    <row r="92" spans="1:9" ht="43.5" customHeight="1">
      <c r="A92" s="21">
        <v>27</v>
      </c>
      <c r="B92" s="92" t="s">
        <v>169</v>
      </c>
      <c r="C92" s="42" t="s">
        <v>143</v>
      </c>
      <c r="D92" s="41"/>
      <c r="E92" s="27"/>
      <c r="F92" s="27"/>
      <c r="G92" s="27">
        <v>10688.06</v>
      </c>
      <c r="H92" s="91"/>
      <c r="I92" s="10">
        <f>G92*0.15</f>
        <v>1603.2089999999998</v>
      </c>
    </row>
    <row r="93" spans="1:9" ht="15.75" customHeight="1">
      <c r="A93" s="21">
        <v>28</v>
      </c>
      <c r="B93" s="106" t="s">
        <v>248</v>
      </c>
      <c r="C93" s="42" t="s">
        <v>249</v>
      </c>
      <c r="D93" s="41"/>
      <c r="E93" s="27"/>
      <c r="F93" s="27"/>
      <c r="G93" s="27">
        <v>253.69</v>
      </c>
      <c r="H93" s="91"/>
      <c r="I93" s="10">
        <f>G93*0.2</f>
        <v>50.738</v>
      </c>
    </row>
    <row r="94" spans="1:9" ht="15.75" customHeight="1">
      <c r="A94" s="21"/>
      <c r="B94" s="34" t="s">
        <v>49</v>
      </c>
      <c r="C94" s="30"/>
      <c r="D94" s="37"/>
      <c r="E94" s="30">
        <v>1</v>
      </c>
      <c r="F94" s="30"/>
      <c r="G94" s="30"/>
      <c r="H94" s="30"/>
      <c r="I94" s="24">
        <f>SUM(I82:I93)</f>
        <v>11173.931436979999</v>
      </c>
    </row>
    <row r="95" spans="1:9" ht="15.75" customHeight="1">
      <c r="A95" s="21"/>
      <c r="B95" s="36" t="s">
        <v>77</v>
      </c>
      <c r="C95" s="12"/>
      <c r="D95" s="12"/>
      <c r="E95" s="31"/>
      <c r="F95" s="31"/>
      <c r="G95" s="32"/>
      <c r="H95" s="32"/>
      <c r="I95" s="14">
        <v>0</v>
      </c>
    </row>
    <row r="96" spans="1:9" ht="15.75" customHeight="1">
      <c r="A96" s="38"/>
      <c r="B96" s="35" t="s">
        <v>50</v>
      </c>
      <c r="C96" s="26"/>
      <c r="D96" s="26"/>
      <c r="E96" s="26"/>
      <c r="F96" s="26"/>
      <c r="G96" s="26"/>
      <c r="H96" s="26"/>
      <c r="I96" s="33">
        <f>I79+I94</f>
        <v>33979.698029563333</v>
      </c>
    </row>
    <row r="97" spans="1:9" ht="15.75" customHeight="1">
      <c r="A97" s="125" t="s">
        <v>198</v>
      </c>
      <c r="B97" s="126"/>
      <c r="C97" s="126"/>
      <c r="D97" s="126"/>
      <c r="E97" s="126"/>
      <c r="F97" s="126"/>
      <c r="G97" s="126"/>
      <c r="H97" s="126"/>
      <c r="I97" s="126"/>
    </row>
    <row r="98" spans="1:9" ht="15.75">
      <c r="A98" s="121" t="s">
        <v>250</v>
      </c>
      <c r="B98" s="121"/>
      <c r="C98" s="121"/>
      <c r="D98" s="121"/>
      <c r="E98" s="121"/>
      <c r="F98" s="121"/>
      <c r="G98" s="121"/>
      <c r="H98" s="121"/>
      <c r="I98" s="121"/>
    </row>
    <row r="99" spans="1:9" ht="15.75">
      <c r="A99" s="48"/>
      <c r="B99" s="116" t="s">
        <v>251</v>
      </c>
      <c r="C99" s="116"/>
      <c r="D99" s="116"/>
      <c r="E99" s="116"/>
      <c r="F99" s="116"/>
      <c r="G99" s="116"/>
      <c r="H99" s="59"/>
      <c r="I99" s="2"/>
    </row>
    <row r="100" spans="1:9">
      <c r="A100" s="89"/>
      <c r="B100" s="112" t="s">
        <v>6</v>
      </c>
      <c r="C100" s="112"/>
      <c r="D100" s="112"/>
      <c r="E100" s="112"/>
      <c r="F100" s="112"/>
      <c r="G100" s="112"/>
      <c r="H100" s="16"/>
      <c r="I100" s="4"/>
    </row>
    <row r="101" spans="1:9">
      <c r="A101" s="7"/>
      <c r="B101" s="7"/>
      <c r="C101" s="7"/>
      <c r="D101" s="7"/>
      <c r="E101" s="7"/>
      <c r="F101" s="7"/>
      <c r="G101" s="7"/>
      <c r="H101" s="7"/>
      <c r="I101" s="7"/>
    </row>
    <row r="102" spans="1:9" ht="15.75">
      <c r="A102" s="117" t="s">
        <v>7</v>
      </c>
      <c r="B102" s="117"/>
      <c r="C102" s="117"/>
      <c r="D102" s="117"/>
      <c r="E102" s="117"/>
      <c r="F102" s="117"/>
      <c r="G102" s="117"/>
      <c r="H102" s="117"/>
      <c r="I102" s="117"/>
    </row>
    <row r="103" spans="1:9" ht="15.75">
      <c r="A103" s="117" t="s">
        <v>8</v>
      </c>
      <c r="B103" s="117"/>
      <c r="C103" s="117"/>
      <c r="D103" s="117"/>
      <c r="E103" s="117"/>
      <c r="F103" s="117"/>
      <c r="G103" s="117"/>
      <c r="H103" s="117"/>
      <c r="I103" s="117"/>
    </row>
    <row r="104" spans="1:9" ht="15.75">
      <c r="A104" s="118" t="s">
        <v>59</v>
      </c>
      <c r="B104" s="118"/>
      <c r="C104" s="118"/>
      <c r="D104" s="118"/>
      <c r="E104" s="118"/>
      <c r="F104" s="118"/>
      <c r="G104" s="118"/>
      <c r="H104" s="118"/>
      <c r="I104" s="118"/>
    </row>
    <row r="105" spans="1:9" ht="15.75">
      <c r="A105" s="8"/>
    </row>
    <row r="106" spans="1:9" ht="15.75">
      <c r="A106" s="119" t="s">
        <v>9</v>
      </c>
      <c r="B106" s="119"/>
      <c r="C106" s="119"/>
      <c r="D106" s="119"/>
      <c r="E106" s="119"/>
      <c r="F106" s="119"/>
      <c r="G106" s="119"/>
      <c r="H106" s="119"/>
      <c r="I106" s="119"/>
    </row>
    <row r="107" spans="1:9" ht="15.75">
      <c r="A107" s="3"/>
    </row>
    <row r="108" spans="1:9" ht="15.75">
      <c r="B108" s="86" t="s">
        <v>10</v>
      </c>
      <c r="C108" s="111" t="s">
        <v>136</v>
      </c>
      <c r="D108" s="111"/>
      <c r="E108" s="111"/>
      <c r="F108" s="57"/>
      <c r="I108" s="88"/>
    </row>
    <row r="109" spans="1:9">
      <c r="A109" s="89"/>
      <c r="C109" s="112" t="s">
        <v>11</v>
      </c>
      <c r="D109" s="112"/>
      <c r="E109" s="112"/>
      <c r="F109" s="16"/>
      <c r="I109" s="87" t="s">
        <v>12</v>
      </c>
    </row>
    <row r="110" spans="1:9" ht="15.75">
      <c r="A110" s="17"/>
      <c r="C110" s="9"/>
      <c r="D110" s="9"/>
      <c r="G110" s="9"/>
      <c r="H110" s="9"/>
    </row>
    <row r="111" spans="1:9" ht="15.75">
      <c r="B111" s="86" t="s">
        <v>13</v>
      </c>
      <c r="C111" s="113"/>
      <c r="D111" s="113"/>
      <c r="E111" s="113"/>
      <c r="F111" s="58"/>
      <c r="I111" s="88"/>
    </row>
    <row r="112" spans="1:9">
      <c r="A112" s="89"/>
      <c r="C112" s="114" t="s">
        <v>11</v>
      </c>
      <c r="D112" s="114"/>
      <c r="E112" s="114"/>
      <c r="F112" s="89"/>
      <c r="I112" s="87" t="s">
        <v>12</v>
      </c>
    </row>
    <row r="113" spans="1:9" ht="15.75">
      <c r="A113" s="3" t="s">
        <v>14</v>
      </c>
    </row>
    <row r="114" spans="1:9">
      <c r="A114" s="115" t="s">
        <v>15</v>
      </c>
      <c r="B114" s="115"/>
      <c r="C114" s="115"/>
      <c r="D114" s="115"/>
      <c r="E114" s="115"/>
      <c r="F114" s="115"/>
      <c r="G114" s="115"/>
      <c r="H114" s="115"/>
      <c r="I114" s="115"/>
    </row>
    <row r="115" spans="1:9" ht="45" customHeight="1">
      <c r="A115" s="107" t="s">
        <v>16</v>
      </c>
      <c r="B115" s="107"/>
      <c r="C115" s="107"/>
      <c r="D115" s="107"/>
      <c r="E115" s="107"/>
      <c r="F115" s="107"/>
      <c r="G115" s="107"/>
      <c r="H115" s="107"/>
      <c r="I115" s="107"/>
    </row>
    <row r="116" spans="1:9" ht="30" customHeight="1">
      <c r="A116" s="107" t="s">
        <v>17</v>
      </c>
      <c r="B116" s="107"/>
      <c r="C116" s="107"/>
      <c r="D116" s="107"/>
      <c r="E116" s="107"/>
      <c r="F116" s="107"/>
      <c r="G116" s="107"/>
      <c r="H116" s="107"/>
      <c r="I116" s="107"/>
    </row>
    <row r="117" spans="1:9" ht="30" customHeight="1">
      <c r="A117" s="107" t="s">
        <v>21</v>
      </c>
      <c r="B117" s="107"/>
      <c r="C117" s="107"/>
      <c r="D117" s="107"/>
      <c r="E117" s="107"/>
      <c r="F117" s="107"/>
      <c r="G117" s="107"/>
      <c r="H117" s="107"/>
      <c r="I117" s="107"/>
    </row>
    <row r="118" spans="1:9" ht="15" customHeight="1">
      <c r="A118" s="107" t="s">
        <v>20</v>
      </c>
      <c r="B118" s="107"/>
      <c r="C118" s="107"/>
      <c r="D118" s="107"/>
      <c r="E118" s="107"/>
      <c r="F118" s="107"/>
      <c r="G118" s="107"/>
      <c r="H118" s="107"/>
      <c r="I118" s="107"/>
    </row>
  </sheetData>
  <mergeCells count="29">
    <mergeCell ref="A115:I115"/>
    <mergeCell ref="A116:I116"/>
    <mergeCell ref="A117:I117"/>
    <mergeCell ref="A118:I118"/>
    <mergeCell ref="A106:I106"/>
    <mergeCell ref="C108:E108"/>
    <mergeCell ref="C109:E109"/>
    <mergeCell ref="C111:E111"/>
    <mergeCell ref="C112:E112"/>
    <mergeCell ref="A114:I114"/>
    <mergeCell ref="A104:I104"/>
    <mergeCell ref="A15:I15"/>
    <mergeCell ref="A29:I29"/>
    <mergeCell ref="A45:I45"/>
    <mergeCell ref="A56:I56"/>
    <mergeCell ref="A76:I76"/>
    <mergeCell ref="A80:I80"/>
    <mergeCell ref="A98:I98"/>
    <mergeCell ref="B99:G99"/>
    <mergeCell ref="B100:G100"/>
    <mergeCell ref="A102:I102"/>
    <mergeCell ref="A103:I103"/>
    <mergeCell ref="A97:I97"/>
    <mergeCell ref="A14:I14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110"/>
  <sheetViews>
    <sheetView tabSelected="1" topLeftCell="A76" workbookViewId="0">
      <selection activeCell="B91" sqref="B91:G91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194</v>
      </c>
      <c r="I1" s="18"/>
    </row>
    <row r="2" spans="1:9" ht="15.75">
      <c r="A2" s="20" t="s">
        <v>60</v>
      </c>
    </row>
    <row r="3" spans="1:9" ht="15.75">
      <c r="A3" s="128" t="s">
        <v>168</v>
      </c>
      <c r="B3" s="128"/>
      <c r="C3" s="128"/>
      <c r="D3" s="128"/>
      <c r="E3" s="128"/>
      <c r="F3" s="128"/>
      <c r="G3" s="128"/>
      <c r="H3" s="128"/>
      <c r="I3" s="128"/>
    </row>
    <row r="4" spans="1:9" ht="31.5" customHeight="1">
      <c r="A4" s="129" t="s">
        <v>132</v>
      </c>
      <c r="B4" s="129"/>
      <c r="C4" s="129"/>
      <c r="D4" s="129"/>
      <c r="E4" s="129"/>
      <c r="F4" s="129"/>
      <c r="G4" s="129"/>
      <c r="H4" s="129"/>
      <c r="I4" s="129"/>
    </row>
    <row r="5" spans="1:9" ht="15.75">
      <c r="A5" s="128" t="s">
        <v>252</v>
      </c>
      <c r="B5" s="130"/>
      <c r="C5" s="130"/>
      <c r="D5" s="130"/>
      <c r="E5" s="130"/>
      <c r="F5" s="130"/>
      <c r="G5" s="130"/>
      <c r="H5" s="130"/>
      <c r="I5" s="130"/>
    </row>
    <row r="6" spans="1:9" ht="15.75">
      <c r="A6" s="1"/>
      <c r="B6" s="85"/>
      <c r="C6" s="85"/>
      <c r="D6" s="85"/>
      <c r="E6" s="85"/>
      <c r="F6" s="85"/>
      <c r="G6" s="85"/>
      <c r="H6" s="85"/>
      <c r="I6" s="22">
        <v>43465</v>
      </c>
    </row>
    <row r="7" spans="1:9" ht="15.75">
      <c r="B7" s="86"/>
      <c r="C7" s="86"/>
      <c r="D7" s="86"/>
      <c r="E7" s="2"/>
      <c r="F7" s="2"/>
      <c r="G7" s="2"/>
      <c r="H7" s="2"/>
    </row>
    <row r="8" spans="1:9" ht="78.75" customHeight="1">
      <c r="A8" s="131" t="s">
        <v>196</v>
      </c>
      <c r="B8" s="131"/>
      <c r="C8" s="131"/>
      <c r="D8" s="131"/>
      <c r="E8" s="131"/>
      <c r="F8" s="131"/>
      <c r="G8" s="131"/>
      <c r="H8" s="131"/>
      <c r="I8" s="131"/>
    </row>
    <row r="9" spans="1:9" ht="15.75">
      <c r="A9" s="3"/>
    </row>
    <row r="10" spans="1:9" ht="47.25" customHeight="1">
      <c r="A10" s="132" t="s">
        <v>159</v>
      </c>
      <c r="B10" s="132"/>
      <c r="C10" s="132"/>
      <c r="D10" s="132"/>
      <c r="E10" s="132"/>
      <c r="F10" s="132"/>
      <c r="G10" s="132"/>
      <c r="H10" s="132"/>
      <c r="I10" s="132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>
      <c r="A14" s="127" t="s">
        <v>57</v>
      </c>
      <c r="B14" s="127"/>
      <c r="C14" s="127"/>
      <c r="D14" s="127"/>
      <c r="E14" s="127"/>
      <c r="F14" s="127"/>
      <c r="G14" s="127"/>
      <c r="H14" s="127"/>
      <c r="I14" s="127"/>
    </row>
    <row r="15" spans="1:9">
      <c r="A15" s="120" t="s">
        <v>4</v>
      </c>
      <c r="B15" s="120"/>
      <c r="C15" s="120"/>
      <c r="D15" s="120"/>
      <c r="E15" s="120"/>
      <c r="F15" s="120"/>
      <c r="G15" s="120"/>
      <c r="H15" s="120"/>
      <c r="I15" s="120"/>
    </row>
    <row r="16" spans="1:9" ht="15.75" customHeight="1">
      <c r="A16" s="21">
        <v>1</v>
      </c>
      <c r="B16" s="60" t="s">
        <v>86</v>
      </c>
      <c r="C16" s="61" t="s">
        <v>87</v>
      </c>
      <c r="D16" s="60" t="s">
        <v>160</v>
      </c>
      <c r="E16" s="62">
        <v>55</v>
      </c>
      <c r="F16" s="63">
        <f>SUM(E16*156/100)</f>
        <v>85.8</v>
      </c>
      <c r="G16" s="63">
        <v>187.48</v>
      </c>
      <c r="H16" s="64">
        <f t="shared" ref="H16:H26" si="0">SUM(F16*G16/1000)</f>
        <v>16.085783999999997</v>
      </c>
      <c r="I16" s="10">
        <f>F16/12*G16</f>
        <v>1340.4819999999997</v>
      </c>
    </row>
    <row r="17" spans="1:9" ht="15.75" customHeight="1">
      <c r="A17" s="21">
        <v>2</v>
      </c>
      <c r="B17" s="60" t="s">
        <v>123</v>
      </c>
      <c r="C17" s="61" t="s">
        <v>87</v>
      </c>
      <c r="D17" s="60" t="s">
        <v>161</v>
      </c>
      <c r="E17" s="62">
        <v>165</v>
      </c>
      <c r="F17" s="63">
        <f>SUM(E17*104/100)</f>
        <v>171.6</v>
      </c>
      <c r="G17" s="63">
        <v>187.48</v>
      </c>
      <c r="H17" s="64">
        <f t="shared" si="0"/>
        <v>32.171567999999994</v>
      </c>
      <c r="I17" s="10">
        <f>F17/12*G17</f>
        <v>2680.9639999999995</v>
      </c>
    </row>
    <row r="18" spans="1:9" ht="15.75" customHeight="1">
      <c r="A18" s="21">
        <v>3</v>
      </c>
      <c r="B18" s="60" t="s">
        <v>124</v>
      </c>
      <c r="C18" s="61" t="s">
        <v>87</v>
      </c>
      <c r="D18" s="60" t="s">
        <v>162</v>
      </c>
      <c r="E18" s="62">
        <f>SUM(E16+E17)</f>
        <v>220</v>
      </c>
      <c r="F18" s="63">
        <f>SUM(E18*24/100)</f>
        <v>52.8</v>
      </c>
      <c r="G18" s="63">
        <v>539.30999999999995</v>
      </c>
      <c r="H18" s="64">
        <f t="shared" si="0"/>
        <v>28.475567999999996</v>
      </c>
      <c r="I18" s="10">
        <f>F18/12*G18</f>
        <v>2372.9639999999995</v>
      </c>
    </row>
    <row r="19" spans="1:9" ht="15.75" hidden="1" customHeight="1">
      <c r="A19" s="21">
        <v>4</v>
      </c>
      <c r="B19" s="60" t="s">
        <v>94</v>
      </c>
      <c r="C19" s="61" t="s">
        <v>95</v>
      </c>
      <c r="D19" s="60" t="s">
        <v>96</v>
      </c>
      <c r="E19" s="62">
        <v>32.4</v>
      </c>
      <c r="F19" s="63">
        <f>SUM(E19/10)</f>
        <v>3.2399999999999998</v>
      </c>
      <c r="G19" s="63">
        <v>181.91</v>
      </c>
      <c r="H19" s="64">
        <f t="shared" si="0"/>
        <v>0.58938839999999992</v>
      </c>
      <c r="I19" s="10">
        <v>0</v>
      </c>
    </row>
    <row r="20" spans="1:9" ht="15.75" customHeight="1">
      <c r="A20" s="21">
        <v>4</v>
      </c>
      <c r="B20" s="60" t="s">
        <v>97</v>
      </c>
      <c r="C20" s="61" t="s">
        <v>87</v>
      </c>
      <c r="D20" s="60" t="s">
        <v>125</v>
      </c>
      <c r="E20" s="62">
        <v>12.24</v>
      </c>
      <c r="F20" s="63">
        <f>SUM(E20*12/100)</f>
        <v>1.4687999999999999</v>
      </c>
      <c r="G20" s="63">
        <v>232.92</v>
      </c>
      <c r="H20" s="64">
        <f t="shared" si="0"/>
        <v>0.342112896</v>
      </c>
      <c r="I20" s="10">
        <f>F20/12*G20</f>
        <v>28.509407999999997</v>
      </c>
    </row>
    <row r="21" spans="1:9" ht="15.75" hidden="1" customHeight="1">
      <c r="A21" s="21">
        <v>5</v>
      </c>
      <c r="B21" s="60" t="s">
        <v>98</v>
      </c>
      <c r="C21" s="61" t="s">
        <v>87</v>
      </c>
      <c r="D21" s="60" t="s">
        <v>126</v>
      </c>
      <c r="E21" s="62">
        <v>10.08</v>
      </c>
      <c r="F21" s="63">
        <f>SUM(E21*6/100)</f>
        <v>0.6048</v>
      </c>
      <c r="G21" s="63">
        <v>231.03</v>
      </c>
      <c r="H21" s="64">
        <f t="shared" si="0"/>
        <v>0.13972694399999999</v>
      </c>
      <c r="I21" s="10">
        <f>F21/6*G21</f>
        <v>23.287824000000001</v>
      </c>
    </row>
    <row r="22" spans="1:9" ht="15.75" hidden="1" customHeight="1">
      <c r="A22" s="21">
        <v>7</v>
      </c>
      <c r="B22" s="60" t="s">
        <v>99</v>
      </c>
      <c r="C22" s="61" t="s">
        <v>51</v>
      </c>
      <c r="D22" s="60" t="s">
        <v>96</v>
      </c>
      <c r="E22" s="62">
        <v>293.76</v>
      </c>
      <c r="F22" s="63">
        <f>SUM(E22/100)</f>
        <v>2.9375999999999998</v>
      </c>
      <c r="G22" s="63">
        <v>287.83999999999997</v>
      </c>
      <c r="H22" s="64">
        <f t="shared" si="0"/>
        <v>0.84555878399999984</v>
      </c>
      <c r="I22" s="10">
        <v>0</v>
      </c>
    </row>
    <row r="23" spans="1:9" ht="15.75" hidden="1" customHeight="1">
      <c r="A23" s="21">
        <v>8</v>
      </c>
      <c r="B23" s="60" t="s">
        <v>100</v>
      </c>
      <c r="C23" s="61" t="s">
        <v>51</v>
      </c>
      <c r="D23" s="60" t="s">
        <v>96</v>
      </c>
      <c r="E23" s="65">
        <v>17.64</v>
      </c>
      <c r="F23" s="63">
        <f>SUM(E23/100)</f>
        <v>0.1764</v>
      </c>
      <c r="G23" s="63">
        <v>47.34</v>
      </c>
      <c r="H23" s="64">
        <f t="shared" si="0"/>
        <v>8.3507760000000007E-3</v>
      </c>
      <c r="I23" s="10">
        <v>0</v>
      </c>
    </row>
    <row r="24" spans="1:9" ht="15.75" hidden="1" customHeight="1">
      <c r="A24" s="21">
        <v>9</v>
      </c>
      <c r="B24" s="60" t="s">
        <v>101</v>
      </c>
      <c r="C24" s="61" t="s">
        <v>51</v>
      </c>
      <c r="D24" s="60" t="s">
        <v>102</v>
      </c>
      <c r="E24" s="62">
        <v>10.8</v>
      </c>
      <c r="F24" s="63">
        <f>E24/100</f>
        <v>0.10800000000000001</v>
      </c>
      <c r="G24" s="63">
        <v>416.62</v>
      </c>
      <c r="H24" s="64">
        <f t="shared" si="0"/>
        <v>4.4994960000000007E-2</v>
      </c>
      <c r="I24" s="10">
        <v>0</v>
      </c>
    </row>
    <row r="25" spans="1:9" ht="15.75" hidden="1" customHeight="1">
      <c r="A25" s="21">
        <v>10</v>
      </c>
      <c r="B25" s="60" t="s">
        <v>103</v>
      </c>
      <c r="C25" s="61" t="s">
        <v>51</v>
      </c>
      <c r="D25" s="60" t="s">
        <v>52</v>
      </c>
      <c r="E25" s="62">
        <v>12.6</v>
      </c>
      <c r="F25" s="63">
        <f>E25/100</f>
        <v>0.126</v>
      </c>
      <c r="G25" s="63">
        <v>231.03</v>
      </c>
      <c r="H25" s="64">
        <f>G25*F25/1000</f>
        <v>2.9109780000000002E-2</v>
      </c>
      <c r="I25" s="10">
        <v>0</v>
      </c>
    </row>
    <row r="26" spans="1:9" ht="15.75" hidden="1" customHeight="1">
      <c r="A26" s="21">
        <v>11</v>
      </c>
      <c r="B26" s="60" t="s">
        <v>104</v>
      </c>
      <c r="C26" s="61" t="s">
        <v>51</v>
      </c>
      <c r="D26" s="60" t="s">
        <v>96</v>
      </c>
      <c r="E26" s="62">
        <v>14.4</v>
      </c>
      <c r="F26" s="63">
        <f>SUM(E26/100)</f>
        <v>0.14400000000000002</v>
      </c>
      <c r="G26" s="63">
        <v>556.74</v>
      </c>
      <c r="H26" s="64">
        <f t="shared" si="0"/>
        <v>8.0170560000000016E-2</v>
      </c>
      <c r="I26" s="10">
        <v>0</v>
      </c>
    </row>
    <row r="27" spans="1:9" ht="15.75" customHeight="1">
      <c r="A27" s="21">
        <v>5</v>
      </c>
      <c r="B27" s="60" t="s">
        <v>62</v>
      </c>
      <c r="C27" s="61" t="s">
        <v>31</v>
      </c>
      <c r="D27" s="60"/>
      <c r="E27" s="62">
        <v>0.1</v>
      </c>
      <c r="F27" s="63">
        <f>SUM(E27*365)</f>
        <v>36.5</v>
      </c>
      <c r="G27" s="63">
        <v>157.18</v>
      </c>
      <c r="H27" s="64">
        <f>SUM(F27*G27/1000)</f>
        <v>5.737070000000001</v>
      </c>
      <c r="I27" s="10">
        <f>F27/12*G27</f>
        <v>478.08916666666664</v>
      </c>
    </row>
    <row r="28" spans="1:9" ht="15.75" hidden="1" customHeight="1">
      <c r="A28" s="21">
        <v>6</v>
      </c>
      <c r="B28" s="68" t="s">
        <v>23</v>
      </c>
      <c r="C28" s="61" t="s">
        <v>24</v>
      </c>
      <c r="D28" s="60"/>
      <c r="E28" s="62">
        <v>2054.6</v>
      </c>
      <c r="F28" s="63">
        <f>SUM(E28*12)</f>
        <v>24655.199999999997</v>
      </c>
      <c r="G28" s="63">
        <v>6.15</v>
      </c>
      <c r="H28" s="64">
        <f>SUM(F28*G28/1000)</f>
        <v>151.62947999999997</v>
      </c>
      <c r="I28" s="10">
        <f>F28/12*G28</f>
        <v>12635.79</v>
      </c>
    </row>
    <row r="29" spans="1:9" ht="15.75" customHeight="1">
      <c r="A29" s="108" t="s">
        <v>84</v>
      </c>
      <c r="B29" s="109"/>
      <c r="C29" s="109"/>
      <c r="D29" s="109"/>
      <c r="E29" s="109"/>
      <c r="F29" s="109"/>
      <c r="G29" s="109"/>
      <c r="H29" s="109"/>
      <c r="I29" s="110"/>
    </row>
    <row r="30" spans="1:9" ht="15.75" hidden="1" customHeight="1">
      <c r="A30" s="21"/>
      <c r="B30" s="81" t="s">
        <v>27</v>
      </c>
      <c r="C30" s="61"/>
      <c r="D30" s="60"/>
      <c r="E30" s="62"/>
      <c r="F30" s="63"/>
      <c r="G30" s="63"/>
      <c r="H30" s="64"/>
      <c r="I30" s="10"/>
    </row>
    <row r="31" spans="1:9" ht="15.75" hidden="1" customHeight="1">
      <c r="A31" s="21">
        <v>7</v>
      </c>
      <c r="B31" s="60" t="s">
        <v>109</v>
      </c>
      <c r="C31" s="61" t="s">
        <v>90</v>
      </c>
      <c r="D31" s="60" t="s">
        <v>164</v>
      </c>
      <c r="E31" s="63">
        <v>600.63</v>
      </c>
      <c r="F31" s="63">
        <f>SUM(E31*52/1000)</f>
        <v>31.232759999999999</v>
      </c>
      <c r="G31" s="63">
        <v>166.65</v>
      </c>
      <c r="H31" s="64">
        <f t="shared" ref="H31:H36" si="1">SUM(F31*G31/1000)</f>
        <v>5.2049394540000007</v>
      </c>
      <c r="I31" s="10">
        <f>F31/6*G31</f>
        <v>867.4899089999999</v>
      </c>
    </row>
    <row r="32" spans="1:9" ht="31.5" hidden="1" customHeight="1">
      <c r="A32" s="21">
        <v>8</v>
      </c>
      <c r="B32" s="60" t="s">
        <v>108</v>
      </c>
      <c r="C32" s="61" t="s">
        <v>90</v>
      </c>
      <c r="D32" s="60" t="s">
        <v>165</v>
      </c>
      <c r="E32" s="63">
        <v>186.39</v>
      </c>
      <c r="F32" s="63">
        <f>SUM(E32*78/1000)</f>
        <v>14.538419999999999</v>
      </c>
      <c r="G32" s="63">
        <v>276.48</v>
      </c>
      <c r="H32" s="64">
        <f t="shared" si="1"/>
        <v>4.0195823615999995</v>
      </c>
      <c r="I32" s="10">
        <f t="shared" ref="I32:I34" si="2">F32/6*G32</f>
        <v>669.93039359999989</v>
      </c>
    </row>
    <row r="33" spans="1:9" ht="15.75" hidden="1" customHeight="1">
      <c r="A33" s="21">
        <v>16</v>
      </c>
      <c r="B33" s="60" t="s">
        <v>26</v>
      </c>
      <c r="C33" s="61" t="s">
        <v>90</v>
      </c>
      <c r="D33" s="60" t="s">
        <v>52</v>
      </c>
      <c r="E33" s="63">
        <v>600.63</v>
      </c>
      <c r="F33" s="63">
        <f>SUM(E33/1000)</f>
        <v>0.60063</v>
      </c>
      <c r="G33" s="63">
        <v>3228.73</v>
      </c>
      <c r="H33" s="64">
        <f t="shared" si="1"/>
        <v>1.9392720999000002</v>
      </c>
      <c r="I33" s="10">
        <f>F33*G33</f>
        <v>1939.2720999000001</v>
      </c>
    </row>
    <row r="34" spans="1:9" ht="15.75" hidden="1" customHeight="1">
      <c r="A34" s="21">
        <v>9</v>
      </c>
      <c r="B34" s="60" t="s">
        <v>107</v>
      </c>
      <c r="C34" s="61" t="s">
        <v>29</v>
      </c>
      <c r="D34" s="60" t="s">
        <v>61</v>
      </c>
      <c r="E34" s="67">
        <v>0.33333333333333331</v>
      </c>
      <c r="F34" s="63">
        <f>155/3</f>
        <v>51.666666666666664</v>
      </c>
      <c r="G34" s="63">
        <v>60.6</v>
      </c>
      <c r="H34" s="64">
        <f>SUM(G34*155/3/1000)</f>
        <v>3.1309999999999998</v>
      </c>
      <c r="I34" s="10">
        <f t="shared" si="2"/>
        <v>521.83333333333337</v>
      </c>
    </row>
    <row r="35" spans="1:9" ht="15.75" hidden="1" customHeight="1">
      <c r="A35" s="21"/>
      <c r="B35" s="60" t="s">
        <v>63</v>
      </c>
      <c r="C35" s="61" t="s">
        <v>31</v>
      </c>
      <c r="D35" s="60" t="s">
        <v>65</v>
      </c>
      <c r="E35" s="62"/>
      <c r="F35" s="63">
        <v>2</v>
      </c>
      <c r="G35" s="63">
        <v>204.52</v>
      </c>
      <c r="H35" s="64">
        <f t="shared" si="1"/>
        <v>0.40904000000000001</v>
      </c>
      <c r="I35" s="10">
        <v>0</v>
      </c>
    </row>
    <row r="36" spans="1:9" ht="15.75" hidden="1" customHeight="1">
      <c r="A36" s="21"/>
      <c r="B36" s="60" t="s">
        <v>64</v>
      </c>
      <c r="C36" s="61" t="s">
        <v>30</v>
      </c>
      <c r="D36" s="60" t="s">
        <v>65</v>
      </c>
      <c r="E36" s="62"/>
      <c r="F36" s="63">
        <v>1</v>
      </c>
      <c r="G36" s="63">
        <v>1214.74</v>
      </c>
      <c r="H36" s="64">
        <f t="shared" si="1"/>
        <v>1.2147399999999999</v>
      </c>
      <c r="I36" s="10">
        <v>0</v>
      </c>
    </row>
    <row r="37" spans="1:9" ht="15.75" customHeight="1">
      <c r="A37" s="21"/>
      <c r="B37" s="81" t="s">
        <v>5</v>
      </c>
      <c r="C37" s="61"/>
      <c r="D37" s="60"/>
      <c r="E37" s="62"/>
      <c r="F37" s="63"/>
      <c r="G37" s="63"/>
      <c r="H37" s="64" t="s">
        <v>120</v>
      </c>
      <c r="I37" s="10"/>
    </row>
    <row r="38" spans="1:9" ht="15.75" customHeight="1">
      <c r="A38" s="21">
        <v>6</v>
      </c>
      <c r="B38" s="60" t="s">
        <v>25</v>
      </c>
      <c r="C38" s="61" t="s">
        <v>30</v>
      </c>
      <c r="D38" s="60"/>
      <c r="E38" s="62"/>
      <c r="F38" s="63">
        <v>5</v>
      </c>
      <c r="G38" s="63">
        <v>1632.6</v>
      </c>
      <c r="H38" s="64">
        <f t="shared" ref="H38:H44" si="3">SUM(F38*G38/1000)</f>
        <v>8.1630000000000003</v>
      </c>
      <c r="I38" s="10">
        <f>F38/6*G38</f>
        <v>1360.5</v>
      </c>
    </row>
    <row r="39" spans="1:9" ht="15.75" customHeight="1">
      <c r="A39" s="21">
        <v>7</v>
      </c>
      <c r="B39" s="60" t="s">
        <v>127</v>
      </c>
      <c r="C39" s="61" t="s">
        <v>28</v>
      </c>
      <c r="D39" s="60" t="s">
        <v>88</v>
      </c>
      <c r="E39" s="62">
        <v>186.39</v>
      </c>
      <c r="F39" s="63">
        <f>E39*30/1000</f>
        <v>5.5916999999999994</v>
      </c>
      <c r="G39" s="63">
        <v>2247.8000000000002</v>
      </c>
      <c r="H39" s="64">
        <f>G39*F39/1000</f>
        <v>12.56902326</v>
      </c>
      <c r="I39" s="10">
        <f>F39/6*G39</f>
        <v>2094.8372100000001</v>
      </c>
    </row>
    <row r="40" spans="1:9" ht="15.75" hidden="1" customHeight="1">
      <c r="A40" s="21"/>
      <c r="B40" s="60" t="s">
        <v>138</v>
      </c>
      <c r="C40" s="61" t="s">
        <v>139</v>
      </c>
      <c r="D40" s="60" t="s">
        <v>65</v>
      </c>
      <c r="E40" s="62"/>
      <c r="F40" s="63">
        <v>72.3</v>
      </c>
      <c r="G40" s="63">
        <v>199.44</v>
      </c>
      <c r="H40" s="64">
        <f>G40*F40/1000</f>
        <v>14.419511999999999</v>
      </c>
      <c r="I40" s="10">
        <v>0</v>
      </c>
    </row>
    <row r="41" spans="1:9" ht="15.75" customHeight="1">
      <c r="A41" s="21">
        <v>8</v>
      </c>
      <c r="B41" s="60" t="s">
        <v>66</v>
      </c>
      <c r="C41" s="61" t="s">
        <v>28</v>
      </c>
      <c r="D41" s="60" t="s">
        <v>89</v>
      </c>
      <c r="E41" s="63">
        <v>186.39</v>
      </c>
      <c r="F41" s="63">
        <f>SUM(E41*155/1000)</f>
        <v>28.890449999999998</v>
      </c>
      <c r="G41" s="63">
        <v>374.95</v>
      </c>
      <c r="H41" s="64">
        <f t="shared" si="3"/>
        <v>10.832474227499999</v>
      </c>
      <c r="I41" s="10">
        <f>F41/6*G41</f>
        <v>1805.4123712499998</v>
      </c>
    </row>
    <row r="42" spans="1:9" ht="47.25" customHeight="1">
      <c r="A42" s="21">
        <v>9</v>
      </c>
      <c r="B42" s="60" t="s">
        <v>82</v>
      </c>
      <c r="C42" s="61" t="s">
        <v>90</v>
      </c>
      <c r="D42" s="60" t="s">
        <v>128</v>
      </c>
      <c r="E42" s="63">
        <v>52.2</v>
      </c>
      <c r="F42" s="63">
        <f>SUM(E42*35/1000)</f>
        <v>1.827</v>
      </c>
      <c r="G42" s="63">
        <v>6203.7</v>
      </c>
      <c r="H42" s="64">
        <f t="shared" si="3"/>
        <v>11.3341599</v>
      </c>
      <c r="I42" s="10">
        <f>F42/6*G42</f>
        <v>1889.0266499999998</v>
      </c>
    </row>
    <row r="43" spans="1:9" ht="15.75" customHeight="1">
      <c r="A43" s="21">
        <v>10</v>
      </c>
      <c r="B43" s="60" t="s">
        <v>129</v>
      </c>
      <c r="C43" s="61" t="s">
        <v>90</v>
      </c>
      <c r="D43" s="60" t="s">
        <v>67</v>
      </c>
      <c r="E43" s="63">
        <v>52.2</v>
      </c>
      <c r="F43" s="63">
        <f>SUM(E43*45/1000)</f>
        <v>2.3490000000000002</v>
      </c>
      <c r="G43" s="63">
        <v>458.28</v>
      </c>
      <c r="H43" s="64">
        <f t="shared" si="3"/>
        <v>1.0764997199999999</v>
      </c>
      <c r="I43" s="10">
        <f>F43/7.5*1.5*G43</f>
        <v>215.29994400000001</v>
      </c>
    </row>
    <row r="44" spans="1:9" ht="15.75" customHeight="1">
      <c r="A44" s="21">
        <v>11</v>
      </c>
      <c r="B44" s="60" t="s">
        <v>68</v>
      </c>
      <c r="C44" s="61" t="s">
        <v>31</v>
      </c>
      <c r="D44" s="60"/>
      <c r="E44" s="62"/>
      <c r="F44" s="63">
        <v>0.5</v>
      </c>
      <c r="G44" s="63">
        <v>853.06</v>
      </c>
      <c r="H44" s="64">
        <f t="shared" si="3"/>
        <v>0.42652999999999996</v>
      </c>
      <c r="I44" s="10">
        <f>F44/7.5*1.5*G44</f>
        <v>85.305999999999997</v>
      </c>
    </row>
    <row r="45" spans="1:9" ht="15.75" customHeight="1">
      <c r="A45" s="108" t="s">
        <v>133</v>
      </c>
      <c r="B45" s="109"/>
      <c r="C45" s="109"/>
      <c r="D45" s="109"/>
      <c r="E45" s="109"/>
      <c r="F45" s="109"/>
      <c r="G45" s="109"/>
      <c r="H45" s="109"/>
      <c r="I45" s="110"/>
    </row>
    <row r="46" spans="1:9" ht="15.75" hidden="1" customHeight="1">
      <c r="A46" s="21"/>
      <c r="B46" s="60" t="s">
        <v>110</v>
      </c>
      <c r="C46" s="61" t="s">
        <v>90</v>
      </c>
      <c r="D46" s="60" t="s">
        <v>41</v>
      </c>
      <c r="E46" s="62">
        <v>917.75</v>
      </c>
      <c r="F46" s="63">
        <f>SUM(E46*2/1000)</f>
        <v>1.8354999999999999</v>
      </c>
      <c r="G46" s="10">
        <v>865.61</v>
      </c>
      <c r="H46" s="64">
        <f t="shared" ref="H46:H55" si="4">SUM(F46*G46/1000)</f>
        <v>1.5888271549999999</v>
      </c>
      <c r="I46" s="10">
        <v>0</v>
      </c>
    </row>
    <row r="47" spans="1:9" ht="15.75" hidden="1" customHeight="1">
      <c r="A47" s="21"/>
      <c r="B47" s="60" t="s">
        <v>34</v>
      </c>
      <c r="C47" s="61" t="s">
        <v>90</v>
      </c>
      <c r="D47" s="60" t="s">
        <v>41</v>
      </c>
      <c r="E47" s="62">
        <v>48</v>
      </c>
      <c r="F47" s="63">
        <f>E47*2/1000</f>
        <v>9.6000000000000002E-2</v>
      </c>
      <c r="G47" s="10">
        <v>619.46</v>
      </c>
      <c r="H47" s="64">
        <f t="shared" si="4"/>
        <v>5.9468160000000006E-2</v>
      </c>
      <c r="I47" s="10">
        <v>0</v>
      </c>
    </row>
    <row r="48" spans="1:9" ht="15.75" hidden="1" customHeight="1">
      <c r="A48" s="21"/>
      <c r="B48" s="60" t="s">
        <v>35</v>
      </c>
      <c r="C48" s="61" t="s">
        <v>90</v>
      </c>
      <c r="D48" s="60" t="s">
        <v>41</v>
      </c>
      <c r="E48" s="62">
        <v>937.4</v>
      </c>
      <c r="F48" s="63">
        <f>SUM(E48*2/1000)</f>
        <v>1.8748</v>
      </c>
      <c r="G48" s="10">
        <v>619.46</v>
      </c>
      <c r="H48" s="64">
        <f t="shared" si="4"/>
        <v>1.161363608</v>
      </c>
      <c r="I48" s="10">
        <v>0</v>
      </c>
    </row>
    <row r="49" spans="1:9" ht="15.75" hidden="1" customHeight="1">
      <c r="A49" s="21"/>
      <c r="B49" s="60" t="s">
        <v>36</v>
      </c>
      <c r="C49" s="61" t="s">
        <v>90</v>
      </c>
      <c r="D49" s="60" t="s">
        <v>41</v>
      </c>
      <c r="E49" s="62">
        <v>1243.28</v>
      </c>
      <c r="F49" s="63">
        <f>SUM(E49*2/1000)</f>
        <v>2.4865599999999999</v>
      </c>
      <c r="G49" s="10">
        <v>648.64</v>
      </c>
      <c r="H49" s="64">
        <f t="shared" si="4"/>
        <v>1.6128822783999999</v>
      </c>
      <c r="I49" s="10">
        <v>0</v>
      </c>
    </row>
    <row r="50" spans="1:9" ht="15.75" hidden="1" customHeight="1">
      <c r="A50" s="21"/>
      <c r="B50" s="60" t="s">
        <v>32</v>
      </c>
      <c r="C50" s="61" t="s">
        <v>33</v>
      </c>
      <c r="D50" s="60" t="s">
        <v>41</v>
      </c>
      <c r="E50" s="62">
        <v>64.5</v>
      </c>
      <c r="F50" s="63">
        <f>SUM(E50*2/100)</f>
        <v>1.29</v>
      </c>
      <c r="G50" s="10">
        <v>77.84</v>
      </c>
      <c r="H50" s="64">
        <f t="shared" si="4"/>
        <v>0.10041360000000001</v>
      </c>
      <c r="I50" s="10">
        <v>0</v>
      </c>
    </row>
    <row r="51" spans="1:9" ht="15.75" customHeight="1">
      <c r="A51" s="21">
        <v>12</v>
      </c>
      <c r="B51" s="60" t="s">
        <v>54</v>
      </c>
      <c r="C51" s="61" t="s">
        <v>90</v>
      </c>
      <c r="D51" s="60" t="s">
        <v>144</v>
      </c>
      <c r="E51" s="62">
        <v>678.4</v>
      </c>
      <c r="F51" s="63">
        <f>SUM(E51*5/1000)</f>
        <v>3.3919999999999999</v>
      </c>
      <c r="G51" s="10">
        <v>1297.28</v>
      </c>
      <c r="H51" s="64">
        <f t="shared" si="4"/>
        <v>4.4003737599999999</v>
      </c>
      <c r="I51" s="10">
        <f>F51/5*G51</f>
        <v>880.07475199999999</v>
      </c>
    </row>
    <row r="52" spans="1:9" ht="31.5" hidden="1" customHeight="1">
      <c r="A52" s="21">
        <v>14</v>
      </c>
      <c r="B52" s="60" t="s">
        <v>91</v>
      </c>
      <c r="C52" s="61" t="s">
        <v>90</v>
      </c>
      <c r="D52" s="60" t="s">
        <v>41</v>
      </c>
      <c r="E52" s="62">
        <v>678.4</v>
      </c>
      <c r="F52" s="63">
        <f>SUM(E52*2/1000)</f>
        <v>1.3568</v>
      </c>
      <c r="G52" s="10">
        <v>1297.28</v>
      </c>
      <c r="H52" s="64">
        <f t="shared" si="4"/>
        <v>1.7601495039999999</v>
      </c>
      <c r="I52" s="10">
        <f>F52/2*G52</f>
        <v>880.07475199999999</v>
      </c>
    </row>
    <row r="53" spans="1:9" ht="31.5" hidden="1" customHeight="1">
      <c r="A53" s="21">
        <v>15</v>
      </c>
      <c r="B53" s="60" t="s">
        <v>92</v>
      </c>
      <c r="C53" s="61" t="s">
        <v>37</v>
      </c>
      <c r="D53" s="60" t="s">
        <v>41</v>
      </c>
      <c r="E53" s="62">
        <v>12</v>
      </c>
      <c r="F53" s="63">
        <f>SUM(E53*2/100)</f>
        <v>0.24</v>
      </c>
      <c r="G53" s="10">
        <v>2918.89</v>
      </c>
      <c r="H53" s="64">
        <f t="shared" si="4"/>
        <v>0.70053359999999998</v>
      </c>
      <c r="I53" s="10">
        <f t="shared" ref="I53:I54" si="5">F53/2*G53</f>
        <v>350.26679999999999</v>
      </c>
    </row>
    <row r="54" spans="1:9" ht="15.75" hidden="1" customHeight="1">
      <c r="A54" s="21">
        <v>16</v>
      </c>
      <c r="B54" s="60" t="s">
        <v>38</v>
      </c>
      <c r="C54" s="61" t="s">
        <v>39</v>
      </c>
      <c r="D54" s="60" t="s">
        <v>41</v>
      </c>
      <c r="E54" s="62">
        <v>1</v>
      </c>
      <c r="F54" s="63">
        <v>0.02</v>
      </c>
      <c r="G54" s="10">
        <v>6042.12</v>
      </c>
      <c r="H54" s="64">
        <f t="shared" si="4"/>
        <v>0.1208424</v>
      </c>
      <c r="I54" s="10">
        <f t="shared" si="5"/>
        <v>60.421199999999999</v>
      </c>
    </row>
    <row r="55" spans="1:9" ht="15.75" hidden="1" customHeight="1">
      <c r="A55" s="21">
        <v>15</v>
      </c>
      <c r="B55" s="60" t="s">
        <v>40</v>
      </c>
      <c r="C55" s="61" t="s">
        <v>111</v>
      </c>
      <c r="D55" s="60" t="s">
        <v>69</v>
      </c>
      <c r="E55" s="62">
        <v>72</v>
      </c>
      <c r="F55" s="63">
        <f>SUM(E55)*3</f>
        <v>216</v>
      </c>
      <c r="G55" s="10">
        <v>70.209999999999994</v>
      </c>
      <c r="H55" s="64">
        <f t="shared" si="4"/>
        <v>15.165359999999998</v>
      </c>
      <c r="I55" s="10">
        <f>E55*G55</f>
        <v>5055.12</v>
      </c>
    </row>
    <row r="56" spans="1:9" ht="15.75" customHeight="1">
      <c r="A56" s="108" t="s">
        <v>134</v>
      </c>
      <c r="B56" s="109"/>
      <c r="C56" s="109"/>
      <c r="D56" s="109"/>
      <c r="E56" s="109"/>
      <c r="F56" s="109"/>
      <c r="G56" s="109"/>
      <c r="H56" s="109"/>
      <c r="I56" s="110"/>
    </row>
    <row r="57" spans="1:9" ht="15.75" customHeight="1">
      <c r="A57" s="21"/>
      <c r="B57" s="81" t="s">
        <v>42</v>
      </c>
      <c r="C57" s="61"/>
      <c r="D57" s="60"/>
      <c r="E57" s="62"/>
      <c r="F57" s="63"/>
      <c r="G57" s="63"/>
      <c r="H57" s="64"/>
      <c r="I57" s="10"/>
    </row>
    <row r="58" spans="1:9" ht="31.5" customHeight="1">
      <c r="A58" s="21">
        <v>13</v>
      </c>
      <c r="B58" s="60" t="s">
        <v>112</v>
      </c>
      <c r="C58" s="61" t="s">
        <v>87</v>
      </c>
      <c r="D58" s="60" t="s">
        <v>113</v>
      </c>
      <c r="E58" s="62">
        <v>110.66</v>
      </c>
      <c r="F58" s="63">
        <f>SUM(E58*6/100)</f>
        <v>6.6396000000000006</v>
      </c>
      <c r="G58" s="10">
        <v>1654.04</v>
      </c>
      <c r="H58" s="64">
        <f>SUM(F58*G58/1000)</f>
        <v>10.982163984000001</v>
      </c>
      <c r="I58" s="10">
        <f>F58/6*G58</f>
        <v>1830.360664</v>
      </c>
    </row>
    <row r="59" spans="1:9" ht="17.25" customHeight="1">
      <c r="A59" s="21"/>
      <c r="B59" s="82" t="s">
        <v>43</v>
      </c>
      <c r="C59" s="69"/>
      <c r="D59" s="70"/>
      <c r="E59" s="71"/>
      <c r="F59" s="72"/>
      <c r="G59" s="72"/>
      <c r="H59" s="73" t="s">
        <v>120</v>
      </c>
      <c r="I59" s="10"/>
    </row>
    <row r="60" spans="1:9" ht="18" customHeight="1">
      <c r="A60" s="21">
        <v>14</v>
      </c>
      <c r="B60" s="11" t="s">
        <v>44</v>
      </c>
      <c r="C60" s="13" t="s">
        <v>111</v>
      </c>
      <c r="D60" s="11" t="s">
        <v>65</v>
      </c>
      <c r="E60" s="15">
        <v>8</v>
      </c>
      <c r="F60" s="63">
        <v>8</v>
      </c>
      <c r="G60" s="10">
        <v>237.74</v>
      </c>
      <c r="H60" s="74">
        <f t="shared" ref="H60:H73" si="6">SUM(F60*G60/1000)</f>
        <v>1.9019200000000001</v>
      </c>
      <c r="I60" s="10">
        <f>G60*1</f>
        <v>237.74</v>
      </c>
    </row>
    <row r="61" spans="1:9" ht="24.75" hidden="1" customHeight="1">
      <c r="A61" s="21"/>
      <c r="B61" s="11" t="s">
        <v>45</v>
      </c>
      <c r="C61" s="13" t="s">
        <v>111</v>
      </c>
      <c r="D61" s="11" t="s">
        <v>65</v>
      </c>
      <c r="E61" s="15">
        <v>3</v>
      </c>
      <c r="F61" s="63">
        <v>3</v>
      </c>
      <c r="G61" s="10">
        <v>81.510000000000005</v>
      </c>
      <c r="H61" s="74">
        <f t="shared" si="6"/>
        <v>0.24453000000000003</v>
      </c>
      <c r="I61" s="10">
        <v>0</v>
      </c>
    </row>
    <row r="62" spans="1:9" ht="21" hidden="1" customHeight="1">
      <c r="A62" s="21"/>
      <c r="B62" s="11" t="s">
        <v>46</v>
      </c>
      <c r="C62" s="13" t="s">
        <v>114</v>
      </c>
      <c r="D62" s="11" t="s">
        <v>52</v>
      </c>
      <c r="E62" s="62">
        <v>8539</v>
      </c>
      <c r="F62" s="10">
        <f>SUM(E62/100)</f>
        <v>85.39</v>
      </c>
      <c r="G62" s="10">
        <v>226.79</v>
      </c>
      <c r="H62" s="74">
        <f t="shared" si="6"/>
        <v>19.3655981</v>
      </c>
      <c r="I62" s="10">
        <v>0</v>
      </c>
    </row>
    <row r="63" spans="1:9" ht="18.75" hidden="1" customHeight="1">
      <c r="A63" s="21"/>
      <c r="B63" s="11" t="s">
        <v>47</v>
      </c>
      <c r="C63" s="13" t="s">
        <v>115</v>
      </c>
      <c r="D63" s="11"/>
      <c r="E63" s="62">
        <v>8539</v>
      </c>
      <c r="F63" s="10">
        <f>SUM(E63/1000)</f>
        <v>8.5389999999999997</v>
      </c>
      <c r="G63" s="10">
        <v>176.61</v>
      </c>
      <c r="H63" s="74">
        <f t="shared" si="6"/>
        <v>1.5080727900000002</v>
      </c>
      <c r="I63" s="10">
        <v>0</v>
      </c>
    </row>
    <row r="64" spans="1:9" ht="21" hidden="1" customHeight="1">
      <c r="A64" s="21"/>
      <c r="B64" s="11" t="s">
        <v>48</v>
      </c>
      <c r="C64" s="13" t="s">
        <v>75</v>
      </c>
      <c r="D64" s="11" t="s">
        <v>52</v>
      </c>
      <c r="E64" s="62">
        <v>1370</v>
      </c>
      <c r="F64" s="10">
        <f>SUM(E64/100)</f>
        <v>13.7</v>
      </c>
      <c r="G64" s="10">
        <v>2217.7800000000002</v>
      </c>
      <c r="H64" s="74">
        <f t="shared" si="6"/>
        <v>30.383586000000005</v>
      </c>
      <c r="I64" s="10">
        <v>0</v>
      </c>
    </row>
    <row r="65" spans="1:9" ht="19.5" hidden="1" customHeight="1">
      <c r="A65" s="21"/>
      <c r="B65" s="75" t="s">
        <v>116</v>
      </c>
      <c r="C65" s="13" t="s">
        <v>31</v>
      </c>
      <c r="D65" s="11"/>
      <c r="E65" s="62">
        <v>9</v>
      </c>
      <c r="F65" s="10">
        <f>SUM(E65)</f>
        <v>9</v>
      </c>
      <c r="G65" s="10">
        <v>42.67</v>
      </c>
      <c r="H65" s="74">
        <f t="shared" si="6"/>
        <v>0.38403000000000004</v>
      </c>
      <c r="I65" s="10">
        <v>0</v>
      </c>
    </row>
    <row r="66" spans="1:9" ht="21" hidden="1" customHeight="1">
      <c r="A66" s="21"/>
      <c r="B66" s="75" t="s">
        <v>117</v>
      </c>
      <c r="C66" s="13" t="s">
        <v>31</v>
      </c>
      <c r="D66" s="11"/>
      <c r="E66" s="62">
        <v>9</v>
      </c>
      <c r="F66" s="10">
        <f>SUM(E66)</f>
        <v>9</v>
      </c>
      <c r="G66" s="10">
        <v>39.81</v>
      </c>
      <c r="H66" s="74">
        <f t="shared" si="6"/>
        <v>0.35829</v>
      </c>
      <c r="I66" s="10">
        <v>0</v>
      </c>
    </row>
    <row r="67" spans="1:9" ht="18" hidden="1" customHeight="1">
      <c r="A67" s="21"/>
      <c r="B67" s="11" t="s">
        <v>55</v>
      </c>
      <c r="C67" s="13" t="s">
        <v>56</v>
      </c>
      <c r="D67" s="11" t="s">
        <v>52</v>
      </c>
      <c r="E67" s="15">
        <v>3</v>
      </c>
      <c r="F67" s="63">
        <v>3</v>
      </c>
      <c r="G67" s="10">
        <v>53.62</v>
      </c>
      <c r="H67" s="74">
        <f t="shared" si="6"/>
        <v>0.16085999999999998</v>
      </c>
      <c r="I67" s="10">
        <v>0</v>
      </c>
    </row>
    <row r="68" spans="1:9" ht="20.25" hidden="1" customHeight="1">
      <c r="A68" s="21"/>
      <c r="B68" s="84" t="s">
        <v>70</v>
      </c>
      <c r="C68" s="13"/>
      <c r="D68" s="11"/>
      <c r="E68" s="15"/>
      <c r="F68" s="10"/>
      <c r="G68" s="10"/>
      <c r="H68" s="74" t="s">
        <v>120</v>
      </c>
      <c r="I68" s="10"/>
    </row>
    <row r="69" spans="1:9" ht="23.25" hidden="1" customHeight="1">
      <c r="A69" s="21">
        <v>18</v>
      </c>
      <c r="B69" s="11" t="s">
        <v>71</v>
      </c>
      <c r="C69" s="13" t="s">
        <v>73</v>
      </c>
      <c r="D69" s="11"/>
      <c r="E69" s="15">
        <v>2</v>
      </c>
      <c r="F69" s="10">
        <v>0.2</v>
      </c>
      <c r="G69" s="10">
        <v>536.23</v>
      </c>
      <c r="H69" s="74">
        <f t="shared" si="6"/>
        <v>0.10724600000000001</v>
      </c>
      <c r="I69" s="10">
        <f>G69*0.2</f>
        <v>107.24600000000001</v>
      </c>
    </row>
    <row r="70" spans="1:9" ht="21.75" hidden="1" customHeight="1">
      <c r="A70" s="21"/>
      <c r="B70" s="11" t="s">
        <v>72</v>
      </c>
      <c r="C70" s="13" t="s">
        <v>29</v>
      </c>
      <c r="D70" s="11"/>
      <c r="E70" s="15">
        <v>1</v>
      </c>
      <c r="F70" s="56">
        <v>1</v>
      </c>
      <c r="G70" s="10">
        <v>911.85</v>
      </c>
      <c r="H70" s="74">
        <f>F70*G70/1000</f>
        <v>0.91185000000000005</v>
      </c>
      <c r="I70" s="10">
        <v>0</v>
      </c>
    </row>
    <row r="71" spans="1:9" ht="23.25" hidden="1" customHeight="1">
      <c r="A71" s="21"/>
      <c r="B71" s="11" t="s">
        <v>130</v>
      </c>
      <c r="C71" s="13" t="s">
        <v>29</v>
      </c>
      <c r="D71" s="11"/>
      <c r="E71" s="15">
        <v>1</v>
      </c>
      <c r="F71" s="10">
        <v>1</v>
      </c>
      <c r="G71" s="10">
        <v>383.25</v>
      </c>
      <c r="H71" s="74">
        <f>G71*F71/1000</f>
        <v>0.38324999999999998</v>
      </c>
      <c r="I71" s="10">
        <v>0</v>
      </c>
    </row>
    <row r="72" spans="1:9" ht="24.75" hidden="1" customHeight="1">
      <c r="A72" s="21"/>
      <c r="B72" s="76" t="s">
        <v>74</v>
      </c>
      <c r="C72" s="13"/>
      <c r="D72" s="11"/>
      <c r="E72" s="15"/>
      <c r="F72" s="10"/>
      <c r="G72" s="10" t="s">
        <v>120</v>
      </c>
      <c r="H72" s="74" t="s">
        <v>120</v>
      </c>
      <c r="I72" s="10"/>
    </row>
    <row r="73" spans="1:9" ht="18.75" hidden="1" customHeight="1">
      <c r="A73" s="21"/>
      <c r="B73" s="36" t="s">
        <v>121</v>
      </c>
      <c r="C73" s="13" t="s">
        <v>75</v>
      </c>
      <c r="D73" s="11"/>
      <c r="E73" s="15"/>
      <c r="F73" s="10">
        <v>1.35</v>
      </c>
      <c r="G73" s="10">
        <v>2949.85</v>
      </c>
      <c r="H73" s="74">
        <f t="shared" si="6"/>
        <v>3.9822975</v>
      </c>
      <c r="I73" s="10">
        <v>0</v>
      </c>
    </row>
    <row r="74" spans="1:9" ht="18" hidden="1" customHeight="1">
      <c r="A74" s="21"/>
      <c r="B74" s="55" t="s">
        <v>93</v>
      </c>
      <c r="C74" s="77"/>
      <c r="D74" s="23"/>
      <c r="E74" s="24"/>
      <c r="F74" s="66"/>
      <c r="G74" s="66"/>
      <c r="H74" s="78">
        <f>SUM(H58:H73)</f>
        <v>70.673694374000007</v>
      </c>
      <c r="I74" s="66"/>
    </row>
    <row r="75" spans="1:9" ht="15" hidden="1" customHeight="1">
      <c r="A75" s="21"/>
      <c r="B75" s="60" t="s">
        <v>118</v>
      </c>
      <c r="C75" s="13"/>
      <c r="D75" s="11"/>
      <c r="E75" s="79"/>
      <c r="F75" s="10">
        <v>1</v>
      </c>
      <c r="G75" s="10">
        <v>7101.4</v>
      </c>
      <c r="H75" s="74">
        <f>G75*F75/1000</f>
        <v>7.1013999999999999</v>
      </c>
      <c r="I75" s="10">
        <v>0</v>
      </c>
    </row>
    <row r="76" spans="1:9" ht="15.75" customHeight="1">
      <c r="A76" s="108" t="s">
        <v>135</v>
      </c>
      <c r="B76" s="109"/>
      <c r="C76" s="109"/>
      <c r="D76" s="109"/>
      <c r="E76" s="109"/>
      <c r="F76" s="109"/>
      <c r="G76" s="109"/>
      <c r="H76" s="109"/>
      <c r="I76" s="110"/>
    </row>
    <row r="77" spans="1:9" ht="15.75" customHeight="1">
      <c r="A77" s="21">
        <v>15</v>
      </c>
      <c r="B77" s="60" t="s">
        <v>119</v>
      </c>
      <c r="C77" s="13" t="s">
        <v>53</v>
      </c>
      <c r="D77" s="80" t="s">
        <v>145</v>
      </c>
      <c r="E77" s="10">
        <v>2054.6</v>
      </c>
      <c r="F77" s="10">
        <f>SUM(E77*12)</f>
        <v>24655.199999999997</v>
      </c>
      <c r="G77" s="10">
        <v>2.2400000000000002</v>
      </c>
      <c r="H77" s="74">
        <f>SUM(F77*G77/1000)</f>
        <v>55.227648000000002</v>
      </c>
      <c r="I77" s="10">
        <f>F77/12*G77</f>
        <v>4602.3040000000001</v>
      </c>
    </row>
    <row r="78" spans="1:9" ht="31.5" customHeight="1">
      <c r="A78" s="21">
        <v>16</v>
      </c>
      <c r="B78" s="11" t="s">
        <v>76</v>
      </c>
      <c r="C78" s="13"/>
      <c r="D78" s="80" t="s">
        <v>145</v>
      </c>
      <c r="E78" s="62">
        <f>E77</f>
        <v>2054.6</v>
      </c>
      <c r="F78" s="10">
        <f>E78*12</f>
        <v>24655.199999999997</v>
      </c>
      <c r="G78" s="10">
        <v>1.74</v>
      </c>
      <c r="H78" s="74">
        <f>F78*G78/1000</f>
        <v>42.900047999999998</v>
      </c>
      <c r="I78" s="10">
        <f>F78/12*G78</f>
        <v>3575.0039999999999</v>
      </c>
    </row>
    <row r="79" spans="1:9" ht="15.75" customHeight="1">
      <c r="A79" s="21"/>
      <c r="B79" s="28" t="s">
        <v>78</v>
      </c>
      <c r="C79" s="77"/>
      <c r="D79" s="76"/>
      <c r="E79" s="66"/>
      <c r="F79" s="66"/>
      <c r="G79" s="66"/>
      <c r="H79" s="78">
        <f>H78</f>
        <v>42.900047999999998</v>
      </c>
      <c r="I79" s="66">
        <f>I78+I77+I58+I51+I44+I43+I42+I41+I39+I38+I27+I20+I18+I17+I16+I60</f>
        <v>25476.874165916674</v>
      </c>
    </row>
    <row r="80" spans="1:9" ht="15.75" customHeight="1">
      <c r="A80" s="122" t="s">
        <v>58</v>
      </c>
      <c r="B80" s="123"/>
      <c r="C80" s="123"/>
      <c r="D80" s="123"/>
      <c r="E80" s="123"/>
      <c r="F80" s="123"/>
      <c r="G80" s="123"/>
      <c r="H80" s="123"/>
      <c r="I80" s="124"/>
    </row>
    <row r="81" spans="1:9" ht="15.75" customHeight="1">
      <c r="A81" s="21" t="s">
        <v>236</v>
      </c>
      <c r="B81" s="39" t="s">
        <v>122</v>
      </c>
      <c r="C81" s="40" t="s">
        <v>111</v>
      </c>
      <c r="D81" s="36"/>
      <c r="E81" s="10"/>
      <c r="F81" s="10">
        <v>432</v>
      </c>
      <c r="G81" s="10">
        <v>55.55</v>
      </c>
      <c r="H81" s="10">
        <f>G81*F81/1000</f>
        <v>23.997599999999998</v>
      </c>
      <c r="I81" s="10">
        <f>G81*1</f>
        <v>55.55</v>
      </c>
    </row>
    <row r="82" spans="1:9" ht="17.25" customHeight="1">
      <c r="A82" s="21">
        <v>18</v>
      </c>
      <c r="B82" s="92" t="s">
        <v>141</v>
      </c>
      <c r="C82" s="42" t="s">
        <v>142</v>
      </c>
      <c r="D82" s="41"/>
      <c r="E82" s="27"/>
      <c r="F82" s="27">
        <v>12</v>
      </c>
      <c r="G82" s="27">
        <v>1645</v>
      </c>
      <c r="H82" s="91">
        <f t="shared" ref="H82" si="7">G82*F82/1000</f>
        <v>19.739999999999998</v>
      </c>
      <c r="I82" s="10">
        <f>G82*1</f>
        <v>1645</v>
      </c>
    </row>
    <row r="83" spans="1:9" ht="31.5" customHeight="1">
      <c r="A83" s="21">
        <v>19</v>
      </c>
      <c r="B83" s="39" t="s">
        <v>81</v>
      </c>
      <c r="C83" s="40" t="s">
        <v>37</v>
      </c>
      <c r="D83" s="41"/>
      <c r="E83" s="27"/>
      <c r="F83" s="27">
        <v>0.04</v>
      </c>
      <c r="G83" s="99">
        <v>3724.37</v>
      </c>
      <c r="H83" s="74">
        <f>G83*F83/1000</f>
        <v>0.14897479999999999</v>
      </c>
      <c r="I83" s="10">
        <f>G83*0.01</f>
        <v>37.243699999999997</v>
      </c>
    </row>
    <row r="84" spans="1:9" ht="31.5" customHeight="1">
      <c r="A84" s="21">
        <v>20</v>
      </c>
      <c r="B84" s="92" t="s">
        <v>243</v>
      </c>
      <c r="C84" s="42" t="s">
        <v>28</v>
      </c>
      <c r="D84" s="41"/>
      <c r="E84" s="27"/>
      <c r="F84" s="27">
        <v>1</v>
      </c>
      <c r="G84" s="27">
        <v>18798.34</v>
      </c>
      <c r="H84" s="91">
        <f>G84*F84/1000</f>
        <v>18.79834</v>
      </c>
      <c r="I84" s="10">
        <f>G84*6*0.599/1000</f>
        <v>67.561233959999996</v>
      </c>
    </row>
    <row r="85" spans="1:9" ht="16.5" customHeight="1">
      <c r="A85" s="21">
        <v>21</v>
      </c>
      <c r="B85" s="70" t="s">
        <v>171</v>
      </c>
      <c r="C85" s="69" t="s">
        <v>172</v>
      </c>
      <c r="D85" s="70"/>
      <c r="E85" s="71"/>
      <c r="F85" s="72">
        <v>360</v>
      </c>
      <c r="G85" s="56">
        <v>1.2</v>
      </c>
      <c r="H85" s="73">
        <f>F85*G85/1000</f>
        <v>0.432</v>
      </c>
      <c r="I85" s="94">
        <f>G85*120</f>
        <v>144</v>
      </c>
    </row>
    <row r="86" spans="1:9" ht="15.75" customHeight="1">
      <c r="A86" s="21"/>
      <c r="B86" s="34" t="s">
        <v>49</v>
      </c>
      <c r="C86" s="30"/>
      <c r="D86" s="37"/>
      <c r="E86" s="30">
        <v>1</v>
      </c>
      <c r="F86" s="30"/>
      <c r="G86" s="30"/>
      <c r="H86" s="30"/>
      <c r="I86" s="24">
        <f>SUM(I82:I85)</f>
        <v>1893.80493396</v>
      </c>
    </row>
    <row r="87" spans="1:9" ht="15.75" customHeight="1">
      <c r="A87" s="21"/>
      <c r="B87" s="36" t="s">
        <v>77</v>
      </c>
      <c r="C87" s="12"/>
      <c r="D87" s="12"/>
      <c r="E87" s="31"/>
      <c r="F87" s="31"/>
      <c r="G87" s="32"/>
      <c r="H87" s="32"/>
      <c r="I87" s="14">
        <v>0</v>
      </c>
    </row>
    <row r="88" spans="1:9" ht="15.75" customHeight="1">
      <c r="A88" s="38"/>
      <c r="B88" s="35" t="s">
        <v>50</v>
      </c>
      <c r="C88" s="26"/>
      <c r="D88" s="26"/>
      <c r="E88" s="26"/>
      <c r="F88" s="26"/>
      <c r="G88" s="26"/>
      <c r="H88" s="26"/>
      <c r="I88" s="33">
        <f>I79+I86</f>
        <v>27370.679099876674</v>
      </c>
    </row>
    <row r="89" spans="1:9" ht="15.75" customHeight="1">
      <c r="A89" s="125" t="s">
        <v>239</v>
      </c>
      <c r="B89" s="126"/>
      <c r="C89" s="126"/>
      <c r="D89" s="126"/>
      <c r="E89" s="126"/>
      <c r="F89" s="126"/>
      <c r="G89" s="126"/>
      <c r="H89" s="126"/>
      <c r="I89" s="126"/>
    </row>
    <row r="90" spans="1:9" ht="15.75">
      <c r="A90" s="121" t="s">
        <v>253</v>
      </c>
      <c r="B90" s="121"/>
      <c r="C90" s="121"/>
      <c r="D90" s="121"/>
      <c r="E90" s="121"/>
      <c r="F90" s="121"/>
      <c r="G90" s="121"/>
      <c r="H90" s="121"/>
      <c r="I90" s="121"/>
    </row>
    <row r="91" spans="1:9" ht="15.75">
      <c r="A91" s="48"/>
      <c r="B91" s="116" t="s">
        <v>254</v>
      </c>
      <c r="C91" s="116"/>
      <c r="D91" s="116"/>
      <c r="E91" s="116"/>
      <c r="F91" s="116"/>
      <c r="G91" s="116"/>
      <c r="H91" s="59"/>
      <c r="I91" s="2"/>
    </row>
    <row r="92" spans="1:9">
      <c r="A92" s="89"/>
      <c r="B92" s="112" t="s">
        <v>6</v>
      </c>
      <c r="C92" s="112"/>
      <c r="D92" s="112"/>
      <c r="E92" s="112"/>
      <c r="F92" s="112"/>
      <c r="G92" s="112"/>
      <c r="H92" s="16"/>
      <c r="I92" s="4"/>
    </row>
    <row r="93" spans="1:9">
      <c r="A93" s="7"/>
      <c r="B93" s="7"/>
      <c r="C93" s="7"/>
      <c r="D93" s="7"/>
      <c r="E93" s="7"/>
      <c r="F93" s="7"/>
      <c r="G93" s="7"/>
      <c r="H93" s="7"/>
      <c r="I93" s="7"/>
    </row>
    <row r="94" spans="1:9" ht="15.75">
      <c r="A94" s="117" t="s">
        <v>7</v>
      </c>
      <c r="B94" s="117"/>
      <c r="C94" s="117"/>
      <c r="D94" s="117"/>
      <c r="E94" s="117"/>
      <c r="F94" s="117"/>
      <c r="G94" s="117"/>
      <c r="H94" s="117"/>
      <c r="I94" s="117"/>
    </row>
    <row r="95" spans="1:9" ht="15.75">
      <c r="A95" s="117" t="s">
        <v>8</v>
      </c>
      <c r="B95" s="117"/>
      <c r="C95" s="117"/>
      <c r="D95" s="117"/>
      <c r="E95" s="117"/>
      <c r="F95" s="117"/>
      <c r="G95" s="117"/>
      <c r="H95" s="117"/>
      <c r="I95" s="117"/>
    </row>
    <row r="96" spans="1:9" ht="15.75">
      <c r="A96" s="118" t="s">
        <v>59</v>
      </c>
      <c r="B96" s="118"/>
      <c r="C96" s="118"/>
      <c r="D96" s="118"/>
      <c r="E96" s="118"/>
      <c r="F96" s="118"/>
      <c r="G96" s="118"/>
      <c r="H96" s="118"/>
      <c r="I96" s="118"/>
    </row>
    <row r="97" spans="1:9" ht="15.75">
      <c r="A97" s="8"/>
    </row>
    <row r="98" spans="1:9" ht="15.75">
      <c r="A98" s="119" t="s">
        <v>9</v>
      </c>
      <c r="B98" s="119"/>
      <c r="C98" s="119"/>
      <c r="D98" s="119"/>
      <c r="E98" s="119"/>
      <c r="F98" s="119"/>
      <c r="G98" s="119"/>
      <c r="H98" s="119"/>
      <c r="I98" s="119"/>
    </row>
    <row r="99" spans="1:9" ht="15.75">
      <c r="A99" s="3"/>
    </row>
    <row r="100" spans="1:9" ht="15.75">
      <c r="B100" s="86" t="s">
        <v>10</v>
      </c>
      <c r="C100" s="111" t="s">
        <v>136</v>
      </c>
      <c r="D100" s="111"/>
      <c r="E100" s="111"/>
      <c r="F100" s="57"/>
      <c r="I100" s="88"/>
    </row>
    <row r="101" spans="1:9">
      <c r="A101" s="89"/>
      <c r="C101" s="112" t="s">
        <v>11</v>
      </c>
      <c r="D101" s="112"/>
      <c r="E101" s="112"/>
      <c r="F101" s="16"/>
      <c r="I101" s="87" t="s">
        <v>12</v>
      </c>
    </row>
    <row r="102" spans="1:9" ht="15.75">
      <c r="A102" s="17"/>
      <c r="C102" s="9"/>
      <c r="D102" s="9"/>
      <c r="G102" s="9"/>
      <c r="H102" s="9"/>
    </row>
    <row r="103" spans="1:9" ht="15.75">
      <c r="B103" s="86" t="s">
        <v>13</v>
      </c>
      <c r="C103" s="113"/>
      <c r="D103" s="113"/>
      <c r="E103" s="113"/>
      <c r="F103" s="58"/>
      <c r="I103" s="88"/>
    </row>
    <row r="104" spans="1:9">
      <c r="A104" s="89"/>
      <c r="C104" s="114" t="s">
        <v>11</v>
      </c>
      <c r="D104" s="114"/>
      <c r="E104" s="114"/>
      <c r="F104" s="89"/>
      <c r="I104" s="87" t="s">
        <v>12</v>
      </c>
    </row>
    <row r="105" spans="1:9" ht="15.75">
      <c r="A105" s="3" t="s">
        <v>14</v>
      </c>
    </row>
    <row r="106" spans="1:9">
      <c r="A106" s="115" t="s">
        <v>15</v>
      </c>
      <c r="B106" s="115"/>
      <c r="C106" s="115"/>
      <c r="D106" s="115"/>
      <c r="E106" s="115"/>
      <c r="F106" s="115"/>
      <c r="G106" s="115"/>
      <c r="H106" s="115"/>
      <c r="I106" s="115"/>
    </row>
    <row r="107" spans="1:9" ht="45" customHeight="1">
      <c r="A107" s="107" t="s">
        <v>16</v>
      </c>
      <c r="B107" s="107"/>
      <c r="C107" s="107"/>
      <c r="D107" s="107"/>
      <c r="E107" s="107"/>
      <c r="F107" s="107"/>
      <c r="G107" s="107"/>
      <c r="H107" s="107"/>
      <c r="I107" s="107"/>
    </row>
    <row r="108" spans="1:9" ht="30" customHeight="1">
      <c r="A108" s="107" t="s">
        <v>17</v>
      </c>
      <c r="B108" s="107"/>
      <c r="C108" s="107"/>
      <c r="D108" s="107"/>
      <c r="E108" s="107"/>
      <c r="F108" s="107"/>
      <c r="G108" s="107"/>
      <c r="H108" s="107"/>
      <c r="I108" s="107"/>
    </row>
    <row r="109" spans="1:9" ht="30" customHeight="1">
      <c r="A109" s="107" t="s">
        <v>21</v>
      </c>
      <c r="B109" s="107"/>
      <c r="C109" s="107"/>
      <c r="D109" s="107"/>
      <c r="E109" s="107"/>
      <c r="F109" s="107"/>
      <c r="G109" s="107"/>
      <c r="H109" s="107"/>
      <c r="I109" s="107"/>
    </row>
    <row r="110" spans="1:9" ht="15" customHeight="1">
      <c r="A110" s="107" t="s">
        <v>20</v>
      </c>
      <c r="B110" s="107"/>
      <c r="C110" s="107"/>
      <c r="D110" s="107"/>
      <c r="E110" s="107"/>
      <c r="F110" s="107"/>
      <c r="G110" s="107"/>
      <c r="H110" s="107"/>
      <c r="I110" s="107"/>
    </row>
  </sheetData>
  <mergeCells count="29">
    <mergeCell ref="A107:I107"/>
    <mergeCell ref="A108:I108"/>
    <mergeCell ref="A109:I109"/>
    <mergeCell ref="A110:I110"/>
    <mergeCell ref="A98:I98"/>
    <mergeCell ref="C100:E100"/>
    <mergeCell ref="C101:E101"/>
    <mergeCell ref="C103:E103"/>
    <mergeCell ref="C104:E104"/>
    <mergeCell ref="A106:I106"/>
    <mergeCell ref="A96:I96"/>
    <mergeCell ref="A15:I15"/>
    <mergeCell ref="A29:I29"/>
    <mergeCell ref="A45:I45"/>
    <mergeCell ref="A56:I56"/>
    <mergeCell ref="A76:I76"/>
    <mergeCell ref="A80:I80"/>
    <mergeCell ref="A90:I90"/>
    <mergeCell ref="B91:G91"/>
    <mergeCell ref="B92:G92"/>
    <mergeCell ref="A94:I94"/>
    <mergeCell ref="A95:I95"/>
    <mergeCell ref="A89:I89"/>
    <mergeCell ref="A14:I14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07"/>
  <sheetViews>
    <sheetView topLeftCell="A56" workbookViewId="0">
      <selection activeCell="B88" sqref="B88:G8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85</v>
      </c>
      <c r="I1" s="18"/>
    </row>
    <row r="2" spans="1:9" ht="15.75">
      <c r="A2" s="20" t="s">
        <v>60</v>
      </c>
    </row>
    <row r="3" spans="1:9" ht="15.75">
      <c r="A3" s="128" t="s">
        <v>146</v>
      </c>
      <c r="B3" s="128"/>
      <c r="C3" s="128"/>
      <c r="D3" s="128"/>
      <c r="E3" s="128"/>
      <c r="F3" s="128"/>
      <c r="G3" s="128"/>
      <c r="H3" s="128"/>
      <c r="I3" s="128"/>
    </row>
    <row r="4" spans="1:9" ht="31.5" customHeight="1">
      <c r="A4" s="129" t="s">
        <v>132</v>
      </c>
      <c r="B4" s="129"/>
      <c r="C4" s="129"/>
      <c r="D4" s="129"/>
      <c r="E4" s="129"/>
      <c r="F4" s="129"/>
      <c r="G4" s="129"/>
      <c r="H4" s="129"/>
      <c r="I4" s="129"/>
    </row>
    <row r="5" spans="1:9" ht="15.75">
      <c r="A5" s="128" t="s">
        <v>174</v>
      </c>
      <c r="B5" s="130"/>
      <c r="C5" s="130"/>
      <c r="D5" s="130"/>
      <c r="E5" s="130"/>
      <c r="F5" s="130"/>
      <c r="G5" s="130"/>
      <c r="H5" s="130"/>
      <c r="I5" s="130"/>
    </row>
    <row r="6" spans="1:9" ht="15.75">
      <c r="A6" s="1"/>
      <c r="B6" s="54"/>
      <c r="C6" s="54"/>
      <c r="D6" s="54"/>
      <c r="E6" s="54"/>
      <c r="F6" s="54"/>
      <c r="G6" s="54"/>
      <c r="H6" s="54"/>
      <c r="I6" s="22">
        <v>43159</v>
      </c>
    </row>
    <row r="7" spans="1:9" ht="15.75">
      <c r="B7" s="52"/>
      <c r="C7" s="52"/>
      <c r="D7" s="52"/>
      <c r="E7" s="2"/>
      <c r="F7" s="2"/>
      <c r="G7" s="2"/>
      <c r="H7" s="2"/>
    </row>
    <row r="8" spans="1:9" ht="78.75" customHeight="1">
      <c r="A8" s="131" t="s">
        <v>158</v>
      </c>
      <c r="B8" s="131"/>
      <c r="C8" s="131"/>
      <c r="D8" s="131"/>
      <c r="E8" s="131"/>
      <c r="F8" s="131"/>
      <c r="G8" s="131"/>
      <c r="H8" s="131"/>
      <c r="I8" s="131"/>
    </row>
    <row r="9" spans="1:9" ht="15.75">
      <c r="A9" s="3"/>
    </row>
    <row r="10" spans="1:9" ht="47.25" customHeight="1">
      <c r="A10" s="132" t="s">
        <v>159</v>
      </c>
      <c r="B10" s="132"/>
      <c r="C10" s="132"/>
      <c r="D10" s="132"/>
      <c r="E10" s="132"/>
      <c r="F10" s="132"/>
      <c r="G10" s="132"/>
      <c r="H10" s="132"/>
      <c r="I10" s="132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>
      <c r="A14" s="127" t="s">
        <v>57</v>
      </c>
      <c r="B14" s="127"/>
      <c r="C14" s="127"/>
      <c r="D14" s="127"/>
      <c r="E14" s="127"/>
      <c r="F14" s="127"/>
      <c r="G14" s="127"/>
      <c r="H14" s="127"/>
      <c r="I14" s="127"/>
    </row>
    <row r="15" spans="1:9">
      <c r="A15" s="120" t="s">
        <v>4</v>
      </c>
      <c r="B15" s="120"/>
      <c r="C15" s="120"/>
      <c r="D15" s="120"/>
      <c r="E15" s="120"/>
      <c r="F15" s="120"/>
      <c r="G15" s="120"/>
      <c r="H15" s="120"/>
      <c r="I15" s="120"/>
    </row>
    <row r="16" spans="1:9" ht="15.75" customHeight="1">
      <c r="A16" s="21">
        <v>1</v>
      </c>
      <c r="B16" s="60" t="s">
        <v>86</v>
      </c>
      <c r="C16" s="61" t="s">
        <v>87</v>
      </c>
      <c r="D16" s="60" t="s">
        <v>160</v>
      </c>
      <c r="E16" s="62">
        <v>55</v>
      </c>
      <c r="F16" s="63">
        <f>SUM(E16*156/100)</f>
        <v>85.8</v>
      </c>
      <c r="G16" s="63">
        <v>187.48</v>
      </c>
      <c r="H16" s="64">
        <f t="shared" ref="H16:H26" si="0">SUM(F16*G16/1000)</f>
        <v>16.085783999999997</v>
      </c>
      <c r="I16" s="10">
        <f>F16/12*G16</f>
        <v>1340.4819999999997</v>
      </c>
    </row>
    <row r="17" spans="1:9" ht="15.75" customHeight="1">
      <c r="A17" s="21">
        <v>2</v>
      </c>
      <c r="B17" s="60" t="s">
        <v>123</v>
      </c>
      <c r="C17" s="61" t="s">
        <v>87</v>
      </c>
      <c r="D17" s="60" t="s">
        <v>161</v>
      </c>
      <c r="E17" s="62">
        <v>165</v>
      </c>
      <c r="F17" s="63">
        <f>SUM(E17*104/100)</f>
        <v>171.6</v>
      </c>
      <c r="G17" s="63">
        <v>187.48</v>
      </c>
      <c r="H17" s="64">
        <f t="shared" si="0"/>
        <v>32.171567999999994</v>
      </c>
      <c r="I17" s="10">
        <f>F17/12*G17</f>
        <v>2680.9639999999995</v>
      </c>
    </row>
    <row r="18" spans="1:9" ht="15.75" customHeight="1">
      <c r="A18" s="21">
        <v>3</v>
      </c>
      <c r="B18" s="60" t="s">
        <v>124</v>
      </c>
      <c r="C18" s="61" t="s">
        <v>87</v>
      </c>
      <c r="D18" s="60" t="s">
        <v>162</v>
      </c>
      <c r="E18" s="62">
        <f>SUM(E16+E17)</f>
        <v>220</v>
      </c>
      <c r="F18" s="63">
        <f>SUM(E18*24/100)</f>
        <v>52.8</v>
      </c>
      <c r="G18" s="63">
        <v>539.30999999999995</v>
      </c>
      <c r="H18" s="64">
        <f t="shared" si="0"/>
        <v>28.475567999999996</v>
      </c>
      <c r="I18" s="10">
        <f>F18/12*G18</f>
        <v>2372.9639999999995</v>
      </c>
    </row>
    <row r="19" spans="1:9" ht="15.75" hidden="1" customHeight="1">
      <c r="A19" s="21">
        <v>4</v>
      </c>
      <c r="B19" s="60" t="s">
        <v>94</v>
      </c>
      <c r="C19" s="61" t="s">
        <v>95</v>
      </c>
      <c r="D19" s="60" t="s">
        <v>96</v>
      </c>
      <c r="E19" s="62">
        <v>32.4</v>
      </c>
      <c r="F19" s="63">
        <f>SUM(E19/10)</f>
        <v>3.2399999999999998</v>
      </c>
      <c r="G19" s="63">
        <v>181.91</v>
      </c>
      <c r="H19" s="64">
        <f t="shared" si="0"/>
        <v>0.58938839999999992</v>
      </c>
      <c r="I19" s="10">
        <v>0</v>
      </c>
    </row>
    <row r="20" spans="1:9" ht="15.75" customHeight="1">
      <c r="A20" s="21">
        <v>4</v>
      </c>
      <c r="B20" s="60" t="s">
        <v>97</v>
      </c>
      <c r="C20" s="61" t="s">
        <v>87</v>
      </c>
      <c r="D20" s="60" t="s">
        <v>125</v>
      </c>
      <c r="E20" s="62">
        <v>12.24</v>
      </c>
      <c r="F20" s="63">
        <f>SUM(E20*12/100)</f>
        <v>1.4687999999999999</v>
      </c>
      <c r="G20" s="63">
        <v>232.92</v>
      </c>
      <c r="H20" s="64">
        <f t="shared" si="0"/>
        <v>0.342112896</v>
      </c>
      <c r="I20" s="10">
        <f>F20/12*G20</f>
        <v>28.509407999999997</v>
      </c>
    </row>
    <row r="21" spans="1:9" ht="15.75" hidden="1" customHeight="1">
      <c r="A21" s="21">
        <v>5</v>
      </c>
      <c r="B21" s="60" t="s">
        <v>98</v>
      </c>
      <c r="C21" s="61" t="s">
        <v>87</v>
      </c>
      <c r="D21" s="60" t="s">
        <v>126</v>
      </c>
      <c r="E21" s="62">
        <v>10.08</v>
      </c>
      <c r="F21" s="63">
        <f>SUM(E21*6/100)</f>
        <v>0.6048</v>
      </c>
      <c r="G21" s="63">
        <v>231.03</v>
      </c>
      <c r="H21" s="64">
        <f t="shared" si="0"/>
        <v>0.13972694399999999</v>
      </c>
      <c r="I21" s="10">
        <f>F21/6*G21</f>
        <v>23.287824000000001</v>
      </c>
    </row>
    <row r="22" spans="1:9" ht="15.75" hidden="1" customHeight="1">
      <c r="A22" s="21">
        <v>7</v>
      </c>
      <c r="B22" s="60" t="s">
        <v>99</v>
      </c>
      <c r="C22" s="61" t="s">
        <v>51</v>
      </c>
      <c r="D22" s="60" t="s">
        <v>96</v>
      </c>
      <c r="E22" s="62">
        <v>293.76</v>
      </c>
      <c r="F22" s="63">
        <f>SUM(E22/100)</f>
        <v>2.9375999999999998</v>
      </c>
      <c r="G22" s="63">
        <v>287.83999999999997</v>
      </c>
      <c r="H22" s="64">
        <f t="shared" si="0"/>
        <v>0.84555878399999984</v>
      </c>
      <c r="I22" s="10">
        <v>0</v>
      </c>
    </row>
    <row r="23" spans="1:9" ht="15.75" hidden="1" customHeight="1">
      <c r="A23" s="21">
        <v>8</v>
      </c>
      <c r="B23" s="60" t="s">
        <v>100</v>
      </c>
      <c r="C23" s="61" t="s">
        <v>51</v>
      </c>
      <c r="D23" s="60" t="s">
        <v>96</v>
      </c>
      <c r="E23" s="65">
        <v>17.64</v>
      </c>
      <c r="F23" s="63">
        <f>SUM(E23/100)</f>
        <v>0.1764</v>
      </c>
      <c r="G23" s="63">
        <v>47.34</v>
      </c>
      <c r="H23" s="64">
        <f t="shared" si="0"/>
        <v>8.3507760000000007E-3</v>
      </c>
      <c r="I23" s="10">
        <v>0</v>
      </c>
    </row>
    <row r="24" spans="1:9" ht="15.75" hidden="1" customHeight="1">
      <c r="A24" s="21">
        <v>9</v>
      </c>
      <c r="B24" s="60" t="s">
        <v>101</v>
      </c>
      <c r="C24" s="61" t="s">
        <v>51</v>
      </c>
      <c r="D24" s="60" t="s">
        <v>102</v>
      </c>
      <c r="E24" s="62">
        <v>10.8</v>
      </c>
      <c r="F24" s="63">
        <f>E24/100</f>
        <v>0.10800000000000001</v>
      </c>
      <c r="G24" s="63">
        <v>416.62</v>
      </c>
      <c r="H24" s="64">
        <f t="shared" si="0"/>
        <v>4.4994960000000007E-2</v>
      </c>
      <c r="I24" s="10">
        <v>0</v>
      </c>
    </row>
    <row r="25" spans="1:9" ht="15.75" hidden="1" customHeight="1">
      <c r="A25" s="21">
        <v>10</v>
      </c>
      <c r="B25" s="60" t="s">
        <v>103</v>
      </c>
      <c r="C25" s="61" t="s">
        <v>51</v>
      </c>
      <c r="D25" s="60" t="s">
        <v>52</v>
      </c>
      <c r="E25" s="62">
        <v>12.6</v>
      </c>
      <c r="F25" s="63">
        <f>E25/100</f>
        <v>0.126</v>
      </c>
      <c r="G25" s="63">
        <v>231.03</v>
      </c>
      <c r="H25" s="64">
        <f>G25*F25/1000</f>
        <v>2.9109780000000002E-2</v>
      </c>
      <c r="I25" s="10">
        <v>0</v>
      </c>
    </row>
    <row r="26" spans="1:9" ht="15.75" hidden="1" customHeight="1">
      <c r="A26" s="21">
        <v>11</v>
      </c>
      <c r="B26" s="60" t="s">
        <v>104</v>
      </c>
      <c r="C26" s="61" t="s">
        <v>51</v>
      </c>
      <c r="D26" s="60" t="s">
        <v>96</v>
      </c>
      <c r="E26" s="62">
        <v>14.4</v>
      </c>
      <c r="F26" s="63">
        <f>SUM(E26/100)</f>
        <v>0.14400000000000002</v>
      </c>
      <c r="G26" s="63">
        <v>556.74</v>
      </c>
      <c r="H26" s="64">
        <f t="shared" si="0"/>
        <v>8.0170560000000016E-2</v>
      </c>
      <c r="I26" s="10">
        <v>0</v>
      </c>
    </row>
    <row r="27" spans="1:9" ht="15.75" customHeight="1">
      <c r="A27" s="21">
        <v>5</v>
      </c>
      <c r="B27" s="60" t="s">
        <v>62</v>
      </c>
      <c r="C27" s="61" t="s">
        <v>31</v>
      </c>
      <c r="D27" s="60"/>
      <c r="E27" s="62">
        <v>0.1</v>
      </c>
      <c r="F27" s="63">
        <f>SUM(E27*365)</f>
        <v>36.5</v>
      </c>
      <c r="G27" s="63">
        <v>157.18</v>
      </c>
      <c r="H27" s="64">
        <f>SUM(F27*G27/1000)</f>
        <v>5.737070000000001</v>
      </c>
      <c r="I27" s="10">
        <f>F27/12*G27</f>
        <v>478.08916666666664</v>
      </c>
    </row>
    <row r="28" spans="1:9" ht="15.75" customHeight="1">
      <c r="A28" s="21">
        <v>6</v>
      </c>
      <c r="B28" s="68" t="s">
        <v>23</v>
      </c>
      <c r="C28" s="61" t="s">
        <v>24</v>
      </c>
      <c r="D28" s="60"/>
      <c r="E28" s="62">
        <v>2054.6</v>
      </c>
      <c r="F28" s="63">
        <f>SUM(E28*12)</f>
        <v>24655.199999999997</v>
      </c>
      <c r="G28" s="63">
        <v>6.15</v>
      </c>
      <c r="H28" s="64">
        <f>SUM(F28*G28/1000)</f>
        <v>151.62947999999997</v>
      </c>
      <c r="I28" s="10">
        <f>F28/12*G28</f>
        <v>12635.79</v>
      </c>
    </row>
    <row r="29" spans="1:9" ht="15.75" customHeight="1">
      <c r="A29" s="108" t="s">
        <v>84</v>
      </c>
      <c r="B29" s="109"/>
      <c r="C29" s="109"/>
      <c r="D29" s="109"/>
      <c r="E29" s="109"/>
      <c r="F29" s="109"/>
      <c r="G29" s="109"/>
      <c r="H29" s="109"/>
      <c r="I29" s="110"/>
    </row>
    <row r="30" spans="1:9" ht="15.75" hidden="1" customHeight="1">
      <c r="A30" s="21"/>
      <c r="B30" s="81" t="s">
        <v>27</v>
      </c>
      <c r="C30" s="61"/>
      <c r="D30" s="60"/>
      <c r="E30" s="62"/>
      <c r="F30" s="63"/>
      <c r="G30" s="63"/>
      <c r="H30" s="64"/>
      <c r="I30" s="10"/>
    </row>
    <row r="31" spans="1:9" ht="31.5" hidden="1" customHeight="1">
      <c r="A31" s="21">
        <v>8</v>
      </c>
      <c r="B31" s="60" t="s">
        <v>109</v>
      </c>
      <c r="C31" s="61" t="s">
        <v>90</v>
      </c>
      <c r="D31" s="60" t="s">
        <v>105</v>
      </c>
      <c r="E31" s="63">
        <v>600.63</v>
      </c>
      <c r="F31" s="63">
        <f>SUM(E31*52/1000)</f>
        <v>31.232759999999999</v>
      </c>
      <c r="G31" s="63">
        <v>166.65</v>
      </c>
      <c r="H31" s="64">
        <f t="shared" ref="H31:H36" si="1">SUM(F31*G31/1000)</f>
        <v>5.2049394540000007</v>
      </c>
      <c r="I31" s="10">
        <f>F31/6*G31</f>
        <v>867.4899089999999</v>
      </c>
    </row>
    <row r="32" spans="1:9" ht="31.5" hidden="1" customHeight="1">
      <c r="A32" s="21">
        <v>9</v>
      </c>
      <c r="B32" s="60" t="s">
        <v>108</v>
      </c>
      <c r="C32" s="61" t="s">
        <v>90</v>
      </c>
      <c r="D32" s="60" t="s">
        <v>106</v>
      </c>
      <c r="E32" s="63">
        <v>186.39</v>
      </c>
      <c r="F32" s="63">
        <f>SUM(E32*78/1000)</f>
        <v>14.538419999999999</v>
      </c>
      <c r="G32" s="63">
        <v>276.48</v>
      </c>
      <c r="H32" s="64">
        <f t="shared" si="1"/>
        <v>4.0195823615999995</v>
      </c>
      <c r="I32" s="10">
        <f t="shared" ref="I32:I34" si="2">F32/6*G32</f>
        <v>669.93039359999989</v>
      </c>
    </row>
    <row r="33" spans="1:9" ht="15.75" hidden="1" customHeight="1">
      <c r="A33" s="21">
        <v>16</v>
      </c>
      <c r="B33" s="60" t="s">
        <v>26</v>
      </c>
      <c r="C33" s="61" t="s">
        <v>90</v>
      </c>
      <c r="D33" s="60" t="s">
        <v>52</v>
      </c>
      <c r="E33" s="63">
        <v>600.63</v>
      </c>
      <c r="F33" s="63">
        <f>SUM(E33/1000)</f>
        <v>0.60063</v>
      </c>
      <c r="G33" s="63">
        <v>3228.73</v>
      </c>
      <c r="H33" s="64">
        <f t="shared" si="1"/>
        <v>1.9392720999000002</v>
      </c>
      <c r="I33" s="10">
        <f>F33*G33</f>
        <v>1939.2720999000001</v>
      </c>
    </row>
    <row r="34" spans="1:9" ht="15.75" hidden="1" customHeight="1">
      <c r="A34" s="21">
        <v>10</v>
      </c>
      <c r="B34" s="60" t="s">
        <v>107</v>
      </c>
      <c r="C34" s="61" t="s">
        <v>29</v>
      </c>
      <c r="D34" s="60" t="s">
        <v>61</v>
      </c>
      <c r="E34" s="67">
        <v>0.33333333333333331</v>
      </c>
      <c r="F34" s="63">
        <f>155/3</f>
        <v>51.666666666666664</v>
      </c>
      <c r="G34" s="63">
        <v>60.6</v>
      </c>
      <c r="H34" s="64">
        <f>SUM(G34*155/3/1000)</f>
        <v>3.1309999999999998</v>
      </c>
      <c r="I34" s="10">
        <f t="shared" si="2"/>
        <v>521.83333333333337</v>
      </c>
    </row>
    <row r="35" spans="1:9" ht="15.75" hidden="1" customHeight="1">
      <c r="A35" s="21"/>
      <c r="B35" s="60" t="s">
        <v>63</v>
      </c>
      <c r="C35" s="61" t="s">
        <v>31</v>
      </c>
      <c r="D35" s="60" t="s">
        <v>65</v>
      </c>
      <c r="E35" s="62"/>
      <c r="F35" s="63">
        <v>2</v>
      </c>
      <c r="G35" s="63">
        <v>204.52</v>
      </c>
      <c r="H35" s="64">
        <f t="shared" si="1"/>
        <v>0.40904000000000001</v>
      </c>
      <c r="I35" s="10">
        <v>0</v>
      </c>
    </row>
    <row r="36" spans="1:9" ht="15.75" hidden="1" customHeight="1">
      <c r="A36" s="21"/>
      <c r="B36" s="60" t="s">
        <v>64</v>
      </c>
      <c r="C36" s="61" t="s">
        <v>30</v>
      </c>
      <c r="D36" s="60" t="s">
        <v>65</v>
      </c>
      <c r="E36" s="62"/>
      <c r="F36" s="63">
        <v>1</v>
      </c>
      <c r="G36" s="63">
        <v>1214.74</v>
      </c>
      <c r="H36" s="64">
        <f t="shared" si="1"/>
        <v>1.2147399999999999</v>
      </c>
      <c r="I36" s="10">
        <v>0</v>
      </c>
    </row>
    <row r="37" spans="1:9" ht="15.75" customHeight="1">
      <c r="A37" s="21"/>
      <c r="B37" s="81" t="s">
        <v>5</v>
      </c>
      <c r="C37" s="61"/>
      <c r="D37" s="60"/>
      <c r="E37" s="62"/>
      <c r="F37" s="63"/>
      <c r="G37" s="63"/>
      <c r="H37" s="64" t="s">
        <v>120</v>
      </c>
      <c r="I37" s="10"/>
    </row>
    <row r="38" spans="1:9" ht="15.75" customHeight="1">
      <c r="A38" s="21">
        <v>7</v>
      </c>
      <c r="B38" s="60" t="s">
        <v>25</v>
      </c>
      <c r="C38" s="61" t="s">
        <v>30</v>
      </c>
      <c r="D38" s="60"/>
      <c r="E38" s="62"/>
      <c r="F38" s="63">
        <v>5</v>
      </c>
      <c r="G38" s="63">
        <v>1632.6</v>
      </c>
      <c r="H38" s="64">
        <f t="shared" ref="H38:H44" si="3">SUM(F38*G38/1000)</f>
        <v>8.1630000000000003</v>
      </c>
      <c r="I38" s="10">
        <f>F38/6*G38</f>
        <v>1360.5</v>
      </c>
    </row>
    <row r="39" spans="1:9" ht="15.75" customHeight="1">
      <c r="A39" s="21">
        <v>8</v>
      </c>
      <c r="B39" s="60" t="s">
        <v>127</v>
      </c>
      <c r="C39" s="61" t="s">
        <v>28</v>
      </c>
      <c r="D39" s="60" t="s">
        <v>88</v>
      </c>
      <c r="E39" s="62">
        <v>186.39</v>
      </c>
      <c r="F39" s="63">
        <f>E39*30/1000</f>
        <v>5.5916999999999994</v>
      </c>
      <c r="G39" s="63">
        <v>2247.8000000000002</v>
      </c>
      <c r="H39" s="64">
        <f>G39*F39/1000</f>
        <v>12.56902326</v>
      </c>
      <c r="I39" s="10">
        <f>F39/6*G39</f>
        <v>2094.8372100000001</v>
      </c>
    </row>
    <row r="40" spans="1:9" ht="15.75" hidden="1" customHeight="1">
      <c r="A40" s="21"/>
      <c r="B40" s="60" t="s">
        <v>138</v>
      </c>
      <c r="C40" s="61" t="s">
        <v>139</v>
      </c>
      <c r="D40" s="60" t="s">
        <v>65</v>
      </c>
      <c r="E40" s="62"/>
      <c r="F40" s="63">
        <v>72.3</v>
      </c>
      <c r="G40" s="63">
        <v>199.44</v>
      </c>
      <c r="H40" s="64">
        <f>G40*F40/1000</f>
        <v>14.419511999999999</v>
      </c>
      <c r="I40" s="10">
        <v>0</v>
      </c>
    </row>
    <row r="41" spans="1:9" ht="15.75" customHeight="1">
      <c r="A41" s="21">
        <v>9</v>
      </c>
      <c r="B41" s="60" t="s">
        <v>66</v>
      </c>
      <c r="C41" s="61" t="s">
        <v>28</v>
      </c>
      <c r="D41" s="60" t="s">
        <v>89</v>
      </c>
      <c r="E41" s="63">
        <v>186.39</v>
      </c>
      <c r="F41" s="63">
        <f>SUM(E41*155/1000)</f>
        <v>28.890449999999998</v>
      </c>
      <c r="G41" s="63">
        <v>374.95</v>
      </c>
      <c r="H41" s="64">
        <f t="shared" si="3"/>
        <v>10.832474227499999</v>
      </c>
      <c r="I41" s="10">
        <f>F41/6*G41</f>
        <v>1805.4123712499998</v>
      </c>
    </row>
    <row r="42" spans="1:9" ht="47.25" customHeight="1">
      <c r="A42" s="21">
        <v>10</v>
      </c>
      <c r="B42" s="60" t="s">
        <v>82</v>
      </c>
      <c r="C42" s="61" t="s">
        <v>90</v>
      </c>
      <c r="D42" s="60" t="s">
        <v>128</v>
      </c>
      <c r="E42" s="63">
        <v>52.2</v>
      </c>
      <c r="F42" s="63">
        <f>SUM(E42*35/1000)</f>
        <v>1.827</v>
      </c>
      <c r="G42" s="63">
        <v>6203.7</v>
      </c>
      <c r="H42" s="64">
        <f t="shared" si="3"/>
        <v>11.3341599</v>
      </c>
      <c r="I42" s="10">
        <f>F42/6*G42</f>
        <v>1889.0266499999998</v>
      </c>
    </row>
    <row r="43" spans="1:9" ht="15.75" customHeight="1">
      <c r="A43" s="21">
        <v>11</v>
      </c>
      <c r="B43" s="60" t="s">
        <v>129</v>
      </c>
      <c r="C43" s="61" t="s">
        <v>90</v>
      </c>
      <c r="D43" s="60" t="s">
        <v>67</v>
      </c>
      <c r="E43" s="63">
        <v>52.2</v>
      </c>
      <c r="F43" s="63">
        <f>SUM(E43*45/1000)</f>
        <v>2.3490000000000002</v>
      </c>
      <c r="G43" s="63">
        <v>458.28</v>
      </c>
      <c r="H43" s="64">
        <f t="shared" si="3"/>
        <v>1.0764997199999999</v>
      </c>
      <c r="I43" s="10">
        <f>F43/7.5*G43</f>
        <v>143.53329600000001</v>
      </c>
    </row>
    <row r="44" spans="1:9" ht="15.75" customHeight="1">
      <c r="A44" s="21">
        <v>12</v>
      </c>
      <c r="B44" s="60" t="s">
        <v>68</v>
      </c>
      <c r="C44" s="61" t="s">
        <v>31</v>
      </c>
      <c r="D44" s="60"/>
      <c r="E44" s="62"/>
      <c r="F44" s="63">
        <v>0.5</v>
      </c>
      <c r="G44" s="63">
        <v>853.06</v>
      </c>
      <c r="H44" s="64">
        <f t="shared" si="3"/>
        <v>0.42652999999999996</v>
      </c>
      <c r="I44" s="10">
        <f>F44/7.5*G44</f>
        <v>56.870666666666665</v>
      </c>
    </row>
    <row r="45" spans="1:9" ht="15.75" customHeight="1">
      <c r="A45" s="108" t="s">
        <v>133</v>
      </c>
      <c r="B45" s="109"/>
      <c r="C45" s="109"/>
      <c r="D45" s="109"/>
      <c r="E45" s="109"/>
      <c r="F45" s="109"/>
      <c r="G45" s="109"/>
      <c r="H45" s="109"/>
      <c r="I45" s="110"/>
    </row>
    <row r="46" spans="1:9" ht="15.75" hidden="1" customHeight="1">
      <c r="A46" s="21"/>
      <c r="B46" s="60" t="s">
        <v>110</v>
      </c>
      <c r="C46" s="61" t="s">
        <v>90</v>
      </c>
      <c r="D46" s="60" t="s">
        <v>41</v>
      </c>
      <c r="E46" s="62">
        <v>917.75</v>
      </c>
      <c r="F46" s="63">
        <f>SUM(E46*2/1000)</f>
        <v>1.8354999999999999</v>
      </c>
      <c r="G46" s="10">
        <v>865.61</v>
      </c>
      <c r="H46" s="64">
        <f t="shared" ref="H46:H55" si="4">SUM(F46*G46/1000)</f>
        <v>1.5888271549999999</v>
      </c>
      <c r="I46" s="10">
        <v>0</v>
      </c>
    </row>
    <row r="47" spans="1:9" ht="15.75" hidden="1" customHeight="1">
      <c r="A47" s="21"/>
      <c r="B47" s="60" t="s">
        <v>34</v>
      </c>
      <c r="C47" s="61" t="s">
        <v>90</v>
      </c>
      <c r="D47" s="60" t="s">
        <v>41</v>
      </c>
      <c r="E47" s="62">
        <v>48</v>
      </c>
      <c r="F47" s="63">
        <f>E47*2/1000</f>
        <v>9.6000000000000002E-2</v>
      </c>
      <c r="G47" s="10">
        <v>619.46</v>
      </c>
      <c r="H47" s="64">
        <f t="shared" si="4"/>
        <v>5.9468160000000006E-2</v>
      </c>
      <c r="I47" s="10">
        <v>0</v>
      </c>
    </row>
    <row r="48" spans="1:9" ht="15.75" hidden="1" customHeight="1">
      <c r="A48" s="21"/>
      <c r="B48" s="60" t="s">
        <v>35</v>
      </c>
      <c r="C48" s="61" t="s">
        <v>90</v>
      </c>
      <c r="D48" s="60" t="s">
        <v>41</v>
      </c>
      <c r="E48" s="62">
        <v>937.4</v>
      </c>
      <c r="F48" s="63">
        <f>SUM(E48*2/1000)</f>
        <v>1.8748</v>
      </c>
      <c r="G48" s="10">
        <v>619.46</v>
      </c>
      <c r="H48" s="64">
        <f t="shared" si="4"/>
        <v>1.161363608</v>
      </c>
      <c r="I48" s="10">
        <v>0</v>
      </c>
    </row>
    <row r="49" spans="1:9" ht="15.75" hidden="1" customHeight="1">
      <c r="A49" s="21"/>
      <c r="B49" s="60" t="s">
        <v>36</v>
      </c>
      <c r="C49" s="61" t="s">
        <v>90</v>
      </c>
      <c r="D49" s="60" t="s">
        <v>41</v>
      </c>
      <c r="E49" s="62">
        <v>1243.28</v>
      </c>
      <c r="F49" s="63">
        <f>SUM(E49*2/1000)</f>
        <v>2.4865599999999999</v>
      </c>
      <c r="G49" s="10">
        <v>648.64</v>
      </c>
      <c r="H49" s="64">
        <f t="shared" si="4"/>
        <v>1.6128822783999999</v>
      </c>
      <c r="I49" s="10">
        <v>0</v>
      </c>
    </row>
    <row r="50" spans="1:9" ht="15.75" hidden="1" customHeight="1">
      <c r="A50" s="21"/>
      <c r="B50" s="60" t="s">
        <v>32</v>
      </c>
      <c r="C50" s="61" t="s">
        <v>33</v>
      </c>
      <c r="D50" s="60" t="s">
        <v>41</v>
      </c>
      <c r="E50" s="62">
        <v>64.5</v>
      </c>
      <c r="F50" s="63">
        <f>SUM(E50*2/100)</f>
        <v>1.29</v>
      </c>
      <c r="G50" s="10">
        <v>77.84</v>
      </c>
      <c r="H50" s="64">
        <f t="shared" si="4"/>
        <v>0.10041360000000001</v>
      </c>
      <c r="I50" s="10">
        <v>0</v>
      </c>
    </row>
    <row r="51" spans="1:9" ht="15.75" customHeight="1">
      <c r="A51" s="21">
        <v>13</v>
      </c>
      <c r="B51" s="60" t="s">
        <v>54</v>
      </c>
      <c r="C51" s="61" t="s">
        <v>90</v>
      </c>
      <c r="D51" s="60" t="s">
        <v>144</v>
      </c>
      <c r="E51" s="62">
        <v>678.4</v>
      </c>
      <c r="F51" s="63">
        <f>SUM(E51*5/1000)</f>
        <v>3.3919999999999999</v>
      </c>
      <c r="G51" s="10">
        <v>1297.28</v>
      </c>
      <c r="H51" s="64">
        <f t="shared" si="4"/>
        <v>4.4003737599999999</v>
      </c>
      <c r="I51" s="10">
        <f>F51/5*G51</f>
        <v>880.07475199999999</v>
      </c>
    </row>
    <row r="52" spans="1:9" ht="31.5" hidden="1" customHeight="1">
      <c r="A52" s="21"/>
      <c r="B52" s="60" t="s">
        <v>91</v>
      </c>
      <c r="C52" s="61" t="s">
        <v>90</v>
      </c>
      <c r="D52" s="60" t="s">
        <v>41</v>
      </c>
      <c r="E52" s="62">
        <v>678.4</v>
      </c>
      <c r="F52" s="63">
        <f>SUM(E52*2/1000)</f>
        <v>1.3568</v>
      </c>
      <c r="G52" s="10">
        <v>1297.28</v>
      </c>
      <c r="H52" s="64">
        <f t="shared" si="4"/>
        <v>1.7601495039999999</v>
      </c>
      <c r="I52" s="10">
        <v>0</v>
      </c>
    </row>
    <row r="53" spans="1:9" ht="31.5" hidden="1" customHeight="1">
      <c r="A53" s="21"/>
      <c r="B53" s="60" t="s">
        <v>92</v>
      </c>
      <c r="C53" s="61" t="s">
        <v>37</v>
      </c>
      <c r="D53" s="60" t="s">
        <v>41</v>
      </c>
      <c r="E53" s="62">
        <v>12</v>
      </c>
      <c r="F53" s="63">
        <f>SUM(E53*2/100)</f>
        <v>0.24</v>
      </c>
      <c r="G53" s="10">
        <v>2918.89</v>
      </c>
      <c r="H53" s="64">
        <f t="shared" si="4"/>
        <v>0.70053359999999998</v>
      </c>
      <c r="I53" s="10">
        <v>0</v>
      </c>
    </row>
    <row r="54" spans="1:9" ht="15.75" hidden="1" customHeight="1">
      <c r="A54" s="21"/>
      <c r="B54" s="60" t="s">
        <v>38</v>
      </c>
      <c r="C54" s="61" t="s">
        <v>39</v>
      </c>
      <c r="D54" s="60" t="s">
        <v>41</v>
      </c>
      <c r="E54" s="62">
        <v>1</v>
      </c>
      <c r="F54" s="63">
        <v>0.02</v>
      </c>
      <c r="G54" s="10">
        <v>6042.12</v>
      </c>
      <c r="H54" s="64">
        <f t="shared" si="4"/>
        <v>0.1208424</v>
      </c>
      <c r="I54" s="10">
        <v>0</v>
      </c>
    </row>
    <row r="55" spans="1:9" ht="15.75" hidden="1" customHeight="1">
      <c r="A55" s="21">
        <v>15</v>
      </c>
      <c r="B55" s="60" t="s">
        <v>40</v>
      </c>
      <c r="C55" s="61" t="s">
        <v>111</v>
      </c>
      <c r="D55" s="60" t="s">
        <v>69</v>
      </c>
      <c r="E55" s="62">
        <v>72</v>
      </c>
      <c r="F55" s="63">
        <f>SUM(E55)*3</f>
        <v>216</v>
      </c>
      <c r="G55" s="10">
        <v>70.209999999999994</v>
      </c>
      <c r="H55" s="64">
        <f t="shared" si="4"/>
        <v>15.165359999999998</v>
      </c>
      <c r="I55" s="10">
        <f>E55*G55</f>
        <v>5055.12</v>
      </c>
    </row>
    <row r="56" spans="1:9" ht="15.75" customHeight="1">
      <c r="A56" s="108" t="s">
        <v>134</v>
      </c>
      <c r="B56" s="109"/>
      <c r="C56" s="109"/>
      <c r="D56" s="109"/>
      <c r="E56" s="109"/>
      <c r="F56" s="109"/>
      <c r="G56" s="109"/>
      <c r="H56" s="109"/>
      <c r="I56" s="110"/>
    </row>
    <row r="57" spans="1:9" ht="15.75" customHeight="1">
      <c r="A57" s="21"/>
      <c r="B57" s="81" t="s">
        <v>42</v>
      </c>
      <c r="C57" s="61"/>
      <c r="D57" s="60"/>
      <c r="E57" s="62"/>
      <c r="F57" s="63"/>
      <c r="G57" s="63"/>
      <c r="H57" s="64"/>
      <c r="I57" s="10"/>
    </row>
    <row r="58" spans="1:9" ht="31.5" customHeight="1">
      <c r="A58" s="21">
        <v>14</v>
      </c>
      <c r="B58" s="60" t="s">
        <v>112</v>
      </c>
      <c r="C58" s="61" t="s">
        <v>87</v>
      </c>
      <c r="D58" s="60" t="s">
        <v>113</v>
      </c>
      <c r="E58" s="62">
        <v>110.66</v>
      </c>
      <c r="F58" s="63">
        <f>SUM(E58*6/100)</f>
        <v>6.6396000000000006</v>
      </c>
      <c r="G58" s="10">
        <v>1654.04</v>
      </c>
      <c r="H58" s="64">
        <f>SUM(F58*G58/1000)</f>
        <v>10.982163984000001</v>
      </c>
      <c r="I58" s="10">
        <f>G58*0.14</f>
        <v>231.56560000000002</v>
      </c>
    </row>
    <row r="59" spans="1:9" ht="15.75" hidden="1" customHeight="1">
      <c r="A59" s="21"/>
      <c r="B59" s="82" t="s">
        <v>43</v>
      </c>
      <c r="C59" s="69"/>
      <c r="D59" s="70"/>
      <c r="E59" s="71"/>
      <c r="F59" s="72"/>
      <c r="G59" s="72"/>
      <c r="H59" s="73" t="s">
        <v>120</v>
      </c>
      <c r="I59" s="10"/>
    </row>
    <row r="60" spans="1:9" ht="15.75" hidden="1" customHeight="1">
      <c r="A60" s="21">
        <v>15</v>
      </c>
      <c r="B60" s="11" t="s">
        <v>44</v>
      </c>
      <c r="C60" s="13" t="s">
        <v>111</v>
      </c>
      <c r="D60" s="11" t="s">
        <v>65</v>
      </c>
      <c r="E60" s="15">
        <v>8</v>
      </c>
      <c r="F60" s="63">
        <v>8</v>
      </c>
      <c r="G60" s="10">
        <v>237.74</v>
      </c>
      <c r="H60" s="74">
        <f t="shared" ref="H60:H73" si="5">SUM(F60*G60/1000)</f>
        <v>1.9019200000000001</v>
      </c>
      <c r="I60" s="10">
        <f>G60*2</f>
        <v>475.48</v>
      </c>
    </row>
    <row r="61" spans="1:9" ht="15.75" hidden="1" customHeight="1">
      <c r="A61" s="21"/>
      <c r="B61" s="11" t="s">
        <v>45</v>
      </c>
      <c r="C61" s="13" t="s">
        <v>111</v>
      </c>
      <c r="D61" s="11" t="s">
        <v>65</v>
      </c>
      <c r="E61" s="15">
        <v>3</v>
      </c>
      <c r="F61" s="63">
        <v>3</v>
      </c>
      <c r="G61" s="10">
        <v>81.510000000000005</v>
      </c>
      <c r="H61" s="74">
        <f t="shared" si="5"/>
        <v>0.24453000000000003</v>
      </c>
      <c r="I61" s="10">
        <v>0</v>
      </c>
    </row>
    <row r="62" spans="1:9" ht="15.75" hidden="1" customHeight="1">
      <c r="A62" s="21"/>
      <c r="B62" s="11" t="s">
        <v>46</v>
      </c>
      <c r="C62" s="13" t="s">
        <v>114</v>
      </c>
      <c r="D62" s="11" t="s">
        <v>52</v>
      </c>
      <c r="E62" s="62">
        <v>8539</v>
      </c>
      <c r="F62" s="10">
        <f>SUM(E62/100)</f>
        <v>85.39</v>
      </c>
      <c r="G62" s="10">
        <v>226.79</v>
      </c>
      <c r="H62" s="74">
        <f t="shared" si="5"/>
        <v>19.3655981</v>
      </c>
      <c r="I62" s="10">
        <v>0</v>
      </c>
    </row>
    <row r="63" spans="1:9" ht="15.75" hidden="1" customHeight="1">
      <c r="A63" s="21"/>
      <c r="B63" s="11" t="s">
        <v>47</v>
      </c>
      <c r="C63" s="13" t="s">
        <v>115</v>
      </c>
      <c r="D63" s="11"/>
      <c r="E63" s="62">
        <v>8539</v>
      </c>
      <c r="F63" s="10">
        <f>SUM(E63/1000)</f>
        <v>8.5389999999999997</v>
      </c>
      <c r="G63" s="10">
        <v>176.61</v>
      </c>
      <c r="H63" s="74">
        <f t="shared" si="5"/>
        <v>1.5080727900000002</v>
      </c>
      <c r="I63" s="10">
        <v>0</v>
      </c>
    </row>
    <row r="64" spans="1:9" ht="15.75" hidden="1" customHeight="1">
      <c r="A64" s="21"/>
      <c r="B64" s="11" t="s">
        <v>48</v>
      </c>
      <c r="C64" s="13" t="s">
        <v>75</v>
      </c>
      <c r="D64" s="11" t="s">
        <v>52</v>
      </c>
      <c r="E64" s="62">
        <v>1370</v>
      </c>
      <c r="F64" s="10">
        <f>SUM(E64/100)</f>
        <v>13.7</v>
      </c>
      <c r="G64" s="10">
        <v>2217.7800000000002</v>
      </c>
      <c r="H64" s="74">
        <f t="shared" si="5"/>
        <v>30.383586000000005</v>
      </c>
      <c r="I64" s="10">
        <v>0</v>
      </c>
    </row>
    <row r="65" spans="1:9" ht="15.75" hidden="1" customHeight="1">
      <c r="A65" s="21"/>
      <c r="B65" s="75" t="s">
        <v>116</v>
      </c>
      <c r="C65" s="13" t="s">
        <v>31</v>
      </c>
      <c r="D65" s="11"/>
      <c r="E65" s="62">
        <v>9</v>
      </c>
      <c r="F65" s="10">
        <f>SUM(E65)</f>
        <v>9</v>
      </c>
      <c r="G65" s="10">
        <v>42.67</v>
      </c>
      <c r="H65" s="74">
        <f t="shared" si="5"/>
        <v>0.38403000000000004</v>
      </c>
      <c r="I65" s="10">
        <v>0</v>
      </c>
    </row>
    <row r="66" spans="1:9" ht="15.75" hidden="1" customHeight="1">
      <c r="A66" s="21"/>
      <c r="B66" s="75" t="s">
        <v>117</v>
      </c>
      <c r="C66" s="13" t="s">
        <v>31</v>
      </c>
      <c r="D66" s="11"/>
      <c r="E66" s="62">
        <v>9</v>
      </c>
      <c r="F66" s="10">
        <f>SUM(E66)</f>
        <v>9</v>
      </c>
      <c r="G66" s="10">
        <v>39.81</v>
      </c>
      <c r="H66" s="74">
        <f t="shared" si="5"/>
        <v>0.35829</v>
      </c>
      <c r="I66" s="10">
        <v>0</v>
      </c>
    </row>
    <row r="67" spans="1:9" ht="15.75" hidden="1" customHeight="1">
      <c r="A67" s="21"/>
      <c r="B67" s="11" t="s">
        <v>55</v>
      </c>
      <c r="C67" s="13" t="s">
        <v>56</v>
      </c>
      <c r="D67" s="11" t="s">
        <v>52</v>
      </c>
      <c r="E67" s="15">
        <v>3</v>
      </c>
      <c r="F67" s="63">
        <v>3</v>
      </c>
      <c r="G67" s="10">
        <v>53.62</v>
      </c>
      <c r="H67" s="74">
        <f t="shared" si="5"/>
        <v>0.16085999999999998</v>
      </c>
      <c r="I67" s="10">
        <v>0</v>
      </c>
    </row>
    <row r="68" spans="1:9" ht="15.75" hidden="1" customHeight="1">
      <c r="A68" s="21"/>
      <c r="B68" s="53" t="s">
        <v>70</v>
      </c>
      <c r="C68" s="13"/>
      <c r="D68" s="11"/>
      <c r="E68" s="15"/>
      <c r="F68" s="10"/>
      <c r="G68" s="10"/>
      <c r="H68" s="74" t="s">
        <v>120</v>
      </c>
      <c r="I68" s="10"/>
    </row>
    <row r="69" spans="1:9" ht="15.75" hidden="1" customHeight="1">
      <c r="A69" s="21">
        <v>16</v>
      </c>
      <c r="B69" s="11" t="s">
        <v>71</v>
      </c>
      <c r="C69" s="13" t="s">
        <v>73</v>
      </c>
      <c r="D69" s="11"/>
      <c r="E69" s="15">
        <v>2</v>
      </c>
      <c r="F69" s="10">
        <v>0.2</v>
      </c>
      <c r="G69" s="10">
        <v>536.23</v>
      </c>
      <c r="H69" s="74">
        <f t="shared" si="5"/>
        <v>0.10724600000000001</v>
      </c>
      <c r="I69" s="10">
        <f>G69*0.2</f>
        <v>107.24600000000001</v>
      </c>
    </row>
    <row r="70" spans="1:9" ht="15.75" hidden="1" customHeight="1">
      <c r="A70" s="21"/>
      <c r="B70" s="11" t="s">
        <v>72</v>
      </c>
      <c r="C70" s="13" t="s">
        <v>29</v>
      </c>
      <c r="D70" s="11"/>
      <c r="E70" s="15">
        <v>1</v>
      </c>
      <c r="F70" s="56">
        <v>1</v>
      </c>
      <c r="G70" s="10">
        <v>911.85</v>
      </c>
      <c r="H70" s="74">
        <f>F70*G70/1000</f>
        <v>0.91185000000000005</v>
      </c>
      <c r="I70" s="10">
        <v>0</v>
      </c>
    </row>
    <row r="71" spans="1:9" ht="15.75" hidden="1" customHeight="1">
      <c r="A71" s="21"/>
      <c r="B71" s="11" t="s">
        <v>130</v>
      </c>
      <c r="C71" s="13" t="s">
        <v>29</v>
      </c>
      <c r="D71" s="11"/>
      <c r="E71" s="15">
        <v>1</v>
      </c>
      <c r="F71" s="10">
        <v>1</v>
      </c>
      <c r="G71" s="10">
        <v>383.25</v>
      </c>
      <c r="H71" s="74">
        <f>G71*F71/1000</f>
        <v>0.38324999999999998</v>
      </c>
      <c r="I71" s="10">
        <v>0</v>
      </c>
    </row>
    <row r="72" spans="1:9" ht="15.75" hidden="1" customHeight="1">
      <c r="A72" s="21"/>
      <c r="B72" s="77" t="s">
        <v>74</v>
      </c>
      <c r="C72" s="13"/>
      <c r="D72" s="11"/>
      <c r="E72" s="15"/>
      <c r="F72" s="10"/>
      <c r="G72" s="10" t="s">
        <v>120</v>
      </c>
      <c r="H72" s="74" t="s">
        <v>120</v>
      </c>
      <c r="I72" s="10"/>
    </row>
    <row r="73" spans="1:9" ht="15.75" hidden="1" customHeight="1">
      <c r="A73" s="21"/>
      <c r="B73" s="36" t="s">
        <v>121</v>
      </c>
      <c r="C73" s="13" t="s">
        <v>75</v>
      </c>
      <c r="D73" s="11"/>
      <c r="E73" s="15"/>
      <c r="F73" s="10">
        <v>1.35</v>
      </c>
      <c r="G73" s="10">
        <v>2949.85</v>
      </c>
      <c r="H73" s="74">
        <f t="shared" si="5"/>
        <v>3.9822975</v>
      </c>
      <c r="I73" s="10">
        <v>0</v>
      </c>
    </row>
    <row r="74" spans="1:9" ht="15.75" hidden="1" customHeight="1">
      <c r="A74" s="21"/>
      <c r="B74" s="53" t="s">
        <v>93</v>
      </c>
      <c r="C74" s="77"/>
      <c r="D74" s="23"/>
      <c r="E74" s="24"/>
      <c r="F74" s="66"/>
      <c r="G74" s="66"/>
      <c r="H74" s="78">
        <f>SUM(H58:H73)</f>
        <v>70.673694374000007</v>
      </c>
      <c r="I74" s="66"/>
    </row>
    <row r="75" spans="1:9" ht="15.75" hidden="1" customHeight="1">
      <c r="A75" s="21"/>
      <c r="B75" s="60" t="s">
        <v>118</v>
      </c>
      <c r="C75" s="13"/>
      <c r="D75" s="11"/>
      <c r="E75" s="79"/>
      <c r="F75" s="10">
        <v>1</v>
      </c>
      <c r="G75" s="10">
        <v>7101.4</v>
      </c>
      <c r="H75" s="74">
        <f>G75*F75/1000</f>
        <v>7.1013999999999999</v>
      </c>
      <c r="I75" s="10">
        <v>0</v>
      </c>
    </row>
    <row r="76" spans="1:9" ht="15.75" customHeight="1">
      <c r="A76" s="108" t="s">
        <v>135</v>
      </c>
      <c r="B76" s="109"/>
      <c r="C76" s="109"/>
      <c r="D76" s="109"/>
      <c r="E76" s="109"/>
      <c r="F76" s="109"/>
      <c r="G76" s="109"/>
      <c r="H76" s="109"/>
      <c r="I76" s="110"/>
    </row>
    <row r="77" spans="1:9" ht="15.75" customHeight="1">
      <c r="A77" s="21">
        <v>15</v>
      </c>
      <c r="B77" s="60" t="s">
        <v>119</v>
      </c>
      <c r="C77" s="13" t="s">
        <v>53</v>
      </c>
      <c r="D77" s="80" t="s">
        <v>145</v>
      </c>
      <c r="E77" s="10">
        <v>2054.6</v>
      </c>
      <c r="F77" s="10">
        <f>SUM(E77*12)</f>
        <v>24655.199999999997</v>
      </c>
      <c r="G77" s="10">
        <v>2.2400000000000002</v>
      </c>
      <c r="H77" s="74">
        <f>SUM(F77*G77/1000)</f>
        <v>55.227648000000002</v>
      </c>
      <c r="I77" s="10">
        <f>F77/12*G77</f>
        <v>4602.3040000000001</v>
      </c>
    </row>
    <row r="78" spans="1:9" ht="31.5" customHeight="1">
      <c r="A78" s="21">
        <v>16</v>
      </c>
      <c r="B78" s="11" t="s">
        <v>76</v>
      </c>
      <c r="C78" s="13"/>
      <c r="D78" s="80" t="s">
        <v>145</v>
      </c>
      <c r="E78" s="62">
        <f>E77</f>
        <v>2054.6</v>
      </c>
      <c r="F78" s="10">
        <f>E78*12</f>
        <v>24655.199999999997</v>
      </c>
      <c r="G78" s="10">
        <v>1.74</v>
      </c>
      <c r="H78" s="74">
        <f>F78*G78/1000</f>
        <v>42.900047999999998</v>
      </c>
      <c r="I78" s="10">
        <f>F78/12*G78</f>
        <v>3575.0039999999999</v>
      </c>
    </row>
    <row r="79" spans="1:9" ht="15.75" customHeight="1">
      <c r="A79" s="21"/>
      <c r="B79" s="28" t="s">
        <v>78</v>
      </c>
      <c r="C79" s="77"/>
      <c r="D79" s="76"/>
      <c r="E79" s="66"/>
      <c r="F79" s="66"/>
      <c r="G79" s="66"/>
      <c r="H79" s="78">
        <f>H78</f>
        <v>42.900047999999998</v>
      </c>
      <c r="I79" s="66">
        <f>I16+I17+I18+I20+I27+I28+I38+I39+I41+I42+I43+I44+I51+I58+I77+I78</f>
        <v>36175.927120583336</v>
      </c>
    </row>
    <row r="80" spans="1:9" ht="15.75" customHeight="1">
      <c r="A80" s="122" t="s">
        <v>58</v>
      </c>
      <c r="B80" s="123"/>
      <c r="C80" s="123"/>
      <c r="D80" s="123"/>
      <c r="E80" s="123"/>
      <c r="F80" s="123"/>
      <c r="G80" s="123"/>
      <c r="H80" s="123"/>
      <c r="I80" s="124"/>
    </row>
    <row r="81" spans="1:9" ht="15.75" customHeight="1">
      <c r="A81" s="21">
        <v>17</v>
      </c>
      <c r="B81" s="70" t="s">
        <v>171</v>
      </c>
      <c r="C81" s="69" t="s">
        <v>172</v>
      </c>
      <c r="D81" s="70"/>
      <c r="E81" s="71"/>
      <c r="F81" s="72">
        <v>360</v>
      </c>
      <c r="G81" s="56">
        <v>1.2</v>
      </c>
      <c r="H81" s="73">
        <f>F81*G81/1000</f>
        <v>0.432</v>
      </c>
      <c r="I81" s="94">
        <f>G81*120</f>
        <v>144</v>
      </c>
    </row>
    <row r="82" spans="1:9" ht="15.75" customHeight="1">
      <c r="A82" s="21" t="s">
        <v>181</v>
      </c>
      <c r="B82" s="39" t="s">
        <v>122</v>
      </c>
      <c r="C82" s="40" t="s">
        <v>111</v>
      </c>
      <c r="D82" s="36"/>
      <c r="E82" s="10"/>
      <c r="F82" s="10">
        <v>72</v>
      </c>
      <c r="G82" s="10">
        <v>55.55</v>
      </c>
      <c r="H82" s="10">
        <f>G82*F82/1000</f>
        <v>3.9996</v>
      </c>
      <c r="I82" s="10">
        <f>G82*36</f>
        <v>1999.8</v>
      </c>
    </row>
    <row r="83" spans="1:9" ht="15.75" customHeight="1">
      <c r="A83" s="21"/>
      <c r="B83" s="34" t="s">
        <v>49</v>
      </c>
      <c r="C83" s="30"/>
      <c r="D83" s="37"/>
      <c r="E83" s="30">
        <v>1</v>
      </c>
      <c r="F83" s="30"/>
      <c r="G83" s="30"/>
      <c r="H83" s="30"/>
      <c r="I83" s="24">
        <f>I81</f>
        <v>144</v>
      </c>
    </row>
    <row r="84" spans="1:9" ht="15.75" customHeight="1">
      <c r="A84" s="21"/>
      <c r="B84" s="36" t="s">
        <v>77</v>
      </c>
      <c r="C84" s="12"/>
      <c r="D84" s="12"/>
      <c r="E84" s="31"/>
      <c r="F84" s="31"/>
      <c r="G84" s="32"/>
      <c r="H84" s="32"/>
      <c r="I84" s="14">
        <v>0</v>
      </c>
    </row>
    <row r="85" spans="1:9" ht="15.75" customHeight="1">
      <c r="A85" s="38"/>
      <c r="B85" s="35" t="s">
        <v>163</v>
      </c>
      <c r="C85" s="26"/>
      <c r="D85" s="26"/>
      <c r="E85" s="26"/>
      <c r="F85" s="26"/>
      <c r="G85" s="26"/>
      <c r="H85" s="26"/>
      <c r="I85" s="33">
        <f>I79+I83</f>
        <v>36319.927120583336</v>
      </c>
    </row>
    <row r="86" spans="1:9" ht="15.75" customHeight="1">
      <c r="A86" s="125" t="s">
        <v>182</v>
      </c>
      <c r="B86" s="126"/>
      <c r="C86" s="126"/>
      <c r="D86" s="126"/>
      <c r="E86" s="126"/>
      <c r="F86" s="126"/>
      <c r="G86" s="126"/>
      <c r="H86" s="126"/>
      <c r="I86" s="126"/>
    </row>
    <row r="87" spans="1:9" ht="15.75">
      <c r="A87" s="121" t="s">
        <v>203</v>
      </c>
      <c r="B87" s="121"/>
      <c r="C87" s="121"/>
      <c r="D87" s="121"/>
      <c r="E87" s="121"/>
      <c r="F87" s="121"/>
      <c r="G87" s="121"/>
      <c r="H87" s="121"/>
      <c r="I87" s="121"/>
    </row>
    <row r="88" spans="1:9" ht="15.75">
      <c r="A88" s="48"/>
      <c r="B88" s="116" t="s">
        <v>204</v>
      </c>
      <c r="C88" s="116"/>
      <c r="D88" s="116"/>
      <c r="E88" s="116"/>
      <c r="F88" s="116"/>
      <c r="G88" s="116"/>
      <c r="H88" s="59"/>
      <c r="I88" s="2"/>
    </row>
    <row r="89" spans="1:9">
      <c r="A89" s="51"/>
      <c r="B89" s="112" t="s">
        <v>6</v>
      </c>
      <c r="C89" s="112"/>
      <c r="D89" s="112"/>
      <c r="E89" s="112"/>
      <c r="F89" s="112"/>
      <c r="G89" s="112"/>
      <c r="H89" s="16"/>
      <c r="I89" s="4"/>
    </row>
    <row r="90" spans="1:9">
      <c r="A90" s="7"/>
      <c r="B90" s="7"/>
      <c r="C90" s="7"/>
      <c r="D90" s="7"/>
      <c r="E90" s="7"/>
      <c r="F90" s="7"/>
      <c r="G90" s="7"/>
      <c r="H90" s="7"/>
      <c r="I90" s="7"/>
    </row>
    <row r="91" spans="1:9" ht="15.75">
      <c r="A91" s="117" t="s">
        <v>7</v>
      </c>
      <c r="B91" s="117"/>
      <c r="C91" s="117"/>
      <c r="D91" s="117"/>
      <c r="E91" s="117"/>
      <c r="F91" s="117"/>
      <c r="G91" s="117"/>
      <c r="H91" s="117"/>
      <c r="I91" s="117"/>
    </row>
    <row r="92" spans="1:9" ht="15.75">
      <c r="A92" s="117" t="s">
        <v>8</v>
      </c>
      <c r="B92" s="117"/>
      <c r="C92" s="117"/>
      <c r="D92" s="117"/>
      <c r="E92" s="117"/>
      <c r="F92" s="117"/>
      <c r="G92" s="117"/>
      <c r="H92" s="117"/>
      <c r="I92" s="117"/>
    </row>
    <row r="93" spans="1:9" ht="15.75">
      <c r="A93" s="118" t="s">
        <v>59</v>
      </c>
      <c r="B93" s="118"/>
      <c r="C93" s="118"/>
      <c r="D93" s="118"/>
      <c r="E93" s="118"/>
      <c r="F93" s="118"/>
      <c r="G93" s="118"/>
      <c r="H93" s="118"/>
      <c r="I93" s="118"/>
    </row>
    <row r="94" spans="1:9" ht="15.75">
      <c r="A94" s="8"/>
    </row>
    <row r="95" spans="1:9" ht="15.75">
      <c r="A95" s="119" t="s">
        <v>9</v>
      </c>
      <c r="B95" s="119"/>
      <c r="C95" s="119"/>
      <c r="D95" s="119"/>
      <c r="E95" s="119"/>
      <c r="F95" s="119"/>
      <c r="G95" s="119"/>
      <c r="H95" s="119"/>
      <c r="I95" s="119"/>
    </row>
    <row r="96" spans="1:9" ht="15.75">
      <c r="A96" s="3"/>
    </row>
    <row r="97" spans="1:9" ht="15.75">
      <c r="B97" s="52" t="s">
        <v>10</v>
      </c>
      <c r="C97" s="111" t="s">
        <v>136</v>
      </c>
      <c r="D97" s="111"/>
      <c r="E97" s="111"/>
      <c r="F97" s="57"/>
      <c r="I97" s="50"/>
    </row>
    <row r="98" spans="1:9">
      <c r="A98" s="51"/>
      <c r="C98" s="112" t="s">
        <v>11</v>
      </c>
      <c r="D98" s="112"/>
      <c r="E98" s="112"/>
      <c r="F98" s="16"/>
      <c r="I98" s="49" t="s">
        <v>12</v>
      </c>
    </row>
    <row r="99" spans="1:9" ht="15.75">
      <c r="A99" s="17"/>
      <c r="C99" s="9"/>
      <c r="D99" s="9"/>
      <c r="G99" s="9"/>
      <c r="H99" s="9"/>
    </row>
    <row r="100" spans="1:9" ht="15.75">
      <c r="B100" s="52" t="s">
        <v>13</v>
      </c>
      <c r="C100" s="113"/>
      <c r="D100" s="113"/>
      <c r="E100" s="113"/>
      <c r="F100" s="58"/>
      <c r="I100" s="50"/>
    </row>
    <row r="101" spans="1:9">
      <c r="A101" s="51"/>
      <c r="C101" s="114" t="s">
        <v>11</v>
      </c>
      <c r="D101" s="114"/>
      <c r="E101" s="114"/>
      <c r="F101" s="51"/>
      <c r="I101" s="49" t="s">
        <v>12</v>
      </c>
    </row>
    <row r="102" spans="1:9" ht="15.75">
      <c r="A102" s="3" t="s">
        <v>14</v>
      </c>
    </row>
    <row r="103" spans="1:9">
      <c r="A103" s="115" t="s">
        <v>15</v>
      </c>
      <c r="B103" s="115"/>
      <c r="C103" s="115"/>
      <c r="D103" s="115"/>
      <c r="E103" s="115"/>
      <c r="F103" s="115"/>
      <c r="G103" s="115"/>
      <c r="H103" s="115"/>
      <c r="I103" s="115"/>
    </row>
    <row r="104" spans="1:9" ht="45" customHeight="1">
      <c r="A104" s="107" t="s">
        <v>16</v>
      </c>
      <c r="B104" s="107"/>
      <c r="C104" s="107"/>
      <c r="D104" s="107"/>
      <c r="E104" s="107"/>
      <c r="F104" s="107"/>
      <c r="G104" s="107"/>
      <c r="H104" s="107"/>
      <c r="I104" s="107"/>
    </row>
    <row r="105" spans="1:9" ht="30" customHeight="1">
      <c r="A105" s="107" t="s">
        <v>17</v>
      </c>
      <c r="B105" s="107"/>
      <c r="C105" s="107"/>
      <c r="D105" s="107"/>
      <c r="E105" s="107"/>
      <c r="F105" s="107"/>
      <c r="G105" s="107"/>
      <c r="H105" s="107"/>
      <c r="I105" s="107"/>
    </row>
    <row r="106" spans="1:9" ht="30" customHeight="1">
      <c r="A106" s="107" t="s">
        <v>21</v>
      </c>
      <c r="B106" s="107"/>
      <c r="C106" s="107"/>
      <c r="D106" s="107"/>
      <c r="E106" s="107"/>
      <c r="F106" s="107"/>
      <c r="G106" s="107"/>
      <c r="H106" s="107"/>
      <c r="I106" s="107"/>
    </row>
    <row r="107" spans="1:9" ht="15" customHeight="1">
      <c r="A107" s="107" t="s">
        <v>20</v>
      </c>
      <c r="B107" s="107"/>
      <c r="C107" s="107"/>
      <c r="D107" s="107"/>
      <c r="E107" s="107"/>
      <c r="F107" s="107"/>
      <c r="G107" s="107"/>
      <c r="H107" s="107"/>
      <c r="I107" s="107"/>
    </row>
  </sheetData>
  <mergeCells count="29">
    <mergeCell ref="A105:I105"/>
    <mergeCell ref="A106:I106"/>
    <mergeCell ref="A107:I107"/>
    <mergeCell ref="C97:E97"/>
    <mergeCell ref="C98:E98"/>
    <mergeCell ref="C100:E100"/>
    <mergeCell ref="C101:E101"/>
    <mergeCell ref="A103:I103"/>
    <mergeCell ref="A104:I104"/>
    <mergeCell ref="A95:I95"/>
    <mergeCell ref="A15:I15"/>
    <mergeCell ref="A29:I29"/>
    <mergeCell ref="A45:I45"/>
    <mergeCell ref="A56:I56"/>
    <mergeCell ref="A76:I76"/>
    <mergeCell ref="A87:I87"/>
    <mergeCell ref="B88:G88"/>
    <mergeCell ref="B89:G89"/>
    <mergeCell ref="A91:I91"/>
    <mergeCell ref="A92:I92"/>
    <mergeCell ref="A93:I93"/>
    <mergeCell ref="A86:I86"/>
    <mergeCell ref="A14:I14"/>
    <mergeCell ref="A80:I80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09"/>
  <sheetViews>
    <sheetView topLeftCell="A44" workbookViewId="0">
      <selection activeCell="I91" sqref="I91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85</v>
      </c>
      <c r="I1" s="18"/>
    </row>
    <row r="2" spans="1:9" ht="15.75">
      <c r="A2" s="20" t="s">
        <v>60</v>
      </c>
    </row>
    <row r="3" spans="1:9" ht="15.75">
      <c r="A3" s="128" t="s">
        <v>147</v>
      </c>
      <c r="B3" s="128"/>
      <c r="C3" s="128"/>
      <c r="D3" s="128"/>
      <c r="E3" s="128"/>
      <c r="F3" s="128"/>
      <c r="G3" s="128"/>
      <c r="H3" s="128"/>
      <c r="I3" s="128"/>
    </row>
    <row r="4" spans="1:9" ht="31.5" customHeight="1">
      <c r="A4" s="129" t="s">
        <v>132</v>
      </c>
      <c r="B4" s="129"/>
      <c r="C4" s="129"/>
      <c r="D4" s="129"/>
      <c r="E4" s="129"/>
      <c r="F4" s="129"/>
      <c r="G4" s="129"/>
      <c r="H4" s="129"/>
      <c r="I4" s="129"/>
    </row>
    <row r="5" spans="1:9" ht="15.75">
      <c r="A5" s="128" t="s">
        <v>175</v>
      </c>
      <c r="B5" s="130"/>
      <c r="C5" s="130"/>
      <c r="D5" s="130"/>
      <c r="E5" s="130"/>
      <c r="F5" s="130"/>
      <c r="G5" s="130"/>
      <c r="H5" s="130"/>
      <c r="I5" s="130"/>
    </row>
    <row r="6" spans="1:9" ht="15.75">
      <c r="A6" s="1"/>
      <c r="B6" s="54"/>
      <c r="C6" s="54"/>
      <c r="D6" s="54"/>
      <c r="E6" s="54"/>
      <c r="F6" s="54"/>
      <c r="G6" s="54"/>
      <c r="H6" s="54"/>
      <c r="I6" s="22">
        <v>43190</v>
      </c>
    </row>
    <row r="7" spans="1:9" ht="15.75">
      <c r="B7" s="52"/>
      <c r="C7" s="52"/>
      <c r="D7" s="52"/>
      <c r="E7" s="2"/>
      <c r="F7" s="2"/>
      <c r="G7" s="2"/>
      <c r="H7" s="2"/>
    </row>
    <row r="8" spans="1:9" ht="78.75" customHeight="1">
      <c r="A8" s="131" t="s">
        <v>158</v>
      </c>
      <c r="B8" s="131"/>
      <c r="C8" s="131"/>
      <c r="D8" s="131"/>
      <c r="E8" s="131"/>
      <c r="F8" s="131"/>
      <c r="G8" s="131"/>
      <c r="H8" s="131"/>
      <c r="I8" s="131"/>
    </row>
    <row r="9" spans="1:9" ht="15.75">
      <c r="A9" s="3"/>
    </row>
    <row r="10" spans="1:9" ht="47.25" customHeight="1">
      <c r="A10" s="132" t="s">
        <v>159</v>
      </c>
      <c r="B10" s="132"/>
      <c r="C10" s="132"/>
      <c r="D10" s="132"/>
      <c r="E10" s="132"/>
      <c r="F10" s="132"/>
      <c r="G10" s="132"/>
      <c r="H10" s="132"/>
      <c r="I10" s="132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>
      <c r="A14" s="127" t="s">
        <v>57</v>
      </c>
      <c r="B14" s="127"/>
      <c r="C14" s="127"/>
      <c r="D14" s="127"/>
      <c r="E14" s="127"/>
      <c r="F14" s="127"/>
      <c r="G14" s="127"/>
      <c r="H14" s="127"/>
      <c r="I14" s="127"/>
    </row>
    <row r="15" spans="1:9">
      <c r="A15" s="120" t="s">
        <v>4</v>
      </c>
      <c r="B15" s="120"/>
      <c r="C15" s="120"/>
      <c r="D15" s="120"/>
      <c r="E15" s="120"/>
      <c r="F15" s="120"/>
      <c r="G15" s="120"/>
      <c r="H15" s="120"/>
      <c r="I15" s="120"/>
    </row>
    <row r="16" spans="1:9" ht="15.75" customHeight="1">
      <c r="A16" s="21">
        <v>1</v>
      </c>
      <c r="B16" s="60" t="s">
        <v>86</v>
      </c>
      <c r="C16" s="61" t="s">
        <v>87</v>
      </c>
      <c r="D16" s="60" t="s">
        <v>160</v>
      </c>
      <c r="E16" s="62">
        <v>55</v>
      </c>
      <c r="F16" s="63">
        <f>SUM(E16*156/100)</f>
        <v>85.8</v>
      </c>
      <c r="G16" s="63">
        <v>187.48</v>
      </c>
      <c r="H16" s="64">
        <f t="shared" ref="H16:H26" si="0">SUM(F16*G16/1000)</f>
        <v>16.085783999999997</v>
      </c>
      <c r="I16" s="10">
        <f>F16/12*G16</f>
        <v>1340.4819999999997</v>
      </c>
    </row>
    <row r="17" spans="1:9" ht="15.75" customHeight="1">
      <c r="A17" s="21">
        <v>2</v>
      </c>
      <c r="B17" s="60" t="s">
        <v>123</v>
      </c>
      <c r="C17" s="61" t="s">
        <v>87</v>
      </c>
      <c r="D17" s="60" t="s">
        <v>161</v>
      </c>
      <c r="E17" s="62">
        <v>165</v>
      </c>
      <c r="F17" s="63">
        <f>SUM(E17*104/100)</f>
        <v>171.6</v>
      </c>
      <c r="G17" s="63">
        <v>187.48</v>
      </c>
      <c r="H17" s="64">
        <f t="shared" si="0"/>
        <v>32.171567999999994</v>
      </c>
      <c r="I17" s="10">
        <f>F17/12*G17</f>
        <v>2680.9639999999995</v>
      </c>
    </row>
    <row r="18" spans="1:9" ht="15.75" customHeight="1">
      <c r="A18" s="21">
        <v>3</v>
      </c>
      <c r="B18" s="60" t="s">
        <v>124</v>
      </c>
      <c r="C18" s="61" t="s">
        <v>87</v>
      </c>
      <c r="D18" s="60" t="s">
        <v>162</v>
      </c>
      <c r="E18" s="62">
        <f>SUM(E16+E17)</f>
        <v>220</v>
      </c>
      <c r="F18" s="63">
        <f>SUM(E18*24/100)</f>
        <v>52.8</v>
      </c>
      <c r="G18" s="63">
        <v>539.30999999999995</v>
      </c>
      <c r="H18" s="64">
        <f t="shared" si="0"/>
        <v>28.475567999999996</v>
      </c>
      <c r="I18" s="10">
        <f>F18/12*G18</f>
        <v>2372.9639999999995</v>
      </c>
    </row>
    <row r="19" spans="1:9" ht="15.75" hidden="1" customHeight="1">
      <c r="A19" s="21">
        <v>4</v>
      </c>
      <c r="B19" s="60" t="s">
        <v>94</v>
      </c>
      <c r="C19" s="61" t="s">
        <v>95</v>
      </c>
      <c r="D19" s="60" t="s">
        <v>96</v>
      </c>
      <c r="E19" s="62">
        <v>32.4</v>
      </c>
      <c r="F19" s="63">
        <f>SUM(E19/10)</f>
        <v>3.2399999999999998</v>
      </c>
      <c r="G19" s="63">
        <v>181.91</v>
      </c>
      <c r="H19" s="64">
        <f t="shared" si="0"/>
        <v>0.58938839999999992</v>
      </c>
      <c r="I19" s="10">
        <v>0</v>
      </c>
    </row>
    <row r="20" spans="1:9" ht="15.75" customHeight="1">
      <c r="A20" s="21">
        <v>4</v>
      </c>
      <c r="B20" s="60" t="s">
        <v>97</v>
      </c>
      <c r="C20" s="61" t="s">
        <v>87</v>
      </c>
      <c r="D20" s="60" t="s">
        <v>125</v>
      </c>
      <c r="E20" s="62">
        <v>12.24</v>
      </c>
      <c r="F20" s="63">
        <f>SUM(E20*12/100)</f>
        <v>1.4687999999999999</v>
      </c>
      <c r="G20" s="63">
        <v>232.92</v>
      </c>
      <c r="H20" s="64">
        <f t="shared" si="0"/>
        <v>0.342112896</v>
      </c>
      <c r="I20" s="10">
        <f>F20/12*G20</f>
        <v>28.509407999999997</v>
      </c>
    </row>
    <row r="21" spans="1:9" ht="15.75" customHeight="1">
      <c r="A21" s="21">
        <v>5</v>
      </c>
      <c r="B21" s="60" t="s">
        <v>98</v>
      </c>
      <c r="C21" s="61" t="s">
        <v>87</v>
      </c>
      <c r="D21" s="60" t="s">
        <v>126</v>
      </c>
      <c r="E21" s="62">
        <v>10.08</v>
      </c>
      <c r="F21" s="63">
        <f>SUM(E21*6/100)</f>
        <v>0.6048</v>
      </c>
      <c r="G21" s="63">
        <v>231.03</v>
      </c>
      <c r="H21" s="64">
        <f t="shared" si="0"/>
        <v>0.13972694399999999</v>
      </c>
      <c r="I21" s="10">
        <f>F21/6*G21</f>
        <v>23.287824000000001</v>
      </c>
    </row>
    <row r="22" spans="1:9" ht="15.75" hidden="1" customHeight="1">
      <c r="A22" s="21">
        <v>7</v>
      </c>
      <c r="B22" s="60" t="s">
        <v>99</v>
      </c>
      <c r="C22" s="61" t="s">
        <v>51</v>
      </c>
      <c r="D22" s="60" t="s">
        <v>96</v>
      </c>
      <c r="E22" s="62">
        <v>293.76</v>
      </c>
      <c r="F22" s="63">
        <f>SUM(E22/100)</f>
        <v>2.9375999999999998</v>
      </c>
      <c r="G22" s="63">
        <v>287.83999999999997</v>
      </c>
      <c r="H22" s="64">
        <f t="shared" si="0"/>
        <v>0.84555878399999984</v>
      </c>
      <c r="I22" s="10">
        <v>0</v>
      </c>
    </row>
    <row r="23" spans="1:9" ht="15.75" hidden="1" customHeight="1">
      <c r="A23" s="21">
        <v>8</v>
      </c>
      <c r="B23" s="60" t="s">
        <v>100</v>
      </c>
      <c r="C23" s="61" t="s">
        <v>51</v>
      </c>
      <c r="D23" s="60" t="s">
        <v>96</v>
      </c>
      <c r="E23" s="65">
        <v>17.64</v>
      </c>
      <c r="F23" s="63">
        <f>SUM(E23/100)</f>
        <v>0.1764</v>
      </c>
      <c r="G23" s="63">
        <v>47.34</v>
      </c>
      <c r="H23" s="64">
        <f t="shared" si="0"/>
        <v>8.3507760000000007E-3</v>
      </c>
      <c r="I23" s="10">
        <v>0</v>
      </c>
    </row>
    <row r="24" spans="1:9" ht="15.75" hidden="1" customHeight="1">
      <c r="A24" s="21">
        <v>9</v>
      </c>
      <c r="B24" s="60" t="s">
        <v>101</v>
      </c>
      <c r="C24" s="61" t="s">
        <v>51</v>
      </c>
      <c r="D24" s="60" t="s">
        <v>102</v>
      </c>
      <c r="E24" s="62">
        <v>10.8</v>
      </c>
      <c r="F24" s="63">
        <f>E24/100</f>
        <v>0.10800000000000001</v>
      </c>
      <c r="G24" s="63">
        <v>416.62</v>
      </c>
      <c r="H24" s="64">
        <f t="shared" si="0"/>
        <v>4.4994960000000007E-2</v>
      </c>
      <c r="I24" s="10">
        <v>0</v>
      </c>
    </row>
    <row r="25" spans="1:9" ht="15.75" hidden="1" customHeight="1">
      <c r="A25" s="21">
        <v>10</v>
      </c>
      <c r="B25" s="60" t="s">
        <v>103</v>
      </c>
      <c r="C25" s="61" t="s">
        <v>51</v>
      </c>
      <c r="D25" s="60" t="s">
        <v>52</v>
      </c>
      <c r="E25" s="62">
        <v>12.6</v>
      </c>
      <c r="F25" s="63">
        <f>E25/100</f>
        <v>0.126</v>
      </c>
      <c r="G25" s="63">
        <v>231.03</v>
      </c>
      <c r="H25" s="64">
        <f>G25*F25/1000</f>
        <v>2.9109780000000002E-2</v>
      </c>
      <c r="I25" s="10">
        <v>0</v>
      </c>
    </row>
    <row r="26" spans="1:9" ht="15.75" hidden="1" customHeight="1">
      <c r="A26" s="21">
        <v>11</v>
      </c>
      <c r="B26" s="60" t="s">
        <v>104</v>
      </c>
      <c r="C26" s="61" t="s">
        <v>51</v>
      </c>
      <c r="D26" s="60" t="s">
        <v>96</v>
      </c>
      <c r="E26" s="62">
        <v>14.4</v>
      </c>
      <c r="F26" s="63">
        <f>SUM(E26/100)</f>
        <v>0.14400000000000002</v>
      </c>
      <c r="G26" s="63">
        <v>556.74</v>
      </c>
      <c r="H26" s="64">
        <f t="shared" si="0"/>
        <v>8.0170560000000016E-2</v>
      </c>
      <c r="I26" s="10">
        <v>0</v>
      </c>
    </row>
    <row r="27" spans="1:9" ht="15.75" customHeight="1">
      <c r="A27" s="21">
        <v>6</v>
      </c>
      <c r="B27" s="60" t="s">
        <v>62</v>
      </c>
      <c r="C27" s="61" t="s">
        <v>31</v>
      </c>
      <c r="D27" s="60"/>
      <c r="E27" s="62">
        <v>0.1</v>
      </c>
      <c r="F27" s="63">
        <f>SUM(E27*365)</f>
        <v>36.5</v>
      </c>
      <c r="G27" s="63">
        <v>157.18</v>
      </c>
      <c r="H27" s="64">
        <f>SUM(F27*G27/1000)</f>
        <v>5.737070000000001</v>
      </c>
      <c r="I27" s="10">
        <f>F27/12*G27</f>
        <v>478.08916666666664</v>
      </c>
    </row>
    <row r="28" spans="1:9" ht="15.75" customHeight="1">
      <c r="A28" s="21">
        <v>7</v>
      </c>
      <c r="B28" s="68" t="s">
        <v>23</v>
      </c>
      <c r="C28" s="61" t="s">
        <v>24</v>
      </c>
      <c r="D28" s="60"/>
      <c r="E28" s="62">
        <v>2054.6</v>
      </c>
      <c r="F28" s="63">
        <f>SUM(E28*12)</f>
        <v>24655.199999999997</v>
      </c>
      <c r="G28" s="63">
        <v>6.15</v>
      </c>
      <c r="H28" s="64">
        <f>SUM(F28*G28/1000)</f>
        <v>151.62947999999997</v>
      </c>
      <c r="I28" s="10">
        <f>F28/12*G28</f>
        <v>12635.79</v>
      </c>
    </row>
    <row r="29" spans="1:9" ht="15.75" customHeight="1">
      <c r="A29" s="108" t="s">
        <v>84</v>
      </c>
      <c r="B29" s="109"/>
      <c r="C29" s="109"/>
      <c r="D29" s="109"/>
      <c r="E29" s="109"/>
      <c r="F29" s="109"/>
      <c r="G29" s="109"/>
      <c r="H29" s="109"/>
      <c r="I29" s="110"/>
    </row>
    <row r="30" spans="1:9" ht="15.75" hidden="1" customHeight="1">
      <c r="A30" s="21"/>
      <c r="B30" s="81" t="s">
        <v>27</v>
      </c>
      <c r="C30" s="61"/>
      <c r="D30" s="60"/>
      <c r="E30" s="62"/>
      <c r="F30" s="63"/>
      <c r="G30" s="63"/>
      <c r="H30" s="64"/>
      <c r="I30" s="10"/>
    </row>
    <row r="31" spans="1:9" ht="31.5" hidden="1" customHeight="1">
      <c r="A31" s="21">
        <v>8</v>
      </c>
      <c r="B31" s="60" t="s">
        <v>109</v>
      </c>
      <c r="C31" s="61" t="s">
        <v>90</v>
      </c>
      <c r="D31" s="60" t="s">
        <v>105</v>
      </c>
      <c r="E31" s="63">
        <v>600.63</v>
      </c>
      <c r="F31" s="63">
        <f>SUM(E31*52/1000)</f>
        <v>31.232759999999999</v>
      </c>
      <c r="G31" s="63">
        <v>166.65</v>
      </c>
      <c r="H31" s="64">
        <f t="shared" ref="H31:H36" si="1">SUM(F31*G31/1000)</f>
        <v>5.2049394540000007</v>
      </c>
      <c r="I31" s="10">
        <f>F31/6*G31</f>
        <v>867.4899089999999</v>
      </c>
    </row>
    <row r="32" spans="1:9" ht="31.5" hidden="1" customHeight="1">
      <c r="A32" s="21">
        <v>9</v>
      </c>
      <c r="B32" s="60" t="s">
        <v>108</v>
      </c>
      <c r="C32" s="61" t="s">
        <v>90</v>
      </c>
      <c r="D32" s="60" t="s">
        <v>106</v>
      </c>
      <c r="E32" s="63">
        <v>186.39</v>
      </c>
      <c r="F32" s="63">
        <f>SUM(E32*78/1000)</f>
        <v>14.538419999999999</v>
      </c>
      <c r="G32" s="63">
        <v>276.48</v>
      </c>
      <c r="H32" s="64">
        <f t="shared" si="1"/>
        <v>4.0195823615999995</v>
      </c>
      <c r="I32" s="10">
        <f t="shared" ref="I32:I34" si="2">F32/6*G32</f>
        <v>669.93039359999989</v>
      </c>
    </row>
    <row r="33" spans="1:9" ht="15.75" hidden="1" customHeight="1">
      <c r="A33" s="21">
        <v>16</v>
      </c>
      <c r="B33" s="60" t="s">
        <v>26</v>
      </c>
      <c r="C33" s="61" t="s">
        <v>90</v>
      </c>
      <c r="D33" s="60" t="s">
        <v>52</v>
      </c>
      <c r="E33" s="63">
        <v>600.63</v>
      </c>
      <c r="F33" s="63">
        <f>SUM(E33/1000)</f>
        <v>0.60063</v>
      </c>
      <c r="G33" s="63">
        <v>3228.73</v>
      </c>
      <c r="H33" s="64">
        <f t="shared" si="1"/>
        <v>1.9392720999000002</v>
      </c>
      <c r="I33" s="10">
        <f>F33*G33</f>
        <v>1939.2720999000001</v>
      </c>
    </row>
    <row r="34" spans="1:9" ht="15.75" hidden="1" customHeight="1">
      <c r="A34" s="21">
        <v>10</v>
      </c>
      <c r="B34" s="60" t="s">
        <v>107</v>
      </c>
      <c r="C34" s="61" t="s">
        <v>29</v>
      </c>
      <c r="D34" s="60" t="s">
        <v>61</v>
      </c>
      <c r="E34" s="67">
        <v>0.33333333333333331</v>
      </c>
      <c r="F34" s="63">
        <f>155/3</f>
        <v>51.666666666666664</v>
      </c>
      <c r="G34" s="63">
        <v>60.6</v>
      </c>
      <c r="H34" s="64">
        <f>SUM(G34*155/3/1000)</f>
        <v>3.1309999999999998</v>
      </c>
      <c r="I34" s="10">
        <f t="shared" si="2"/>
        <v>521.83333333333337</v>
      </c>
    </row>
    <row r="35" spans="1:9" ht="15.75" hidden="1" customHeight="1">
      <c r="A35" s="21"/>
      <c r="B35" s="60" t="s">
        <v>63</v>
      </c>
      <c r="C35" s="61" t="s">
        <v>31</v>
      </c>
      <c r="D35" s="60" t="s">
        <v>65</v>
      </c>
      <c r="E35" s="62"/>
      <c r="F35" s="63">
        <v>2</v>
      </c>
      <c r="G35" s="63">
        <v>204.52</v>
      </c>
      <c r="H35" s="64">
        <f t="shared" si="1"/>
        <v>0.40904000000000001</v>
      </c>
      <c r="I35" s="10">
        <v>0</v>
      </c>
    </row>
    <row r="36" spans="1:9" ht="15.75" hidden="1" customHeight="1">
      <c r="A36" s="21"/>
      <c r="B36" s="60" t="s">
        <v>64</v>
      </c>
      <c r="C36" s="61" t="s">
        <v>30</v>
      </c>
      <c r="D36" s="60" t="s">
        <v>65</v>
      </c>
      <c r="E36" s="62"/>
      <c r="F36" s="63">
        <v>1</v>
      </c>
      <c r="G36" s="63">
        <v>1214.74</v>
      </c>
      <c r="H36" s="64">
        <f t="shared" si="1"/>
        <v>1.2147399999999999</v>
      </c>
      <c r="I36" s="10">
        <v>0</v>
      </c>
    </row>
    <row r="37" spans="1:9" ht="15.75" customHeight="1">
      <c r="A37" s="21"/>
      <c r="B37" s="81" t="s">
        <v>5</v>
      </c>
      <c r="C37" s="61"/>
      <c r="D37" s="60"/>
      <c r="E37" s="62"/>
      <c r="F37" s="63"/>
      <c r="G37" s="63"/>
      <c r="H37" s="64" t="s">
        <v>120</v>
      </c>
      <c r="I37" s="10"/>
    </row>
    <row r="38" spans="1:9" ht="15.75" customHeight="1">
      <c r="A38" s="21">
        <v>8</v>
      </c>
      <c r="B38" s="60" t="s">
        <v>25</v>
      </c>
      <c r="C38" s="61" t="s">
        <v>30</v>
      </c>
      <c r="D38" s="60"/>
      <c r="E38" s="62"/>
      <c r="F38" s="63">
        <v>5</v>
      </c>
      <c r="G38" s="63">
        <v>1632.6</v>
      </c>
      <c r="H38" s="64">
        <f t="shared" ref="H38:H44" si="3">SUM(F38*G38/1000)</f>
        <v>8.1630000000000003</v>
      </c>
      <c r="I38" s="10">
        <f>F38/6*G38</f>
        <v>1360.5</v>
      </c>
    </row>
    <row r="39" spans="1:9" ht="15.75" customHeight="1">
      <c r="A39" s="21">
        <v>9</v>
      </c>
      <c r="B39" s="60" t="s">
        <v>127</v>
      </c>
      <c r="C39" s="61" t="s">
        <v>28</v>
      </c>
      <c r="D39" s="60" t="s">
        <v>88</v>
      </c>
      <c r="E39" s="62">
        <v>186.39</v>
      </c>
      <c r="F39" s="63">
        <f>E39*30/1000</f>
        <v>5.5916999999999994</v>
      </c>
      <c r="G39" s="63">
        <v>2247.8000000000002</v>
      </c>
      <c r="H39" s="64">
        <f>G39*F39/1000</f>
        <v>12.56902326</v>
      </c>
      <c r="I39" s="10">
        <f>F39/6*G39</f>
        <v>2094.8372100000001</v>
      </c>
    </row>
    <row r="40" spans="1:9" ht="15.75" hidden="1" customHeight="1">
      <c r="A40" s="21"/>
      <c r="B40" s="60" t="s">
        <v>138</v>
      </c>
      <c r="C40" s="61" t="s">
        <v>139</v>
      </c>
      <c r="D40" s="60" t="s">
        <v>65</v>
      </c>
      <c r="E40" s="62"/>
      <c r="F40" s="63">
        <v>72.3</v>
      </c>
      <c r="G40" s="63">
        <v>199.44</v>
      </c>
      <c r="H40" s="64">
        <f>G40*F40/1000</f>
        <v>14.419511999999999</v>
      </c>
      <c r="I40" s="10">
        <v>0</v>
      </c>
    </row>
    <row r="41" spans="1:9" ht="15.75" customHeight="1">
      <c r="A41" s="21">
        <v>10</v>
      </c>
      <c r="B41" s="60" t="s">
        <v>66</v>
      </c>
      <c r="C41" s="61" t="s">
        <v>28</v>
      </c>
      <c r="D41" s="60" t="s">
        <v>89</v>
      </c>
      <c r="E41" s="63">
        <v>186.39</v>
      </c>
      <c r="F41" s="63">
        <f>SUM(E41*155/1000)</f>
        <v>28.890449999999998</v>
      </c>
      <c r="G41" s="63">
        <v>374.95</v>
      </c>
      <c r="H41" s="64">
        <f t="shared" si="3"/>
        <v>10.832474227499999</v>
      </c>
      <c r="I41" s="10">
        <f>F41/6*G41</f>
        <v>1805.4123712499998</v>
      </c>
    </row>
    <row r="42" spans="1:9" ht="47.25" customHeight="1">
      <c r="A42" s="21">
        <v>11</v>
      </c>
      <c r="B42" s="60" t="s">
        <v>82</v>
      </c>
      <c r="C42" s="61" t="s">
        <v>90</v>
      </c>
      <c r="D42" s="60" t="s">
        <v>128</v>
      </c>
      <c r="E42" s="63">
        <v>52.2</v>
      </c>
      <c r="F42" s="63">
        <f>SUM(E42*35/1000)</f>
        <v>1.827</v>
      </c>
      <c r="G42" s="63">
        <v>6203.7</v>
      </c>
      <c r="H42" s="64">
        <f t="shared" si="3"/>
        <v>11.3341599</v>
      </c>
      <c r="I42" s="10">
        <f>F42/6*G42</f>
        <v>1889.0266499999998</v>
      </c>
    </row>
    <row r="43" spans="1:9" ht="15.75" customHeight="1">
      <c r="A43" s="21">
        <v>12</v>
      </c>
      <c r="B43" s="60" t="s">
        <v>129</v>
      </c>
      <c r="C43" s="61" t="s">
        <v>90</v>
      </c>
      <c r="D43" s="60" t="s">
        <v>67</v>
      </c>
      <c r="E43" s="63">
        <v>52.2</v>
      </c>
      <c r="F43" s="63">
        <f>SUM(E43*45/1000)</f>
        <v>2.3490000000000002</v>
      </c>
      <c r="G43" s="63">
        <v>458.28</v>
      </c>
      <c r="H43" s="64">
        <f t="shared" si="3"/>
        <v>1.0764997199999999</v>
      </c>
      <c r="I43" s="10">
        <f>(F43/7.5*1.5)*G43</f>
        <v>215.29994400000001</v>
      </c>
    </row>
    <row r="44" spans="1:9" ht="15.75" customHeight="1">
      <c r="A44" s="21">
        <v>13</v>
      </c>
      <c r="B44" s="60" t="s">
        <v>68</v>
      </c>
      <c r="C44" s="61" t="s">
        <v>31</v>
      </c>
      <c r="D44" s="60"/>
      <c r="E44" s="62"/>
      <c r="F44" s="63">
        <v>0.5</v>
      </c>
      <c r="G44" s="63">
        <v>853.06</v>
      </c>
      <c r="H44" s="64">
        <f t="shared" si="3"/>
        <v>0.42652999999999996</v>
      </c>
      <c r="I44" s="10">
        <f>(F44/7.5*1.5)*G44</f>
        <v>85.305999999999997</v>
      </c>
    </row>
    <row r="45" spans="1:9" ht="15.75" hidden="1" customHeight="1">
      <c r="A45" s="108" t="s">
        <v>133</v>
      </c>
      <c r="B45" s="109"/>
      <c r="C45" s="109"/>
      <c r="D45" s="109"/>
      <c r="E45" s="109"/>
      <c r="F45" s="109"/>
      <c r="G45" s="109"/>
      <c r="H45" s="109"/>
      <c r="I45" s="110"/>
    </row>
    <row r="46" spans="1:9" ht="15.75" hidden="1" customHeight="1">
      <c r="A46" s="21"/>
      <c r="B46" s="60" t="s">
        <v>110</v>
      </c>
      <c r="C46" s="61" t="s">
        <v>90</v>
      </c>
      <c r="D46" s="60" t="s">
        <v>41</v>
      </c>
      <c r="E46" s="62">
        <v>917.75</v>
      </c>
      <c r="F46" s="63">
        <f>SUM(E46*2/1000)</f>
        <v>1.8354999999999999</v>
      </c>
      <c r="G46" s="10">
        <v>865.61</v>
      </c>
      <c r="H46" s="64">
        <f t="shared" ref="H46:H55" si="4">SUM(F46*G46/1000)</f>
        <v>1.5888271549999999</v>
      </c>
      <c r="I46" s="10">
        <v>0</v>
      </c>
    </row>
    <row r="47" spans="1:9" ht="15.75" hidden="1" customHeight="1">
      <c r="A47" s="21"/>
      <c r="B47" s="60" t="s">
        <v>34</v>
      </c>
      <c r="C47" s="61" t="s">
        <v>90</v>
      </c>
      <c r="D47" s="60" t="s">
        <v>41</v>
      </c>
      <c r="E47" s="62">
        <v>48</v>
      </c>
      <c r="F47" s="63">
        <f>E47*2/1000</f>
        <v>9.6000000000000002E-2</v>
      </c>
      <c r="G47" s="10">
        <v>619.46</v>
      </c>
      <c r="H47" s="64">
        <f t="shared" si="4"/>
        <v>5.9468160000000006E-2</v>
      </c>
      <c r="I47" s="10">
        <v>0</v>
      </c>
    </row>
    <row r="48" spans="1:9" ht="15.75" hidden="1" customHeight="1">
      <c r="A48" s="21"/>
      <c r="B48" s="60" t="s">
        <v>35</v>
      </c>
      <c r="C48" s="61" t="s">
        <v>90</v>
      </c>
      <c r="D48" s="60" t="s">
        <v>41</v>
      </c>
      <c r="E48" s="62">
        <v>937.4</v>
      </c>
      <c r="F48" s="63">
        <f>SUM(E48*2/1000)</f>
        <v>1.8748</v>
      </c>
      <c r="G48" s="10">
        <v>619.46</v>
      </c>
      <c r="H48" s="64">
        <f t="shared" si="4"/>
        <v>1.161363608</v>
      </c>
      <c r="I48" s="10">
        <v>0</v>
      </c>
    </row>
    <row r="49" spans="1:9" ht="15.75" hidden="1" customHeight="1">
      <c r="A49" s="21"/>
      <c r="B49" s="60" t="s">
        <v>36</v>
      </c>
      <c r="C49" s="61" t="s">
        <v>90</v>
      </c>
      <c r="D49" s="60" t="s">
        <v>41</v>
      </c>
      <c r="E49" s="62">
        <v>1243.28</v>
      </c>
      <c r="F49" s="63">
        <f>SUM(E49*2/1000)</f>
        <v>2.4865599999999999</v>
      </c>
      <c r="G49" s="10">
        <v>648.64</v>
      </c>
      <c r="H49" s="64">
        <f t="shared" si="4"/>
        <v>1.6128822783999999</v>
      </c>
      <c r="I49" s="10">
        <v>0</v>
      </c>
    </row>
    <row r="50" spans="1:9" ht="15.75" hidden="1" customHeight="1">
      <c r="A50" s="21"/>
      <c r="B50" s="60" t="s">
        <v>32</v>
      </c>
      <c r="C50" s="61" t="s">
        <v>33</v>
      </c>
      <c r="D50" s="60" t="s">
        <v>41</v>
      </c>
      <c r="E50" s="62">
        <v>64.5</v>
      </c>
      <c r="F50" s="63">
        <f>SUM(E50*2/100)</f>
        <v>1.29</v>
      </c>
      <c r="G50" s="10">
        <v>77.84</v>
      </c>
      <c r="H50" s="64">
        <f t="shared" si="4"/>
        <v>0.10041360000000001</v>
      </c>
      <c r="I50" s="10">
        <v>0</v>
      </c>
    </row>
    <row r="51" spans="1:9" ht="15.75" hidden="1" customHeight="1">
      <c r="A51" s="21">
        <v>14</v>
      </c>
      <c r="B51" s="60" t="s">
        <v>54</v>
      </c>
      <c r="C51" s="61" t="s">
        <v>90</v>
      </c>
      <c r="D51" s="60" t="s">
        <v>144</v>
      </c>
      <c r="E51" s="62">
        <v>678.4</v>
      </c>
      <c r="F51" s="63">
        <f>SUM(E51*5/1000)</f>
        <v>3.3919999999999999</v>
      </c>
      <c r="G51" s="10">
        <v>1297.28</v>
      </c>
      <c r="H51" s="64">
        <f t="shared" si="4"/>
        <v>4.4003737599999999</v>
      </c>
      <c r="I51" s="10">
        <f>F51/5*G51</f>
        <v>880.07475199999999</v>
      </c>
    </row>
    <row r="52" spans="1:9" ht="31.5" hidden="1" customHeight="1">
      <c r="A52" s="21"/>
      <c r="B52" s="60" t="s">
        <v>91</v>
      </c>
      <c r="C52" s="61" t="s">
        <v>90</v>
      </c>
      <c r="D52" s="60" t="s">
        <v>41</v>
      </c>
      <c r="E52" s="62">
        <v>678.4</v>
      </c>
      <c r="F52" s="63">
        <f>SUM(E52*2/1000)</f>
        <v>1.3568</v>
      </c>
      <c r="G52" s="10">
        <v>1297.28</v>
      </c>
      <c r="H52" s="64">
        <f t="shared" si="4"/>
        <v>1.7601495039999999</v>
      </c>
      <c r="I52" s="10">
        <v>0</v>
      </c>
    </row>
    <row r="53" spans="1:9" ht="31.5" hidden="1" customHeight="1">
      <c r="A53" s="21"/>
      <c r="B53" s="60" t="s">
        <v>92</v>
      </c>
      <c r="C53" s="61" t="s">
        <v>37</v>
      </c>
      <c r="D53" s="60" t="s">
        <v>41</v>
      </c>
      <c r="E53" s="62">
        <v>12</v>
      </c>
      <c r="F53" s="63">
        <f>SUM(E53*2/100)</f>
        <v>0.24</v>
      </c>
      <c r="G53" s="10">
        <v>2918.89</v>
      </c>
      <c r="H53" s="64">
        <f t="shared" si="4"/>
        <v>0.70053359999999998</v>
      </c>
      <c r="I53" s="10">
        <v>0</v>
      </c>
    </row>
    <row r="54" spans="1:9" ht="15.75" hidden="1" customHeight="1">
      <c r="A54" s="21">
        <v>14</v>
      </c>
      <c r="B54" s="60" t="s">
        <v>38</v>
      </c>
      <c r="C54" s="61" t="s">
        <v>39</v>
      </c>
      <c r="D54" s="60" t="s">
        <v>41</v>
      </c>
      <c r="E54" s="62">
        <v>1</v>
      </c>
      <c r="F54" s="63">
        <v>0.02</v>
      </c>
      <c r="G54" s="10">
        <v>6042.12</v>
      </c>
      <c r="H54" s="64">
        <f t="shared" si="4"/>
        <v>0.1208424</v>
      </c>
      <c r="I54" s="10">
        <f>F54/2*G54</f>
        <v>60.421199999999999</v>
      </c>
    </row>
    <row r="55" spans="1:9" ht="15.75" hidden="1" customHeight="1">
      <c r="A55" s="21">
        <v>15</v>
      </c>
      <c r="B55" s="60" t="s">
        <v>40</v>
      </c>
      <c r="C55" s="61" t="s">
        <v>111</v>
      </c>
      <c r="D55" s="60" t="s">
        <v>69</v>
      </c>
      <c r="E55" s="62">
        <v>72</v>
      </c>
      <c r="F55" s="63">
        <f>SUM(E55)*3</f>
        <v>216</v>
      </c>
      <c r="G55" s="10">
        <v>70.209999999999994</v>
      </c>
      <c r="H55" s="64">
        <f t="shared" si="4"/>
        <v>15.165359999999998</v>
      </c>
      <c r="I55" s="10">
        <f>E55*G55</f>
        <v>5055.12</v>
      </c>
    </row>
    <row r="56" spans="1:9" ht="15.75" customHeight="1">
      <c r="A56" s="108" t="s">
        <v>148</v>
      </c>
      <c r="B56" s="109"/>
      <c r="C56" s="109"/>
      <c r="D56" s="109"/>
      <c r="E56" s="109"/>
      <c r="F56" s="109"/>
      <c r="G56" s="109"/>
      <c r="H56" s="109"/>
      <c r="I56" s="110"/>
    </row>
    <row r="57" spans="1:9" ht="15.75" hidden="1" customHeight="1">
      <c r="A57" s="21"/>
      <c r="B57" s="81" t="s">
        <v>42</v>
      </c>
      <c r="C57" s="61"/>
      <c r="D57" s="60"/>
      <c r="E57" s="62"/>
      <c r="F57" s="63"/>
      <c r="G57" s="63"/>
      <c r="H57" s="64"/>
      <c r="I57" s="10"/>
    </row>
    <row r="58" spans="1:9" ht="31.5" hidden="1" customHeight="1">
      <c r="A58" s="21">
        <v>14</v>
      </c>
      <c r="B58" s="60" t="s">
        <v>112</v>
      </c>
      <c r="C58" s="61" t="s">
        <v>87</v>
      </c>
      <c r="D58" s="60" t="s">
        <v>113</v>
      </c>
      <c r="E58" s="62">
        <v>110.66</v>
      </c>
      <c r="F58" s="63">
        <f>SUM(E58*6/100)</f>
        <v>6.6396000000000006</v>
      </c>
      <c r="G58" s="10">
        <v>1654.04</v>
      </c>
      <c r="H58" s="64">
        <f>SUM(F58*G58/1000)</f>
        <v>10.982163984000001</v>
      </c>
      <c r="I58" s="10">
        <f>F58/6*G58</f>
        <v>1830.360664</v>
      </c>
    </row>
    <row r="59" spans="1:9" ht="15.75" customHeight="1">
      <c r="A59" s="21"/>
      <c r="B59" s="82" t="s">
        <v>43</v>
      </c>
      <c r="C59" s="69"/>
      <c r="D59" s="70"/>
      <c r="E59" s="71"/>
      <c r="F59" s="72"/>
      <c r="G59" s="72"/>
      <c r="H59" s="73" t="s">
        <v>120</v>
      </c>
      <c r="I59" s="10"/>
    </row>
    <row r="60" spans="1:9" ht="15.75" customHeight="1">
      <c r="A60" s="21">
        <v>14</v>
      </c>
      <c r="B60" s="11" t="s">
        <v>44</v>
      </c>
      <c r="C60" s="13" t="s">
        <v>111</v>
      </c>
      <c r="D60" s="11" t="s">
        <v>65</v>
      </c>
      <c r="E60" s="15">
        <v>8</v>
      </c>
      <c r="F60" s="63">
        <v>8</v>
      </c>
      <c r="G60" s="10">
        <v>237.74</v>
      </c>
      <c r="H60" s="74">
        <f t="shared" ref="H60:H73" si="5">SUM(F60*G60/1000)</f>
        <v>1.9019200000000001</v>
      </c>
      <c r="I60" s="10">
        <f>G60</f>
        <v>237.74</v>
      </c>
    </row>
    <row r="61" spans="1:9" ht="15.75" hidden="1" customHeight="1">
      <c r="A61" s="21"/>
      <c r="B61" s="11" t="s">
        <v>45</v>
      </c>
      <c r="C61" s="13" t="s">
        <v>111</v>
      </c>
      <c r="D61" s="11" t="s">
        <v>65</v>
      </c>
      <c r="E61" s="15">
        <v>3</v>
      </c>
      <c r="F61" s="63">
        <v>3</v>
      </c>
      <c r="G61" s="10">
        <v>81.510000000000005</v>
      </c>
      <c r="H61" s="74">
        <f t="shared" si="5"/>
        <v>0.24453000000000003</v>
      </c>
      <c r="I61" s="10">
        <v>0</v>
      </c>
    </row>
    <row r="62" spans="1:9" ht="15.75" hidden="1" customHeight="1">
      <c r="A62" s="21"/>
      <c r="B62" s="11" t="s">
        <v>46</v>
      </c>
      <c r="C62" s="13" t="s">
        <v>114</v>
      </c>
      <c r="D62" s="11" t="s">
        <v>52</v>
      </c>
      <c r="E62" s="62">
        <v>8539</v>
      </c>
      <c r="F62" s="10">
        <f>SUM(E62/100)</f>
        <v>85.39</v>
      </c>
      <c r="G62" s="10">
        <v>226.79</v>
      </c>
      <c r="H62" s="74">
        <f t="shared" si="5"/>
        <v>19.3655981</v>
      </c>
      <c r="I62" s="10">
        <v>0</v>
      </c>
    </row>
    <row r="63" spans="1:9" ht="15.75" hidden="1" customHeight="1">
      <c r="A63" s="21"/>
      <c r="B63" s="11" t="s">
        <v>47</v>
      </c>
      <c r="C63" s="13" t="s">
        <v>115</v>
      </c>
      <c r="D63" s="11"/>
      <c r="E63" s="62">
        <v>8539</v>
      </c>
      <c r="F63" s="10">
        <f>SUM(E63/1000)</f>
        <v>8.5389999999999997</v>
      </c>
      <c r="G63" s="10">
        <v>176.61</v>
      </c>
      <c r="H63" s="74">
        <f t="shared" si="5"/>
        <v>1.5080727900000002</v>
      </c>
      <c r="I63" s="10">
        <v>0</v>
      </c>
    </row>
    <row r="64" spans="1:9" ht="15.75" hidden="1" customHeight="1">
      <c r="A64" s="21"/>
      <c r="B64" s="11" t="s">
        <v>48</v>
      </c>
      <c r="C64" s="13" t="s">
        <v>75</v>
      </c>
      <c r="D64" s="11" t="s">
        <v>52</v>
      </c>
      <c r="E64" s="62">
        <v>1370</v>
      </c>
      <c r="F64" s="10">
        <f>SUM(E64/100)</f>
        <v>13.7</v>
      </c>
      <c r="G64" s="10">
        <v>2217.7800000000002</v>
      </c>
      <c r="H64" s="74">
        <f t="shared" si="5"/>
        <v>30.383586000000005</v>
      </c>
      <c r="I64" s="10">
        <v>0</v>
      </c>
    </row>
    <row r="65" spans="1:9" ht="15.75" hidden="1" customHeight="1">
      <c r="A65" s="21"/>
      <c r="B65" s="75" t="s">
        <v>116</v>
      </c>
      <c r="C65" s="13" t="s">
        <v>31</v>
      </c>
      <c r="D65" s="11"/>
      <c r="E65" s="62">
        <v>9</v>
      </c>
      <c r="F65" s="10">
        <f>SUM(E65)</f>
        <v>9</v>
      </c>
      <c r="G65" s="10">
        <v>42.67</v>
      </c>
      <c r="H65" s="74">
        <f t="shared" si="5"/>
        <v>0.38403000000000004</v>
      </c>
      <c r="I65" s="10">
        <v>0</v>
      </c>
    </row>
    <row r="66" spans="1:9" ht="15.75" hidden="1" customHeight="1">
      <c r="A66" s="21"/>
      <c r="B66" s="75" t="s">
        <v>117</v>
      </c>
      <c r="C66" s="13" t="s">
        <v>31</v>
      </c>
      <c r="D66" s="11"/>
      <c r="E66" s="62">
        <v>9</v>
      </c>
      <c r="F66" s="10">
        <f>SUM(E66)</f>
        <v>9</v>
      </c>
      <c r="G66" s="10">
        <v>39.81</v>
      </c>
      <c r="H66" s="74">
        <f t="shared" si="5"/>
        <v>0.35829</v>
      </c>
      <c r="I66" s="10">
        <v>0</v>
      </c>
    </row>
    <row r="67" spans="1:9" ht="15.75" hidden="1" customHeight="1">
      <c r="A67" s="21"/>
      <c r="B67" s="11" t="s">
        <v>55</v>
      </c>
      <c r="C67" s="13" t="s">
        <v>56</v>
      </c>
      <c r="D67" s="11" t="s">
        <v>52</v>
      </c>
      <c r="E67" s="15">
        <v>3</v>
      </c>
      <c r="F67" s="63">
        <v>3</v>
      </c>
      <c r="G67" s="10">
        <v>53.62</v>
      </c>
      <c r="H67" s="74">
        <f t="shared" si="5"/>
        <v>0.16085999999999998</v>
      </c>
      <c r="I67" s="10">
        <v>0</v>
      </c>
    </row>
    <row r="68" spans="1:9" ht="15.75" hidden="1" customHeight="1">
      <c r="A68" s="21"/>
      <c r="B68" s="23" t="s">
        <v>70</v>
      </c>
      <c r="C68" s="13"/>
      <c r="D68" s="11"/>
      <c r="E68" s="15"/>
      <c r="F68" s="10"/>
      <c r="G68" s="10"/>
      <c r="H68" s="74" t="s">
        <v>120</v>
      </c>
      <c r="I68" s="10"/>
    </row>
    <row r="69" spans="1:9" ht="15.75" hidden="1" customHeight="1">
      <c r="A69" s="21"/>
      <c r="B69" s="11" t="s">
        <v>71</v>
      </c>
      <c r="C69" s="13" t="s">
        <v>73</v>
      </c>
      <c r="D69" s="11"/>
      <c r="E69" s="15">
        <v>2</v>
      </c>
      <c r="F69" s="10">
        <v>0.2</v>
      </c>
      <c r="G69" s="10">
        <v>536.23</v>
      </c>
      <c r="H69" s="74">
        <f t="shared" si="5"/>
        <v>0.10724600000000001</v>
      </c>
      <c r="I69" s="10">
        <v>0</v>
      </c>
    </row>
    <row r="70" spans="1:9" ht="15.75" hidden="1" customHeight="1">
      <c r="A70" s="21"/>
      <c r="B70" s="11" t="s">
        <v>72</v>
      </c>
      <c r="C70" s="13" t="s">
        <v>29</v>
      </c>
      <c r="D70" s="11"/>
      <c r="E70" s="15">
        <v>1</v>
      </c>
      <c r="F70" s="56">
        <v>1</v>
      </c>
      <c r="G70" s="10">
        <v>911.85</v>
      </c>
      <c r="H70" s="74">
        <f>F70*G70/1000</f>
        <v>0.91185000000000005</v>
      </c>
      <c r="I70" s="10">
        <v>0</v>
      </c>
    </row>
    <row r="71" spans="1:9" ht="15.75" hidden="1" customHeight="1">
      <c r="A71" s="21"/>
      <c r="B71" s="11" t="s">
        <v>130</v>
      </c>
      <c r="C71" s="13" t="s">
        <v>29</v>
      </c>
      <c r="D71" s="11"/>
      <c r="E71" s="15">
        <v>1</v>
      </c>
      <c r="F71" s="10">
        <v>1</v>
      </c>
      <c r="G71" s="10">
        <v>383.25</v>
      </c>
      <c r="H71" s="74">
        <f>G71*F71/1000</f>
        <v>0.38324999999999998</v>
      </c>
      <c r="I71" s="10">
        <v>0</v>
      </c>
    </row>
    <row r="72" spans="1:9" ht="15.75" hidden="1" customHeight="1">
      <c r="A72" s="21"/>
      <c r="B72" s="76" t="s">
        <v>74</v>
      </c>
      <c r="C72" s="13"/>
      <c r="D72" s="11"/>
      <c r="E72" s="15"/>
      <c r="F72" s="10"/>
      <c r="G72" s="10" t="s">
        <v>120</v>
      </c>
      <c r="H72" s="74" t="s">
        <v>120</v>
      </c>
      <c r="I72" s="10"/>
    </row>
    <row r="73" spans="1:9" ht="15.75" hidden="1" customHeight="1">
      <c r="A73" s="21"/>
      <c r="B73" s="36" t="s">
        <v>121</v>
      </c>
      <c r="C73" s="13" t="s">
        <v>75</v>
      </c>
      <c r="D73" s="11"/>
      <c r="E73" s="15"/>
      <c r="F73" s="10">
        <v>1.35</v>
      </c>
      <c r="G73" s="10">
        <v>2949.85</v>
      </c>
      <c r="H73" s="74">
        <f t="shared" si="5"/>
        <v>3.9822975</v>
      </c>
      <c r="I73" s="10">
        <v>0</v>
      </c>
    </row>
    <row r="74" spans="1:9" ht="15.75" hidden="1" customHeight="1">
      <c r="A74" s="21"/>
      <c r="B74" s="55" t="s">
        <v>93</v>
      </c>
      <c r="C74" s="77"/>
      <c r="D74" s="23"/>
      <c r="E74" s="24"/>
      <c r="F74" s="66"/>
      <c r="G74" s="66"/>
      <c r="H74" s="78">
        <f>SUM(H58:H73)</f>
        <v>70.673694374000007</v>
      </c>
      <c r="I74" s="66"/>
    </row>
    <row r="75" spans="1:9" ht="15.75" hidden="1" customHeight="1">
      <c r="A75" s="21"/>
      <c r="B75" s="60" t="s">
        <v>118</v>
      </c>
      <c r="C75" s="13"/>
      <c r="D75" s="11"/>
      <c r="E75" s="79"/>
      <c r="F75" s="10">
        <v>1</v>
      </c>
      <c r="G75" s="10">
        <v>7101.4</v>
      </c>
      <c r="H75" s="74">
        <f>G75*F75/1000</f>
        <v>7.1013999999999999</v>
      </c>
      <c r="I75" s="10">
        <v>0</v>
      </c>
    </row>
    <row r="76" spans="1:9" ht="15.75" customHeight="1">
      <c r="A76" s="108" t="s">
        <v>149</v>
      </c>
      <c r="B76" s="109"/>
      <c r="C76" s="109"/>
      <c r="D76" s="109"/>
      <c r="E76" s="109"/>
      <c r="F76" s="109"/>
      <c r="G76" s="109"/>
      <c r="H76" s="109"/>
      <c r="I76" s="110"/>
    </row>
    <row r="77" spans="1:9" ht="15.75" customHeight="1">
      <c r="A77" s="21">
        <v>15</v>
      </c>
      <c r="B77" s="60" t="s">
        <v>119</v>
      </c>
      <c r="C77" s="13" t="s">
        <v>53</v>
      </c>
      <c r="D77" s="80" t="s">
        <v>145</v>
      </c>
      <c r="E77" s="10">
        <v>2054.6</v>
      </c>
      <c r="F77" s="10">
        <f>SUM(E77*12)</f>
        <v>24655.199999999997</v>
      </c>
      <c r="G77" s="10">
        <v>2.2400000000000002</v>
      </c>
      <c r="H77" s="74">
        <f>SUM(F77*G77/1000)</f>
        <v>55.227648000000002</v>
      </c>
      <c r="I77" s="10">
        <f>F77/12*G77</f>
        <v>4602.3040000000001</v>
      </c>
    </row>
    <row r="78" spans="1:9" ht="31.5" customHeight="1">
      <c r="A78" s="21">
        <v>16</v>
      </c>
      <c r="B78" s="11" t="s">
        <v>76</v>
      </c>
      <c r="C78" s="13"/>
      <c r="D78" s="80" t="s">
        <v>145</v>
      </c>
      <c r="E78" s="62">
        <f>E77</f>
        <v>2054.6</v>
      </c>
      <c r="F78" s="10">
        <f>E78*12</f>
        <v>24655.199999999997</v>
      </c>
      <c r="G78" s="10">
        <v>1.74</v>
      </c>
      <c r="H78" s="74">
        <f>F78*G78/1000</f>
        <v>42.900047999999998</v>
      </c>
      <c r="I78" s="10">
        <f>F78/12*G78</f>
        <v>3575.0039999999999</v>
      </c>
    </row>
    <row r="79" spans="1:9" ht="15.75" customHeight="1">
      <c r="A79" s="21"/>
      <c r="B79" s="28" t="s">
        <v>78</v>
      </c>
      <c r="C79" s="77"/>
      <c r="D79" s="76"/>
      <c r="E79" s="66"/>
      <c r="F79" s="66"/>
      <c r="G79" s="66"/>
      <c r="H79" s="78">
        <f>H78</f>
        <v>42.900047999999998</v>
      </c>
      <c r="I79" s="66">
        <f>I78+I77+I60+I44+I43+I42+I41+I39+I38+I28+I27+I21+I20+I18+I17+I16</f>
        <v>35425.516573916662</v>
      </c>
    </row>
    <row r="80" spans="1:9" ht="15.75" customHeight="1">
      <c r="A80" s="122" t="s">
        <v>58</v>
      </c>
      <c r="B80" s="123"/>
      <c r="C80" s="123"/>
      <c r="D80" s="123"/>
      <c r="E80" s="123"/>
      <c r="F80" s="123"/>
      <c r="G80" s="123"/>
      <c r="H80" s="123"/>
      <c r="I80" s="124"/>
    </row>
    <row r="81" spans="1:9" ht="15.75" customHeight="1">
      <c r="A81" s="21">
        <v>17</v>
      </c>
      <c r="B81" s="70" t="s">
        <v>171</v>
      </c>
      <c r="C81" s="69" t="s">
        <v>172</v>
      </c>
      <c r="D81" s="70"/>
      <c r="E81" s="71"/>
      <c r="F81" s="72">
        <v>360</v>
      </c>
      <c r="G81" s="56">
        <v>1.2</v>
      </c>
      <c r="H81" s="73">
        <f>F81*G81/1000</f>
        <v>0.432</v>
      </c>
      <c r="I81" s="94">
        <f>G81*120</f>
        <v>144</v>
      </c>
    </row>
    <row r="82" spans="1:9" ht="15.75" customHeight="1">
      <c r="A82" s="21" t="s">
        <v>181</v>
      </c>
      <c r="B82" s="39" t="s">
        <v>122</v>
      </c>
      <c r="C82" s="40" t="s">
        <v>111</v>
      </c>
      <c r="D82" s="36"/>
      <c r="E82" s="10"/>
      <c r="F82" s="10">
        <v>72</v>
      </c>
      <c r="G82" s="10">
        <v>55.55</v>
      </c>
      <c r="H82" s="10">
        <f>G82*F82/1000</f>
        <v>3.9996</v>
      </c>
      <c r="I82" s="10">
        <f>G82*36</f>
        <v>1999.8</v>
      </c>
    </row>
    <row r="83" spans="1:9" ht="31.5" customHeight="1">
      <c r="A83" s="21">
        <v>19</v>
      </c>
      <c r="B83" s="39" t="s">
        <v>140</v>
      </c>
      <c r="C83" s="13" t="s">
        <v>29</v>
      </c>
      <c r="D83" s="41"/>
      <c r="E83" s="27"/>
      <c r="F83" s="27">
        <v>1</v>
      </c>
      <c r="G83" s="27">
        <v>613.44000000000005</v>
      </c>
      <c r="H83" s="91">
        <f t="shared" ref="H83:H84" si="6">G83*F83/1000</f>
        <v>0.6134400000000001</v>
      </c>
      <c r="I83" s="10">
        <f>G83</f>
        <v>613.44000000000005</v>
      </c>
    </row>
    <row r="84" spans="1:9" ht="15.75" customHeight="1">
      <c r="A84" s="21">
        <v>20</v>
      </c>
      <c r="B84" s="92" t="s">
        <v>176</v>
      </c>
      <c r="C84" s="42" t="s">
        <v>111</v>
      </c>
      <c r="D84" s="41"/>
      <c r="E84" s="27"/>
      <c r="F84" s="27">
        <v>1</v>
      </c>
      <c r="G84" s="27">
        <v>531.27</v>
      </c>
      <c r="H84" s="91">
        <f t="shared" si="6"/>
        <v>0.53127000000000002</v>
      </c>
      <c r="I84" s="10">
        <f>G84</f>
        <v>531.27</v>
      </c>
    </row>
    <row r="85" spans="1:9" ht="15.75" customHeight="1">
      <c r="A85" s="21"/>
      <c r="B85" s="34" t="s">
        <v>49</v>
      </c>
      <c r="C85" s="30"/>
      <c r="D85" s="37"/>
      <c r="E85" s="30">
        <v>1</v>
      </c>
      <c r="F85" s="30"/>
      <c r="G85" s="30"/>
      <c r="H85" s="30"/>
      <c r="I85" s="24">
        <f>I84+I83+I81</f>
        <v>1288.71</v>
      </c>
    </row>
    <row r="86" spans="1:9" ht="15.75" customHeight="1">
      <c r="A86" s="21"/>
      <c r="B86" s="36" t="s">
        <v>77</v>
      </c>
      <c r="C86" s="12"/>
      <c r="D86" s="12"/>
      <c r="E86" s="31"/>
      <c r="F86" s="31"/>
      <c r="G86" s="32"/>
      <c r="H86" s="32"/>
      <c r="I86" s="14">
        <v>0</v>
      </c>
    </row>
    <row r="87" spans="1:9" ht="15.75" customHeight="1">
      <c r="A87" s="38"/>
      <c r="B87" s="35" t="s">
        <v>163</v>
      </c>
      <c r="C87" s="26"/>
      <c r="D87" s="26"/>
      <c r="E87" s="26"/>
      <c r="F87" s="26"/>
      <c r="G87" s="26"/>
      <c r="H87" s="26"/>
      <c r="I87" s="33">
        <f>I79+I85</f>
        <v>36714.226573916661</v>
      </c>
    </row>
    <row r="88" spans="1:9" ht="15.75" customHeight="1">
      <c r="A88" s="125"/>
      <c r="B88" s="126"/>
      <c r="C88" s="126"/>
      <c r="D88" s="126"/>
      <c r="E88" s="126"/>
      <c r="F88" s="126"/>
      <c r="G88" s="126"/>
      <c r="H88" s="126"/>
      <c r="I88" s="126"/>
    </row>
    <row r="89" spans="1:9" ht="15.75">
      <c r="A89" s="121" t="s">
        <v>205</v>
      </c>
      <c r="B89" s="121"/>
      <c r="C89" s="121"/>
      <c r="D89" s="121"/>
      <c r="E89" s="121"/>
      <c r="F89" s="121"/>
      <c r="G89" s="121"/>
      <c r="H89" s="121"/>
      <c r="I89" s="121"/>
    </row>
    <row r="90" spans="1:9" ht="15.75">
      <c r="A90" s="48"/>
      <c r="B90" s="116" t="s">
        <v>206</v>
      </c>
      <c r="C90" s="116"/>
      <c r="D90" s="116"/>
      <c r="E90" s="116"/>
      <c r="F90" s="116"/>
      <c r="G90" s="116"/>
      <c r="H90" s="59"/>
      <c r="I90" s="2"/>
    </row>
    <row r="91" spans="1:9">
      <c r="A91" s="51"/>
      <c r="B91" s="112" t="s">
        <v>6</v>
      </c>
      <c r="C91" s="112"/>
      <c r="D91" s="112"/>
      <c r="E91" s="112"/>
      <c r="F91" s="112"/>
      <c r="G91" s="112"/>
      <c r="H91" s="16"/>
      <c r="I91" s="4"/>
    </row>
    <row r="92" spans="1:9">
      <c r="A92" s="7"/>
      <c r="B92" s="7"/>
      <c r="C92" s="7"/>
      <c r="D92" s="7"/>
      <c r="E92" s="7"/>
      <c r="F92" s="7"/>
      <c r="G92" s="7"/>
      <c r="H92" s="7"/>
      <c r="I92" s="7"/>
    </row>
    <row r="93" spans="1:9" ht="15.75">
      <c r="A93" s="117" t="s">
        <v>7</v>
      </c>
      <c r="B93" s="117"/>
      <c r="C93" s="117"/>
      <c r="D93" s="117"/>
      <c r="E93" s="117"/>
      <c r="F93" s="117"/>
      <c r="G93" s="117"/>
      <c r="H93" s="117"/>
      <c r="I93" s="117"/>
    </row>
    <row r="94" spans="1:9" ht="15.75">
      <c r="A94" s="117" t="s">
        <v>8</v>
      </c>
      <c r="B94" s="117"/>
      <c r="C94" s="117"/>
      <c r="D94" s="117"/>
      <c r="E94" s="117"/>
      <c r="F94" s="117"/>
      <c r="G94" s="117"/>
      <c r="H94" s="117"/>
      <c r="I94" s="117"/>
    </row>
    <row r="95" spans="1:9" ht="15.75">
      <c r="A95" s="118" t="s">
        <v>59</v>
      </c>
      <c r="B95" s="118"/>
      <c r="C95" s="118"/>
      <c r="D95" s="118"/>
      <c r="E95" s="118"/>
      <c r="F95" s="118"/>
      <c r="G95" s="118"/>
      <c r="H95" s="118"/>
      <c r="I95" s="118"/>
    </row>
    <row r="96" spans="1:9" ht="15.75">
      <c r="A96" s="8"/>
    </row>
    <row r="97" spans="1:9" ht="15.75">
      <c r="A97" s="119" t="s">
        <v>9</v>
      </c>
      <c r="B97" s="119"/>
      <c r="C97" s="119"/>
      <c r="D97" s="119"/>
      <c r="E97" s="119"/>
      <c r="F97" s="119"/>
      <c r="G97" s="119"/>
      <c r="H97" s="119"/>
      <c r="I97" s="119"/>
    </row>
    <row r="98" spans="1:9" ht="15.75">
      <c r="A98" s="3"/>
    </row>
    <row r="99" spans="1:9" ht="15.75">
      <c r="B99" s="52" t="s">
        <v>10</v>
      </c>
      <c r="C99" s="111" t="s">
        <v>136</v>
      </c>
      <c r="D99" s="111"/>
      <c r="E99" s="111"/>
      <c r="F99" s="57"/>
      <c r="I99" s="50"/>
    </row>
    <row r="100" spans="1:9">
      <c r="A100" s="51"/>
      <c r="C100" s="112" t="s">
        <v>11</v>
      </c>
      <c r="D100" s="112"/>
      <c r="E100" s="112"/>
      <c r="F100" s="16"/>
      <c r="I100" s="49" t="s">
        <v>12</v>
      </c>
    </row>
    <row r="101" spans="1:9" ht="15.75">
      <c r="A101" s="17"/>
      <c r="C101" s="9"/>
      <c r="D101" s="9"/>
      <c r="G101" s="9"/>
      <c r="H101" s="9"/>
    </row>
    <row r="102" spans="1:9" ht="15.75">
      <c r="B102" s="52" t="s">
        <v>13</v>
      </c>
      <c r="C102" s="113"/>
      <c r="D102" s="113"/>
      <c r="E102" s="113"/>
      <c r="F102" s="58"/>
      <c r="I102" s="50"/>
    </row>
    <row r="103" spans="1:9">
      <c r="A103" s="51"/>
      <c r="C103" s="114" t="s">
        <v>11</v>
      </c>
      <c r="D103" s="114"/>
      <c r="E103" s="114"/>
      <c r="F103" s="51"/>
      <c r="I103" s="49" t="s">
        <v>12</v>
      </c>
    </row>
    <row r="104" spans="1:9" ht="15.75">
      <c r="A104" s="3" t="s">
        <v>14</v>
      </c>
    </row>
    <row r="105" spans="1:9">
      <c r="A105" s="115" t="s">
        <v>15</v>
      </c>
      <c r="B105" s="115"/>
      <c r="C105" s="115"/>
      <c r="D105" s="115"/>
      <c r="E105" s="115"/>
      <c r="F105" s="115"/>
      <c r="G105" s="115"/>
      <c r="H105" s="115"/>
      <c r="I105" s="115"/>
    </row>
    <row r="106" spans="1:9" ht="45" customHeight="1">
      <c r="A106" s="107" t="s">
        <v>16</v>
      </c>
      <c r="B106" s="107"/>
      <c r="C106" s="107"/>
      <c r="D106" s="107"/>
      <c r="E106" s="107"/>
      <c r="F106" s="107"/>
      <c r="G106" s="107"/>
      <c r="H106" s="107"/>
      <c r="I106" s="107"/>
    </row>
    <row r="107" spans="1:9" ht="30" customHeight="1">
      <c r="A107" s="107" t="s">
        <v>17</v>
      </c>
      <c r="B107" s="107"/>
      <c r="C107" s="107"/>
      <c r="D107" s="107"/>
      <c r="E107" s="107"/>
      <c r="F107" s="107"/>
      <c r="G107" s="107"/>
      <c r="H107" s="107"/>
      <c r="I107" s="107"/>
    </row>
    <row r="108" spans="1:9" ht="30" customHeight="1">
      <c r="A108" s="107" t="s">
        <v>21</v>
      </c>
      <c r="B108" s="107"/>
      <c r="C108" s="107"/>
      <c r="D108" s="107"/>
      <c r="E108" s="107"/>
      <c r="F108" s="107"/>
      <c r="G108" s="107"/>
      <c r="H108" s="107"/>
      <c r="I108" s="107"/>
    </row>
    <row r="109" spans="1:9" ht="15" customHeight="1">
      <c r="A109" s="107" t="s">
        <v>20</v>
      </c>
      <c r="B109" s="107"/>
      <c r="C109" s="107"/>
      <c r="D109" s="107"/>
      <c r="E109" s="107"/>
      <c r="F109" s="107"/>
      <c r="G109" s="107"/>
      <c r="H109" s="107"/>
      <c r="I109" s="107"/>
    </row>
  </sheetData>
  <mergeCells count="29">
    <mergeCell ref="A107:I107"/>
    <mergeCell ref="A108:I108"/>
    <mergeCell ref="A109:I109"/>
    <mergeCell ref="C99:E99"/>
    <mergeCell ref="C100:E100"/>
    <mergeCell ref="C102:E102"/>
    <mergeCell ref="C103:E103"/>
    <mergeCell ref="A105:I105"/>
    <mergeCell ref="A106:I106"/>
    <mergeCell ref="A97:I97"/>
    <mergeCell ref="A15:I15"/>
    <mergeCell ref="A29:I29"/>
    <mergeCell ref="A45:I45"/>
    <mergeCell ref="A56:I56"/>
    <mergeCell ref="A76:I76"/>
    <mergeCell ref="A89:I89"/>
    <mergeCell ref="B90:G90"/>
    <mergeCell ref="B91:G91"/>
    <mergeCell ref="A93:I93"/>
    <mergeCell ref="A94:I94"/>
    <mergeCell ref="A95:I95"/>
    <mergeCell ref="A88:I88"/>
    <mergeCell ref="A14:I14"/>
    <mergeCell ref="A80:I80"/>
    <mergeCell ref="A3:I3"/>
    <mergeCell ref="A4:I4"/>
    <mergeCell ref="A5:I5"/>
    <mergeCell ref="A8:I8"/>
    <mergeCell ref="A10:I10"/>
  </mergeCells>
  <pageMargins left="0.70866141732283472" right="0.70866141732283472" top="0.27559055118110237" bottom="7.874015748031496E-2" header="0.31496062992125984" footer="0.31496062992125984"/>
  <pageSetup paperSize="9" scale="60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10"/>
  <sheetViews>
    <sheetView topLeftCell="A76" workbookViewId="0">
      <selection activeCell="B91" sqref="B91:G91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85</v>
      </c>
      <c r="I1" s="18"/>
    </row>
    <row r="2" spans="1:9" ht="15.75">
      <c r="A2" s="20" t="s">
        <v>60</v>
      </c>
    </row>
    <row r="3" spans="1:9" ht="15.75">
      <c r="A3" s="128" t="s">
        <v>150</v>
      </c>
      <c r="B3" s="128"/>
      <c r="C3" s="128"/>
      <c r="D3" s="128"/>
      <c r="E3" s="128"/>
      <c r="F3" s="128"/>
      <c r="G3" s="128"/>
      <c r="H3" s="128"/>
      <c r="I3" s="128"/>
    </row>
    <row r="4" spans="1:9" ht="31.5" customHeight="1">
      <c r="A4" s="129" t="s">
        <v>132</v>
      </c>
      <c r="B4" s="129"/>
      <c r="C4" s="129"/>
      <c r="D4" s="129"/>
      <c r="E4" s="129"/>
      <c r="F4" s="129"/>
      <c r="G4" s="129"/>
      <c r="H4" s="129"/>
      <c r="I4" s="129"/>
    </row>
    <row r="5" spans="1:9" ht="15.75">
      <c r="A5" s="128" t="s">
        <v>177</v>
      </c>
      <c r="B5" s="130"/>
      <c r="C5" s="130"/>
      <c r="D5" s="130"/>
      <c r="E5" s="130"/>
      <c r="F5" s="130"/>
      <c r="G5" s="130"/>
      <c r="H5" s="130"/>
      <c r="I5" s="130"/>
    </row>
    <row r="6" spans="1:9" ht="15.75">
      <c r="A6" s="1"/>
      <c r="B6" s="54"/>
      <c r="C6" s="54"/>
      <c r="D6" s="54"/>
      <c r="E6" s="54"/>
      <c r="F6" s="54"/>
      <c r="G6" s="54"/>
      <c r="H6" s="54"/>
      <c r="I6" s="22">
        <v>43220</v>
      </c>
    </row>
    <row r="7" spans="1:9" ht="15.75">
      <c r="B7" s="52"/>
      <c r="C7" s="52"/>
      <c r="D7" s="52"/>
      <c r="E7" s="2"/>
      <c r="F7" s="2"/>
      <c r="G7" s="2"/>
      <c r="H7" s="2"/>
    </row>
    <row r="8" spans="1:9" ht="78.75" customHeight="1">
      <c r="A8" s="131" t="s">
        <v>158</v>
      </c>
      <c r="B8" s="131"/>
      <c r="C8" s="131"/>
      <c r="D8" s="131"/>
      <c r="E8" s="131"/>
      <c r="F8" s="131"/>
      <c r="G8" s="131"/>
      <c r="H8" s="131"/>
      <c r="I8" s="131"/>
    </row>
    <row r="9" spans="1:9" ht="15.75">
      <c r="A9" s="3"/>
    </row>
    <row r="10" spans="1:9" ht="47.25" customHeight="1">
      <c r="A10" s="132" t="s">
        <v>159</v>
      </c>
      <c r="B10" s="132"/>
      <c r="C10" s="132"/>
      <c r="D10" s="132"/>
      <c r="E10" s="132"/>
      <c r="F10" s="132"/>
      <c r="G10" s="132"/>
      <c r="H10" s="132"/>
      <c r="I10" s="132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>
      <c r="A14" s="127" t="s">
        <v>57</v>
      </c>
      <c r="B14" s="127"/>
      <c r="C14" s="127"/>
      <c r="D14" s="127"/>
      <c r="E14" s="127"/>
      <c r="F14" s="127"/>
      <c r="G14" s="127"/>
      <c r="H14" s="127"/>
      <c r="I14" s="127"/>
    </row>
    <row r="15" spans="1:9">
      <c r="A15" s="120" t="s">
        <v>4</v>
      </c>
      <c r="B15" s="120"/>
      <c r="C15" s="120"/>
      <c r="D15" s="120"/>
      <c r="E15" s="120"/>
      <c r="F15" s="120"/>
      <c r="G15" s="120"/>
      <c r="H15" s="120"/>
      <c r="I15" s="120"/>
    </row>
    <row r="16" spans="1:9" ht="15.75" customHeight="1">
      <c r="A16" s="21">
        <v>1</v>
      </c>
      <c r="B16" s="60" t="s">
        <v>86</v>
      </c>
      <c r="C16" s="61" t="s">
        <v>87</v>
      </c>
      <c r="D16" s="60" t="s">
        <v>160</v>
      </c>
      <c r="E16" s="62">
        <v>55</v>
      </c>
      <c r="F16" s="63">
        <f>SUM(E16*156/100)</f>
        <v>85.8</v>
      </c>
      <c r="G16" s="63">
        <v>187.48</v>
      </c>
      <c r="H16" s="64">
        <f t="shared" ref="H16:H26" si="0">SUM(F16*G16/1000)</f>
        <v>16.085783999999997</v>
      </c>
      <c r="I16" s="10">
        <f>F16/12*G16</f>
        <v>1340.4819999999997</v>
      </c>
    </row>
    <row r="17" spans="1:9" ht="15.75" customHeight="1">
      <c r="A17" s="21">
        <v>2</v>
      </c>
      <c r="B17" s="60" t="s">
        <v>123</v>
      </c>
      <c r="C17" s="61" t="s">
        <v>87</v>
      </c>
      <c r="D17" s="60" t="s">
        <v>161</v>
      </c>
      <c r="E17" s="62">
        <v>165</v>
      </c>
      <c r="F17" s="63">
        <f>SUM(E17*104/100)</f>
        <v>171.6</v>
      </c>
      <c r="G17" s="63">
        <v>187.48</v>
      </c>
      <c r="H17" s="64">
        <f t="shared" si="0"/>
        <v>32.171567999999994</v>
      </c>
      <c r="I17" s="10">
        <f>F17/12*G17</f>
        <v>2680.9639999999995</v>
      </c>
    </row>
    <row r="18" spans="1:9" ht="15.75" customHeight="1">
      <c r="A18" s="21">
        <v>3</v>
      </c>
      <c r="B18" s="60" t="s">
        <v>124</v>
      </c>
      <c r="C18" s="61" t="s">
        <v>87</v>
      </c>
      <c r="D18" s="60" t="s">
        <v>162</v>
      </c>
      <c r="E18" s="62">
        <f>SUM(E16+E17)</f>
        <v>220</v>
      </c>
      <c r="F18" s="63">
        <f>SUM(E18*24/100)</f>
        <v>52.8</v>
      </c>
      <c r="G18" s="63">
        <v>539.30999999999995</v>
      </c>
      <c r="H18" s="64">
        <f t="shared" si="0"/>
        <v>28.475567999999996</v>
      </c>
      <c r="I18" s="10">
        <f>F18/12*G18</f>
        <v>2372.9639999999995</v>
      </c>
    </row>
    <row r="19" spans="1:9" ht="15.75" hidden="1" customHeight="1">
      <c r="A19" s="21">
        <v>4</v>
      </c>
      <c r="B19" s="60" t="s">
        <v>94</v>
      </c>
      <c r="C19" s="61" t="s">
        <v>95</v>
      </c>
      <c r="D19" s="60" t="s">
        <v>96</v>
      </c>
      <c r="E19" s="62">
        <v>32.4</v>
      </c>
      <c r="F19" s="63">
        <f>SUM(E19/10)</f>
        <v>3.2399999999999998</v>
      </c>
      <c r="G19" s="63">
        <v>181.91</v>
      </c>
      <c r="H19" s="64">
        <f t="shared" si="0"/>
        <v>0.58938839999999992</v>
      </c>
      <c r="I19" s="10">
        <v>0</v>
      </c>
    </row>
    <row r="20" spans="1:9" ht="15.75" customHeight="1">
      <c r="A20" s="21">
        <v>4</v>
      </c>
      <c r="B20" s="60" t="s">
        <v>97</v>
      </c>
      <c r="C20" s="61" t="s">
        <v>87</v>
      </c>
      <c r="D20" s="60" t="s">
        <v>125</v>
      </c>
      <c r="E20" s="62">
        <v>12.24</v>
      </c>
      <c r="F20" s="63">
        <f>SUM(E20*12/100)</f>
        <v>1.4687999999999999</v>
      </c>
      <c r="G20" s="63">
        <v>232.92</v>
      </c>
      <c r="H20" s="64">
        <f t="shared" si="0"/>
        <v>0.342112896</v>
      </c>
      <c r="I20" s="10">
        <f>F20/12*G20</f>
        <v>28.509407999999997</v>
      </c>
    </row>
    <row r="21" spans="1:9" ht="15.75" hidden="1" customHeight="1">
      <c r="A21" s="21">
        <v>5</v>
      </c>
      <c r="B21" s="60" t="s">
        <v>98</v>
      </c>
      <c r="C21" s="61" t="s">
        <v>87</v>
      </c>
      <c r="D21" s="60" t="s">
        <v>126</v>
      </c>
      <c r="E21" s="62">
        <v>10.08</v>
      </c>
      <c r="F21" s="63">
        <f>SUM(E21*6/100)</f>
        <v>0.6048</v>
      </c>
      <c r="G21" s="63">
        <v>231.03</v>
      </c>
      <c r="H21" s="64">
        <f t="shared" si="0"/>
        <v>0.13972694399999999</v>
      </c>
      <c r="I21" s="10">
        <f>F21/6*G21</f>
        <v>23.287824000000001</v>
      </c>
    </row>
    <row r="22" spans="1:9" ht="15.75" hidden="1" customHeight="1">
      <c r="A22" s="21">
        <v>7</v>
      </c>
      <c r="B22" s="60" t="s">
        <v>99</v>
      </c>
      <c r="C22" s="61" t="s">
        <v>51</v>
      </c>
      <c r="D22" s="60" t="s">
        <v>96</v>
      </c>
      <c r="E22" s="62">
        <v>293.76</v>
      </c>
      <c r="F22" s="63">
        <f>SUM(E22/100)</f>
        <v>2.9375999999999998</v>
      </c>
      <c r="G22" s="63">
        <v>287.83999999999997</v>
      </c>
      <c r="H22" s="64">
        <f t="shared" si="0"/>
        <v>0.84555878399999984</v>
      </c>
      <c r="I22" s="10">
        <v>0</v>
      </c>
    </row>
    <row r="23" spans="1:9" ht="15.75" hidden="1" customHeight="1">
      <c r="A23" s="21">
        <v>8</v>
      </c>
      <c r="B23" s="60" t="s">
        <v>100</v>
      </c>
      <c r="C23" s="61" t="s">
        <v>51</v>
      </c>
      <c r="D23" s="60" t="s">
        <v>96</v>
      </c>
      <c r="E23" s="65">
        <v>17.64</v>
      </c>
      <c r="F23" s="63">
        <f>SUM(E23/100)</f>
        <v>0.1764</v>
      </c>
      <c r="G23" s="63">
        <v>47.34</v>
      </c>
      <c r="H23" s="64">
        <f t="shared" si="0"/>
        <v>8.3507760000000007E-3</v>
      </c>
      <c r="I23" s="10">
        <v>0</v>
      </c>
    </row>
    <row r="24" spans="1:9" ht="15.75" hidden="1" customHeight="1">
      <c r="A24" s="21">
        <v>9</v>
      </c>
      <c r="B24" s="60" t="s">
        <v>101</v>
      </c>
      <c r="C24" s="61" t="s">
        <v>51</v>
      </c>
      <c r="D24" s="60" t="s">
        <v>102</v>
      </c>
      <c r="E24" s="62">
        <v>10.8</v>
      </c>
      <c r="F24" s="63">
        <f>E24/100</f>
        <v>0.10800000000000001</v>
      </c>
      <c r="G24" s="63">
        <v>416.62</v>
      </c>
      <c r="H24" s="64">
        <f t="shared" si="0"/>
        <v>4.4994960000000007E-2</v>
      </c>
      <c r="I24" s="10">
        <v>0</v>
      </c>
    </row>
    <row r="25" spans="1:9" ht="15.75" hidden="1" customHeight="1">
      <c r="A25" s="21">
        <v>10</v>
      </c>
      <c r="B25" s="60" t="s">
        <v>103</v>
      </c>
      <c r="C25" s="61" t="s">
        <v>51</v>
      </c>
      <c r="D25" s="60" t="s">
        <v>52</v>
      </c>
      <c r="E25" s="62">
        <v>12.6</v>
      </c>
      <c r="F25" s="63">
        <f>E25/100</f>
        <v>0.126</v>
      </c>
      <c r="G25" s="63">
        <v>231.03</v>
      </c>
      <c r="H25" s="64">
        <f>G25*F25/1000</f>
        <v>2.9109780000000002E-2</v>
      </c>
      <c r="I25" s="10">
        <v>0</v>
      </c>
    </row>
    <row r="26" spans="1:9" ht="15.75" hidden="1" customHeight="1">
      <c r="A26" s="21">
        <v>11</v>
      </c>
      <c r="B26" s="60" t="s">
        <v>104</v>
      </c>
      <c r="C26" s="61" t="s">
        <v>51</v>
      </c>
      <c r="D26" s="60" t="s">
        <v>96</v>
      </c>
      <c r="E26" s="62">
        <v>14.4</v>
      </c>
      <c r="F26" s="63">
        <f>SUM(E26/100)</f>
        <v>0.14400000000000002</v>
      </c>
      <c r="G26" s="63">
        <v>556.74</v>
      </c>
      <c r="H26" s="64">
        <f t="shared" si="0"/>
        <v>8.0170560000000016E-2</v>
      </c>
      <c r="I26" s="10">
        <v>0</v>
      </c>
    </row>
    <row r="27" spans="1:9" ht="15.75" customHeight="1">
      <c r="A27" s="21">
        <v>5</v>
      </c>
      <c r="B27" s="60" t="s">
        <v>62</v>
      </c>
      <c r="C27" s="61" t="s">
        <v>31</v>
      </c>
      <c r="D27" s="60"/>
      <c r="E27" s="62">
        <v>0.1</v>
      </c>
      <c r="F27" s="63">
        <f>SUM(E27*365)</f>
        <v>36.5</v>
      </c>
      <c r="G27" s="63">
        <v>157.18</v>
      </c>
      <c r="H27" s="64">
        <f>SUM(F27*G27/1000)</f>
        <v>5.737070000000001</v>
      </c>
      <c r="I27" s="10">
        <f>F27/12*G27</f>
        <v>478.08916666666664</v>
      </c>
    </row>
    <row r="28" spans="1:9" ht="15.75" customHeight="1">
      <c r="A28" s="21">
        <v>6</v>
      </c>
      <c r="B28" s="68" t="s">
        <v>23</v>
      </c>
      <c r="C28" s="61" t="s">
        <v>24</v>
      </c>
      <c r="D28" s="60"/>
      <c r="E28" s="62">
        <v>2054.6</v>
      </c>
      <c r="F28" s="63">
        <f>SUM(E28*12)</f>
        <v>24655.199999999997</v>
      </c>
      <c r="G28" s="63">
        <v>6.15</v>
      </c>
      <c r="H28" s="64">
        <f>SUM(F28*G28/1000)</f>
        <v>151.62947999999997</v>
      </c>
      <c r="I28" s="10">
        <f>F28/12*G28</f>
        <v>12635.79</v>
      </c>
    </row>
    <row r="29" spans="1:9" ht="15.75" customHeight="1">
      <c r="A29" s="108" t="s">
        <v>84</v>
      </c>
      <c r="B29" s="109"/>
      <c r="C29" s="109"/>
      <c r="D29" s="109"/>
      <c r="E29" s="109"/>
      <c r="F29" s="109"/>
      <c r="G29" s="109"/>
      <c r="H29" s="109"/>
      <c r="I29" s="110"/>
    </row>
    <row r="30" spans="1:9" ht="15.75" hidden="1" customHeight="1">
      <c r="A30" s="21"/>
      <c r="B30" s="81" t="s">
        <v>27</v>
      </c>
      <c r="C30" s="61"/>
      <c r="D30" s="60"/>
      <c r="E30" s="62"/>
      <c r="F30" s="63"/>
      <c r="G30" s="63"/>
      <c r="H30" s="64"/>
      <c r="I30" s="10"/>
    </row>
    <row r="31" spans="1:9" ht="31.5" hidden="1" customHeight="1">
      <c r="A31" s="21">
        <v>8</v>
      </c>
      <c r="B31" s="60" t="s">
        <v>109</v>
      </c>
      <c r="C31" s="61" t="s">
        <v>90</v>
      </c>
      <c r="D31" s="60" t="s">
        <v>105</v>
      </c>
      <c r="E31" s="63">
        <v>600.63</v>
      </c>
      <c r="F31" s="63">
        <f>SUM(E31*52/1000)</f>
        <v>31.232759999999999</v>
      </c>
      <c r="G31" s="63">
        <v>166.65</v>
      </c>
      <c r="H31" s="64">
        <f t="shared" ref="H31:H36" si="1">SUM(F31*G31/1000)</f>
        <v>5.2049394540000007</v>
      </c>
      <c r="I31" s="10">
        <f>F31/6*G31</f>
        <v>867.4899089999999</v>
      </c>
    </row>
    <row r="32" spans="1:9" ht="31.5" hidden="1" customHeight="1">
      <c r="A32" s="21">
        <v>9</v>
      </c>
      <c r="B32" s="60" t="s">
        <v>108</v>
      </c>
      <c r="C32" s="61" t="s">
        <v>90</v>
      </c>
      <c r="D32" s="60" t="s">
        <v>106</v>
      </c>
      <c r="E32" s="63">
        <v>186.39</v>
      </c>
      <c r="F32" s="63">
        <f>SUM(E32*78/1000)</f>
        <v>14.538419999999999</v>
      </c>
      <c r="G32" s="63">
        <v>276.48</v>
      </c>
      <c r="H32" s="64">
        <f t="shared" si="1"/>
        <v>4.0195823615999995</v>
      </c>
      <c r="I32" s="10">
        <f t="shared" ref="I32:I34" si="2">F32/6*G32</f>
        <v>669.93039359999989</v>
      </c>
    </row>
    <row r="33" spans="1:9" ht="15.75" hidden="1" customHeight="1">
      <c r="A33" s="21">
        <v>16</v>
      </c>
      <c r="B33" s="60" t="s">
        <v>26</v>
      </c>
      <c r="C33" s="61" t="s">
        <v>90</v>
      </c>
      <c r="D33" s="60" t="s">
        <v>52</v>
      </c>
      <c r="E33" s="63">
        <v>600.63</v>
      </c>
      <c r="F33" s="63">
        <f>SUM(E33/1000)</f>
        <v>0.60063</v>
      </c>
      <c r="G33" s="63">
        <v>3228.73</v>
      </c>
      <c r="H33" s="64">
        <f t="shared" si="1"/>
        <v>1.9392720999000002</v>
      </c>
      <c r="I33" s="10">
        <f>F33*G33</f>
        <v>1939.2720999000001</v>
      </c>
    </row>
    <row r="34" spans="1:9" ht="15.75" hidden="1" customHeight="1">
      <c r="A34" s="21">
        <v>10</v>
      </c>
      <c r="B34" s="60" t="s">
        <v>107</v>
      </c>
      <c r="C34" s="61" t="s">
        <v>29</v>
      </c>
      <c r="D34" s="60" t="s">
        <v>61</v>
      </c>
      <c r="E34" s="67">
        <v>0.33333333333333331</v>
      </c>
      <c r="F34" s="63">
        <f>155/3</f>
        <v>51.666666666666664</v>
      </c>
      <c r="G34" s="63">
        <v>60.6</v>
      </c>
      <c r="H34" s="64">
        <f>SUM(G34*155/3/1000)</f>
        <v>3.1309999999999998</v>
      </c>
      <c r="I34" s="10">
        <f t="shared" si="2"/>
        <v>521.83333333333337</v>
      </c>
    </row>
    <row r="35" spans="1:9" ht="15.75" hidden="1" customHeight="1">
      <c r="A35" s="21"/>
      <c r="B35" s="60" t="s">
        <v>63</v>
      </c>
      <c r="C35" s="61" t="s">
        <v>31</v>
      </c>
      <c r="D35" s="60" t="s">
        <v>65</v>
      </c>
      <c r="E35" s="62"/>
      <c r="F35" s="63">
        <v>2</v>
      </c>
      <c r="G35" s="63">
        <v>204.52</v>
      </c>
      <c r="H35" s="64">
        <f t="shared" si="1"/>
        <v>0.40904000000000001</v>
      </c>
      <c r="I35" s="10">
        <v>0</v>
      </c>
    </row>
    <row r="36" spans="1:9" ht="15.75" hidden="1" customHeight="1">
      <c r="A36" s="21"/>
      <c r="B36" s="60" t="s">
        <v>64</v>
      </c>
      <c r="C36" s="61" t="s">
        <v>30</v>
      </c>
      <c r="D36" s="60" t="s">
        <v>65</v>
      </c>
      <c r="E36" s="62"/>
      <c r="F36" s="63">
        <v>1</v>
      </c>
      <c r="G36" s="63">
        <v>1214.74</v>
      </c>
      <c r="H36" s="64">
        <f t="shared" si="1"/>
        <v>1.2147399999999999</v>
      </c>
      <c r="I36" s="10">
        <v>0</v>
      </c>
    </row>
    <row r="37" spans="1:9" ht="15.75" customHeight="1">
      <c r="A37" s="21"/>
      <c r="B37" s="81" t="s">
        <v>5</v>
      </c>
      <c r="C37" s="61"/>
      <c r="D37" s="60"/>
      <c r="E37" s="62"/>
      <c r="F37" s="63"/>
      <c r="G37" s="63"/>
      <c r="H37" s="64" t="s">
        <v>120</v>
      </c>
      <c r="I37" s="10"/>
    </row>
    <row r="38" spans="1:9" ht="15.75" customHeight="1">
      <c r="A38" s="21">
        <v>7</v>
      </c>
      <c r="B38" s="60" t="s">
        <v>25</v>
      </c>
      <c r="C38" s="61" t="s">
        <v>30</v>
      </c>
      <c r="D38" s="60"/>
      <c r="E38" s="62"/>
      <c r="F38" s="63">
        <v>5</v>
      </c>
      <c r="G38" s="63">
        <v>1632.6</v>
      </c>
      <c r="H38" s="64">
        <f t="shared" ref="H38:H44" si="3">SUM(F38*G38/1000)</f>
        <v>8.1630000000000003</v>
      </c>
      <c r="I38" s="10">
        <f>F38/6*G38</f>
        <v>1360.5</v>
      </c>
    </row>
    <row r="39" spans="1:9" ht="15.75" customHeight="1">
      <c r="A39" s="21">
        <v>8</v>
      </c>
      <c r="B39" s="60" t="s">
        <v>127</v>
      </c>
      <c r="C39" s="61" t="s">
        <v>28</v>
      </c>
      <c r="D39" s="60" t="s">
        <v>88</v>
      </c>
      <c r="E39" s="62">
        <v>186.39</v>
      </c>
      <c r="F39" s="63">
        <f>E39*30/1000</f>
        <v>5.5916999999999994</v>
      </c>
      <c r="G39" s="63">
        <v>2247.8000000000002</v>
      </c>
      <c r="H39" s="64">
        <f>G39*F39/1000</f>
        <v>12.56902326</v>
      </c>
      <c r="I39" s="10">
        <f>F39/6*G39</f>
        <v>2094.8372100000001</v>
      </c>
    </row>
    <row r="40" spans="1:9" ht="15.75" hidden="1" customHeight="1">
      <c r="A40" s="21"/>
      <c r="B40" s="60" t="s">
        <v>138</v>
      </c>
      <c r="C40" s="61" t="s">
        <v>139</v>
      </c>
      <c r="D40" s="60" t="s">
        <v>65</v>
      </c>
      <c r="E40" s="62"/>
      <c r="F40" s="63">
        <v>72.3</v>
      </c>
      <c r="G40" s="63">
        <v>199.44</v>
      </c>
      <c r="H40" s="64">
        <f>G40*F40/1000</f>
        <v>14.419511999999999</v>
      </c>
      <c r="I40" s="10">
        <v>0</v>
      </c>
    </row>
    <row r="41" spans="1:9" ht="15.75" customHeight="1">
      <c r="A41" s="21">
        <v>9</v>
      </c>
      <c r="B41" s="60" t="s">
        <v>66</v>
      </c>
      <c r="C41" s="61" t="s">
        <v>28</v>
      </c>
      <c r="D41" s="60" t="s">
        <v>89</v>
      </c>
      <c r="E41" s="63">
        <v>186.39</v>
      </c>
      <c r="F41" s="63">
        <f>SUM(E41*155/1000)</f>
        <v>28.890449999999998</v>
      </c>
      <c r="G41" s="63">
        <v>374.95</v>
      </c>
      <c r="H41" s="64">
        <f t="shared" si="3"/>
        <v>10.832474227499999</v>
      </c>
      <c r="I41" s="10">
        <f>F41/6*G41</f>
        <v>1805.4123712499998</v>
      </c>
    </row>
    <row r="42" spans="1:9" ht="47.25" customHeight="1">
      <c r="A42" s="21">
        <v>10</v>
      </c>
      <c r="B42" s="60" t="s">
        <v>82</v>
      </c>
      <c r="C42" s="61" t="s">
        <v>90</v>
      </c>
      <c r="D42" s="60" t="s">
        <v>128</v>
      </c>
      <c r="E42" s="63">
        <v>52.2</v>
      </c>
      <c r="F42" s="63">
        <f>SUM(E42*35/1000)</f>
        <v>1.827</v>
      </c>
      <c r="G42" s="63">
        <v>6203.7</v>
      </c>
      <c r="H42" s="64">
        <f t="shared" si="3"/>
        <v>11.3341599</v>
      </c>
      <c r="I42" s="10">
        <f>F42/6*G42</f>
        <v>1889.0266499999998</v>
      </c>
    </row>
    <row r="43" spans="1:9" ht="15.75" customHeight="1">
      <c r="A43" s="21">
        <v>11</v>
      </c>
      <c r="B43" s="60" t="s">
        <v>129</v>
      </c>
      <c r="C43" s="61" t="s">
        <v>90</v>
      </c>
      <c r="D43" s="60" t="s">
        <v>67</v>
      </c>
      <c r="E43" s="63">
        <v>52.2</v>
      </c>
      <c r="F43" s="63">
        <f>SUM(E43*45/1000)</f>
        <v>2.3490000000000002</v>
      </c>
      <c r="G43" s="63">
        <v>458.28</v>
      </c>
      <c r="H43" s="64">
        <f t="shared" si="3"/>
        <v>1.0764997199999999</v>
      </c>
      <c r="I43" s="10">
        <f>F43/7.5*1.5*G43</f>
        <v>215.29994400000001</v>
      </c>
    </row>
    <row r="44" spans="1:9" ht="15.75" customHeight="1">
      <c r="A44" s="21">
        <v>12</v>
      </c>
      <c r="B44" s="60" t="s">
        <v>68</v>
      </c>
      <c r="C44" s="61" t="s">
        <v>31</v>
      </c>
      <c r="D44" s="60"/>
      <c r="E44" s="62"/>
      <c r="F44" s="63">
        <v>0.5</v>
      </c>
      <c r="G44" s="63">
        <v>853.06</v>
      </c>
      <c r="H44" s="64">
        <f t="shared" si="3"/>
        <v>0.42652999999999996</v>
      </c>
      <c r="I44" s="10">
        <f>F44/7.5*1.5*G44</f>
        <v>85.305999999999997</v>
      </c>
    </row>
    <row r="45" spans="1:9" ht="20.25" customHeight="1">
      <c r="A45" s="108" t="s">
        <v>133</v>
      </c>
      <c r="B45" s="109"/>
      <c r="C45" s="109"/>
      <c r="D45" s="109"/>
      <c r="E45" s="109"/>
      <c r="F45" s="109"/>
      <c r="G45" s="109"/>
      <c r="H45" s="109"/>
      <c r="I45" s="110"/>
    </row>
    <row r="46" spans="1:9" ht="28.5" hidden="1" customHeight="1">
      <c r="A46" s="21"/>
      <c r="B46" s="60" t="s">
        <v>110</v>
      </c>
      <c r="C46" s="61" t="s">
        <v>90</v>
      </c>
      <c r="D46" s="60" t="s">
        <v>41</v>
      </c>
      <c r="E46" s="62">
        <v>917.75</v>
      </c>
      <c r="F46" s="63">
        <f>SUM(E46*2/1000)</f>
        <v>1.8354999999999999</v>
      </c>
      <c r="G46" s="10">
        <v>865.61</v>
      </c>
      <c r="H46" s="64">
        <f t="shared" ref="H46:H55" si="4">SUM(F46*G46/1000)</f>
        <v>1.5888271549999999</v>
      </c>
      <c r="I46" s="10">
        <v>0</v>
      </c>
    </row>
    <row r="47" spans="1:9" ht="30.75" hidden="1" customHeight="1">
      <c r="A47" s="21"/>
      <c r="B47" s="60" t="s">
        <v>34</v>
      </c>
      <c r="C47" s="61" t="s">
        <v>90</v>
      </c>
      <c r="D47" s="60" t="s">
        <v>41</v>
      </c>
      <c r="E47" s="62">
        <v>48</v>
      </c>
      <c r="F47" s="63">
        <f>E47*2/1000</f>
        <v>9.6000000000000002E-2</v>
      </c>
      <c r="G47" s="10">
        <v>619.46</v>
      </c>
      <c r="H47" s="64">
        <f t="shared" si="4"/>
        <v>5.9468160000000006E-2</v>
      </c>
      <c r="I47" s="10">
        <v>0</v>
      </c>
    </row>
    <row r="48" spans="1:9" ht="31.5" hidden="1" customHeight="1">
      <c r="A48" s="21"/>
      <c r="B48" s="60" t="s">
        <v>35</v>
      </c>
      <c r="C48" s="61" t="s">
        <v>90</v>
      </c>
      <c r="D48" s="60" t="s">
        <v>41</v>
      </c>
      <c r="E48" s="62">
        <v>937.4</v>
      </c>
      <c r="F48" s="63">
        <f>SUM(E48*2/1000)</f>
        <v>1.8748</v>
      </c>
      <c r="G48" s="10">
        <v>619.46</v>
      </c>
      <c r="H48" s="64">
        <f t="shared" si="4"/>
        <v>1.161363608</v>
      </c>
      <c r="I48" s="10">
        <v>0</v>
      </c>
    </row>
    <row r="49" spans="1:9" ht="24.75" hidden="1" customHeight="1">
      <c r="A49" s="21"/>
      <c r="B49" s="60" t="s">
        <v>36</v>
      </c>
      <c r="C49" s="61" t="s">
        <v>90</v>
      </c>
      <c r="D49" s="60" t="s">
        <v>41</v>
      </c>
      <c r="E49" s="62">
        <v>1243.28</v>
      </c>
      <c r="F49" s="63">
        <f>SUM(E49*2/1000)</f>
        <v>2.4865599999999999</v>
      </c>
      <c r="G49" s="10">
        <v>648.64</v>
      </c>
      <c r="H49" s="64">
        <f t="shared" si="4"/>
        <v>1.6128822783999999</v>
      </c>
      <c r="I49" s="10">
        <v>0</v>
      </c>
    </row>
    <row r="50" spans="1:9" ht="19.5" hidden="1" customHeight="1">
      <c r="A50" s="21"/>
      <c r="B50" s="60" t="s">
        <v>32</v>
      </c>
      <c r="C50" s="61" t="s">
        <v>33</v>
      </c>
      <c r="D50" s="60" t="s">
        <v>41</v>
      </c>
      <c r="E50" s="62">
        <v>64.5</v>
      </c>
      <c r="F50" s="63">
        <f>SUM(E50*2/100)</f>
        <v>1.29</v>
      </c>
      <c r="G50" s="10">
        <v>77.84</v>
      </c>
      <c r="H50" s="64">
        <f t="shared" si="4"/>
        <v>0.10041360000000001</v>
      </c>
      <c r="I50" s="10">
        <v>0</v>
      </c>
    </row>
    <row r="51" spans="1:9" ht="27" hidden="1" customHeight="1">
      <c r="A51" s="21">
        <v>14</v>
      </c>
      <c r="B51" s="60" t="s">
        <v>54</v>
      </c>
      <c r="C51" s="61" t="s">
        <v>90</v>
      </c>
      <c r="D51" s="60" t="s">
        <v>144</v>
      </c>
      <c r="E51" s="62">
        <v>678.4</v>
      </c>
      <c r="F51" s="63">
        <f>SUM(E51*5/1000)</f>
        <v>3.3919999999999999</v>
      </c>
      <c r="G51" s="10">
        <v>1297.28</v>
      </c>
      <c r="H51" s="64">
        <f t="shared" si="4"/>
        <v>4.4003737599999999</v>
      </c>
      <c r="I51" s="10">
        <f>F51/5*G51</f>
        <v>880.07475199999999</v>
      </c>
    </row>
    <row r="52" spans="1:9" ht="38.25" customHeight="1">
      <c r="A52" s="21">
        <v>13</v>
      </c>
      <c r="B52" s="60" t="s">
        <v>91</v>
      </c>
      <c r="C52" s="61" t="s">
        <v>90</v>
      </c>
      <c r="D52" s="60" t="s">
        <v>41</v>
      </c>
      <c r="E52" s="62">
        <v>678.4</v>
      </c>
      <c r="F52" s="63">
        <f>SUM(E52*2/1000)</f>
        <v>1.3568</v>
      </c>
      <c r="G52" s="10">
        <v>1297.28</v>
      </c>
      <c r="H52" s="64">
        <f t="shared" si="4"/>
        <v>1.7601495039999999</v>
      </c>
      <c r="I52" s="10">
        <f>F52/2*G52</f>
        <v>880.07475199999999</v>
      </c>
    </row>
    <row r="53" spans="1:9" ht="33.75" customHeight="1">
      <c r="A53" s="21">
        <v>14</v>
      </c>
      <c r="B53" s="60" t="s">
        <v>92</v>
      </c>
      <c r="C53" s="61" t="s">
        <v>37</v>
      </c>
      <c r="D53" s="60" t="s">
        <v>41</v>
      </c>
      <c r="E53" s="62">
        <v>12</v>
      </c>
      <c r="F53" s="63">
        <f>SUM(E53*2/100)</f>
        <v>0.24</v>
      </c>
      <c r="G53" s="10">
        <v>2918.89</v>
      </c>
      <c r="H53" s="64">
        <f t="shared" si="4"/>
        <v>0.70053359999999998</v>
      </c>
      <c r="I53" s="10">
        <f t="shared" ref="I53:I54" si="5">F53/2*G53</f>
        <v>350.26679999999999</v>
      </c>
    </row>
    <row r="54" spans="1:9" ht="22.5" customHeight="1">
      <c r="A54" s="21">
        <v>15</v>
      </c>
      <c r="B54" s="60" t="s">
        <v>38</v>
      </c>
      <c r="C54" s="61" t="s">
        <v>39</v>
      </c>
      <c r="D54" s="60" t="s">
        <v>41</v>
      </c>
      <c r="E54" s="62">
        <v>1</v>
      </c>
      <c r="F54" s="63">
        <v>0.02</v>
      </c>
      <c r="G54" s="10">
        <v>6042.12</v>
      </c>
      <c r="H54" s="64">
        <f t="shared" si="4"/>
        <v>0.1208424</v>
      </c>
      <c r="I54" s="10">
        <f t="shared" si="5"/>
        <v>60.421199999999999</v>
      </c>
    </row>
    <row r="55" spans="1:9" ht="21.75" hidden="1" customHeight="1">
      <c r="A55" s="21">
        <v>16</v>
      </c>
      <c r="B55" s="60" t="s">
        <v>40</v>
      </c>
      <c r="C55" s="61" t="s">
        <v>111</v>
      </c>
      <c r="D55" s="60" t="s">
        <v>69</v>
      </c>
      <c r="E55" s="62">
        <v>72</v>
      </c>
      <c r="F55" s="63">
        <f>SUM(E55)*3</f>
        <v>216</v>
      </c>
      <c r="G55" s="10">
        <v>70.209999999999994</v>
      </c>
      <c r="H55" s="64">
        <f t="shared" si="4"/>
        <v>15.165359999999998</v>
      </c>
      <c r="I55" s="10">
        <f>E55*G55</f>
        <v>5055.12</v>
      </c>
    </row>
    <row r="56" spans="1:9" ht="15.75" customHeight="1">
      <c r="A56" s="108" t="s">
        <v>148</v>
      </c>
      <c r="B56" s="109"/>
      <c r="C56" s="109"/>
      <c r="D56" s="109"/>
      <c r="E56" s="109"/>
      <c r="F56" s="109"/>
      <c r="G56" s="109"/>
      <c r="H56" s="109"/>
      <c r="I56" s="110"/>
    </row>
    <row r="57" spans="1:9" ht="15.75" customHeight="1">
      <c r="A57" s="21"/>
      <c r="B57" s="81" t="s">
        <v>42</v>
      </c>
      <c r="C57" s="61"/>
      <c r="D57" s="60"/>
      <c r="E57" s="62"/>
      <c r="F57" s="63"/>
      <c r="G57" s="63"/>
      <c r="H57" s="64"/>
      <c r="I57" s="10"/>
    </row>
    <row r="58" spans="1:9" ht="31.5" customHeight="1">
      <c r="A58" s="21">
        <v>16</v>
      </c>
      <c r="B58" s="60" t="s">
        <v>112</v>
      </c>
      <c r="C58" s="61" t="s">
        <v>87</v>
      </c>
      <c r="D58" s="97" t="s">
        <v>178</v>
      </c>
      <c r="E58" s="62">
        <v>110.66</v>
      </c>
      <c r="F58" s="63">
        <f>SUM(E58*6/100)</f>
        <v>6.6396000000000006</v>
      </c>
      <c r="G58" s="10">
        <v>1654.04</v>
      </c>
      <c r="H58" s="64">
        <f>SUM(F58*G58/1000)</f>
        <v>10.982163984000001</v>
      </c>
      <c r="I58" s="10">
        <f>G58*1.004</f>
        <v>1660.65616</v>
      </c>
    </row>
    <row r="59" spans="1:9" ht="15.75" hidden="1" customHeight="1">
      <c r="A59" s="21"/>
      <c r="B59" s="82" t="s">
        <v>43</v>
      </c>
      <c r="C59" s="69"/>
      <c r="D59" s="70"/>
      <c r="E59" s="71"/>
      <c r="F59" s="72"/>
      <c r="G59" s="72"/>
      <c r="H59" s="73" t="s">
        <v>120</v>
      </c>
      <c r="I59" s="10"/>
    </row>
    <row r="60" spans="1:9" ht="15.75" hidden="1" customHeight="1">
      <c r="A60" s="21">
        <v>16</v>
      </c>
      <c r="B60" s="11" t="s">
        <v>44</v>
      </c>
      <c r="C60" s="13" t="s">
        <v>111</v>
      </c>
      <c r="D60" s="11" t="s">
        <v>65</v>
      </c>
      <c r="E60" s="15">
        <v>8</v>
      </c>
      <c r="F60" s="63">
        <v>8</v>
      </c>
      <c r="G60" s="10">
        <v>237.74</v>
      </c>
      <c r="H60" s="74">
        <f t="shared" ref="H60:H73" si="6">SUM(F60*G60/1000)</f>
        <v>1.9019200000000001</v>
      </c>
      <c r="I60" s="10">
        <f>G60</f>
        <v>237.74</v>
      </c>
    </row>
    <row r="61" spans="1:9" ht="15.75" hidden="1" customHeight="1">
      <c r="A61" s="21"/>
      <c r="B61" s="11" t="s">
        <v>45</v>
      </c>
      <c r="C61" s="13" t="s">
        <v>111</v>
      </c>
      <c r="D61" s="11" t="s">
        <v>65</v>
      </c>
      <c r="E61" s="15">
        <v>3</v>
      </c>
      <c r="F61" s="63">
        <v>3</v>
      </c>
      <c r="G61" s="10">
        <v>81.510000000000005</v>
      </c>
      <c r="H61" s="74">
        <f t="shared" si="6"/>
        <v>0.24453000000000003</v>
      </c>
      <c r="I61" s="10">
        <v>0</v>
      </c>
    </row>
    <row r="62" spans="1:9" ht="15.75" hidden="1" customHeight="1">
      <c r="A62" s="21"/>
      <c r="B62" s="11" t="s">
        <v>46</v>
      </c>
      <c r="C62" s="13" t="s">
        <v>114</v>
      </c>
      <c r="D62" s="11" t="s">
        <v>52</v>
      </c>
      <c r="E62" s="62">
        <v>8539</v>
      </c>
      <c r="F62" s="10">
        <f>SUM(E62/100)</f>
        <v>85.39</v>
      </c>
      <c r="G62" s="10">
        <v>226.79</v>
      </c>
      <c r="H62" s="74">
        <f t="shared" si="6"/>
        <v>19.3655981</v>
      </c>
      <c r="I62" s="10">
        <v>0</v>
      </c>
    </row>
    <row r="63" spans="1:9" ht="15.75" hidden="1" customHeight="1">
      <c r="A63" s="21"/>
      <c r="B63" s="11" t="s">
        <v>47</v>
      </c>
      <c r="C63" s="13" t="s">
        <v>115</v>
      </c>
      <c r="D63" s="11"/>
      <c r="E63" s="62">
        <v>8539</v>
      </c>
      <c r="F63" s="10">
        <f>SUM(E63/1000)</f>
        <v>8.5389999999999997</v>
      </c>
      <c r="G63" s="10">
        <v>176.61</v>
      </c>
      <c r="H63" s="74">
        <f t="shared" si="6"/>
        <v>1.5080727900000002</v>
      </c>
      <c r="I63" s="10">
        <v>0</v>
      </c>
    </row>
    <row r="64" spans="1:9" ht="15.75" hidden="1" customHeight="1">
      <c r="A64" s="21"/>
      <c r="B64" s="11" t="s">
        <v>48</v>
      </c>
      <c r="C64" s="13" t="s">
        <v>75</v>
      </c>
      <c r="D64" s="11" t="s">
        <v>52</v>
      </c>
      <c r="E64" s="62">
        <v>1370</v>
      </c>
      <c r="F64" s="10">
        <f>SUM(E64/100)</f>
        <v>13.7</v>
      </c>
      <c r="G64" s="10">
        <v>2217.7800000000002</v>
      </c>
      <c r="H64" s="74">
        <f t="shared" si="6"/>
        <v>30.383586000000005</v>
      </c>
      <c r="I64" s="10">
        <v>0</v>
      </c>
    </row>
    <row r="65" spans="1:9" ht="15.75" hidden="1" customHeight="1">
      <c r="A65" s="21"/>
      <c r="B65" s="75" t="s">
        <v>116</v>
      </c>
      <c r="C65" s="13" t="s">
        <v>31</v>
      </c>
      <c r="D65" s="11"/>
      <c r="E65" s="62">
        <v>9</v>
      </c>
      <c r="F65" s="10">
        <f>SUM(E65)</f>
        <v>9</v>
      </c>
      <c r="G65" s="10">
        <v>42.67</v>
      </c>
      <c r="H65" s="74">
        <f t="shared" si="6"/>
        <v>0.38403000000000004</v>
      </c>
      <c r="I65" s="10">
        <v>0</v>
      </c>
    </row>
    <row r="66" spans="1:9" ht="15.75" hidden="1" customHeight="1">
      <c r="A66" s="21"/>
      <c r="B66" s="75" t="s">
        <v>117</v>
      </c>
      <c r="C66" s="13" t="s">
        <v>31</v>
      </c>
      <c r="D66" s="11"/>
      <c r="E66" s="62">
        <v>9</v>
      </c>
      <c r="F66" s="10">
        <f>SUM(E66)</f>
        <v>9</v>
      </c>
      <c r="G66" s="10">
        <v>39.81</v>
      </c>
      <c r="H66" s="74">
        <f t="shared" si="6"/>
        <v>0.35829</v>
      </c>
      <c r="I66" s="10">
        <v>0</v>
      </c>
    </row>
    <row r="67" spans="1:9" ht="15.75" hidden="1" customHeight="1">
      <c r="A67" s="21"/>
      <c r="B67" s="11" t="s">
        <v>55</v>
      </c>
      <c r="C67" s="13" t="s">
        <v>56</v>
      </c>
      <c r="D67" s="11" t="s">
        <v>52</v>
      </c>
      <c r="E67" s="15">
        <v>3</v>
      </c>
      <c r="F67" s="63">
        <v>3</v>
      </c>
      <c r="G67" s="10">
        <v>53.62</v>
      </c>
      <c r="H67" s="74">
        <f t="shared" si="6"/>
        <v>0.16085999999999998</v>
      </c>
      <c r="I67" s="10">
        <v>0</v>
      </c>
    </row>
    <row r="68" spans="1:9" ht="15.75" hidden="1" customHeight="1">
      <c r="A68" s="21"/>
      <c r="B68" s="23" t="s">
        <v>70</v>
      </c>
      <c r="C68" s="13"/>
      <c r="D68" s="11"/>
      <c r="E68" s="15"/>
      <c r="F68" s="10"/>
      <c r="G68" s="10"/>
      <c r="H68" s="74" t="s">
        <v>120</v>
      </c>
      <c r="I68" s="10"/>
    </row>
    <row r="69" spans="1:9" ht="15.75" hidden="1" customHeight="1">
      <c r="A69" s="21"/>
      <c r="B69" s="11" t="s">
        <v>71</v>
      </c>
      <c r="C69" s="13" t="s">
        <v>73</v>
      </c>
      <c r="D69" s="11"/>
      <c r="E69" s="15">
        <v>2</v>
      </c>
      <c r="F69" s="10">
        <v>0.2</v>
      </c>
      <c r="G69" s="10">
        <v>536.23</v>
      </c>
      <c r="H69" s="74">
        <f t="shared" si="6"/>
        <v>0.10724600000000001</v>
      </c>
      <c r="I69" s="10">
        <v>0</v>
      </c>
    </row>
    <row r="70" spans="1:9" ht="15.75" hidden="1" customHeight="1">
      <c r="A70" s="21"/>
      <c r="B70" s="11" t="s">
        <v>72</v>
      </c>
      <c r="C70" s="13" t="s">
        <v>29</v>
      </c>
      <c r="D70" s="11"/>
      <c r="E70" s="15">
        <v>1</v>
      </c>
      <c r="F70" s="56">
        <v>1</v>
      </c>
      <c r="G70" s="10">
        <v>911.85</v>
      </c>
      <c r="H70" s="74">
        <f>F70*G70/1000</f>
        <v>0.91185000000000005</v>
      </c>
      <c r="I70" s="10">
        <v>0</v>
      </c>
    </row>
    <row r="71" spans="1:9" ht="15.75" hidden="1" customHeight="1">
      <c r="A71" s="21"/>
      <c r="B71" s="11" t="s">
        <v>130</v>
      </c>
      <c r="C71" s="13" t="s">
        <v>29</v>
      </c>
      <c r="D71" s="11"/>
      <c r="E71" s="15">
        <v>1</v>
      </c>
      <c r="F71" s="10">
        <v>1</v>
      </c>
      <c r="G71" s="10">
        <v>383.25</v>
      </c>
      <c r="H71" s="74">
        <f>G71*F71/1000</f>
        <v>0.38324999999999998</v>
      </c>
      <c r="I71" s="10">
        <v>0</v>
      </c>
    </row>
    <row r="72" spans="1:9" ht="15.75" hidden="1" customHeight="1">
      <c r="A72" s="21"/>
      <c r="B72" s="76" t="s">
        <v>74</v>
      </c>
      <c r="C72" s="13"/>
      <c r="D72" s="11"/>
      <c r="E72" s="15"/>
      <c r="F72" s="10"/>
      <c r="G72" s="10" t="s">
        <v>120</v>
      </c>
      <c r="H72" s="74" t="s">
        <v>120</v>
      </c>
      <c r="I72" s="10"/>
    </row>
    <row r="73" spans="1:9" ht="15.75" hidden="1" customHeight="1">
      <c r="A73" s="21"/>
      <c r="B73" s="36" t="s">
        <v>121</v>
      </c>
      <c r="C73" s="13" t="s">
        <v>75</v>
      </c>
      <c r="D73" s="11"/>
      <c r="E73" s="15"/>
      <c r="F73" s="10">
        <v>1.35</v>
      </c>
      <c r="G73" s="10">
        <v>2949.85</v>
      </c>
      <c r="H73" s="74">
        <f t="shared" si="6"/>
        <v>3.9822975</v>
      </c>
      <c r="I73" s="10">
        <v>0</v>
      </c>
    </row>
    <row r="74" spans="1:9" ht="15.75" hidden="1" customHeight="1">
      <c r="A74" s="21"/>
      <c r="B74" s="55" t="s">
        <v>93</v>
      </c>
      <c r="C74" s="77"/>
      <c r="D74" s="23"/>
      <c r="E74" s="24"/>
      <c r="F74" s="66"/>
      <c r="G74" s="66"/>
      <c r="H74" s="78">
        <f>SUM(H58:H73)</f>
        <v>70.673694374000007</v>
      </c>
      <c r="I74" s="66"/>
    </row>
    <row r="75" spans="1:9" ht="15.75" hidden="1" customHeight="1">
      <c r="A75" s="21"/>
      <c r="B75" s="60" t="s">
        <v>118</v>
      </c>
      <c r="C75" s="13"/>
      <c r="D75" s="11"/>
      <c r="E75" s="79"/>
      <c r="F75" s="10">
        <v>1</v>
      </c>
      <c r="G75" s="10">
        <v>7101.4</v>
      </c>
      <c r="H75" s="74">
        <f>G75*F75/1000</f>
        <v>7.1013999999999999</v>
      </c>
      <c r="I75" s="10">
        <v>0</v>
      </c>
    </row>
    <row r="76" spans="1:9" ht="15.75" customHeight="1">
      <c r="A76" s="108" t="s">
        <v>149</v>
      </c>
      <c r="B76" s="109"/>
      <c r="C76" s="109"/>
      <c r="D76" s="109"/>
      <c r="E76" s="109"/>
      <c r="F76" s="109"/>
      <c r="G76" s="109"/>
      <c r="H76" s="109"/>
      <c r="I76" s="110"/>
    </row>
    <row r="77" spans="1:9" ht="15.75" customHeight="1">
      <c r="A77" s="21">
        <v>17</v>
      </c>
      <c r="B77" s="60" t="s">
        <v>119</v>
      </c>
      <c r="C77" s="13" t="s">
        <v>53</v>
      </c>
      <c r="D77" s="80" t="s">
        <v>145</v>
      </c>
      <c r="E77" s="10">
        <v>2054.6</v>
      </c>
      <c r="F77" s="10">
        <f>SUM(E77*12)</f>
        <v>24655.199999999997</v>
      </c>
      <c r="G77" s="10">
        <v>2.2400000000000002</v>
      </c>
      <c r="H77" s="74">
        <f>SUM(F77*G77/1000)</f>
        <v>55.227648000000002</v>
      </c>
      <c r="I77" s="10">
        <f>F77/12*G77</f>
        <v>4602.3040000000001</v>
      </c>
    </row>
    <row r="78" spans="1:9" ht="31.5" customHeight="1">
      <c r="A78" s="21">
        <v>18</v>
      </c>
      <c r="B78" s="11" t="s">
        <v>76</v>
      </c>
      <c r="C78" s="13"/>
      <c r="D78" s="80" t="s">
        <v>145</v>
      </c>
      <c r="E78" s="62">
        <f>E77</f>
        <v>2054.6</v>
      </c>
      <c r="F78" s="10">
        <f>E78*12</f>
        <v>24655.199999999997</v>
      </c>
      <c r="G78" s="10">
        <v>1.74</v>
      </c>
      <c r="H78" s="74">
        <f>F78*G78/1000</f>
        <v>42.900047999999998</v>
      </c>
      <c r="I78" s="10">
        <f>F78/12*G78</f>
        <v>3575.0039999999999</v>
      </c>
    </row>
    <row r="79" spans="1:9" ht="15.75" customHeight="1">
      <c r="A79" s="21"/>
      <c r="B79" s="28" t="s">
        <v>78</v>
      </c>
      <c r="C79" s="77"/>
      <c r="D79" s="76"/>
      <c r="E79" s="66"/>
      <c r="F79" s="66"/>
      <c r="G79" s="66"/>
      <c r="H79" s="78">
        <f>H78</f>
        <v>42.900047999999998</v>
      </c>
      <c r="I79" s="66">
        <f>I78+I77+I58+I54+I53+I52+I44+I43+I42+I41+I39+I38+I28+I27+I20+I18+I17+I16</f>
        <v>38115.907661916666</v>
      </c>
    </row>
    <row r="80" spans="1:9" ht="15.75" customHeight="1">
      <c r="A80" s="122" t="s">
        <v>58</v>
      </c>
      <c r="B80" s="123"/>
      <c r="C80" s="123"/>
      <c r="D80" s="123"/>
      <c r="E80" s="123"/>
      <c r="F80" s="123"/>
      <c r="G80" s="123"/>
      <c r="H80" s="123"/>
      <c r="I80" s="124"/>
    </row>
    <row r="81" spans="1:9" ht="15.75" customHeight="1">
      <c r="A81" s="21">
        <v>19</v>
      </c>
      <c r="B81" s="70" t="s">
        <v>171</v>
      </c>
      <c r="C81" s="69" t="s">
        <v>172</v>
      </c>
      <c r="D81" s="70"/>
      <c r="E81" s="71"/>
      <c r="F81" s="72">
        <v>360</v>
      </c>
      <c r="G81" s="56">
        <v>1.2</v>
      </c>
      <c r="H81" s="73">
        <f>F81*G81/1000</f>
        <v>0.432</v>
      </c>
      <c r="I81" s="94">
        <f>G81*120</f>
        <v>144</v>
      </c>
    </row>
    <row r="82" spans="1:9" ht="15.75" customHeight="1">
      <c r="A82" s="21" t="s">
        <v>179</v>
      </c>
      <c r="B82" s="39" t="s">
        <v>122</v>
      </c>
      <c r="C82" s="40" t="s">
        <v>111</v>
      </c>
      <c r="D82" s="36"/>
      <c r="E82" s="10"/>
      <c r="F82" s="10">
        <v>72</v>
      </c>
      <c r="G82" s="10">
        <v>55.55</v>
      </c>
      <c r="H82" s="10">
        <f>G82*F82/1000</f>
        <v>3.9996</v>
      </c>
      <c r="I82" s="10">
        <f>G82*36</f>
        <v>1999.8</v>
      </c>
    </row>
    <row r="83" spans="1:9" ht="34.5" hidden="1" customHeight="1">
      <c r="A83" s="21">
        <v>18</v>
      </c>
      <c r="B83" s="25" t="s">
        <v>112</v>
      </c>
      <c r="C83" s="29" t="s">
        <v>87</v>
      </c>
      <c r="D83" s="36"/>
      <c r="E83" s="10"/>
      <c r="F83" s="10"/>
      <c r="G83" s="27">
        <v>1654.04</v>
      </c>
      <c r="H83" s="10"/>
      <c r="I83" s="10">
        <f>G83*1.016</f>
        <v>1680.5046399999999</v>
      </c>
    </row>
    <row r="84" spans="1:9" ht="30.75" hidden="1" customHeight="1">
      <c r="A84" s="21">
        <v>19</v>
      </c>
      <c r="B84" s="25" t="s">
        <v>92</v>
      </c>
      <c r="C84" s="29" t="s">
        <v>37</v>
      </c>
      <c r="D84" s="36"/>
      <c r="E84" s="10"/>
      <c r="F84" s="10"/>
      <c r="G84" s="27">
        <v>2918.89</v>
      </c>
      <c r="H84" s="10"/>
      <c r="I84" s="10">
        <f>G84*0.01</f>
        <v>29.1889</v>
      </c>
    </row>
    <row r="85" spans="1:9" ht="15.75" hidden="1" customHeight="1">
      <c r="A85" s="21">
        <v>20</v>
      </c>
      <c r="B85" s="25" t="s">
        <v>38</v>
      </c>
      <c r="C85" s="29" t="s">
        <v>39</v>
      </c>
      <c r="D85" s="36"/>
      <c r="E85" s="10"/>
      <c r="F85" s="10"/>
      <c r="G85" s="27">
        <v>6042.12</v>
      </c>
      <c r="H85" s="10"/>
      <c r="I85" s="10">
        <f>G85*0.01</f>
        <v>60.421199999999999</v>
      </c>
    </row>
    <row r="86" spans="1:9" ht="15.75" customHeight="1">
      <c r="A86" s="21"/>
      <c r="B86" s="34" t="s">
        <v>49</v>
      </c>
      <c r="C86" s="30"/>
      <c r="D86" s="37"/>
      <c r="E86" s="30">
        <v>1</v>
      </c>
      <c r="F86" s="30"/>
      <c r="G86" s="30"/>
      <c r="H86" s="30"/>
      <c r="I86" s="24">
        <f>I81</f>
        <v>144</v>
      </c>
    </row>
    <row r="87" spans="1:9" ht="15.75" customHeight="1">
      <c r="A87" s="21"/>
      <c r="B87" s="36" t="s">
        <v>77</v>
      </c>
      <c r="C87" s="12"/>
      <c r="D87" s="12"/>
      <c r="E87" s="31"/>
      <c r="F87" s="31"/>
      <c r="G87" s="32"/>
      <c r="H87" s="32"/>
      <c r="I87" s="14">
        <v>0</v>
      </c>
    </row>
    <row r="88" spans="1:9" ht="15.75" customHeight="1">
      <c r="A88" s="38"/>
      <c r="B88" s="35" t="s">
        <v>163</v>
      </c>
      <c r="C88" s="26"/>
      <c r="D88" s="26"/>
      <c r="E88" s="26"/>
      <c r="F88" s="26"/>
      <c r="G88" s="26"/>
      <c r="H88" s="26"/>
      <c r="I88" s="33">
        <f>I79+I86</f>
        <v>38259.907661916666</v>
      </c>
    </row>
    <row r="89" spans="1:9" ht="15.75" customHeight="1">
      <c r="A89" s="125" t="s">
        <v>180</v>
      </c>
      <c r="B89" s="126"/>
      <c r="C89" s="126"/>
      <c r="D89" s="126"/>
      <c r="E89" s="126"/>
      <c r="F89" s="126"/>
      <c r="G89" s="126"/>
      <c r="H89" s="126"/>
      <c r="I89" s="126"/>
    </row>
    <row r="90" spans="1:9" ht="15.75">
      <c r="A90" s="121" t="s">
        <v>207</v>
      </c>
      <c r="B90" s="121"/>
      <c r="C90" s="121"/>
      <c r="D90" s="121"/>
      <c r="E90" s="121"/>
      <c r="F90" s="121"/>
      <c r="G90" s="121"/>
      <c r="H90" s="121"/>
      <c r="I90" s="121"/>
    </row>
    <row r="91" spans="1:9" ht="15.75">
      <c r="A91" s="48"/>
      <c r="B91" s="116" t="s">
        <v>208</v>
      </c>
      <c r="C91" s="116"/>
      <c r="D91" s="116"/>
      <c r="E91" s="116"/>
      <c r="F91" s="116"/>
      <c r="G91" s="116"/>
      <c r="H91" s="59"/>
      <c r="I91" s="2"/>
    </row>
    <row r="92" spans="1:9">
      <c r="A92" s="51"/>
      <c r="B92" s="112" t="s">
        <v>6</v>
      </c>
      <c r="C92" s="112"/>
      <c r="D92" s="112"/>
      <c r="E92" s="112"/>
      <c r="F92" s="112"/>
      <c r="G92" s="112"/>
      <c r="H92" s="16"/>
      <c r="I92" s="4"/>
    </row>
    <row r="93" spans="1:9">
      <c r="A93" s="7"/>
      <c r="B93" s="7"/>
      <c r="C93" s="7"/>
      <c r="D93" s="7"/>
      <c r="E93" s="7"/>
      <c r="F93" s="7"/>
      <c r="G93" s="7"/>
      <c r="H93" s="7"/>
      <c r="I93" s="7"/>
    </row>
    <row r="94" spans="1:9" ht="15.75">
      <c r="A94" s="117" t="s">
        <v>7</v>
      </c>
      <c r="B94" s="117"/>
      <c r="C94" s="117"/>
      <c r="D94" s="117"/>
      <c r="E94" s="117"/>
      <c r="F94" s="117"/>
      <c r="G94" s="117"/>
      <c r="H94" s="117"/>
      <c r="I94" s="117"/>
    </row>
    <row r="95" spans="1:9" ht="15.75">
      <c r="A95" s="117" t="s">
        <v>8</v>
      </c>
      <c r="B95" s="117"/>
      <c r="C95" s="117"/>
      <c r="D95" s="117"/>
      <c r="E95" s="117"/>
      <c r="F95" s="117"/>
      <c r="G95" s="117"/>
      <c r="H95" s="117"/>
      <c r="I95" s="117"/>
    </row>
    <row r="96" spans="1:9" ht="15.75">
      <c r="A96" s="118" t="s">
        <v>59</v>
      </c>
      <c r="B96" s="118"/>
      <c r="C96" s="118"/>
      <c r="D96" s="118"/>
      <c r="E96" s="118"/>
      <c r="F96" s="118"/>
      <c r="G96" s="118"/>
      <c r="H96" s="118"/>
      <c r="I96" s="118"/>
    </row>
    <row r="97" spans="1:9" ht="15.75">
      <c r="A97" s="8"/>
    </row>
    <row r="98" spans="1:9" ht="15.75">
      <c r="A98" s="119" t="s">
        <v>9</v>
      </c>
      <c r="B98" s="119"/>
      <c r="C98" s="119"/>
      <c r="D98" s="119"/>
      <c r="E98" s="119"/>
      <c r="F98" s="119"/>
      <c r="G98" s="119"/>
      <c r="H98" s="119"/>
      <c r="I98" s="119"/>
    </row>
    <row r="99" spans="1:9" ht="15.75">
      <c r="A99" s="3"/>
    </row>
    <row r="100" spans="1:9" ht="15.75">
      <c r="B100" s="52" t="s">
        <v>10</v>
      </c>
      <c r="C100" s="111" t="s">
        <v>136</v>
      </c>
      <c r="D100" s="111"/>
      <c r="E100" s="111"/>
      <c r="F100" s="57"/>
      <c r="I100" s="50"/>
    </row>
    <row r="101" spans="1:9">
      <c r="A101" s="51"/>
      <c r="C101" s="112" t="s">
        <v>11</v>
      </c>
      <c r="D101" s="112"/>
      <c r="E101" s="112"/>
      <c r="F101" s="16"/>
      <c r="I101" s="49" t="s">
        <v>12</v>
      </c>
    </row>
    <row r="102" spans="1:9" ht="15.75">
      <c r="A102" s="17"/>
      <c r="C102" s="9"/>
      <c r="D102" s="9"/>
      <c r="G102" s="9"/>
      <c r="H102" s="9"/>
    </row>
    <row r="103" spans="1:9" ht="15.75">
      <c r="B103" s="52" t="s">
        <v>13</v>
      </c>
      <c r="C103" s="113"/>
      <c r="D103" s="113"/>
      <c r="E103" s="113"/>
      <c r="F103" s="58"/>
      <c r="I103" s="50"/>
    </row>
    <row r="104" spans="1:9">
      <c r="A104" s="51"/>
      <c r="C104" s="114" t="s">
        <v>11</v>
      </c>
      <c r="D104" s="114"/>
      <c r="E104" s="114"/>
      <c r="F104" s="51"/>
      <c r="I104" s="49" t="s">
        <v>12</v>
      </c>
    </row>
    <row r="105" spans="1:9" ht="15.75">
      <c r="A105" s="3" t="s">
        <v>14</v>
      </c>
    </row>
    <row r="106" spans="1:9">
      <c r="A106" s="115" t="s">
        <v>15</v>
      </c>
      <c r="B106" s="115"/>
      <c r="C106" s="115"/>
      <c r="D106" s="115"/>
      <c r="E106" s="115"/>
      <c r="F106" s="115"/>
      <c r="G106" s="115"/>
      <c r="H106" s="115"/>
      <c r="I106" s="115"/>
    </row>
    <row r="107" spans="1:9" ht="45" customHeight="1">
      <c r="A107" s="107" t="s">
        <v>16</v>
      </c>
      <c r="B107" s="107"/>
      <c r="C107" s="107"/>
      <c r="D107" s="107"/>
      <c r="E107" s="107"/>
      <c r="F107" s="107"/>
      <c r="G107" s="107"/>
      <c r="H107" s="107"/>
      <c r="I107" s="107"/>
    </row>
    <row r="108" spans="1:9" ht="30" customHeight="1">
      <c r="A108" s="107" t="s">
        <v>17</v>
      </c>
      <c r="B108" s="107"/>
      <c r="C108" s="107"/>
      <c r="D108" s="107"/>
      <c r="E108" s="107"/>
      <c r="F108" s="107"/>
      <c r="G108" s="107"/>
      <c r="H108" s="107"/>
      <c r="I108" s="107"/>
    </row>
    <row r="109" spans="1:9" ht="30" customHeight="1">
      <c r="A109" s="107" t="s">
        <v>21</v>
      </c>
      <c r="B109" s="107"/>
      <c r="C109" s="107"/>
      <c r="D109" s="107"/>
      <c r="E109" s="107"/>
      <c r="F109" s="107"/>
      <c r="G109" s="107"/>
      <c r="H109" s="107"/>
      <c r="I109" s="107"/>
    </row>
    <row r="110" spans="1:9" ht="15" customHeight="1">
      <c r="A110" s="107" t="s">
        <v>20</v>
      </c>
      <c r="B110" s="107"/>
      <c r="C110" s="107"/>
      <c r="D110" s="107"/>
      <c r="E110" s="107"/>
      <c r="F110" s="107"/>
      <c r="G110" s="107"/>
      <c r="H110" s="107"/>
      <c r="I110" s="107"/>
    </row>
  </sheetData>
  <mergeCells count="29">
    <mergeCell ref="A108:I108"/>
    <mergeCell ref="A109:I109"/>
    <mergeCell ref="A110:I110"/>
    <mergeCell ref="C100:E100"/>
    <mergeCell ref="C101:E101"/>
    <mergeCell ref="C103:E103"/>
    <mergeCell ref="C104:E104"/>
    <mergeCell ref="A106:I106"/>
    <mergeCell ref="A107:I107"/>
    <mergeCell ref="A98:I98"/>
    <mergeCell ref="A15:I15"/>
    <mergeCell ref="A29:I29"/>
    <mergeCell ref="A45:I45"/>
    <mergeCell ref="A56:I56"/>
    <mergeCell ref="A76:I76"/>
    <mergeCell ref="A90:I90"/>
    <mergeCell ref="B91:G91"/>
    <mergeCell ref="B92:G92"/>
    <mergeCell ref="A94:I94"/>
    <mergeCell ref="A95:I95"/>
    <mergeCell ref="A96:I96"/>
    <mergeCell ref="A89:I89"/>
    <mergeCell ref="A14:I14"/>
    <mergeCell ref="A80:I80"/>
    <mergeCell ref="A3:I3"/>
    <mergeCell ref="A4:I4"/>
    <mergeCell ref="A5:I5"/>
    <mergeCell ref="A8:I8"/>
    <mergeCell ref="A10:I10"/>
  </mergeCells>
  <pageMargins left="0.70866141732283472" right="0.70866141732283472" top="0.27559055118110237" bottom="7.874015748031496E-2" header="0.31496062992125984" footer="0.31496062992125984"/>
  <pageSetup paperSize="9" scale="60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08"/>
  <sheetViews>
    <sheetView workbookViewId="0">
      <selection activeCell="A83" sqref="A83:XFD8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85</v>
      </c>
      <c r="I1" s="18"/>
    </row>
    <row r="2" spans="1:9" ht="15.75">
      <c r="A2" s="20" t="s">
        <v>60</v>
      </c>
    </row>
    <row r="3" spans="1:9" ht="15.75">
      <c r="A3" s="128" t="s">
        <v>151</v>
      </c>
      <c r="B3" s="128"/>
      <c r="C3" s="128"/>
      <c r="D3" s="128"/>
      <c r="E3" s="128"/>
      <c r="F3" s="128"/>
      <c r="G3" s="128"/>
      <c r="H3" s="128"/>
      <c r="I3" s="128"/>
    </row>
    <row r="4" spans="1:9" ht="31.5" customHeight="1">
      <c r="A4" s="129" t="s">
        <v>132</v>
      </c>
      <c r="B4" s="129"/>
      <c r="C4" s="129"/>
      <c r="D4" s="129"/>
      <c r="E4" s="129"/>
      <c r="F4" s="129"/>
      <c r="G4" s="129"/>
      <c r="H4" s="129"/>
      <c r="I4" s="129"/>
    </row>
    <row r="5" spans="1:9" ht="15.75">
      <c r="A5" s="128" t="s">
        <v>183</v>
      </c>
      <c r="B5" s="130"/>
      <c r="C5" s="130"/>
      <c r="D5" s="130"/>
      <c r="E5" s="130"/>
      <c r="F5" s="130"/>
      <c r="G5" s="130"/>
      <c r="H5" s="130"/>
      <c r="I5" s="130"/>
    </row>
    <row r="6" spans="1:9" ht="15.75">
      <c r="A6" s="1"/>
      <c r="B6" s="54"/>
      <c r="C6" s="54"/>
      <c r="D6" s="54"/>
      <c r="E6" s="54"/>
      <c r="F6" s="54"/>
      <c r="G6" s="54"/>
      <c r="H6" s="54"/>
      <c r="I6" s="22">
        <v>43251</v>
      </c>
    </row>
    <row r="7" spans="1:9" ht="15.75">
      <c r="B7" s="52"/>
      <c r="C7" s="52"/>
      <c r="D7" s="52"/>
      <c r="E7" s="2"/>
      <c r="F7" s="2"/>
      <c r="G7" s="2"/>
      <c r="H7" s="2"/>
    </row>
    <row r="8" spans="1:9" ht="78.75" customHeight="1">
      <c r="A8" s="131" t="s">
        <v>158</v>
      </c>
      <c r="B8" s="131"/>
      <c r="C8" s="131"/>
      <c r="D8" s="131"/>
      <c r="E8" s="131"/>
      <c r="F8" s="131"/>
      <c r="G8" s="131"/>
      <c r="H8" s="131"/>
      <c r="I8" s="131"/>
    </row>
    <row r="9" spans="1:9" ht="15.75">
      <c r="A9" s="3"/>
    </row>
    <row r="10" spans="1:9" ht="47.25" customHeight="1">
      <c r="A10" s="132" t="s">
        <v>159</v>
      </c>
      <c r="B10" s="132"/>
      <c r="C10" s="132"/>
      <c r="D10" s="132"/>
      <c r="E10" s="132"/>
      <c r="F10" s="132"/>
      <c r="G10" s="132"/>
      <c r="H10" s="132"/>
      <c r="I10" s="132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>
      <c r="A14" s="127" t="s">
        <v>57</v>
      </c>
      <c r="B14" s="127"/>
      <c r="C14" s="127"/>
      <c r="D14" s="127"/>
      <c r="E14" s="127"/>
      <c r="F14" s="127"/>
      <c r="G14" s="127"/>
      <c r="H14" s="127"/>
      <c r="I14" s="127"/>
    </row>
    <row r="15" spans="1:9">
      <c r="A15" s="120" t="s">
        <v>4</v>
      </c>
      <c r="B15" s="120"/>
      <c r="C15" s="120"/>
      <c r="D15" s="120"/>
      <c r="E15" s="120"/>
      <c r="F15" s="120"/>
      <c r="G15" s="120"/>
      <c r="H15" s="120"/>
      <c r="I15" s="120"/>
    </row>
    <row r="16" spans="1:9" ht="15.75" customHeight="1">
      <c r="A16" s="21">
        <v>1</v>
      </c>
      <c r="B16" s="60" t="s">
        <v>86</v>
      </c>
      <c r="C16" s="61" t="s">
        <v>87</v>
      </c>
      <c r="D16" s="60" t="s">
        <v>160</v>
      </c>
      <c r="E16" s="62">
        <v>55</v>
      </c>
      <c r="F16" s="63">
        <f>SUM(E16*156/100)</f>
        <v>85.8</v>
      </c>
      <c r="G16" s="63">
        <v>187.48</v>
      </c>
      <c r="H16" s="64">
        <f t="shared" ref="H16:H26" si="0">SUM(F16*G16/1000)</f>
        <v>16.085783999999997</v>
      </c>
      <c r="I16" s="10">
        <f>F16/12*G16</f>
        <v>1340.4819999999997</v>
      </c>
    </row>
    <row r="17" spans="1:9" ht="15.75" customHeight="1">
      <c r="A17" s="21">
        <v>2</v>
      </c>
      <c r="B17" s="60" t="s">
        <v>123</v>
      </c>
      <c r="C17" s="61" t="s">
        <v>87</v>
      </c>
      <c r="D17" s="60" t="s">
        <v>161</v>
      </c>
      <c r="E17" s="62">
        <v>165</v>
      </c>
      <c r="F17" s="63">
        <f>SUM(E17*104/100)</f>
        <v>171.6</v>
      </c>
      <c r="G17" s="63">
        <v>187.48</v>
      </c>
      <c r="H17" s="64">
        <f t="shared" si="0"/>
        <v>32.171567999999994</v>
      </c>
      <c r="I17" s="10">
        <f>F17/12*G17</f>
        <v>2680.9639999999995</v>
      </c>
    </row>
    <row r="18" spans="1:9" ht="15.75" customHeight="1">
      <c r="A18" s="21">
        <v>3</v>
      </c>
      <c r="B18" s="60" t="s">
        <v>124</v>
      </c>
      <c r="C18" s="61" t="s">
        <v>87</v>
      </c>
      <c r="D18" s="60" t="s">
        <v>162</v>
      </c>
      <c r="E18" s="62">
        <f>SUM(E16+E17)</f>
        <v>220</v>
      </c>
      <c r="F18" s="63">
        <f>SUM(E18*24/100)</f>
        <v>52.8</v>
      </c>
      <c r="G18" s="63">
        <v>539.30999999999995</v>
      </c>
      <c r="H18" s="64">
        <f t="shared" si="0"/>
        <v>28.475567999999996</v>
      </c>
      <c r="I18" s="10">
        <f>F18/12*G18</f>
        <v>2372.9639999999995</v>
      </c>
    </row>
    <row r="19" spans="1:9" ht="15.75" customHeight="1">
      <c r="A19" s="21">
        <v>4</v>
      </c>
      <c r="B19" s="60" t="s">
        <v>94</v>
      </c>
      <c r="C19" s="61" t="s">
        <v>95</v>
      </c>
      <c r="D19" s="60" t="s">
        <v>96</v>
      </c>
      <c r="E19" s="62">
        <v>32.4</v>
      </c>
      <c r="F19" s="63">
        <f>SUM(E19/10)</f>
        <v>3.2399999999999998</v>
      </c>
      <c r="G19" s="63">
        <v>181.91</v>
      </c>
      <c r="H19" s="64">
        <f t="shared" si="0"/>
        <v>0.58938839999999992</v>
      </c>
      <c r="I19" s="10">
        <f>F19*G19</f>
        <v>589.38839999999993</v>
      </c>
    </row>
    <row r="20" spans="1:9" ht="15.75" customHeight="1">
      <c r="A20" s="21">
        <v>5</v>
      </c>
      <c r="B20" s="60" t="s">
        <v>97</v>
      </c>
      <c r="C20" s="61" t="s">
        <v>87</v>
      </c>
      <c r="D20" s="60" t="s">
        <v>125</v>
      </c>
      <c r="E20" s="62">
        <v>12.24</v>
      </c>
      <c r="F20" s="63">
        <f>SUM(E20*12/100)</f>
        <v>1.4687999999999999</v>
      </c>
      <c r="G20" s="63">
        <v>232.92</v>
      </c>
      <c r="H20" s="64">
        <f t="shared" si="0"/>
        <v>0.342112896</v>
      </c>
      <c r="I20" s="10">
        <f>F20/12*G20</f>
        <v>28.509407999999997</v>
      </c>
    </row>
    <row r="21" spans="1:9" ht="15.75" customHeight="1">
      <c r="A21" s="21">
        <v>6</v>
      </c>
      <c r="B21" s="60" t="s">
        <v>98</v>
      </c>
      <c r="C21" s="61" t="s">
        <v>87</v>
      </c>
      <c r="D21" s="60" t="s">
        <v>126</v>
      </c>
      <c r="E21" s="62">
        <v>10.08</v>
      </c>
      <c r="F21" s="63">
        <f>SUM(E21*6/100)</f>
        <v>0.6048</v>
      </c>
      <c r="G21" s="63">
        <v>231.03</v>
      </c>
      <c r="H21" s="64">
        <f t="shared" si="0"/>
        <v>0.13972694399999999</v>
      </c>
      <c r="I21" s="10">
        <f>F21/6*G21</f>
        <v>23.287824000000001</v>
      </c>
    </row>
    <row r="22" spans="1:9" ht="15.75" customHeight="1">
      <c r="A22" s="21">
        <v>7</v>
      </c>
      <c r="B22" s="60" t="s">
        <v>99</v>
      </c>
      <c r="C22" s="61" t="s">
        <v>51</v>
      </c>
      <c r="D22" s="60" t="s">
        <v>96</v>
      </c>
      <c r="E22" s="62">
        <v>293.76</v>
      </c>
      <c r="F22" s="63">
        <f>SUM(E22/100)</f>
        <v>2.9375999999999998</v>
      </c>
      <c r="G22" s="63">
        <v>287.83999999999997</v>
      </c>
      <c r="H22" s="64">
        <f t="shared" si="0"/>
        <v>0.84555878399999984</v>
      </c>
      <c r="I22" s="10">
        <f>F22*G22</f>
        <v>845.55878399999983</v>
      </c>
    </row>
    <row r="23" spans="1:9" ht="15.75" customHeight="1">
      <c r="A23" s="21">
        <v>8</v>
      </c>
      <c r="B23" s="60" t="s">
        <v>100</v>
      </c>
      <c r="C23" s="61" t="s">
        <v>51</v>
      </c>
      <c r="D23" s="60" t="s">
        <v>96</v>
      </c>
      <c r="E23" s="65">
        <v>17.64</v>
      </c>
      <c r="F23" s="63">
        <f>SUM(E23/100)</f>
        <v>0.1764</v>
      </c>
      <c r="G23" s="63">
        <v>47.34</v>
      </c>
      <c r="H23" s="64">
        <f t="shared" si="0"/>
        <v>8.3507760000000007E-3</v>
      </c>
      <c r="I23" s="10">
        <f t="shared" ref="I23:I26" si="1">F23*G23</f>
        <v>8.3507760000000015</v>
      </c>
    </row>
    <row r="24" spans="1:9" ht="15.75" customHeight="1">
      <c r="A24" s="21">
        <v>9</v>
      </c>
      <c r="B24" s="60" t="s">
        <v>101</v>
      </c>
      <c r="C24" s="61" t="s">
        <v>51</v>
      </c>
      <c r="D24" s="60" t="s">
        <v>102</v>
      </c>
      <c r="E24" s="62">
        <v>10.8</v>
      </c>
      <c r="F24" s="63">
        <f>E24/100</f>
        <v>0.10800000000000001</v>
      </c>
      <c r="G24" s="63">
        <v>416.62</v>
      </c>
      <c r="H24" s="64">
        <f t="shared" si="0"/>
        <v>4.4994960000000007E-2</v>
      </c>
      <c r="I24" s="10">
        <f t="shared" si="1"/>
        <v>44.994960000000006</v>
      </c>
    </row>
    <row r="25" spans="1:9" ht="31.5" customHeight="1">
      <c r="A25" s="21">
        <v>10</v>
      </c>
      <c r="B25" s="60" t="s">
        <v>103</v>
      </c>
      <c r="C25" s="61" t="s">
        <v>51</v>
      </c>
      <c r="D25" s="60" t="s">
        <v>52</v>
      </c>
      <c r="E25" s="62">
        <v>12.6</v>
      </c>
      <c r="F25" s="63">
        <f>E25/100</f>
        <v>0.126</v>
      </c>
      <c r="G25" s="63">
        <v>231.03</v>
      </c>
      <c r="H25" s="64">
        <f>G25*F25/1000</f>
        <v>2.9109780000000002E-2</v>
      </c>
      <c r="I25" s="10">
        <f t="shared" si="1"/>
        <v>29.109780000000001</v>
      </c>
    </row>
    <row r="26" spans="1:9" ht="15.75" customHeight="1">
      <c r="A26" s="21">
        <v>11</v>
      </c>
      <c r="B26" s="60" t="s">
        <v>104</v>
      </c>
      <c r="C26" s="61" t="s">
        <v>51</v>
      </c>
      <c r="D26" s="60" t="s">
        <v>96</v>
      </c>
      <c r="E26" s="62">
        <v>14.4</v>
      </c>
      <c r="F26" s="63">
        <f>SUM(E26/100)</f>
        <v>0.14400000000000002</v>
      </c>
      <c r="G26" s="63">
        <v>556.74</v>
      </c>
      <c r="H26" s="64">
        <f t="shared" si="0"/>
        <v>8.0170560000000016E-2</v>
      </c>
      <c r="I26" s="10">
        <f t="shared" si="1"/>
        <v>80.170560000000009</v>
      </c>
    </row>
    <row r="27" spans="1:9" ht="15.75" customHeight="1">
      <c r="A27" s="21">
        <v>12</v>
      </c>
      <c r="B27" s="60" t="s">
        <v>62</v>
      </c>
      <c r="C27" s="61" t="s">
        <v>31</v>
      </c>
      <c r="D27" s="60"/>
      <c r="E27" s="62">
        <v>0.1</v>
      </c>
      <c r="F27" s="63">
        <f>SUM(E27*365)</f>
        <v>36.5</v>
      </c>
      <c r="G27" s="63">
        <v>157.18</v>
      </c>
      <c r="H27" s="64">
        <f>SUM(F27*G27/1000)</f>
        <v>5.737070000000001</v>
      </c>
      <c r="I27" s="10">
        <f>F27/12*G27</f>
        <v>478.08916666666664</v>
      </c>
    </row>
    <row r="28" spans="1:9" ht="15.75" customHeight="1">
      <c r="A28" s="21">
        <v>13</v>
      </c>
      <c r="B28" s="68" t="s">
        <v>23</v>
      </c>
      <c r="C28" s="61" t="s">
        <v>24</v>
      </c>
      <c r="D28" s="60"/>
      <c r="E28" s="62">
        <v>2054.6</v>
      </c>
      <c r="F28" s="63">
        <f>SUM(E28*12)</f>
        <v>24655.199999999997</v>
      </c>
      <c r="G28" s="63">
        <v>6.15</v>
      </c>
      <c r="H28" s="64">
        <f>SUM(F28*G28/1000)</f>
        <v>151.62947999999997</v>
      </c>
      <c r="I28" s="10">
        <f>F28/12*G28</f>
        <v>12635.79</v>
      </c>
    </row>
    <row r="29" spans="1:9" ht="15.75" customHeight="1">
      <c r="A29" s="108" t="s">
        <v>84</v>
      </c>
      <c r="B29" s="109"/>
      <c r="C29" s="109"/>
      <c r="D29" s="109"/>
      <c r="E29" s="109"/>
      <c r="F29" s="109"/>
      <c r="G29" s="109"/>
      <c r="H29" s="109"/>
      <c r="I29" s="110"/>
    </row>
    <row r="30" spans="1:9" ht="15.75" customHeight="1">
      <c r="A30" s="21"/>
      <c r="B30" s="81" t="s">
        <v>27</v>
      </c>
      <c r="C30" s="61"/>
      <c r="D30" s="60"/>
      <c r="E30" s="62"/>
      <c r="F30" s="63"/>
      <c r="G30" s="63"/>
      <c r="H30" s="64"/>
      <c r="I30" s="10"/>
    </row>
    <row r="31" spans="1:9" ht="15.75" customHeight="1">
      <c r="A31" s="21">
        <v>14</v>
      </c>
      <c r="B31" s="60" t="s">
        <v>109</v>
      </c>
      <c r="C31" s="61" t="s">
        <v>90</v>
      </c>
      <c r="D31" s="60" t="s">
        <v>164</v>
      </c>
      <c r="E31" s="63">
        <v>600.63</v>
      </c>
      <c r="F31" s="63">
        <f>SUM(E31*52/1000)</f>
        <v>31.232759999999999</v>
      </c>
      <c r="G31" s="63">
        <v>166.65</v>
      </c>
      <c r="H31" s="64">
        <f t="shared" ref="H31:H36" si="2">SUM(F31*G31/1000)</f>
        <v>5.2049394540000007</v>
      </c>
      <c r="I31" s="10">
        <f>F31/6*G31</f>
        <v>867.4899089999999</v>
      </c>
    </row>
    <row r="32" spans="1:9" ht="31.5" customHeight="1">
      <c r="A32" s="21">
        <v>15</v>
      </c>
      <c r="B32" s="60" t="s">
        <v>108</v>
      </c>
      <c r="C32" s="61" t="s">
        <v>90</v>
      </c>
      <c r="D32" s="60" t="s">
        <v>165</v>
      </c>
      <c r="E32" s="63">
        <v>186.39</v>
      </c>
      <c r="F32" s="63">
        <f>SUM(E32*78/1000)</f>
        <v>14.538419999999999</v>
      </c>
      <c r="G32" s="63">
        <v>276.48</v>
      </c>
      <c r="H32" s="64">
        <f t="shared" si="2"/>
        <v>4.0195823615999995</v>
      </c>
      <c r="I32" s="10">
        <f t="shared" ref="I32:I34" si="3">F32/6*G32</f>
        <v>669.93039359999989</v>
      </c>
    </row>
    <row r="33" spans="1:9" ht="15.75" customHeight="1">
      <c r="A33" s="21">
        <v>16</v>
      </c>
      <c r="B33" s="60" t="s">
        <v>26</v>
      </c>
      <c r="C33" s="61" t="s">
        <v>90</v>
      </c>
      <c r="D33" s="60" t="s">
        <v>52</v>
      </c>
      <c r="E33" s="63">
        <v>600.63</v>
      </c>
      <c r="F33" s="63">
        <f>SUM(E33/1000)</f>
        <v>0.60063</v>
      </c>
      <c r="G33" s="63">
        <v>3228.73</v>
      </c>
      <c r="H33" s="64">
        <f t="shared" si="2"/>
        <v>1.9392720999000002</v>
      </c>
      <c r="I33" s="10">
        <f>F33*G33</f>
        <v>1939.2720999000001</v>
      </c>
    </row>
    <row r="34" spans="1:9" ht="15.75" customHeight="1">
      <c r="A34" s="21">
        <v>17</v>
      </c>
      <c r="B34" s="60" t="s">
        <v>107</v>
      </c>
      <c r="C34" s="61" t="s">
        <v>29</v>
      </c>
      <c r="D34" s="60" t="s">
        <v>61</v>
      </c>
      <c r="E34" s="67">
        <v>0.33333333333333331</v>
      </c>
      <c r="F34" s="63">
        <f>155/3</f>
        <v>51.666666666666664</v>
      </c>
      <c r="G34" s="63">
        <v>60.6</v>
      </c>
      <c r="H34" s="64">
        <f>SUM(G34*155/3/1000)</f>
        <v>3.1309999999999998</v>
      </c>
      <c r="I34" s="10">
        <f t="shared" si="3"/>
        <v>521.83333333333337</v>
      </c>
    </row>
    <row r="35" spans="1:9" ht="15.75" hidden="1" customHeight="1">
      <c r="A35" s="21"/>
      <c r="B35" s="60" t="s">
        <v>63</v>
      </c>
      <c r="C35" s="61" t="s">
        <v>31</v>
      </c>
      <c r="D35" s="60" t="s">
        <v>65</v>
      </c>
      <c r="E35" s="62"/>
      <c r="F35" s="63">
        <v>2</v>
      </c>
      <c r="G35" s="63">
        <v>204.52</v>
      </c>
      <c r="H35" s="64">
        <f t="shared" si="2"/>
        <v>0.40904000000000001</v>
      </c>
      <c r="I35" s="10">
        <v>0</v>
      </c>
    </row>
    <row r="36" spans="1:9" ht="15.75" hidden="1" customHeight="1">
      <c r="A36" s="21"/>
      <c r="B36" s="60" t="s">
        <v>64</v>
      </c>
      <c r="C36" s="61" t="s">
        <v>30</v>
      </c>
      <c r="D36" s="60" t="s">
        <v>65</v>
      </c>
      <c r="E36" s="62"/>
      <c r="F36" s="63">
        <v>1</v>
      </c>
      <c r="G36" s="63">
        <v>1214.74</v>
      </c>
      <c r="H36" s="64">
        <f t="shared" si="2"/>
        <v>1.2147399999999999</v>
      </c>
      <c r="I36" s="10">
        <v>0</v>
      </c>
    </row>
    <row r="37" spans="1:9" ht="15.75" hidden="1" customHeight="1">
      <c r="A37" s="21"/>
      <c r="B37" s="81" t="s">
        <v>5</v>
      </c>
      <c r="C37" s="61"/>
      <c r="D37" s="60"/>
      <c r="E37" s="62"/>
      <c r="F37" s="63"/>
      <c r="G37" s="63"/>
      <c r="H37" s="64" t="s">
        <v>120</v>
      </c>
      <c r="I37" s="10"/>
    </row>
    <row r="38" spans="1:9" ht="15.75" hidden="1" customHeight="1">
      <c r="A38" s="21">
        <v>8</v>
      </c>
      <c r="B38" s="60" t="s">
        <v>25</v>
      </c>
      <c r="C38" s="61" t="s">
        <v>30</v>
      </c>
      <c r="D38" s="60"/>
      <c r="E38" s="62"/>
      <c r="F38" s="63">
        <v>5</v>
      </c>
      <c r="G38" s="63">
        <v>1632.6</v>
      </c>
      <c r="H38" s="64">
        <f t="shared" ref="H38:H44" si="4">SUM(F38*G38/1000)</f>
        <v>8.1630000000000003</v>
      </c>
      <c r="I38" s="10">
        <f>F38/6*G38</f>
        <v>1360.5</v>
      </c>
    </row>
    <row r="39" spans="1:9" ht="15.75" hidden="1" customHeight="1">
      <c r="A39" s="21">
        <v>9</v>
      </c>
      <c r="B39" s="60" t="s">
        <v>127</v>
      </c>
      <c r="C39" s="61" t="s">
        <v>28</v>
      </c>
      <c r="D39" s="60" t="s">
        <v>88</v>
      </c>
      <c r="E39" s="62">
        <v>186.39</v>
      </c>
      <c r="F39" s="63">
        <f>E39*30/1000</f>
        <v>5.5916999999999994</v>
      </c>
      <c r="G39" s="63">
        <v>2247.8000000000002</v>
      </c>
      <c r="H39" s="64">
        <f>G39*F39/1000</f>
        <v>12.56902326</v>
      </c>
      <c r="I39" s="10">
        <f>F39/6*G39</f>
        <v>2094.8372100000001</v>
      </c>
    </row>
    <row r="40" spans="1:9" ht="15.75" hidden="1" customHeight="1">
      <c r="A40" s="21"/>
      <c r="B40" s="60" t="s">
        <v>138</v>
      </c>
      <c r="C40" s="61" t="s">
        <v>139</v>
      </c>
      <c r="D40" s="60" t="s">
        <v>65</v>
      </c>
      <c r="E40" s="62"/>
      <c r="F40" s="63">
        <v>72.3</v>
      </c>
      <c r="G40" s="63">
        <v>199.44</v>
      </c>
      <c r="H40" s="64">
        <f>G40*F40/1000</f>
        <v>14.419511999999999</v>
      </c>
      <c r="I40" s="10">
        <v>0</v>
      </c>
    </row>
    <row r="41" spans="1:9" ht="15.75" hidden="1" customHeight="1">
      <c r="A41" s="21">
        <v>10</v>
      </c>
      <c r="B41" s="60" t="s">
        <v>66</v>
      </c>
      <c r="C41" s="61" t="s">
        <v>28</v>
      </c>
      <c r="D41" s="60" t="s">
        <v>89</v>
      </c>
      <c r="E41" s="63">
        <v>186.39</v>
      </c>
      <c r="F41" s="63">
        <f>SUM(E41*155/1000)</f>
        <v>28.890449999999998</v>
      </c>
      <c r="G41" s="63">
        <v>374.95</v>
      </c>
      <c r="H41" s="64">
        <f t="shared" si="4"/>
        <v>10.832474227499999</v>
      </c>
      <c r="I41" s="10">
        <f>F41/6*G41</f>
        <v>1805.4123712499998</v>
      </c>
    </row>
    <row r="42" spans="1:9" ht="47.25" hidden="1" customHeight="1">
      <c r="A42" s="21">
        <v>11</v>
      </c>
      <c r="B42" s="60" t="s">
        <v>82</v>
      </c>
      <c r="C42" s="61" t="s">
        <v>90</v>
      </c>
      <c r="D42" s="60" t="s">
        <v>128</v>
      </c>
      <c r="E42" s="63">
        <v>52.2</v>
      </c>
      <c r="F42" s="63">
        <f>SUM(E42*35/1000)</f>
        <v>1.827</v>
      </c>
      <c r="G42" s="63">
        <v>6203.7</v>
      </c>
      <c r="H42" s="64">
        <f t="shared" si="4"/>
        <v>11.3341599</v>
      </c>
      <c r="I42" s="10">
        <f>F42/6*G42</f>
        <v>1889.0266499999998</v>
      </c>
    </row>
    <row r="43" spans="1:9" ht="15.75" hidden="1" customHeight="1">
      <c r="A43" s="21">
        <v>12</v>
      </c>
      <c r="B43" s="60" t="s">
        <v>129</v>
      </c>
      <c r="C43" s="61" t="s">
        <v>90</v>
      </c>
      <c r="D43" s="60" t="s">
        <v>67</v>
      </c>
      <c r="E43" s="63">
        <v>52.2</v>
      </c>
      <c r="F43" s="63">
        <f>SUM(E43*45/1000)</f>
        <v>2.3490000000000002</v>
      </c>
      <c r="G43" s="63">
        <v>458.28</v>
      </c>
      <c r="H43" s="64">
        <f t="shared" si="4"/>
        <v>1.0764997199999999</v>
      </c>
      <c r="I43" s="10">
        <f>F43/6*G43</f>
        <v>179.41661999999999</v>
      </c>
    </row>
    <row r="44" spans="1:9" ht="15.75" hidden="1" customHeight="1">
      <c r="A44" s="21">
        <v>13</v>
      </c>
      <c r="B44" s="60" t="s">
        <v>68</v>
      </c>
      <c r="C44" s="61" t="s">
        <v>31</v>
      </c>
      <c r="D44" s="60"/>
      <c r="E44" s="62"/>
      <c r="F44" s="63">
        <v>0.5</v>
      </c>
      <c r="G44" s="63">
        <v>853.06</v>
      </c>
      <c r="H44" s="64">
        <f t="shared" si="4"/>
        <v>0.42652999999999996</v>
      </c>
      <c r="I44" s="10">
        <f>F44/6*G44</f>
        <v>71.088333333333324</v>
      </c>
    </row>
    <row r="45" spans="1:9" ht="15.75" customHeight="1">
      <c r="A45" s="108" t="s">
        <v>133</v>
      </c>
      <c r="B45" s="109"/>
      <c r="C45" s="109"/>
      <c r="D45" s="109"/>
      <c r="E45" s="109"/>
      <c r="F45" s="109"/>
      <c r="G45" s="109"/>
      <c r="H45" s="109"/>
      <c r="I45" s="110"/>
    </row>
    <row r="46" spans="1:9" ht="15.75" customHeight="1">
      <c r="A46" s="21">
        <v>18</v>
      </c>
      <c r="B46" s="60" t="s">
        <v>110</v>
      </c>
      <c r="C46" s="61" t="s">
        <v>90</v>
      </c>
      <c r="D46" s="60" t="s">
        <v>41</v>
      </c>
      <c r="E46" s="62">
        <v>917.75</v>
      </c>
      <c r="F46" s="63">
        <f>SUM(E46*2/1000)</f>
        <v>1.8354999999999999</v>
      </c>
      <c r="G46" s="10">
        <v>865.61</v>
      </c>
      <c r="H46" s="64">
        <f t="shared" ref="H46:H55" si="5">SUM(F46*G46/1000)</f>
        <v>1.5888271549999999</v>
      </c>
      <c r="I46" s="10">
        <f t="shared" ref="I46:I49" si="6">F46/2*G46</f>
        <v>794.41357749999997</v>
      </c>
    </row>
    <row r="47" spans="1:9" ht="15.75" customHeight="1">
      <c r="A47" s="21">
        <v>19</v>
      </c>
      <c r="B47" s="60" t="s">
        <v>34</v>
      </c>
      <c r="C47" s="61" t="s">
        <v>90</v>
      </c>
      <c r="D47" s="60" t="s">
        <v>41</v>
      </c>
      <c r="E47" s="62">
        <v>48</v>
      </c>
      <c r="F47" s="63">
        <f>E47*2/1000</f>
        <v>9.6000000000000002E-2</v>
      </c>
      <c r="G47" s="10">
        <v>619.46</v>
      </c>
      <c r="H47" s="64">
        <f t="shared" si="5"/>
        <v>5.9468160000000006E-2</v>
      </c>
      <c r="I47" s="10">
        <f t="shared" si="6"/>
        <v>29.734080000000002</v>
      </c>
    </row>
    <row r="48" spans="1:9" ht="15.75" customHeight="1">
      <c r="A48" s="21">
        <v>20</v>
      </c>
      <c r="B48" s="60" t="s">
        <v>35</v>
      </c>
      <c r="C48" s="61" t="s">
        <v>90</v>
      </c>
      <c r="D48" s="60" t="s">
        <v>41</v>
      </c>
      <c r="E48" s="62">
        <v>937.4</v>
      </c>
      <c r="F48" s="63">
        <f>SUM(E48*2/1000)</f>
        <v>1.8748</v>
      </c>
      <c r="G48" s="10">
        <v>619.46</v>
      </c>
      <c r="H48" s="64">
        <f t="shared" si="5"/>
        <v>1.161363608</v>
      </c>
      <c r="I48" s="10">
        <f t="shared" si="6"/>
        <v>580.68180400000006</v>
      </c>
    </row>
    <row r="49" spans="1:9" ht="15.75" customHeight="1">
      <c r="A49" s="21">
        <v>21</v>
      </c>
      <c r="B49" s="60" t="s">
        <v>36</v>
      </c>
      <c r="C49" s="61" t="s">
        <v>90</v>
      </c>
      <c r="D49" s="60" t="s">
        <v>41</v>
      </c>
      <c r="E49" s="62">
        <v>1243.28</v>
      </c>
      <c r="F49" s="63">
        <f>SUM(E49*2/1000)</f>
        <v>2.4865599999999999</v>
      </c>
      <c r="G49" s="10">
        <v>648.64</v>
      </c>
      <c r="H49" s="64">
        <f t="shared" si="5"/>
        <v>1.6128822783999999</v>
      </c>
      <c r="I49" s="10">
        <f t="shared" si="6"/>
        <v>806.44113919999995</v>
      </c>
    </row>
    <row r="50" spans="1:9" ht="15.75" customHeight="1">
      <c r="A50" s="21">
        <v>22</v>
      </c>
      <c r="B50" s="60" t="s">
        <v>32</v>
      </c>
      <c r="C50" s="61" t="s">
        <v>33</v>
      </c>
      <c r="D50" s="60" t="s">
        <v>41</v>
      </c>
      <c r="E50" s="62">
        <v>64.5</v>
      </c>
      <c r="F50" s="63">
        <f>SUM(E50*2/100)</f>
        <v>1.29</v>
      </c>
      <c r="G50" s="10">
        <v>77.84</v>
      </c>
      <c r="H50" s="64">
        <f t="shared" si="5"/>
        <v>0.10041360000000001</v>
      </c>
      <c r="I50" s="10">
        <f>F50/2*G50</f>
        <v>50.206800000000001</v>
      </c>
    </row>
    <row r="51" spans="1:9" ht="15.75" customHeight="1">
      <c r="A51" s="21">
        <v>23</v>
      </c>
      <c r="B51" s="60" t="s">
        <v>54</v>
      </c>
      <c r="C51" s="61" t="s">
        <v>90</v>
      </c>
      <c r="D51" s="60" t="s">
        <v>144</v>
      </c>
      <c r="E51" s="62">
        <v>678.4</v>
      </c>
      <c r="F51" s="63">
        <f>SUM(E51*5/1000)</f>
        <v>3.3919999999999999</v>
      </c>
      <c r="G51" s="10">
        <v>1297.28</v>
      </c>
      <c r="H51" s="64">
        <f t="shared" si="5"/>
        <v>4.4003737599999999</v>
      </c>
      <c r="I51" s="10">
        <f>F51/5*G51</f>
        <v>880.07475199999999</v>
      </c>
    </row>
    <row r="52" spans="1:9" ht="31.5" hidden="1" customHeight="1">
      <c r="A52" s="21"/>
      <c r="B52" s="60" t="s">
        <v>91</v>
      </c>
      <c r="C52" s="61" t="s">
        <v>90</v>
      </c>
      <c r="D52" s="60" t="s">
        <v>41</v>
      </c>
      <c r="E52" s="62">
        <v>678.4</v>
      </c>
      <c r="F52" s="63">
        <f>SUM(E52*2/1000)</f>
        <v>1.3568</v>
      </c>
      <c r="G52" s="10">
        <v>1297.28</v>
      </c>
      <c r="H52" s="64">
        <f t="shared" si="5"/>
        <v>1.7601495039999999</v>
      </c>
      <c r="I52" s="10">
        <v>0</v>
      </c>
    </row>
    <row r="53" spans="1:9" ht="31.5" hidden="1" customHeight="1">
      <c r="A53" s="21"/>
      <c r="B53" s="60" t="s">
        <v>92</v>
      </c>
      <c r="C53" s="61" t="s">
        <v>37</v>
      </c>
      <c r="D53" s="60" t="s">
        <v>41</v>
      </c>
      <c r="E53" s="62">
        <v>12</v>
      </c>
      <c r="F53" s="63">
        <f>SUM(E53*2/100)</f>
        <v>0.24</v>
      </c>
      <c r="G53" s="10">
        <v>2918.89</v>
      </c>
      <c r="H53" s="64">
        <f t="shared" si="5"/>
        <v>0.70053359999999998</v>
      </c>
      <c r="I53" s="10">
        <v>0</v>
      </c>
    </row>
    <row r="54" spans="1:9" ht="15.75" hidden="1" customHeight="1">
      <c r="A54" s="21"/>
      <c r="B54" s="60" t="s">
        <v>38</v>
      </c>
      <c r="C54" s="61" t="s">
        <v>39</v>
      </c>
      <c r="D54" s="60" t="s">
        <v>41</v>
      </c>
      <c r="E54" s="62">
        <v>1</v>
      </c>
      <c r="F54" s="63">
        <v>0.02</v>
      </c>
      <c r="G54" s="10">
        <v>6042.12</v>
      </c>
      <c r="H54" s="64">
        <f t="shared" si="5"/>
        <v>0.1208424</v>
      </c>
      <c r="I54" s="10">
        <v>0</v>
      </c>
    </row>
    <row r="55" spans="1:9" ht="15.75" customHeight="1">
      <c r="A55" s="21">
        <v>24</v>
      </c>
      <c r="B55" s="60" t="s">
        <v>40</v>
      </c>
      <c r="C55" s="61" t="s">
        <v>111</v>
      </c>
      <c r="D55" s="60" t="s">
        <v>69</v>
      </c>
      <c r="E55" s="62">
        <v>72</v>
      </c>
      <c r="F55" s="63">
        <f>SUM(E55)*3</f>
        <v>216</v>
      </c>
      <c r="G55" s="10">
        <v>70.209999999999994</v>
      </c>
      <c r="H55" s="64">
        <f t="shared" si="5"/>
        <v>15.165359999999998</v>
      </c>
      <c r="I55" s="10">
        <f>E55*G55</f>
        <v>5055.12</v>
      </c>
    </row>
    <row r="56" spans="1:9" ht="15.75" customHeight="1">
      <c r="A56" s="108" t="s">
        <v>134</v>
      </c>
      <c r="B56" s="109"/>
      <c r="C56" s="109"/>
      <c r="D56" s="109"/>
      <c r="E56" s="109"/>
      <c r="F56" s="109"/>
      <c r="G56" s="109"/>
      <c r="H56" s="109"/>
      <c r="I56" s="110"/>
    </row>
    <row r="57" spans="1:9" ht="15.75" hidden="1" customHeight="1">
      <c r="A57" s="21"/>
      <c r="B57" s="81" t="s">
        <v>42</v>
      </c>
      <c r="C57" s="61"/>
      <c r="D57" s="60"/>
      <c r="E57" s="62"/>
      <c r="F57" s="63"/>
      <c r="G57" s="63"/>
      <c r="H57" s="64"/>
      <c r="I57" s="10"/>
    </row>
    <row r="58" spans="1:9" ht="31.5" hidden="1" customHeight="1">
      <c r="A58" s="21">
        <v>16</v>
      </c>
      <c r="B58" s="60" t="s">
        <v>112</v>
      </c>
      <c r="C58" s="61" t="s">
        <v>87</v>
      </c>
      <c r="D58" s="60" t="s">
        <v>113</v>
      </c>
      <c r="E58" s="62">
        <v>110.66</v>
      </c>
      <c r="F58" s="63">
        <f>SUM(E58*6/100)</f>
        <v>6.6396000000000006</v>
      </c>
      <c r="G58" s="10">
        <v>1654.04</v>
      </c>
      <c r="H58" s="64">
        <f>SUM(F58*G58/1000)</f>
        <v>10.982163984000001</v>
      </c>
      <c r="I58" s="10">
        <f>F58/6*G58</f>
        <v>1830.360664</v>
      </c>
    </row>
    <row r="59" spans="1:9" ht="15.75" customHeight="1">
      <c r="A59" s="21"/>
      <c r="B59" s="82" t="s">
        <v>43</v>
      </c>
      <c r="C59" s="69"/>
      <c r="D59" s="70"/>
      <c r="E59" s="71"/>
      <c r="F59" s="72"/>
      <c r="G59" s="72"/>
      <c r="H59" s="73" t="s">
        <v>120</v>
      </c>
      <c r="I59" s="10"/>
    </row>
    <row r="60" spans="1:9" ht="15.75" hidden="1" customHeight="1">
      <c r="A60" s="21">
        <v>17</v>
      </c>
      <c r="B60" s="11" t="s">
        <v>44</v>
      </c>
      <c r="C60" s="13" t="s">
        <v>111</v>
      </c>
      <c r="D60" s="11" t="s">
        <v>65</v>
      </c>
      <c r="E60" s="15">
        <v>8</v>
      </c>
      <c r="F60" s="63">
        <v>8</v>
      </c>
      <c r="G60" s="10">
        <v>237.74</v>
      </c>
      <c r="H60" s="74">
        <f t="shared" ref="H60:H73" si="7">SUM(F60*G60/1000)</f>
        <v>1.9019200000000001</v>
      </c>
      <c r="I60" s="10">
        <f>G60</f>
        <v>237.74</v>
      </c>
    </row>
    <row r="61" spans="1:9" ht="15.75" hidden="1" customHeight="1">
      <c r="A61" s="21"/>
      <c r="B61" s="11" t="s">
        <v>45</v>
      </c>
      <c r="C61" s="13" t="s">
        <v>111</v>
      </c>
      <c r="D61" s="11" t="s">
        <v>65</v>
      </c>
      <c r="E61" s="15">
        <v>3</v>
      </c>
      <c r="F61" s="63">
        <v>3</v>
      </c>
      <c r="G61" s="10">
        <v>81.510000000000005</v>
      </c>
      <c r="H61" s="74">
        <f t="shared" si="7"/>
        <v>0.24453000000000003</v>
      </c>
      <c r="I61" s="10">
        <v>0</v>
      </c>
    </row>
    <row r="62" spans="1:9" ht="15.75" customHeight="1">
      <c r="A62" s="21">
        <v>25</v>
      </c>
      <c r="B62" s="11" t="s">
        <v>46</v>
      </c>
      <c r="C62" s="13" t="s">
        <v>114</v>
      </c>
      <c r="D62" s="11" t="s">
        <v>52</v>
      </c>
      <c r="E62" s="62">
        <v>8539</v>
      </c>
      <c r="F62" s="10">
        <f>SUM(E62/100)</f>
        <v>85.39</v>
      </c>
      <c r="G62" s="10">
        <v>226.79</v>
      </c>
      <c r="H62" s="74">
        <f t="shared" si="7"/>
        <v>19.3655981</v>
      </c>
      <c r="I62" s="10">
        <f>F62*G62</f>
        <v>19365.598099999999</v>
      </c>
    </row>
    <row r="63" spans="1:9" ht="15.75" customHeight="1">
      <c r="A63" s="21">
        <v>26</v>
      </c>
      <c r="B63" s="11" t="s">
        <v>47</v>
      </c>
      <c r="C63" s="13" t="s">
        <v>115</v>
      </c>
      <c r="D63" s="11"/>
      <c r="E63" s="62">
        <v>8539</v>
      </c>
      <c r="F63" s="10">
        <f>SUM(E63/1000)</f>
        <v>8.5389999999999997</v>
      </c>
      <c r="G63" s="10">
        <v>176.61</v>
      </c>
      <c r="H63" s="74">
        <f t="shared" si="7"/>
        <v>1.5080727900000002</v>
      </c>
      <c r="I63" s="10">
        <f t="shared" ref="I63:I66" si="8">F63*G63</f>
        <v>1508.0727900000002</v>
      </c>
    </row>
    <row r="64" spans="1:9" ht="15.75" customHeight="1">
      <c r="A64" s="21">
        <v>27</v>
      </c>
      <c r="B64" s="11" t="s">
        <v>48</v>
      </c>
      <c r="C64" s="13" t="s">
        <v>75</v>
      </c>
      <c r="D64" s="11" t="s">
        <v>52</v>
      </c>
      <c r="E64" s="62">
        <v>1370</v>
      </c>
      <c r="F64" s="10">
        <f>SUM(E64/100)</f>
        <v>13.7</v>
      </c>
      <c r="G64" s="10">
        <v>2217.7800000000002</v>
      </c>
      <c r="H64" s="74">
        <f t="shared" si="7"/>
        <v>30.383586000000005</v>
      </c>
      <c r="I64" s="10">
        <f t="shared" si="8"/>
        <v>30383.586000000003</v>
      </c>
    </row>
    <row r="65" spans="1:9" ht="15.75" customHeight="1">
      <c r="A65" s="21">
        <v>28</v>
      </c>
      <c r="B65" s="75" t="s">
        <v>116</v>
      </c>
      <c r="C65" s="13" t="s">
        <v>31</v>
      </c>
      <c r="D65" s="11"/>
      <c r="E65" s="62">
        <v>9</v>
      </c>
      <c r="F65" s="10">
        <f>SUM(E65)</f>
        <v>9</v>
      </c>
      <c r="G65" s="10">
        <v>42.67</v>
      </c>
      <c r="H65" s="74">
        <f t="shared" si="7"/>
        <v>0.38403000000000004</v>
      </c>
      <c r="I65" s="10">
        <f t="shared" si="8"/>
        <v>384.03000000000003</v>
      </c>
    </row>
    <row r="66" spans="1:9" ht="15.75" customHeight="1">
      <c r="A66" s="21">
        <v>29</v>
      </c>
      <c r="B66" s="75" t="s">
        <v>117</v>
      </c>
      <c r="C66" s="13" t="s">
        <v>31</v>
      </c>
      <c r="D66" s="11"/>
      <c r="E66" s="62">
        <v>9</v>
      </c>
      <c r="F66" s="10">
        <f>SUM(E66)</f>
        <v>9</v>
      </c>
      <c r="G66" s="10">
        <v>39.81</v>
      </c>
      <c r="H66" s="74">
        <f t="shared" si="7"/>
        <v>0.35829</v>
      </c>
      <c r="I66" s="10">
        <f t="shared" si="8"/>
        <v>358.29</v>
      </c>
    </row>
    <row r="67" spans="1:9" ht="15.75" hidden="1" customHeight="1">
      <c r="A67" s="21"/>
      <c r="B67" s="11" t="s">
        <v>55</v>
      </c>
      <c r="C67" s="13" t="s">
        <v>56</v>
      </c>
      <c r="D67" s="11" t="s">
        <v>52</v>
      </c>
      <c r="E67" s="15">
        <v>3</v>
      </c>
      <c r="F67" s="63">
        <v>3</v>
      </c>
      <c r="G67" s="10">
        <v>53.62</v>
      </c>
      <c r="H67" s="74">
        <f t="shared" si="7"/>
        <v>0.16085999999999998</v>
      </c>
      <c r="I67" s="10">
        <v>0</v>
      </c>
    </row>
    <row r="68" spans="1:9" ht="15.75" hidden="1" customHeight="1">
      <c r="A68" s="21"/>
      <c r="B68" s="23" t="s">
        <v>70</v>
      </c>
      <c r="C68" s="13"/>
      <c r="D68" s="11"/>
      <c r="E68" s="15"/>
      <c r="F68" s="10"/>
      <c r="G68" s="10"/>
      <c r="H68" s="74" t="s">
        <v>120</v>
      </c>
      <c r="I68" s="10"/>
    </row>
    <row r="69" spans="1:9" ht="15.75" hidden="1" customHeight="1">
      <c r="A69" s="21"/>
      <c r="B69" s="11" t="s">
        <v>71</v>
      </c>
      <c r="C69" s="13" t="s">
        <v>73</v>
      </c>
      <c r="D69" s="11"/>
      <c r="E69" s="15">
        <v>2</v>
      </c>
      <c r="F69" s="10">
        <v>0.2</v>
      </c>
      <c r="G69" s="10">
        <v>536.23</v>
      </c>
      <c r="H69" s="74">
        <f t="shared" si="7"/>
        <v>0.10724600000000001</v>
      </c>
      <c r="I69" s="10">
        <v>0</v>
      </c>
    </row>
    <row r="70" spans="1:9" ht="15.75" hidden="1" customHeight="1">
      <c r="A70" s="21"/>
      <c r="B70" s="11" t="s">
        <v>72</v>
      </c>
      <c r="C70" s="13" t="s">
        <v>29</v>
      </c>
      <c r="D70" s="11"/>
      <c r="E70" s="15">
        <v>1</v>
      </c>
      <c r="F70" s="56">
        <v>1</v>
      </c>
      <c r="G70" s="10">
        <v>911.85</v>
      </c>
      <c r="H70" s="74">
        <f>F70*G70/1000</f>
        <v>0.91185000000000005</v>
      </c>
      <c r="I70" s="10">
        <v>0</v>
      </c>
    </row>
    <row r="71" spans="1:9" ht="15.75" hidden="1" customHeight="1">
      <c r="A71" s="21"/>
      <c r="B71" s="11" t="s">
        <v>130</v>
      </c>
      <c r="C71" s="13" t="s">
        <v>29</v>
      </c>
      <c r="D71" s="11"/>
      <c r="E71" s="15">
        <v>1</v>
      </c>
      <c r="F71" s="10">
        <v>1</v>
      </c>
      <c r="G71" s="10">
        <v>383.25</v>
      </c>
      <c r="H71" s="74">
        <f>G71*F71/1000</f>
        <v>0.38324999999999998</v>
      </c>
      <c r="I71" s="10">
        <v>0</v>
      </c>
    </row>
    <row r="72" spans="1:9" ht="15.75" hidden="1" customHeight="1">
      <c r="A72" s="21"/>
      <c r="B72" s="76" t="s">
        <v>74</v>
      </c>
      <c r="C72" s="13"/>
      <c r="D72" s="11"/>
      <c r="E72" s="15"/>
      <c r="F72" s="10"/>
      <c r="G72" s="10" t="s">
        <v>120</v>
      </c>
      <c r="H72" s="74" t="s">
        <v>120</v>
      </c>
      <c r="I72" s="10"/>
    </row>
    <row r="73" spans="1:9" ht="15.75" hidden="1" customHeight="1">
      <c r="A73" s="21"/>
      <c r="B73" s="36" t="s">
        <v>121</v>
      </c>
      <c r="C73" s="13" t="s">
        <v>75</v>
      </c>
      <c r="D73" s="11"/>
      <c r="E73" s="15"/>
      <c r="F73" s="10">
        <v>1.35</v>
      </c>
      <c r="G73" s="10">
        <v>2949.85</v>
      </c>
      <c r="H73" s="74">
        <f t="shared" si="7"/>
        <v>3.9822975</v>
      </c>
      <c r="I73" s="10">
        <v>0</v>
      </c>
    </row>
    <row r="74" spans="1:9" ht="15.75" hidden="1" customHeight="1">
      <c r="A74" s="21"/>
      <c r="B74" s="55" t="s">
        <v>93</v>
      </c>
      <c r="C74" s="77"/>
      <c r="D74" s="23"/>
      <c r="E74" s="24"/>
      <c r="F74" s="66"/>
      <c r="G74" s="66"/>
      <c r="H74" s="78">
        <f>SUM(H58:H73)</f>
        <v>70.673694374000007</v>
      </c>
      <c r="I74" s="66"/>
    </row>
    <row r="75" spans="1:9" ht="15.75" hidden="1" customHeight="1">
      <c r="A75" s="21"/>
      <c r="B75" s="60" t="s">
        <v>118</v>
      </c>
      <c r="C75" s="13"/>
      <c r="D75" s="11"/>
      <c r="E75" s="79"/>
      <c r="F75" s="10">
        <v>1</v>
      </c>
      <c r="G75" s="10">
        <v>7101.4</v>
      </c>
      <c r="H75" s="74">
        <f>G75*F75/1000</f>
        <v>7.1013999999999999</v>
      </c>
      <c r="I75" s="10">
        <v>0</v>
      </c>
    </row>
    <row r="76" spans="1:9" ht="15.75" customHeight="1">
      <c r="A76" s="108" t="s">
        <v>135</v>
      </c>
      <c r="B76" s="109"/>
      <c r="C76" s="109"/>
      <c r="D76" s="109"/>
      <c r="E76" s="109"/>
      <c r="F76" s="109"/>
      <c r="G76" s="109"/>
      <c r="H76" s="109"/>
      <c r="I76" s="110"/>
    </row>
    <row r="77" spans="1:9" ht="15.75" customHeight="1">
      <c r="A77" s="21">
        <v>30</v>
      </c>
      <c r="B77" s="60" t="s">
        <v>119</v>
      </c>
      <c r="C77" s="13" t="s">
        <v>53</v>
      </c>
      <c r="D77" s="80" t="s">
        <v>145</v>
      </c>
      <c r="E77" s="10">
        <v>2054.6</v>
      </c>
      <c r="F77" s="10">
        <f>SUM(E77*12)</f>
        <v>24655.199999999997</v>
      </c>
      <c r="G77" s="10">
        <v>2.2400000000000002</v>
      </c>
      <c r="H77" s="74">
        <f>SUM(F77*G77/1000)</f>
        <v>55.227648000000002</v>
      </c>
      <c r="I77" s="10">
        <f>F77/12*G77</f>
        <v>4602.3040000000001</v>
      </c>
    </row>
    <row r="78" spans="1:9" ht="31.5" customHeight="1">
      <c r="A78" s="21">
        <v>31</v>
      </c>
      <c r="B78" s="11" t="s">
        <v>76</v>
      </c>
      <c r="C78" s="13"/>
      <c r="D78" s="80" t="s">
        <v>145</v>
      </c>
      <c r="E78" s="62">
        <f>E77</f>
        <v>2054.6</v>
      </c>
      <c r="F78" s="10">
        <f>E78*12</f>
        <v>24655.199999999997</v>
      </c>
      <c r="G78" s="10">
        <v>1.74</v>
      </c>
      <c r="H78" s="74">
        <f>F78*G78/1000</f>
        <v>42.900047999999998</v>
      </c>
      <c r="I78" s="10">
        <f>F78/12*G78</f>
        <v>3575.0039999999999</v>
      </c>
    </row>
    <row r="79" spans="1:9" ht="15.75" customHeight="1">
      <c r="A79" s="21"/>
      <c r="B79" s="28" t="s">
        <v>78</v>
      </c>
      <c r="C79" s="77"/>
      <c r="D79" s="76"/>
      <c r="E79" s="66"/>
      <c r="F79" s="66"/>
      <c r="G79" s="66"/>
      <c r="H79" s="78">
        <f>H78</f>
        <v>42.900047999999998</v>
      </c>
      <c r="I79" s="66">
        <f>I16+I17+I18+I19+I20+I21+I22+I23+I24+I25+I26+I27+I28+I31+I32+I33+I34+I46+I47+I48+I49+I50+I51+I55+I62+I63+I64+I65+I66+I77+I78</f>
        <v>93529.742437199995</v>
      </c>
    </row>
    <row r="80" spans="1:9" ht="15.75" customHeight="1">
      <c r="A80" s="122" t="s">
        <v>58</v>
      </c>
      <c r="B80" s="123"/>
      <c r="C80" s="123"/>
      <c r="D80" s="123"/>
      <c r="E80" s="123"/>
      <c r="F80" s="123"/>
      <c r="G80" s="123"/>
      <c r="H80" s="123"/>
      <c r="I80" s="124"/>
    </row>
    <row r="81" spans="1:9" ht="15.75" customHeight="1">
      <c r="A81" s="98">
        <v>32</v>
      </c>
      <c r="B81" s="70" t="s">
        <v>171</v>
      </c>
      <c r="C81" s="69" t="s">
        <v>172</v>
      </c>
      <c r="D81" s="70"/>
      <c r="E81" s="71"/>
      <c r="F81" s="72">
        <v>360</v>
      </c>
      <c r="G81" s="56">
        <v>1.2</v>
      </c>
      <c r="H81" s="73">
        <f>F81*G81/1000</f>
        <v>0.432</v>
      </c>
      <c r="I81" s="94">
        <f>G81*120</f>
        <v>144</v>
      </c>
    </row>
    <row r="82" spans="1:9" ht="15.75" customHeight="1">
      <c r="A82" s="21" t="s">
        <v>185</v>
      </c>
      <c r="B82" s="39" t="s">
        <v>122</v>
      </c>
      <c r="C82" s="40" t="s">
        <v>111</v>
      </c>
      <c r="D82" s="36"/>
      <c r="E82" s="10"/>
      <c r="F82" s="10">
        <v>432</v>
      </c>
      <c r="G82" s="10">
        <v>55.55</v>
      </c>
      <c r="H82" s="10">
        <f>G82*F82/1000</f>
        <v>23.997599999999998</v>
      </c>
      <c r="I82" s="10">
        <f>G82*36</f>
        <v>1999.8</v>
      </c>
    </row>
    <row r="83" spans="1:9" ht="31.5" customHeight="1">
      <c r="A83" s="21">
        <v>33</v>
      </c>
      <c r="B83" s="39" t="s">
        <v>191</v>
      </c>
      <c r="C83" s="42" t="s">
        <v>111</v>
      </c>
      <c r="D83" s="36"/>
      <c r="E83" s="10"/>
      <c r="F83" s="10"/>
      <c r="G83" s="99">
        <v>419.84</v>
      </c>
      <c r="H83" s="10"/>
      <c r="I83" s="10">
        <f>G83*1</f>
        <v>419.84</v>
      </c>
    </row>
    <row r="84" spans="1:9" ht="15.75" customHeight="1">
      <c r="A84" s="21"/>
      <c r="B84" s="34" t="s">
        <v>49</v>
      </c>
      <c r="C84" s="30"/>
      <c r="D84" s="37"/>
      <c r="E84" s="30">
        <v>1</v>
      </c>
      <c r="F84" s="30"/>
      <c r="G84" s="30"/>
      <c r="H84" s="30"/>
      <c r="I84" s="24">
        <f>I83+I81</f>
        <v>563.83999999999992</v>
      </c>
    </row>
    <row r="85" spans="1:9" ht="15.75" customHeight="1">
      <c r="A85" s="21"/>
      <c r="B85" s="36" t="s">
        <v>77</v>
      </c>
      <c r="C85" s="12"/>
      <c r="D85" s="12"/>
      <c r="E85" s="31"/>
      <c r="F85" s="31"/>
      <c r="G85" s="32"/>
      <c r="H85" s="32"/>
      <c r="I85" s="14">
        <v>0</v>
      </c>
    </row>
    <row r="86" spans="1:9" ht="15.75" customHeight="1">
      <c r="A86" s="38"/>
      <c r="B86" s="35" t="s">
        <v>163</v>
      </c>
      <c r="C86" s="26"/>
      <c r="D86" s="26"/>
      <c r="E86" s="26"/>
      <c r="F86" s="26"/>
      <c r="G86" s="26"/>
      <c r="H86" s="26"/>
      <c r="I86" s="33">
        <f>I79+I84</f>
        <v>94093.582437199992</v>
      </c>
    </row>
    <row r="87" spans="1:9" ht="15.75" customHeight="1">
      <c r="A87" s="125" t="s">
        <v>184</v>
      </c>
      <c r="B87" s="126"/>
      <c r="C87" s="126"/>
      <c r="D87" s="126"/>
      <c r="E87" s="126"/>
      <c r="F87" s="126"/>
      <c r="G87" s="126"/>
      <c r="H87" s="126"/>
      <c r="I87" s="126"/>
    </row>
    <row r="88" spans="1:9" ht="15.75">
      <c r="A88" s="121" t="s">
        <v>192</v>
      </c>
      <c r="B88" s="121"/>
      <c r="C88" s="121"/>
      <c r="D88" s="121"/>
      <c r="E88" s="121"/>
      <c r="F88" s="121"/>
      <c r="G88" s="121"/>
      <c r="H88" s="121"/>
      <c r="I88" s="121"/>
    </row>
    <row r="89" spans="1:9" ht="15.75">
      <c r="A89" s="48"/>
      <c r="B89" s="116" t="s">
        <v>193</v>
      </c>
      <c r="C89" s="116"/>
      <c r="D89" s="116"/>
      <c r="E89" s="116"/>
      <c r="F89" s="116"/>
      <c r="G89" s="116"/>
      <c r="H89" s="59"/>
      <c r="I89" s="2"/>
    </row>
    <row r="90" spans="1:9">
      <c r="A90" s="51"/>
      <c r="B90" s="112" t="s">
        <v>6</v>
      </c>
      <c r="C90" s="112"/>
      <c r="D90" s="112"/>
      <c r="E90" s="112"/>
      <c r="F90" s="112"/>
      <c r="G90" s="112"/>
      <c r="H90" s="16"/>
      <c r="I90" s="4"/>
    </row>
    <row r="91" spans="1:9">
      <c r="A91" s="7"/>
      <c r="B91" s="7"/>
      <c r="C91" s="7"/>
      <c r="D91" s="7"/>
      <c r="E91" s="7"/>
      <c r="F91" s="7"/>
      <c r="G91" s="7"/>
      <c r="H91" s="7"/>
      <c r="I91" s="7"/>
    </row>
    <row r="92" spans="1:9" ht="15.75">
      <c r="A92" s="117" t="s">
        <v>7</v>
      </c>
      <c r="B92" s="117"/>
      <c r="C92" s="117"/>
      <c r="D92" s="117"/>
      <c r="E92" s="117"/>
      <c r="F92" s="117"/>
      <c r="G92" s="117"/>
      <c r="H92" s="117"/>
      <c r="I92" s="117"/>
    </row>
    <row r="93" spans="1:9" ht="15.75">
      <c r="A93" s="117" t="s">
        <v>8</v>
      </c>
      <c r="B93" s="117"/>
      <c r="C93" s="117"/>
      <c r="D93" s="117"/>
      <c r="E93" s="117"/>
      <c r="F93" s="117"/>
      <c r="G93" s="117"/>
      <c r="H93" s="117"/>
      <c r="I93" s="117"/>
    </row>
    <row r="94" spans="1:9" ht="15.75">
      <c r="A94" s="118" t="s">
        <v>59</v>
      </c>
      <c r="B94" s="118"/>
      <c r="C94" s="118"/>
      <c r="D94" s="118"/>
      <c r="E94" s="118"/>
      <c r="F94" s="118"/>
      <c r="G94" s="118"/>
      <c r="H94" s="118"/>
      <c r="I94" s="118"/>
    </row>
    <row r="95" spans="1:9" ht="15.75">
      <c r="A95" s="8"/>
    </row>
    <row r="96" spans="1:9" ht="15.75">
      <c r="A96" s="119" t="s">
        <v>9</v>
      </c>
      <c r="B96" s="119"/>
      <c r="C96" s="119"/>
      <c r="D96" s="119"/>
      <c r="E96" s="119"/>
      <c r="F96" s="119"/>
      <c r="G96" s="119"/>
      <c r="H96" s="119"/>
      <c r="I96" s="119"/>
    </row>
    <row r="97" spans="1:9" ht="15.75">
      <c r="A97" s="3"/>
    </row>
    <row r="98" spans="1:9" ht="15.75">
      <c r="B98" s="52" t="s">
        <v>10</v>
      </c>
      <c r="C98" s="111" t="s">
        <v>136</v>
      </c>
      <c r="D98" s="111"/>
      <c r="E98" s="111"/>
      <c r="F98" s="57"/>
      <c r="I98" s="50"/>
    </row>
    <row r="99" spans="1:9">
      <c r="A99" s="51"/>
      <c r="C99" s="112" t="s">
        <v>11</v>
      </c>
      <c r="D99" s="112"/>
      <c r="E99" s="112"/>
      <c r="F99" s="16"/>
      <c r="I99" s="49" t="s">
        <v>12</v>
      </c>
    </row>
    <row r="100" spans="1:9" ht="15.75">
      <c r="A100" s="17"/>
      <c r="C100" s="9"/>
      <c r="D100" s="9"/>
      <c r="G100" s="9"/>
      <c r="H100" s="9"/>
    </row>
    <row r="101" spans="1:9" ht="15.75">
      <c r="B101" s="52" t="s">
        <v>13</v>
      </c>
      <c r="C101" s="113"/>
      <c r="D101" s="113"/>
      <c r="E101" s="113"/>
      <c r="F101" s="58"/>
      <c r="I101" s="50"/>
    </row>
    <row r="102" spans="1:9">
      <c r="A102" s="51"/>
      <c r="C102" s="114" t="s">
        <v>11</v>
      </c>
      <c r="D102" s="114"/>
      <c r="E102" s="114"/>
      <c r="F102" s="51"/>
      <c r="I102" s="49" t="s">
        <v>12</v>
      </c>
    </row>
    <row r="103" spans="1:9" ht="15.75">
      <c r="A103" s="3" t="s">
        <v>14</v>
      </c>
    </row>
    <row r="104" spans="1:9">
      <c r="A104" s="115" t="s">
        <v>15</v>
      </c>
      <c r="B104" s="115"/>
      <c r="C104" s="115"/>
      <c r="D104" s="115"/>
      <c r="E104" s="115"/>
      <c r="F104" s="115"/>
      <c r="G104" s="115"/>
      <c r="H104" s="115"/>
      <c r="I104" s="115"/>
    </row>
    <row r="105" spans="1:9" ht="45" customHeight="1">
      <c r="A105" s="107" t="s">
        <v>16</v>
      </c>
      <c r="B105" s="107"/>
      <c r="C105" s="107"/>
      <c r="D105" s="107"/>
      <c r="E105" s="107"/>
      <c r="F105" s="107"/>
      <c r="G105" s="107"/>
      <c r="H105" s="107"/>
      <c r="I105" s="107"/>
    </row>
    <row r="106" spans="1:9" ht="30" customHeight="1">
      <c r="A106" s="107" t="s">
        <v>17</v>
      </c>
      <c r="B106" s="107"/>
      <c r="C106" s="107"/>
      <c r="D106" s="107"/>
      <c r="E106" s="107"/>
      <c r="F106" s="107"/>
      <c r="G106" s="107"/>
      <c r="H106" s="107"/>
      <c r="I106" s="107"/>
    </row>
    <row r="107" spans="1:9" ht="30" customHeight="1">
      <c r="A107" s="107" t="s">
        <v>21</v>
      </c>
      <c r="B107" s="107"/>
      <c r="C107" s="107"/>
      <c r="D107" s="107"/>
      <c r="E107" s="107"/>
      <c r="F107" s="107"/>
      <c r="G107" s="107"/>
      <c r="H107" s="107"/>
      <c r="I107" s="107"/>
    </row>
    <row r="108" spans="1:9" ht="15" customHeight="1">
      <c r="A108" s="107" t="s">
        <v>20</v>
      </c>
      <c r="B108" s="107"/>
      <c r="C108" s="107"/>
      <c r="D108" s="107"/>
      <c r="E108" s="107"/>
      <c r="F108" s="107"/>
      <c r="G108" s="107"/>
      <c r="H108" s="107"/>
      <c r="I108" s="107"/>
    </row>
  </sheetData>
  <mergeCells count="29">
    <mergeCell ref="A106:I106"/>
    <mergeCell ref="A107:I107"/>
    <mergeCell ref="A108:I108"/>
    <mergeCell ref="C98:E98"/>
    <mergeCell ref="C99:E99"/>
    <mergeCell ref="C101:E101"/>
    <mergeCell ref="C102:E102"/>
    <mergeCell ref="A104:I104"/>
    <mergeCell ref="A105:I105"/>
    <mergeCell ref="A96:I96"/>
    <mergeCell ref="A15:I15"/>
    <mergeCell ref="A29:I29"/>
    <mergeCell ref="A45:I45"/>
    <mergeCell ref="A56:I56"/>
    <mergeCell ref="A76:I76"/>
    <mergeCell ref="A88:I88"/>
    <mergeCell ref="B89:G89"/>
    <mergeCell ref="B90:G90"/>
    <mergeCell ref="A92:I92"/>
    <mergeCell ref="A93:I93"/>
    <mergeCell ref="A94:I94"/>
    <mergeCell ref="A87:I87"/>
    <mergeCell ref="A14:I14"/>
    <mergeCell ref="A80:I80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107"/>
  <sheetViews>
    <sheetView topLeftCell="A76" workbookViewId="0">
      <selection activeCell="B82" sqref="B82:I82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0" hidden="1" customWidth="1"/>
    <col min="6" max="6" width="5.42578125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85</v>
      </c>
      <c r="I1" s="18"/>
    </row>
    <row r="2" spans="1:9" ht="15.75">
      <c r="A2" s="20" t="s">
        <v>60</v>
      </c>
    </row>
    <row r="3" spans="1:9" ht="15.75">
      <c r="A3" s="128" t="s">
        <v>152</v>
      </c>
      <c r="B3" s="128"/>
      <c r="C3" s="128"/>
      <c r="D3" s="128"/>
      <c r="E3" s="128"/>
      <c r="F3" s="128"/>
      <c r="G3" s="128"/>
      <c r="H3" s="128"/>
      <c r="I3" s="128"/>
    </row>
    <row r="4" spans="1:9" ht="31.5" customHeight="1">
      <c r="A4" s="129" t="s">
        <v>132</v>
      </c>
      <c r="B4" s="129"/>
      <c r="C4" s="129"/>
      <c r="D4" s="129"/>
      <c r="E4" s="129"/>
      <c r="F4" s="129"/>
      <c r="G4" s="129"/>
      <c r="H4" s="129"/>
      <c r="I4" s="129"/>
    </row>
    <row r="5" spans="1:9" ht="15.75">
      <c r="A5" s="128" t="s">
        <v>186</v>
      </c>
      <c r="B5" s="130"/>
      <c r="C5" s="130"/>
      <c r="D5" s="130"/>
      <c r="E5" s="130"/>
      <c r="F5" s="130"/>
      <c r="G5" s="130"/>
      <c r="H5" s="130"/>
      <c r="I5" s="130"/>
    </row>
    <row r="6" spans="1:9" ht="15.75">
      <c r="A6" s="1"/>
      <c r="B6" s="54"/>
      <c r="C6" s="54"/>
      <c r="D6" s="54"/>
      <c r="E6" s="54"/>
      <c r="F6" s="54"/>
      <c r="G6" s="54"/>
      <c r="H6" s="54"/>
      <c r="I6" s="22">
        <v>43281</v>
      </c>
    </row>
    <row r="7" spans="1:9" ht="15.75">
      <c r="B7" s="52"/>
      <c r="C7" s="52"/>
      <c r="D7" s="52"/>
      <c r="E7" s="2"/>
      <c r="F7" s="2"/>
      <c r="G7" s="2"/>
      <c r="H7" s="2"/>
    </row>
    <row r="8" spans="1:9" ht="78.75" customHeight="1">
      <c r="A8" s="131" t="s">
        <v>158</v>
      </c>
      <c r="B8" s="131"/>
      <c r="C8" s="131"/>
      <c r="D8" s="131"/>
      <c r="E8" s="131"/>
      <c r="F8" s="131"/>
      <c r="G8" s="131"/>
      <c r="H8" s="131"/>
      <c r="I8" s="131"/>
    </row>
    <row r="9" spans="1:9" ht="15.75">
      <c r="A9" s="3"/>
    </row>
    <row r="10" spans="1:9" ht="47.25" customHeight="1">
      <c r="A10" s="132" t="s">
        <v>159</v>
      </c>
      <c r="B10" s="132"/>
      <c r="C10" s="132"/>
      <c r="D10" s="132"/>
      <c r="E10" s="132"/>
      <c r="F10" s="132"/>
      <c r="G10" s="132"/>
      <c r="H10" s="132"/>
      <c r="I10" s="132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>
      <c r="A14" s="127" t="s">
        <v>57</v>
      </c>
      <c r="B14" s="127"/>
      <c r="C14" s="127"/>
      <c r="D14" s="127"/>
      <c r="E14" s="127"/>
      <c r="F14" s="127"/>
      <c r="G14" s="127"/>
      <c r="H14" s="127"/>
      <c r="I14" s="127"/>
    </row>
    <row r="15" spans="1:9">
      <c r="A15" s="120" t="s">
        <v>4</v>
      </c>
      <c r="B15" s="120"/>
      <c r="C15" s="120"/>
      <c r="D15" s="120"/>
      <c r="E15" s="120"/>
      <c r="F15" s="120"/>
      <c r="G15" s="120"/>
      <c r="H15" s="120"/>
      <c r="I15" s="120"/>
    </row>
    <row r="16" spans="1:9" ht="15.75" customHeight="1">
      <c r="A16" s="21">
        <v>1</v>
      </c>
      <c r="B16" s="60" t="s">
        <v>86</v>
      </c>
      <c r="C16" s="61" t="s">
        <v>87</v>
      </c>
      <c r="D16" s="60" t="s">
        <v>160</v>
      </c>
      <c r="E16" s="62">
        <v>55</v>
      </c>
      <c r="F16" s="63">
        <f>SUM(E16*156/100)</f>
        <v>85.8</v>
      </c>
      <c r="G16" s="63">
        <v>187.48</v>
      </c>
      <c r="H16" s="64">
        <f t="shared" ref="H16:H26" si="0">SUM(F16*G16/1000)</f>
        <v>16.085783999999997</v>
      </c>
      <c r="I16" s="10">
        <f>F16/12*G16</f>
        <v>1340.4819999999997</v>
      </c>
    </row>
    <row r="17" spans="1:9" ht="15.75" customHeight="1">
      <c r="A17" s="21">
        <v>2</v>
      </c>
      <c r="B17" s="60" t="s">
        <v>123</v>
      </c>
      <c r="C17" s="61" t="s">
        <v>87</v>
      </c>
      <c r="D17" s="60" t="s">
        <v>161</v>
      </c>
      <c r="E17" s="62">
        <v>165</v>
      </c>
      <c r="F17" s="63">
        <f>SUM(E17*104/100)</f>
        <v>171.6</v>
      </c>
      <c r="G17" s="63">
        <v>187.48</v>
      </c>
      <c r="H17" s="64">
        <f t="shared" si="0"/>
        <v>32.171567999999994</v>
      </c>
      <c r="I17" s="10">
        <f>F17/12*G17</f>
        <v>2680.9639999999995</v>
      </c>
    </row>
    <row r="18" spans="1:9" ht="15.75" customHeight="1">
      <c r="A18" s="21">
        <v>3</v>
      </c>
      <c r="B18" s="60" t="s">
        <v>124</v>
      </c>
      <c r="C18" s="61" t="s">
        <v>87</v>
      </c>
      <c r="D18" s="60" t="s">
        <v>162</v>
      </c>
      <c r="E18" s="62">
        <f>SUM(E16+E17)</f>
        <v>220</v>
      </c>
      <c r="F18" s="63">
        <f>SUM(E18*24/100)</f>
        <v>52.8</v>
      </c>
      <c r="G18" s="63">
        <v>539.30999999999995</v>
      </c>
      <c r="H18" s="64">
        <f t="shared" si="0"/>
        <v>28.475567999999996</v>
      </c>
      <c r="I18" s="10">
        <f>F18/12*G18</f>
        <v>2372.9639999999995</v>
      </c>
    </row>
    <row r="19" spans="1:9" ht="15.75" hidden="1" customHeight="1">
      <c r="A19" s="21">
        <v>4</v>
      </c>
      <c r="B19" s="60" t="s">
        <v>94</v>
      </c>
      <c r="C19" s="61" t="s">
        <v>95</v>
      </c>
      <c r="D19" s="60" t="s">
        <v>96</v>
      </c>
      <c r="E19" s="62">
        <v>32.4</v>
      </c>
      <c r="F19" s="63">
        <f>SUM(E19/10)</f>
        <v>3.2399999999999998</v>
      </c>
      <c r="G19" s="63">
        <v>181.91</v>
      </c>
      <c r="H19" s="64">
        <f t="shared" si="0"/>
        <v>0.58938839999999992</v>
      </c>
      <c r="I19" s="10">
        <v>0</v>
      </c>
    </row>
    <row r="20" spans="1:9" ht="15.75" customHeight="1">
      <c r="A20" s="21">
        <v>4</v>
      </c>
      <c r="B20" s="60" t="s">
        <v>97</v>
      </c>
      <c r="C20" s="61" t="s">
        <v>87</v>
      </c>
      <c r="D20" s="60" t="s">
        <v>125</v>
      </c>
      <c r="E20" s="62">
        <v>12.24</v>
      </c>
      <c r="F20" s="63">
        <f>SUM(E20*12/100)</f>
        <v>1.4687999999999999</v>
      </c>
      <c r="G20" s="63">
        <v>232.92</v>
      </c>
      <c r="H20" s="64">
        <f t="shared" si="0"/>
        <v>0.342112896</v>
      </c>
      <c r="I20" s="10">
        <f>F20/12*G20</f>
        <v>28.509407999999997</v>
      </c>
    </row>
    <row r="21" spans="1:9" ht="15.75" hidden="1" customHeight="1">
      <c r="A21" s="21">
        <v>5</v>
      </c>
      <c r="B21" s="60" t="s">
        <v>98</v>
      </c>
      <c r="C21" s="61" t="s">
        <v>87</v>
      </c>
      <c r="D21" s="60" t="s">
        <v>126</v>
      </c>
      <c r="E21" s="62">
        <v>10.08</v>
      </c>
      <c r="F21" s="63">
        <f>SUM(E21*6/100)</f>
        <v>0.6048</v>
      </c>
      <c r="G21" s="63">
        <v>231.03</v>
      </c>
      <c r="H21" s="64">
        <f t="shared" si="0"/>
        <v>0.13972694399999999</v>
      </c>
      <c r="I21" s="10">
        <f>F21/6*G21</f>
        <v>23.287824000000001</v>
      </c>
    </row>
    <row r="22" spans="1:9" ht="15.75" hidden="1" customHeight="1">
      <c r="A22" s="21">
        <v>7</v>
      </c>
      <c r="B22" s="60" t="s">
        <v>99</v>
      </c>
      <c r="C22" s="61" t="s">
        <v>51</v>
      </c>
      <c r="D22" s="60" t="s">
        <v>96</v>
      </c>
      <c r="E22" s="62">
        <v>293.76</v>
      </c>
      <c r="F22" s="63">
        <f>SUM(E22/100)</f>
        <v>2.9375999999999998</v>
      </c>
      <c r="G22" s="63">
        <v>287.83999999999997</v>
      </c>
      <c r="H22" s="64">
        <f t="shared" si="0"/>
        <v>0.84555878399999984</v>
      </c>
      <c r="I22" s="10">
        <v>0</v>
      </c>
    </row>
    <row r="23" spans="1:9" ht="15.75" hidden="1" customHeight="1">
      <c r="A23" s="21">
        <v>8</v>
      </c>
      <c r="B23" s="60" t="s">
        <v>100</v>
      </c>
      <c r="C23" s="61" t="s">
        <v>51</v>
      </c>
      <c r="D23" s="60" t="s">
        <v>96</v>
      </c>
      <c r="E23" s="65">
        <v>17.64</v>
      </c>
      <c r="F23" s="63">
        <f>SUM(E23/100)</f>
        <v>0.1764</v>
      </c>
      <c r="G23" s="63">
        <v>47.34</v>
      </c>
      <c r="H23" s="64">
        <f t="shared" si="0"/>
        <v>8.3507760000000007E-3</v>
      </c>
      <c r="I23" s="10">
        <v>0</v>
      </c>
    </row>
    <row r="24" spans="1:9" ht="15.75" hidden="1" customHeight="1">
      <c r="A24" s="21">
        <v>9</v>
      </c>
      <c r="B24" s="60" t="s">
        <v>101</v>
      </c>
      <c r="C24" s="61" t="s">
        <v>51</v>
      </c>
      <c r="D24" s="60" t="s">
        <v>102</v>
      </c>
      <c r="E24" s="62">
        <v>10.8</v>
      </c>
      <c r="F24" s="63">
        <f>E24/100</f>
        <v>0.10800000000000001</v>
      </c>
      <c r="G24" s="63">
        <v>416.62</v>
      </c>
      <c r="H24" s="64">
        <f t="shared" si="0"/>
        <v>4.4994960000000007E-2</v>
      </c>
      <c r="I24" s="10">
        <v>0</v>
      </c>
    </row>
    <row r="25" spans="1:9" ht="15.75" hidden="1" customHeight="1">
      <c r="A25" s="21">
        <v>10</v>
      </c>
      <c r="B25" s="60" t="s">
        <v>103</v>
      </c>
      <c r="C25" s="61" t="s">
        <v>51</v>
      </c>
      <c r="D25" s="60" t="s">
        <v>52</v>
      </c>
      <c r="E25" s="62">
        <v>12.6</v>
      </c>
      <c r="F25" s="63">
        <f>E25/100</f>
        <v>0.126</v>
      </c>
      <c r="G25" s="63">
        <v>231.03</v>
      </c>
      <c r="H25" s="64">
        <f>G25*F25/1000</f>
        <v>2.9109780000000002E-2</v>
      </c>
      <c r="I25" s="10">
        <v>0</v>
      </c>
    </row>
    <row r="26" spans="1:9" ht="15.75" hidden="1" customHeight="1">
      <c r="A26" s="21">
        <v>11</v>
      </c>
      <c r="B26" s="60" t="s">
        <v>104</v>
      </c>
      <c r="C26" s="61" t="s">
        <v>51</v>
      </c>
      <c r="D26" s="60" t="s">
        <v>96</v>
      </c>
      <c r="E26" s="62">
        <v>14.4</v>
      </c>
      <c r="F26" s="63">
        <f>SUM(E26/100)</f>
        <v>0.14400000000000002</v>
      </c>
      <c r="G26" s="63">
        <v>556.74</v>
      </c>
      <c r="H26" s="64">
        <f t="shared" si="0"/>
        <v>8.0170560000000016E-2</v>
      </c>
      <c r="I26" s="10">
        <v>0</v>
      </c>
    </row>
    <row r="27" spans="1:9" ht="15.75" customHeight="1">
      <c r="A27" s="21">
        <v>5</v>
      </c>
      <c r="B27" s="60" t="s">
        <v>62</v>
      </c>
      <c r="C27" s="61" t="s">
        <v>31</v>
      </c>
      <c r="D27" s="60"/>
      <c r="E27" s="62">
        <v>0.1</v>
      </c>
      <c r="F27" s="63">
        <f>SUM(E27*365)</f>
        <v>36.5</v>
      </c>
      <c r="G27" s="63">
        <v>157.18</v>
      </c>
      <c r="H27" s="64">
        <f>SUM(F27*G27/1000)</f>
        <v>5.737070000000001</v>
      </c>
      <c r="I27" s="10">
        <f>F27/12*G27</f>
        <v>478.08916666666664</v>
      </c>
    </row>
    <row r="28" spans="1:9" ht="15.75" customHeight="1">
      <c r="A28" s="21">
        <v>6</v>
      </c>
      <c r="B28" s="68" t="s">
        <v>23</v>
      </c>
      <c r="C28" s="61" t="s">
        <v>24</v>
      </c>
      <c r="D28" s="60"/>
      <c r="E28" s="62">
        <v>2054.6</v>
      </c>
      <c r="F28" s="63">
        <f>SUM(E28*12)</f>
        <v>24655.199999999997</v>
      </c>
      <c r="G28" s="63">
        <v>6.15</v>
      </c>
      <c r="H28" s="64">
        <f>SUM(F28*G28/1000)</f>
        <v>151.62947999999997</v>
      </c>
      <c r="I28" s="10">
        <f>F28/12*G28</f>
        <v>12635.79</v>
      </c>
    </row>
    <row r="29" spans="1:9" ht="15.75" customHeight="1">
      <c r="A29" s="108" t="s">
        <v>84</v>
      </c>
      <c r="B29" s="109"/>
      <c r="C29" s="109"/>
      <c r="D29" s="109"/>
      <c r="E29" s="109"/>
      <c r="F29" s="109"/>
      <c r="G29" s="109"/>
      <c r="H29" s="109"/>
      <c r="I29" s="110"/>
    </row>
    <row r="30" spans="1:9" ht="15.75" customHeight="1">
      <c r="A30" s="21"/>
      <c r="B30" s="81" t="s">
        <v>27</v>
      </c>
      <c r="C30" s="61"/>
      <c r="D30" s="60"/>
      <c r="E30" s="62"/>
      <c r="F30" s="63"/>
      <c r="G30" s="63"/>
      <c r="H30" s="64"/>
      <c r="I30" s="10"/>
    </row>
    <row r="31" spans="1:9" ht="15.75" customHeight="1">
      <c r="A31" s="21">
        <v>7</v>
      </c>
      <c r="B31" s="60" t="s">
        <v>109</v>
      </c>
      <c r="C31" s="61" t="s">
        <v>90</v>
      </c>
      <c r="D31" s="60" t="s">
        <v>164</v>
      </c>
      <c r="E31" s="63">
        <v>600.63</v>
      </c>
      <c r="F31" s="63">
        <f>SUM(E31*52/1000)</f>
        <v>31.232759999999999</v>
      </c>
      <c r="G31" s="63">
        <v>166.65</v>
      </c>
      <c r="H31" s="64">
        <f t="shared" ref="H31:H36" si="1">SUM(F31*G31/1000)</f>
        <v>5.2049394540000007</v>
      </c>
      <c r="I31" s="10">
        <f>F31/6*G31</f>
        <v>867.4899089999999</v>
      </c>
    </row>
    <row r="32" spans="1:9" ht="31.5" customHeight="1">
      <c r="A32" s="21">
        <v>8</v>
      </c>
      <c r="B32" s="60" t="s">
        <v>108</v>
      </c>
      <c r="C32" s="61" t="s">
        <v>90</v>
      </c>
      <c r="D32" s="60" t="s">
        <v>165</v>
      </c>
      <c r="E32" s="63">
        <v>186.39</v>
      </c>
      <c r="F32" s="63">
        <f>SUM(E32*78/1000)</f>
        <v>14.538419999999999</v>
      </c>
      <c r="G32" s="63">
        <v>276.48</v>
      </c>
      <c r="H32" s="64">
        <f t="shared" si="1"/>
        <v>4.0195823615999995</v>
      </c>
      <c r="I32" s="10">
        <f t="shared" ref="I32:I34" si="2">F32/6*G32</f>
        <v>669.93039359999989</v>
      </c>
    </row>
    <row r="33" spans="1:9" ht="15.75" hidden="1" customHeight="1">
      <c r="A33" s="21">
        <v>16</v>
      </c>
      <c r="B33" s="60" t="s">
        <v>26</v>
      </c>
      <c r="C33" s="61" t="s">
        <v>90</v>
      </c>
      <c r="D33" s="60" t="s">
        <v>52</v>
      </c>
      <c r="E33" s="63">
        <v>600.63</v>
      </c>
      <c r="F33" s="63">
        <f>SUM(E33/1000)</f>
        <v>0.60063</v>
      </c>
      <c r="G33" s="63">
        <v>3228.73</v>
      </c>
      <c r="H33" s="64">
        <f t="shared" si="1"/>
        <v>1.9392720999000002</v>
      </c>
      <c r="I33" s="10">
        <f>F33*G33</f>
        <v>1939.2720999000001</v>
      </c>
    </row>
    <row r="34" spans="1:9" ht="15.75" customHeight="1">
      <c r="A34" s="21">
        <v>9</v>
      </c>
      <c r="B34" s="60" t="s">
        <v>107</v>
      </c>
      <c r="C34" s="61" t="s">
        <v>29</v>
      </c>
      <c r="D34" s="60" t="s">
        <v>61</v>
      </c>
      <c r="E34" s="67">
        <v>0.33333333333333331</v>
      </c>
      <c r="F34" s="63">
        <f>155/3</f>
        <v>51.666666666666664</v>
      </c>
      <c r="G34" s="63">
        <v>60.6</v>
      </c>
      <c r="H34" s="64">
        <f>SUM(G34*155/3/1000)</f>
        <v>3.1309999999999998</v>
      </c>
      <c r="I34" s="10">
        <f t="shared" si="2"/>
        <v>521.83333333333337</v>
      </c>
    </row>
    <row r="35" spans="1:9" ht="15.75" hidden="1" customHeight="1">
      <c r="A35" s="21"/>
      <c r="B35" s="60" t="s">
        <v>63</v>
      </c>
      <c r="C35" s="61" t="s">
        <v>31</v>
      </c>
      <c r="D35" s="60" t="s">
        <v>65</v>
      </c>
      <c r="E35" s="62"/>
      <c r="F35" s="63">
        <v>2</v>
      </c>
      <c r="G35" s="63">
        <v>204.52</v>
      </c>
      <c r="H35" s="64">
        <f t="shared" si="1"/>
        <v>0.40904000000000001</v>
      </c>
      <c r="I35" s="10">
        <v>0</v>
      </c>
    </row>
    <row r="36" spans="1:9" ht="15.75" hidden="1" customHeight="1">
      <c r="A36" s="21"/>
      <c r="B36" s="60" t="s">
        <v>64</v>
      </c>
      <c r="C36" s="61" t="s">
        <v>30</v>
      </c>
      <c r="D36" s="60" t="s">
        <v>65</v>
      </c>
      <c r="E36" s="62"/>
      <c r="F36" s="63">
        <v>1</v>
      </c>
      <c r="G36" s="63">
        <v>1214.74</v>
      </c>
      <c r="H36" s="64">
        <f t="shared" si="1"/>
        <v>1.2147399999999999</v>
      </c>
      <c r="I36" s="10">
        <v>0</v>
      </c>
    </row>
    <row r="37" spans="1:9" ht="15.75" hidden="1" customHeight="1">
      <c r="A37" s="21"/>
      <c r="B37" s="81" t="s">
        <v>5</v>
      </c>
      <c r="C37" s="61"/>
      <c r="D37" s="60"/>
      <c r="E37" s="62"/>
      <c r="F37" s="63"/>
      <c r="G37" s="63"/>
      <c r="H37" s="64" t="s">
        <v>120</v>
      </c>
      <c r="I37" s="10"/>
    </row>
    <row r="38" spans="1:9" ht="15.75" hidden="1" customHeight="1">
      <c r="A38" s="21">
        <v>8</v>
      </c>
      <c r="B38" s="60" t="s">
        <v>25</v>
      </c>
      <c r="C38" s="61" t="s">
        <v>30</v>
      </c>
      <c r="D38" s="60"/>
      <c r="E38" s="62"/>
      <c r="F38" s="63">
        <v>5</v>
      </c>
      <c r="G38" s="63">
        <v>1632.6</v>
      </c>
      <c r="H38" s="64">
        <f t="shared" ref="H38:H44" si="3">SUM(F38*G38/1000)</f>
        <v>8.1630000000000003</v>
      </c>
      <c r="I38" s="10">
        <f>F38/6*G38</f>
        <v>1360.5</v>
      </c>
    </row>
    <row r="39" spans="1:9" ht="15.75" hidden="1" customHeight="1">
      <c r="A39" s="21">
        <v>9</v>
      </c>
      <c r="B39" s="60" t="s">
        <v>127</v>
      </c>
      <c r="C39" s="61" t="s">
        <v>28</v>
      </c>
      <c r="D39" s="60" t="s">
        <v>88</v>
      </c>
      <c r="E39" s="62">
        <v>186.39</v>
      </c>
      <c r="F39" s="63">
        <f>E39*30/1000</f>
        <v>5.5916999999999994</v>
      </c>
      <c r="G39" s="63">
        <v>2247.8000000000002</v>
      </c>
      <c r="H39" s="64">
        <f>G39*F39/1000</f>
        <v>12.56902326</v>
      </c>
      <c r="I39" s="10">
        <f>F39/6*G39</f>
        <v>2094.8372100000001</v>
      </c>
    </row>
    <row r="40" spans="1:9" ht="15.75" hidden="1" customHeight="1">
      <c r="A40" s="21"/>
      <c r="B40" s="60" t="s">
        <v>138</v>
      </c>
      <c r="C40" s="61" t="s">
        <v>139</v>
      </c>
      <c r="D40" s="60" t="s">
        <v>65</v>
      </c>
      <c r="E40" s="62"/>
      <c r="F40" s="63">
        <v>72.3</v>
      </c>
      <c r="G40" s="63">
        <v>199.44</v>
      </c>
      <c r="H40" s="64">
        <f>G40*F40/1000</f>
        <v>14.419511999999999</v>
      </c>
      <c r="I40" s="10">
        <v>0</v>
      </c>
    </row>
    <row r="41" spans="1:9" ht="15.75" hidden="1" customHeight="1">
      <c r="A41" s="21">
        <v>10</v>
      </c>
      <c r="B41" s="60" t="s">
        <v>66</v>
      </c>
      <c r="C41" s="61" t="s">
        <v>28</v>
      </c>
      <c r="D41" s="60" t="s">
        <v>89</v>
      </c>
      <c r="E41" s="63">
        <v>186.39</v>
      </c>
      <c r="F41" s="63">
        <f>SUM(E41*155/1000)</f>
        <v>28.890449999999998</v>
      </c>
      <c r="G41" s="63">
        <v>374.95</v>
      </c>
      <c r="H41" s="64">
        <f t="shared" si="3"/>
        <v>10.832474227499999</v>
      </c>
      <c r="I41" s="10">
        <f>F41/6*G41</f>
        <v>1805.4123712499998</v>
      </c>
    </row>
    <row r="42" spans="1:9" ht="47.25" hidden="1" customHeight="1">
      <c r="A42" s="21">
        <v>11</v>
      </c>
      <c r="B42" s="60" t="s">
        <v>82</v>
      </c>
      <c r="C42" s="61" t="s">
        <v>90</v>
      </c>
      <c r="D42" s="60" t="s">
        <v>128</v>
      </c>
      <c r="E42" s="63">
        <v>52.2</v>
      </c>
      <c r="F42" s="63">
        <f>SUM(E42*35/1000)</f>
        <v>1.827</v>
      </c>
      <c r="G42" s="63">
        <v>6203.7</v>
      </c>
      <c r="H42" s="64">
        <f t="shared" si="3"/>
        <v>11.3341599</v>
      </c>
      <c r="I42" s="10">
        <f>F42/6*G42</f>
        <v>1889.0266499999998</v>
      </c>
    </row>
    <row r="43" spans="1:9" ht="15.75" hidden="1" customHeight="1">
      <c r="A43" s="21">
        <v>12</v>
      </c>
      <c r="B43" s="60" t="s">
        <v>129</v>
      </c>
      <c r="C43" s="61" t="s">
        <v>90</v>
      </c>
      <c r="D43" s="60" t="s">
        <v>67</v>
      </c>
      <c r="E43" s="63">
        <v>52.2</v>
      </c>
      <c r="F43" s="63">
        <f>SUM(E43*45/1000)</f>
        <v>2.3490000000000002</v>
      </c>
      <c r="G43" s="63">
        <v>458.28</v>
      </c>
      <c r="H43" s="64">
        <f t="shared" si="3"/>
        <v>1.0764997199999999</v>
      </c>
      <c r="I43" s="10">
        <f>F43/6*G43</f>
        <v>179.41661999999999</v>
      </c>
    </row>
    <row r="44" spans="1:9" ht="15.75" hidden="1" customHeight="1">
      <c r="A44" s="21">
        <v>13</v>
      </c>
      <c r="B44" s="60" t="s">
        <v>68</v>
      </c>
      <c r="C44" s="61" t="s">
        <v>31</v>
      </c>
      <c r="D44" s="60"/>
      <c r="E44" s="62"/>
      <c r="F44" s="63">
        <v>0.5</v>
      </c>
      <c r="G44" s="63">
        <v>853.06</v>
      </c>
      <c r="H44" s="64">
        <f t="shared" si="3"/>
        <v>0.42652999999999996</v>
      </c>
      <c r="I44" s="10">
        <f>F44/6*G44</f>
        <v>71.088333333333324</v>
      </c>
    </row>
    <row r="45" spans="1:9" ht="15.75" hidden="1" customHeight="1">
      <c r="A45" s="108" t="s">
        <v>133</v>
      </c>
      <c r="B45" s="109"/>
      <c r="C45" s="109"/>
      <c r="D45" s="109"/>
      <c r="E45" s="109"/>
      <c r="F45" s="109"/>
      <c r="G45" s="109"/>
      <c r="H45" s="109"/>
      <c r="I45" s="110"/>
    </row>
    <row r="46" spans="1:9" ht="15.75" hidden="1" customHeight="1">
      <c r="A46" s="21"/>
      <c r="B46" s="60" t="s">
        <v>110</v>
      </c>
      <c r="C46" s="61" t="s">
        <v>90</v>
      </c>
      <c r="D46" s="60" t="s">
        <v>41</v>
      </c>
      <c r="E46" s="62">
        <v>917.75</v>
      </c>
      <c r="F46" s="63">
        <f>SUM(E46*2/1000)</f>
        <v>1.8354999999999999</v>
      </c>
      <c r="G46" s="10">
        <v>865.61</v>
      </c>
      <c r="H46" s="64">
        <f t="shared" ref="H46:H55" si="4">SUM(F46*G46/1000)</f>
        <v>1.5888271549999999</v>
      </c>
      <c r="I46" s="10">
        <v>0</v>
      </c>
    </row>
    <row r="47" spans="1:9" ht="15.75" hidden="1" customHeight="1">
      <c r="A47" s="21"/>
      <c r="B47" s="60" t="s">
        <v>34</v>
      </c>
      <c r="C47" s="61" t="s">
        <v>90</v>
      </c>
      <c r="D47" s="60" t="s">
        <v>41</v>
      </c>
      <c r="E47" s="62">
        <v>48</v>
      </c>
      <c r="F47" s="63">
        <f>E47*2/1000</f>
        <v>9.6000000000000002E-2</v>
      </c>
      <c r="G47" s="10">
        <v>619.46</v>
      </c>
      <c r="H47" s="64">
        <f t="shared" si="4"/>
        <v>5.9468160000000006E-2</v>
      </c>
      <c r="I47" s="10">
        <v>0</v>
      </c>
    </row>
    <row r="48" spans="1:9" ht="15.75" hidden="1" customHeight="1">
      <c r="A48" s="21"/>
      <c r="B48" s="60" t="s">
        <v>35</v>
      </c>
      <c r="C48" s="61" t="s">
        <v>90</v>
      </c>
      <c r="D48" s="60" t="s">
        <v>41</v>
      </c>
      <c r="E48" s="62">
        <v>937.4</v>
      </c>
      <c r="F48" s="63">
        <f>SUM(E48*2/1000)</f>
        <v>1.8748</v>
      </c>
      <c r="G48" s="10">
        <v>619.46</v>
      </c>
      <c r="H48" s="64">
        <f t="shared" si="4"/>
        <v>1.161363608</v>
      </c>
      <c r="I48" s="10">
        <v>0</v>
      </c>
    </row>
    <row r="49" spans="1:9" ht="15.75" hidden="1" customHeight="1">
      <c r="A49" s="21"/>
      <c r="B49" s="60" t="s">
        <v>36</v>
      </c>
      <c r="C49" s="61" t="s">
        <v>90</v>
      </c>
      <c r="D49" s="60" t="s">
        <v>41</v>
      </c>
      <c r="E49" s="62">
        <v>1243.28</v>
      </c>
      <c r="F49" s="63">
        <f>SUM(E49*2/1000)</f>
        <v>2.4865599999999999</v>
      </c>
      <c r="G49" s="10">
        <v>648.64</v>
      </c>
      <c r="H49" s="64">
        <f t="shared" si="4"/>
        <v>1.6128822783999999</v>
      </c>
      <c r="I49" s="10">
        <v>0</v>
      </c>
    </row>
    <row r="50" spans="1:9" ht="15.75" hidden="1" customHeight="1">
      <c r="A50" s="21"/>
      <c r="B50" s="60" t="s">
        <v>32</v>
      </c>
      <c r="C50" s="61" t="s">
        <v>33</v>
      </c>
      <c r="D50" s="60" t="s">
        <v>41</v>
      </c>
      <c r="E50" s="62">
        <v>64.5</v>
      </c>
      <c r="F50" s="63">
        <f>SUM(E50*2/100)</f>
        <v>1.29</v>
      </c>
      <c r="G50" s="10">
        <v>77.84</v>
      </c>
      <c r="H50" s="64">
        <f t="shared" si="4"/>
        <v>0.10041360000000001</v>
      </c>
      <c r="I50" s="10">
        <v>0</v>
      </c>
    </row>
    <row r="51" spans="1:9" ht="15.75" hidden="1" customHeight="1">
      <c r="A51" s="21">
        <v>14</v>
      </c>
      <c r="B51" s="60" t="s">
        <v>54</v>
      </c>
      <c r="C51" s="61" t="s">
        <v>90</v>
      </c>
      <c r="D51" s="60" t="s">
        <v>144</v>
      </c>
      <c r="E51" s="62">
        <v>678.4</v>
      </c>
      <c r="F51" s="63">
        <f>SUM(E51*5/1000)</f>
        <v>3.3919999999999999</v>
      </c>
      <c r="G51" s="10">
        <v>1297.28</v>
      </c>
      <c r="H51" s="64">
        <f t="shared" si="4"/>
        <v>4.4003737599999999</v>
      </c>
      <c r="I51" s="10">
        <f>F51/5*G51</f>
        <v>880.07475199999999</v>
      </c>
    </row>
    <row r="52" spans="1:9" ht="31.5" hidden="1" customHeight="1">
      <c r="A52" s="21"/>
      <c r="B52" s="60" t="s">
        <v>91</v>
      </c>
      <c r="C52" s="61" t="s">
        <v>90</v>
      </c>
      <c r="D52" s="60" t="s">
        <v>41</v>
      </c>
      <c r="E52" s="62">
        <v>678.4</v>
      </c>
      <c r="F52" s="63">
        <f>SUM(E52*2/1000)</f>
        <v>1.3568</v>
      </c>
      <c r="G52" s="10">
        <v>1297.28</v>
      </c>
      <c r="H52" s="64">
        <f t="shared" si="4"/>
        <v>1.7601495039999999</v>
      </c>
      <c r="I52" s="10">
        <v>0</v>
      </c>
    </row>
    <row r="53" spans="1:9" ht="31.5" hidden="1" customHeight="1">
      <c r="A53" s="21"/>
      <c r="B53" s="60" t="s">
        <v>92</v>
      </c>
      <c r="C53" s="61" t="s">
        <v>37</v>
      </c>
      <c r="D53" s="60" t="s">
        <v>41</v>
      </c>
      <c r="E53" s="62">
        <v>12</v>
      </c>
      <c r="F53" s="63">
        <f>SUM(E53*2/100)</f>
        <v>0.24</v>
      </c>
      <c r="G53" s="10">
        <v>2918.89</v>
      </c>
      <c r="H53" s="64">
        <f t="shared" si="4"/>
        <v>0.70053359999999998</v>
      </c>
      <c r="I53" s="10">
        <v>0</v>
      </c>
    </row>
    <row r="54" spans="1:9" ht="15.75" hidden="1" customHeight="1">
      <c r="A54" s="21"/>
      <c r="B54" s="60" t="s">
        <v>38</v>
      </c>
      <c r="C54" s="61" t="s">
        <v>39</v>
      </c>
      <c r="D54" s="60" t="s">
        <v>41</v>
      </c>
      <c r="E54" s="62">
        <v>1</v>
      </c>
      <c r="F54" s="63">
        <v>0.02</v>
      </c>
      <c r="G54" s="10">
        <v>6042.12</v>
      </c>
      <c r="H54" s="64">
        <f t="shared" si="4"/>
        <v>0.1208424</v>
      </c>
      <c r="I54" s="10">
        <v>0</v>
      </c>
    </row>
    <row r="55" spans="1:9" ht="15.75" hidden="1" customHeight="1">
      <c r="A55" s="21">
        <v>15</v>
      </c>
      <c r="B55" s="60" t="s">
        <v>40</v>
      </c>
      <c r="C55" s="61" t="s">
        <v>111</v>
      </c>
      <c r="D55" s="60" t="s">
        <v>69</v>
      </c>
      <c r="E55" s="62">
        <v>72</v>
      </c>
      <c r="F55" s="63">
        <f>SUM(E55)*3</f>
        <v>216</v>
      </c>
      <c r="G55" s="10">
        <v>70.209999999999994</v>
      </c>
      <c r="H55" s="64">
        <f t="shared" si="4"/>
        <v>15.165359999999998</v>
      </c>
      <c r="I55" s="10">
        <f>E55*G55</f>
        <v>5055.12</v>
      </c>
    </row>
    <row r="56" spans="1:9" ht="15.75" customHeight="1">
      <c r="A56" s="108" t="s">
        <v>148</v>
      </c>
      <c r="B56" s="109"/>
      <c r="C56" s="109"/>
      <c r="D56" s="109"/>
      <c r="E56" s="109"/>
      <c r="F56" s="109"/>
      <c r="G56" s="109"/>
      <c r="H56" s="109"/>
      <c r="I56" s="110"/>
    </row>
    <row r="57" spans="1:9" ht="15.75" hidden="1" customHeight="1">
      <c r="A57" s="21"/>
      <c r="B57" s="81" t="s">
        <v>42</v>
      </c>
      <c r="C57" s="61"/>
      <c r="D57" s="60"/>
      <c r="E57" s="62"/>
      <c r="F57" s="63"/>
      <c r="G57" s="63"/>
      <c r="H57" s="64"/>
      <c r="I57" s="10"/>
    </row>
    <row r="58" spans="1:9" ht="31.5" hidden="1" customHeight="1">
      <c r="A58" s="21">
        <v>16</v>
      </c>
      <c r="B58" s="60" t="s">
        <v>112</v>
      </c>
      <c r="C58" s="61" t="s">
        <v>87</v>
      </c>
      <c r="D58" s="60" t="s">
        <v>113</v>
      </c>
      <c r="E58" s="62">
        <v>110.66</v>
      </c>
      <c r="F58" s="63">
        <f>SUM(E58*6/100)</f>
        <v>6.6396000000000006</v>
      </c>
      <c r="G58" s="10">
        <v>1654.04</v>
      </c>
      <c r="H58" s="64">
        <f>SUM(F58*G58/1000)</f>
        <v>10.982163984000001</v>
      </c>
      <c r="I58" s="10">
        <f>F58/6*G58</f>
        <v>1830.360664</v>
      </c>
    </row>
    <row r="59" spans="1:9" ht="15.75" customHeight="1">
      <c r="A59" s="21"/>
      <c r="B59" s="82" t="s">
        <v>43</v>
      </c>
      <c r="C59" s="69"/>
      <c r="D59" s="70"/>
      <c r="E59" s="71"/>
      <c r="F59" s="72"/>
      <c r="G59" s="72"/>
      <c r="H59" s="73" t="s">
        <v>120</v>
      </c>
      <c r="I59" s="10"/>
    </row>
    <row r="60" spans="1:9" ht="15.75" customHeight="1">
      <c r="A60" s="21">
        <v>10</v>
      </c>
      <c r="B60" s="11" t="s">
        <v>44</v>
      </c>
      <c r="C60" s="13" t="s">
        <v>111</v>
      </c>
      <c r="D60" s="11" t="s">
        <v>65</v>
      </c>
      <c r="E60" s="15">
        <v>8</v>
      </c>
      <c r="F60" s="63">
        <v>8</v>
      </c>
      <c r="G60" s="10">
        <v>237.74</v>
      </c>
      <c r="H60" s="74">
        <f t="shared" ref="H60:H73" si="5">SUM(F60*G60/1000)</f>
        <v>1.9019200000000001</v>
      </c>
      <c r="I60" s="10">
        <f>G60*4</f>
        <v>950.96</v>
      </c>
    </row>
    <row r="61" spans="1:9" ht="15.75" hidden="1" customHeight="1">
      <c r="A61" s="21"/>
      <c r="B61" s="11" t="s">
        <v>45</v>
      </c>
      <c r="C61" s="13" t="s">
        <v>111</v>
      </c>
      <c r="D61" s="11" t="s">
        <v>65</v>
      </c>
      <c r="E61" s="15">
        <v>3</v>
      </c>
      <c r="F61" s="63">
        <v>3</v>
      </c>
      <c r="G61" s="10">
        <v>81.510000000000005</v>
      </c>
      <c r="H61" s="74">
        <f t="shared" si="5"/>
        <v>0.24453000000000003</v>
      </c>
      <c r="I61" s="10">
        <v>0</v>
      </c>
    </row>
    <row r="62" spans="1:9" ht="15.75" hidden="1" customHeight="1">
      <c r="A62" s="21"/>
      <c r="B62" s="11" t="s">
        <v>46</v>
      </c>
      <c r="C62" s="13" t="s">
        <v>114</v>
      </c>
      <c r="D62" s="11" t="s">
        <v>52</v>
      </c>
      <c r="E62" s="62">
        <v>8539</v>
      </c>
      <c r="F62" s="10">
        <f>SUM(E62/100)</f>
        <v>85.39</v>
      </c>
      <c r="G62" s="10">
        <v>226.79</v>
      </c>
      <c r="H62" s="74">
        <f t="shared" si="5"/>
        <v>19.3655981</v>
      </c>
      <c r="I62" s="10">
        <v>0</v>
      </c>
    </row>
    <row r="63" spans="1:9" ht="15.75" hidden="1" customHeight="1">
      <c r="A63" s="21"/>
      <c r="B63" s="11" t="s">
        <v>47</v>
      </c>
      <c r="C63" s="13" t="s">
        <v>115</v>
      </c>
      <c r="D63" s="11"/>
      <c r="E63" s="62">
        <v>8539</v>
      </c>
      <c r="F63" s="10">
        <f>SUM(E63/1000)</f>
        <v>8.5389999999999997</v>
      </c>
      <c r="G63" s="10">
        <v>176.61</v>
      </c>
      <c r="H63" s="74">
        <f t="shared" si="5"/>
        <v>1.5080727900000002</v>
      </c>
      <c r="I63" s="10">
        <v>0</v>
      </c>
    </row>
    <row r="64" spans="1:9" ht="15.75" hidden="1" customHeight="1">
      <c r="A64" s="21"/>
      <c r="B64" s="11" t="s">
        <v>48</v>
      </c>
      <c r="C64" s="13" t="s">
        <v>75</v>
      </c>
      <c r="D64" s="11" t="s">
        <v>52</v>
      </c>
      <c r="E64" s="62">
        <v>1370</v>
      </c>
      <c r="F64" s="10">
        <f>SUM(E64/100)</f>
        <v>13.7</v>
      </c>
      <c r="G64" s="10">
        <v>2217.7800000000002</v>
      </c>
      <c r="H64" s="74">
        <f t="shared" si="5"/>
        <v>30.383586000000005</v>
      </c>
      <c r="I64" s="10">
        <v>0</v>
      </c>
    </row>
    <row r="65" spans="1:9" ht="15.75" hidden="1" customHeight="1">
      <c r="A65" s="21"/>
      <c r="B65" s="75" t="s">
        <v>116</v>
      </c>
      <c r="C65" s="13" t="s">
        <v>31</v>
      </c>
      <c r="D65" s="11"/>
      <c r="E65" s="62">
        <v>9</v>
      </c>
      <c r="F65" s="10">
        <f>SUM(E65)</f>
        <v>9</v>
      </c>
      <c r="G65" s="10">
        <v>42.67</v>
      </c>
      <c r="H65" s="74">
        <f t="shared" si="5"/>
        <v>0.38403000000000004</v>
      </c>
      <c r="I65" s="10">
        <v>0</v>
      </c>
    </row>
    <row r="66" spans="1:9" ht="15.75" hidden="1" customHeight="1">
      <c r="A66" s="21"/>
      <c r="B66" s="75" t="s">
        <v>117</v>
      </c>
      <c r="C66" s="13" t="s">
        <v>31</v>
      </c>
      <c r="D66" s="11"/>
      <c r="E66" s="62">
        <v>9</v>
      </c>
      <c r="F66" s="10">
        <f>SUM(E66)</f>
        <v>9</v>
      </c>
      <c r="G66" s="10">
        <v>39.81</v>
      </c>
      <c r="H66" s="74">
        <f t="shared" si="5"/>
        <v>0.35829</v>
      </c>
      <c r="I66" s="10">
        <v>0</v>
      </c>
    </row>
    <row r="67" spans="1:9" ht="24.75" hidden="1" customHeight="1">
      <c r="A67" s="21">
        <v>11</v>
      </c>
      <c r="B67" s="11" t="s">
        <v>55</v>
      </c>
      <c r="C67" s="13" t="s">
        <v>56</v>
      </c>
      <c r="D67" s="11" t="s">
        <v>52</v>
      </c>
      <c r="E67" s="15">
        <v>3</v>
      </c>
      <c r="F67" s="63">
        <v>3</v>
      </c>
      <c r="G67" s="10">
        <v>53.62</v>
      </c>
      <c r="H67" s="74">
        <f t="shared" si="5"/>
        <v>0.16085999999999998</v>
      </c>
      <c r="I67" s="10">
        <f>G67*F67</f>
        <v>160.85999999999999</v>
      </c>
    </row>
    <row r="68" spans="1:9" ht="22.5" hidden="1" customHeight="1">
      <c r="A68" s="21"/>
      <c r="B68" s="83" t="s">
        <v>70</v>
      </c>
      <c r="C68" s="13"/>
      <c r="D68" s="11"/>
      <c r="E68" s="15"/>
      <c r="F68" s="10"/>
      <c r="G68" s="10"/>
      <c r="H68" s="74" t="s">
        <v>120</v>
      </c>
      <c r="I68" s="10"/>
    </row>
    <row r="69" spans="1:9" ht="23.25" hidden="1" customHeight="1">
      <c r="A69" s="21">
        <v>11</v>
      </c>
      <c r="B69" s="11" t="s">
        <v>71</v>
      </c>
      <c r="C69" s="13" t="s">
        <v>73</v>
      </c>
      <c r="D69" s="11"/>
      <c r="E69" s="15">
        <v>2</v>
      </c>
      <c r="F69" s="10">
        <v>0.2</v>
      </c>
      <c r="G69" s="10">
        <v>536.23</v>
      </c>
      <c r="H69" s="74">
        <f t="shared" si="5"/>
        <v>0.10724600000000001</v>
      </c>
      <c r="I69" s="10">
        <f>G69*0.3</f>
        <v>160.869</v>
      </c>
    </row>
    <row r="70" spans="1:9" ht="30.75" hidden="1" customHeight="1">
      <c r="A70" s="21"/>
      <c r="B70" s="11" t="s">
        <v>72</v>
      </c>
      <c r="C70" s="13" t="s">
        <v>29</v>
      </c>
      <c r="D70" s="11"/>
      <c r="E70" s="15">
        <v>1</v>
      </c>
      <c r="F70" s="56">
        <v>1</v>
      </c>
      <c r="G70" s="10">
        <v>911.85</v>
      </c>
      <c r="H70" s="74">
        <f>F70*G70/1000</f>
        <v>0.91185000000000005</v>
      </c>
      <c r="I70" s="10">
        <v>0</v>
      </c>
    </row>
    <row r="71" spans="1:9" ht="27.75" hidden="1" customHeight="1">
      <c r="A71" s="21"/>
      <c r="B71" s="11" t="s">
        <v>130</v>
      </c>
      <c r="C71" s="13" t="s">
        <v>29</v>
      </c>
      <c r="D71" s="11"/>
      <c r="E71" s="15">
        <v>1</v>
      </c>
      <c r="F71" s="10">
        <v>1</v>
      </c>
      <c r="G71" s="10">
        <v>383.25</v>
      </c>
      <c r="H71" s="74">
        <f>G71*F71/1000</f>
        <v>0.38324999999999998</v>
      </c>
      <c r="I71" s="10">
        <v>0</v>
      </c>
    </row>
    <row r="72" spans="1:9" ht="24" hidden="1" customHeight="1">
      <c r="A72" s="21"/>
      <c r="B72" s="77" t="s">
        <v>74</v>
      </c>
      <c r="C72" s="13"/>
      <c r="D72" s="11"/>
      <c r="E72" s="15"/>
      <c r="F72" s="10"/>
      <c r="G72" s="10" t="s">
        <v>120</v>
      </c>
      <c r="H72" s="74" t="s">
        <v>120</v>
      </c>
      <c r="I72" s="10"/>
    </row>
    <row r="73" spans="1:9" ht="24" hidden="1" customHeight="1">
      <c r="A73" s="21"/>
      <c r="B73" s="36" t="s">
        <v>121</v>
      </c>
      <c r="C73" s="13" t="s">
        <v>75</v>
      </c>
      <c r="D73" s="11"/>
      <c r="E73" s="15"/>
      <c r="F73" s="10">
        <v>1.35</v>
      </c>
      <c r="G73" s="10">
        <v>2949.85</v>
      </c>
      <c r="H73" s="74">
        <f t="shared" si="5"/>
        <v>3.9822975</v>
      </c>
      <c r="I73" s="10">
        <v>0</v>
      </c>
    </row>
    <row r="74" spans="1:9" ht="20.25" hidden="1" customHeight="1">
      <c r="A74" s="21"/>
      <c r="B74" s="83" t="s">
        <v>93</v>
      </c>
      <c r="C74" s="77"/>
      <c r="D74" s="23"/>
      <c r="E74" s="24"/>
      <c r="F74" s="66"/>
      <c r="G74" s="66"/>
      <c r="H74" s="78">
        <f>SUM(H58:H73)</f>
        <v>70.673694374000007</v>
      </c>
      <c r="I74" s="66"/>
    </row>
    <row r="75" spans="1:9" ht="18.75" hidden="1" customHeight="1">
      <c r="A75" s="21"/>
      <c r="B75" s="60" t="s">
        <v>118</v>
      </c>
      <c r="C75" s="13"/>
      <c r="D75" s="11"/>
      <c r="E75" s="79"/>
      <c r="F75" s="10">
        <v>1</v>
      </c>
      <c r="G75" s="10">
        <v>7101.4</v>
      </c>
      <c r="H75" s="74">
        <f>G75*F75/1000</f>
        <v>7.1013999999999999</v>
      </c>
      <c r="I75" s="10">
        <v>0</v>
      </c>
    </row>
    <row r="76" spans="1:9" ht="15.75" customHeight="1">
      <c r="A76" s="108" t="s">
        <v>149</v>
      </c>
      <c r="B76" s="109"/>
      <c r="C76" s="109"/>
      <c r="D76" s="109"/>
      <c r="E76" s="109"/>
      <c r="F76" s="109"/>
      <c r="G76" s="109"/>
      <c r="H76" s="109"/>
      <c r="I76" s="110"/>
    </row>
    <row r="77" spans="1:9" ht="15.75" customHeight="1">
      <c r="A77" s="21">
        <v>12</v>
      </c>
      <c r="B77" s="60" t="s">
        <v>119</v>
      </c>
      <c r="C77" s="13" t="s">
        <v>53</v>
      </c>
      <c r="D77" s="80" t="s">
        <v>145</v>
      </c>
      <c r="E77" s="10">
        <v>2054.6</v>
      </c>
      <c r="F77" s="10">
        <f>SUM(E77*12)</f>
        <v>24655.199999999997</v>
      </c>
      <c r="G77" s="10">
        <v>2.2400000000000002</v>
      </c>
      <c r="H77" s="74">
        <f>SUM(F77*G77/1000)</f>
        <v>55.227648000000002</v>
      </c>
      <c r="I77" s="10">
        <f>F77/12*G77</f>
        <v>4602.3040000000001</v>
      </c>
    </row>
    <row r="78" spans="1:9" ht="31.5" customHeight="1">
      <c r="A78" s="21">
        <v>13</v>
      </c>
      <c r="B78" s="11" t="s">
        <v>76</v>
      </c>
      <c r="C78" s="13"/>
      <c r="D78" s="80" t="s">
        <v>145</v>
      </c>
      <c r="E78" s="62">
        <f>E77</f>
        <v>2054.6</v>
      </c>
      <c r="F78" s="10">
        <f>E78*12</f>
        <v>24655.199999999997</v>
      </c>
      <c r="G78" s="10">
        <v>1.74</v>
      </c>
      <c r="H78" s="74">
        <f>F78*G78/1000</f>
        <v>42.900047999999998</v>
      </c>
      <c r="I78" s="10">
        <f>F78/12*G78</f>
        <v>3575.0039999999999</v>
      </c>
    </row>
    <row r="79" spans="1:9" ht="15.75" customHeight="1">
      <c r="A79" s="21"/>
      <c r="B79" s="28" t="s">
        <v>78</v>
      </c>
      <c r="C79" s="77"/>
      <c r="D79" s="76"/>
      <c r="E79" s="66"/>
      <c r="F79" s="66"/>
      <c r="G79" s="66"/>
      <c r="H79" s="78">
        <f>H78</f>
        <v>42.900047999999998</v>
      </c>
      <c r="I79" s="66">
        <f>I78+I77+I60+I34+I32+I31+I28+I27+I20+I18+I17+I16</f>
        <v>30724.320210600003</v>
      </c>
    </row>
    <row r="80" spans="1:9" ht="15.75" customHeight="1">
      <c r="A80" s="122" t="s">
        <v>58</v>
      </c>
      <c r="B80" s="123"/>
      <c r="C80" s="123"/>
      <c r="D80" s="123"/>
      <c r="E80" s="123"/>
      <c r="F80" s="123"/>
      <c r="G80" s="123"/>
      <c r="H80" s="123"/>
      <c r="I80" s="124"/>
    </row>
    <row r="81" spans="1:9" ht="15.75" customHeight="1">
      <c r="A81" s="21" t="s">
        <v>187</v>
      </c>
      <c r="B81" s="39" t="s">
        <v>122</v>
      </c>
      <c r="C81" s="40" t="s">
        <v>111</v>
      </c>
      <c r="D81" s="36"/>
      <c r="E81" s="10"/>
      <c r="F81" s="10">
        <v>432</v>
      </c>
      <c r="G81" s="10">
        <v>55.55</v>
      </c>
      <c r="H81" s="10">
        <f>G81*F81/1000</f>
        <v>23.997599999999998</v>
      </c>
      <c r="I81" s="10">
        <f>G81*36</f>
        <v>1999.8</v>
      </c>
    </row>
    <row r="82" spans="1:9" ht="15.75" customHeight="1">
      <c r="A82" s="21">
        <v>15</v>
      </c>
      <c r="B82" s="70" t="s">
        <v>171</v>
      </c>
      <c r="C82" s="69" t="s">
        <v>172</v>
      </c>
      <c r="D82" s="70"/>
      <c r="E82" s="71"/>
      <c r="F82" s="72">
        <v>360</v>
      </c>
      <c r="G82" s="56">
        <v>1.2</v>
      </c>
      <c r="H82" s="73">
        <f>F82*G82/1000</f>
        <v>0.432</v>
      </c>
      <c r="I82" s="94">
        <f>G82*120</f>
        <v>144</v>
      </c>
    </row>
    <row r="83" spans="1:9" ht="15.75" customHeight="1">
      <c r="A83" s="21"/>
      <c r="B83" s="34" t="s">
        <v>49</v>
      </c>
      <c r="C83" s="30"/>
      <c r="D83" s="37"/>
      <c r="E83" s="30">
        <v>1</v>
      </c>
      <c r="F83" s="30"/>
      <c r="G83" s="30"/>
      <c r="H83" s="30"/>
      <c r="I83" s="24">
        <f>I82</f>
        <v>144</v>
      </c>
    </row>
    <row r="84" spans="1:9" ht="15.75" customHeight="1">
      <c r="A84" s="21"/>
      <c r="B84" s="36" t="s">
        <v>77</v>
      </c>
      <c r="C84" s="12"/>
      <c r="D84" s="12"/>
      <c r="E84" s="31"/>
      <c r="F84" s="31"/>
      <c r="G84" s="32"/>
      <c r="H84" s="32"/>
      <c r="I84" s="14">
        <v>0</v>
      </c>
    </row>
    <row r="85" spans="1:9" ht="15.75" customHeight="1">
      <c r="A85" s="38"/>
      <c r="B85" s="35" t="s">
        <v>163</v>
      </c>
      <c r="C85" s="26"/>
      <c r="D85" s="26"/>
      <c r="E85" s="26"/>
      <c r="F85" s="26"/>
      <c r="G85" s="26"/>
      <c r="H85" s="26"/>
      <c r="I85" s="33">
        <f>I79+I83</f>
        <v>30868.320210600003</v>
      </c>
    </row>
    <row r="86" spans="1:9" ht="15.75" customHeight="1">
      <c r="A86" s="125" t="s">
        <v>188</v>
      </c>
      <c r="B86" s="126"/>
      <c r="C86" s="126"/>
      <c r="D86" s="126"/>
      <c r="E86" s="126"/>
      <c r="F86" s="126"/>
      <c r="G86" s="126"/>
      <c r="H86" s="126"/>
      <c r="I86" s="126"/>
    </row>
    <row r="87" spans="1:9" ht="15.75">
      <c r="A87" s="121" t="s">
        <v>189</v>
      </c>
      <c r="B87" s="121"/>
      <c r="C87" s="121"/>
      <c r="D87" s="121"/>
      <c r="E87" s="121"/>
      <c r="F87" s="121"/>
      <c r="G87" s="121"/>
      <c r="H87" s="121"/>
      <c r="I87" s="121"/>
    </row>
    <row r="88" spans="1:9" ht="15.75">
      <c r="A88" s="48"/>
      <c r="B88" s="116" t="s">
        <v>190</v>
      </c>
      <c r="C88" s="116"/>
      <c r="D88" s="116"/>
      <c r="E88" s="116"/>
      <c r="F88" s="116"/>
      <c r="G88" s="116"/>
      <c r="H88" s="59"/>
      <c r="I88" s="2"/>
    </row>
    <row r="89" spans="1:9">
      <c r="A89" s="51"/>
      <c r="B89" s="112" t="s">
        <v>6</v>
      </c>
      <c r="C89" s="112"/>
      <c r="D89" s="112"/>
      <c r="E89" s="112"/>
      <c r="F89" s="112"/>
      <c r="G89" s="112"/>
      <c r="H89" s="16"/>
      <c r="I89" s="4"/>
    </row>
    <row r="90" spans="1:9">
      <c r="A90" s="7"/>
      <c r="B90" s="7"/>
      <c r="C90" s="7"/>
      <c r="D90" s="7"/>
      <c r="E90" s="7"/>
      <c r="F90" s="7"/>
      <c r="G90" s="7"/>
      <c r="H90" s="7"/>
      <c r="I90" s="7"/>
    </row>
    <row r="91" spans="1:9" ht="15.75">
      <c r="A91" s="117" t="s">
        <v>7</v>
      </c>
      <c r="B91" s="117"/>
      <c r="C91" s="117"/>
      <c r="D91" s="117"/>
      <c r="E91" s="117"/>
      <c r="F91" s="117"/>
      <c r="G91" s="117"/>
      <c r="H91" s="117"/>
      <c r="I91" s="117"/>
    </row>
    <row r="92" spans="1:9" ht="15.75">
      <c r="A92" s="117" t="s">
        <v>8</v>
      </c>
      <c r="B92" s="117"/>
      <c r="C92" s="117"/>
      <c r="D92" s="117"/>
      <c r="E92" s="117"/>
      <c r="F92" s="117"/>
      <c r="G92" s="117"/>
      <c r="H92" s="117"/>
      <c r="I92" s="117"/>
    </row>
    <row r="93" spans="1:9" ht="15.75">
      <c r="A93" s="118" t="s">
        <v>59</v>
      </c>
      <c r="B93" s="118"/>
      <c r="C93" s="118"/>
      <c r="D93" s="118"/>
      <c r="E93" s="118"/>
      <c r="F93" s="118"/>
      <c r="G93" s="118"/>
      <c r="H93" s="118"/>
      <c r="I93" s="118"/>
    </row>
    <row r="94" spans="1:9" ht="15.75">
      <c r="A94" s="8"/>
    </row>
    <row r="95" spans="1:9" ht="15.75">
      <c r="A95" s="119" t="s">
        <v>9</v>
      </c>
      <c r="B95" s="119"/>
      <c r="C95" s="119"/>
      <c r="D95" s="119"/>
      <c r="E95" s="119"/>
      <c r="F95" s="119"/>
      <c r="G95" s="119"/>
      <c r="H95" s="119"/>
      <c r="I95" s="119"/>
    </row>
    <row r="96" spans="1:9" ht="15.75">
      <c r="A96" s="3"/>
    </row>
    <row r="97" spans="1:9" ht="15.75">
      <c r="B97" s="52" t="s">
        <v>10</v>
      </c>
      <c r="C97" s="111" t="s">
        <v>136</v>
      </c>
      <c r="D97" s="111"/>
      <c r="E97" s="111"/>
      <c r="F97" s="57"/>
      <c r="I97" s="50"/>
    </row>
    <row r="98" spans="1:9">
      <c r="A98" s="51"/>
      <c r="C98" s="112" t="s">
        <v>11</v>
      </c>
      <c r="D98" s="112"/>
      <c r="E98" s="112"/>
      <c r="F98" s="16"/>
      <c r="I98" s="49" t="s">
        <v>12</v>
      </c>
    </row>
    <row r="99" spans="1:9" ht="15.75">
      <c r="A99" s="17"/>
      <c r="C99" s="9"/>
      <c r="D99" s="9"/>
      <c r="G99" s="9"/>
      <c r="H99" s="9"/>
    </row>
    <row r="100" spans="1:9" ht="15.75">
      <c r="B100" s="52" t="s">
        <v>13</v>
      </c>
      <c r="C100" s="113"/>
      <c r="D100" s="113"/>
      <c r="E100" s="113"/>
      <c r="F100" s="58"/>
      <c r="I100" s="50"/>
    </row>
    <row r="101" spans="1:9">
      <c r="A101" s="51"/>
      <c r="C101" s="114" t="s">
        <v>11</v>
      </c>
      <c r="D101" s="114"/>
      <c r="E101" s="114"/>
      <c r="F101" s="51"/>
      <c r="I101" s="49" t="s">
        <v>12</v>
      </c>
    </row>
    <row r="102" spans="1:9" ht="15.75">
      <c r="A102" s="3" t="s">
        <v>14</v>
      </c>
    </row>
    <row r="103" spans="1:9">
      <c r="A103" s="115" t="s">
        <v>15</v>
      </c>
      <c r="B103" s="115"/>
      <c r="C103" s="115"/>
      <c r="D103" s="115"/>
      <c r="E103" s="115"/>
      <c r="F103" s="115"/>
      <c r="G103" s="115"/>
      <c r="H103" s="115"/>
      <c r="I103" s="115"/>
    </row>
    <row r="104" spans="1:9" ht="45" customHeight="1">
      <c r="A104" s="107" t="s">
        <v>16</v>
      </c>
      <c r="B104" s="107"/>
      <c r="C104" s="107"/>
      <c r="D104" s="107"/>
      <c r="E104" s="107"/>
      <c r="F104" s="107"/>
      <c r="G104" s="107"/>
      <c r="H104" s="107"/>
      <c r="I104" s="107"/>
    </row>
    <row r="105" spans="1:9" ht="30" customHeight="1">
      <c r="A105" s="107" t="s">
        <v>17</v>
      </c>
      <c r="B105" s="107"/>
      <c r="C105" s="107"/>
      <c r="D105" s="107"/>
      <c r="E105" s="107"/>
      <c r="F105" s="107"/>
      <c r="G105" s="107"/>
      <c r="H105" s="107"/>
      <c r="I105" s="107"/>
    </row>
    <row r="106" spans="1:9" ht="30" customHeight="1">
      <c r="A106" s="107" t="s">
        <v>21</v>
      </c>
      <c r="B106" s="107"/>
      <c r="C106" s="107"/>
      <c r="D106" s="107"/>
      <c r="E106" s="107"/>
      <c r="F106" s="107"/>
      <c r="G106" s="107"/>
      <c r="H106" s="107"/>
      <c r="I106" s="107"/>
    </row>
    <row r="107" spans="1:9" ht="15" customHeight="1">
      <c r="A107" s="107" t="s">
        <v>20</v>
      </c>
      <c r="B107" s="107"/>
      <c r="C107" s="107"/>
      <c r="D107" s="107"/>
      <c r="E107" s="107"/>
      <c r="F107" s="107"/>
      <c r="G107" s="107"/>
      <c r="H107" s="107"/>
      <c r="I107" s="107"/>
    </row>
  </sheetData>
  <mergeCells count="29">
    <mergeCell ref="A105:I105"/>
    <mergeCell ref="A106:I106"/>
    <mergeCell ref="A107:I107"/>
    <mergeCell ref="C97:E97"/>
    <mergeCell ref="C98:E98"/>
    <mergeCell ref="C100:E100"/>
    <mergeCell ref="C101:E101"/>
    <mergeCell ref="A103:I103"/>
    <mergeCell ref="A104:I104"/>
    <mergeCell ref="A95:I95"/>
    <mergeCell ref="A15:I15"/>
    <mergeCell ref="A29:I29"/>
    <mergeCell ref="A45:I45"/>
    <mergeCell ref="A56:I56"/>
    <mergeCell ref="A76:I76"/>
    <mergeCell ref="A87:I87"/>
    <mergeCell ref="B88:G88"/>
    <mergeCell ref="B89:G89"/>
    <mergeCell ref="A91:I91"/>
    <mergeCell ref="A92:I92"/>
    <mergeCell ref="A93:I93"/>
    <mergeCell ref="A86:I86"/>
    <mergeCell ref="A14:I14"/>
    <mergeCell ref="A80:I80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109"/>
  <sheetViews>
    <sheetView topLeftCell="A21" workbookViewId="0">
      <selection activeCell="B81" sqref="B81:I81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194</v>
      </c>
      <c r="I1" s="18"/>
    </row>
    <row r="2" spans="1:9" ht="15.75">
      <c r="A2" s="20" t="s">
        <v>60</v>
      </c>
    </row>
    <row r="3" spans="1:9" ht="15.75">
      <c r="A3" s="128" t="s">
        <v>154</v>
      </c>
      <c r="B3" s="128"/>
      <c r="C3" s="128"/>
      <c r="D3" s="128"/>
      <c r="E3" s="128"/>
      <c r="F3" s="128"/>
      <c r="G3" s="128"/>
      <c r="H3" s="128"/>
      <c r="I3" s="128"/>
    </row>
    <row r="4" spans="1:9" ht="31.5" customHeight="1">
      <c r="A4" s="129" t="s">
        <v>132</v>
      </c>
      <c r="B4" s="129"/>
      <c r="C4" s="129"/>
      <c r="D4" s="129"/>
      <c r="E4" s="129"/>
      <c r="F4" s="129"/>
      <c r="G4" s="129"/>
      <c r="H4" s="129"/>
      <c r="I4" s="129"/>
    </row>
    <row r="5" spans="1:9" ht="15.75">
      <c r="A5" s="128" t="s">
        <v>195</v>
      </c>
      <c r="B5" s="130"/>
      <c r="C5" s="130"/>
      <c r="D5" s="130"/>
      <c r="E5" s="130"/>
      <c r="F5" s="130"/>
      <c r="G5" s="130"/>
      <c r="H5" s="130"/>
      <c r="I5" s="130"/>
    </row>
    <row r="6" spans="1:9" ht="15.75">
      <c r="A6" s="1"/>
      <c r="B6" s="54"/>
      <c r="C6" s="54"/>
      <c r="D6" s="54"/>
      <c r="E6" s="54"/>
      <c r="F6" s="54"/>
      <c r="G6" s="54"/>
      <c r="H6" s="54"/>
      <c r="I6" s="22">
        <v>43312</v>
      </c>
    </row>
    <row r="7" spans="1:9" ht="15.75">
      <c r="B7" s="52"/>
      <c r="C7" s="52"/>
      <c r="D7" s="52"/>
      <c r="E7" s="2"/>
      <c r="F7" s="2"/>
      <c r="G7" s="2"/>
      <c r="H7" s="2"/>
    </row>
    <row r="8" spans="1:9" ht="78.75" customHeight="1">
      <c r="A8" s="131" t="s">
        <v>196</v>
      </c>
      <c r="B8" s="131"/>
      <c r="C8" s="131"/>
      <c r="D8" s="131"/>
      <c r="E8" s="131"/>
      <c r="F8" s="131"/>
      <c r="G8" s="131"/>
      <c r="H8" s="131"/>
      <c r="I8" s="131"/>
    </row>
    <row r="9" spans="1:9" ht="15.75">
      <c r="A9" s="3"/>
    </row>
    <row r="10" spans="1:9" ht="47.25" customHeight="1">
      <c r="A10" s="132" t="s">
        <v>159</v>
      </c>
      <c r="B10" s="132"/>
      <c r="C10" s="132"/>
      <c r="D10" s="132"/>
      <c r="E10" s="132"/>
      <c r="F10" s="132"/>
      <c r="G10" s="132"/>
      <c r="H10" s="132"/>
      <c r="I10" s="132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>
      <c r="A14" s="127" t="s">
        <v>57</v>
      </c>
      <c r="B14" s="127"/>
      <c r="C14" s="127"/>
      <c r="D14" s="127"/>
      <c r="E14" s="127"/>
      <c r="F14" s="127"/>
      <c r="G14" s="127"/>
      <c r="H14" s="127"/>
      <c r="I14" s="127"/>
    </row>
    <row r="15" spans="1:9">
      <c r="A15" s="120" t="s">
        <v>4</v>
      </c>
      <c r="B15" s="120"/>
      <c r="C15" s="120"/>
      <c r="D15" s="120"/>
      <c r="E15" s="120"/>
      <c r="F15" s="120"/>
      <c r="G15" s="120"/>
      <c r="H15" s="120"/>
      <c r="I15" s="120"/>
    </row>
    <row r="16" spans="1:9" ht="15.75" customHeight="1">
      <c r="A16" s="21">
        <v>1</v>
      </c>
      <c r="B16" s="60" t="s">
        <v>86</v>
      </c>
      <c r="C16" s="61" t="s">
        <v>87</v>
      </c>
      <c r="D16" s="60" t="s">
        <v>160</v>
      </c>
      <c r="E16" s="62">
        <v>55</v>
      </c>
      <c r="F16" s="63">
        <f>SUM(E16*156/100)</f>
        <v>85.8</v>
      </c>
      <c r="G16" s="63">
        <v>187.48</v>
      </c>
      <c r="H16" s="64">
        <f t="shared" ref="H16:H26" si="0">SUM(F16*G16/1000)</f>
        <v>16.085783999999997</v>
      </c>
      <c r="I16" s="10">
        <f>F16/12*G16</f>
        <v>1340.4819999999997</v>
      </c>
    </row>
    <row r="17" spans="1:9" ht="15.75" customHeight="1">
      <c r="A17" s="21">
        <v>2</v>
      </c>
      <c r="B17" s="60" t="s">
        <v>123</v>
      </c>
      <c r="C17" s="61" t="s">
        <v>87</v>
      </c>
      <c r="D17" s="60" t="s">
        <v>161</v>
      </c>
      <c r="E17" s="62">
        <v>165</v>
      </c>
      <c r="F17" s="63">
        <f>SUM(E17*104/100)</f>
        <v>171.6</v>
      </c>
      <c r="G17" s="63">
        <v>187.48</v>
      </c>
      <c r="H17" s="64">
        <f t="shared" si="0"/>
        <v>32.171567999999994</v>
      </c>
      <c r="I17" s="10">
        <f>F17/12*G17</f>
        <v>2680.9639999999995</v>
      </c>
    </row>
    <row r="18" spans="1:9" ht="15.75" customHeight="1">
      <c r="A18" s="21">
        <v>3</v>
      </c>
      <c r="B18" s="60" t="s">
        <v>124</v>
      </c>
      <c r="C18" s="61" t="s">
        <v>87</v>
      </c>
      <c r="D18" s="60" t="s">
        <v>162</v>
      </c>
      <c r="E18" s="62">
        <f>SUM(E16+E17)</f>
        <v>220</v>
      </c>
      <c r="F18" s="63">
        <f>SUM(E18*24/100)</f>
        <v>52.8</v>
      </c>
      <c r="G18" s="63">
        <v>539.30999999999995</v>
      </c>
      <c r="H18" s="64">
        <f t="shared" si="0"/>
        <v>28.475567999999996</v>
      </c>
      <c r="I18" s="10">
        <f>F18/12*G18</f>
        <v>2372.9639999999995</v>
      </c>
    </row>
    <row r="19" spans="1:9" ht="15.75" hidden="1" customHeight="1">
      <c r="A19" s="21">
        <v>4</v>
      </c>
      <c r="B19" s="60" t="s">
        <v>94</v>
      </c>
      <c r="C19" s="61" t="s">
        <v>95</v>
      </c>
      <c r="D19" s="60" t="s">
        <v>96</v>
      </c>
      <c r="E19" s="62">
        <v>32.4</v>
      </c>
      <c r="F19" s="63">
        <f>SUM(E19/10)</f>
        <v>3.2399999999999998</v>
      </c>
      <c r="G19" s="63">
        <v>181.91</v>
      </c>
      <c r="H19" s="64">
        <f t="shared" si="0"/>
        <v>0.58938839999999992</v>
      </c>
      <c r="I19" s="10">
        <v>0</v>
      </c>
    </row>
    <row r="20" spans="1:9" ht="15.75" customHeight="1">
      <c r="A20" s="21">
        <v>4</v>
      </c>
      <c r="B20" s="60" t="s">
        <v>97</v>
      </c>
      <c r="C20" s="61" t="s">
        <v>87</v>
      </c>
      <c r="D20" s="60" t="s">
        <v>125</v>
      </c>
      <c r="E20" s="62">
        <v>12.24</v>
      </c>
      <c r="F20" s="63">
        <f>SUM(E20*12/100)</f>
        <v>1.4687999999999999</v>
      </c>
      <c r="G20" s="63">
        <v>232.92</v>
      </c>
      <c r="H20" s="64">
        <f t="shared" si="0"/>
        <v>0.342112896</v>
      </c>
      <c r="I20" s="10">
        <f>F20/12*G20</f>
        <v>28.509407999999997</v>
      </c>
    </row>
    <row r="21" spans="1:9" ht="15.75" customHeight="1">
      <c r="A21" s="21">
        <v>5</v>
      </c>
      <c r="B21" s="60" t="s">
        <v>98</v>
      </c>
      <c r="C21" s="61" t="s">
        <v>87</v>
      </c>
      <c r="D21" s="60" t="s">
        <v>126</v>
      </c>
      <c r="E21" s="62">
        <v>10.08</v>
      </c>
      <c r="F21" s="63">
        <f>SUM(E21*6/100)</f>
        <v>0.6048</v>
      </c>
      <c r="G21" s="63">
        <v>231.03</v>
      </c>
      <c r="H21" s="64">
        <f t="shared" si="0"/>
        <v>0.13972694399999999</v>
      </c>
      <c r="I21" s="10">
        <f>F21/6*G21</f>
        <v>23.287824000000001</v>
      </c>
    </row>
    <row r="22" spans="1:9" ht="15.75" hidden="1" customHeight="1">
      <c r="A22" s="21">
        <v>7</v>
      </c>
      <c r="B22" s="60" t="s">
        <v>99</v>
      </c>
      <c r="C22" s="61" t="s">
        <v>51</v>
      </c>
      <c r="D22" s="60" t="s">
        <v>96</v>
      </c>
      <c r="E22" s="62">
        <v>293.76</v>
      </c>
      <c r="F22" s="63">
        <f>SUM(E22/100)</f>
        <v>2.9375999999999998</v>
      </c>
      <c r="G22" s="63">
        <v>287.83999999999997</v>
      </c>
      <c r="H22" s="64">
        <f t="shared" si="0"/>
        <v>0.84555878399999984</v>
      </c>
      <c r="I22" s="10">
        <v>0</v>
      </c>
    </row>
    <row r="23" spans="1:9" ht="15.75" hidden="1" customHeight="1">
      <c r="A23" s="21">
        <v>8</v>
      </c>
      <c r="B23" s="60" t="s">
        <v>100</v>
      </c>
      <c r="C23" s="61" t="s">
        <v>51</v>
      </c>
      <c r="D23" s="60" t="s">
        <v>96</v>
      </c>
      <c r="E23" s="65">
        <v>17.64</v>
      </c>
      <c r="F23" s="63">
        <f>SUM(E23/100)</f>
        <v>0.1764</v>
      </c>
      <c r="G23" s="63">
        <v>47.34</v>
      </c>
      <c r="H23" s="64">
        <f t="shared" si="0"/>
        <v>8.3507760000000007E-3</v>
      </c>
      <c r="I23" s="10">
        <v>0</v>
      </c>
    </row>
    <row r="24" spans="1:9" ht="15.75" hidden="1" customHeight="1">
      <c r="A24" s="21">
        <v>9</v>
      </c>
      <c r="B24" s="60" t="s">
        <v>101</v>
      </c>
      <c r="C24" s="61" t="s">
        <v>51</v>
      </c>
      <c r="D24" s="60" t="s">
        <v>102</v>
      </c>
      <c r="E24" s="62">
        <v>10.8</v>
      </c>
      <c r="F24" s="63">
        <f>E24/100</f>
        <v>0.10800000000000001</v>
      </c>
      <c r="G24" s="63">
        <v>416.62</v>
      </c>
      <c r="H24" s="64">
        <f t="shared" si="0"/>
        <v>4.4994960000000007E-2</v>
      </c>
      <c r="I24" s="10">
        <v>0</v>
      </c>
    </row>
    <row r="25" spans="1:9" ht="15.75" hidden="1" customHeight="1">
      <c r="A25" s="21">
        <v>10</v>
      </c>
      <c r="B25" s="60" t="s">
        <v>103</v>
      </c>
      <c r="C25" s="61" t="s">
        <v>51</v>
      </c>
      <c r="D25" s="60" t="s">
        <v>52</v>
      </c>
      <c r="E25" s="62">
        <v>12.6</v>
      </c>
      <c r="F25" s="63">
        <f>E25/100</f>
        <v>0.126</v>
      </c>
      <c r="G25" s="63">
        <v>231.03</v>
      </c>
      <c r="H25" s="64">
        <f>G25*F25/1000</f>
        <v>2.9109780000000002E-2</v>
      </c>
      <c r="I25" s="10">
        <v>0</v>
      </c>
    </row>
    <row r="26" spans="1:9" ht="15.75" hidden="1" customHeight="1">
      <c r="A26" s="21">
        <v>11</v>
      </c>
      <c r="B26" s="60" t="s">
        <v>104</v>
      </c>
      <c r="C26" s="61" t="s">
        <v>51</v>
      </c>
      <c r="D26" s="60" t="s">
        <v>96</v>
      </c>
      <c r="E26" s="62">
        <v>14.4</v>
      </c>
      <c r="F26" s="63">
        <f>SUM(E26/100)</f>
        <v>0.14400000000000002</v>
      </c>
      <c r="G26" s="63">
        <v>556.74</v>
      </c>
      <c r="H26" s="64">
        <f t="shared" si="0"/>
        <v>8.0170560000000016E-2</v>
      </c>
      <c r="I26" s="10">
        <v>0</v>
      </c>
    </row>
    <row r="27" spans="1:9" ht="15.75" customHeight="1">
      <c r="A27" s="21">
        <v>6</v>
      </c>
      <c r="B27" s="60" t="s">
        <v>62</v>
      </c>
      <c r="C27" s="61" t="s">
        <v>31</v>
      </c>
      <c r="D27" s="60"/>
      <c r="E27" s="62">
        <v>0.1</v>
      </c>
      <c r="F27" s="63">
        <f>SUM(E27*365)</f>
        <v>36.5</v>
      </c>
      <c r="G27" s="63">
        <v>157.18</v>
      </c>
      <c r="H27" s="64">
        <f>SUM(F27*G27/1000)</f>
        <v>5.737070000000001</v>
      </c>
      <c r="I27" s="10">
        <f>F27/12*G27</f>
        <v>478.08916666666664</v>
      </c>
    </row>
    <row r="28" spans="1:9" ht="15.75" customHeight="1">
      <c r="A28" s="21">
        <v>7</v>
      </c>
      <c r="B28" s="68" t="s">
        <v>23</v>
      </c>
      <c r="C28" s="61" t="s">
        <v>24</v>
      </c>
      <c r="D28" s="60"/>
      <c r="E28" s="62">
        <v>2054.6</v>
      </c>
      <c r="F28" s="63">
        <f>SUM(E28*12)</f>
        <v>24655.199999999997</v>
      </c>
      <c r="G28" s="63">
        <v>6.15</v>
      </c>
      <c r="H28" s="64">
        <f>SUM(F28*G28/1000)</f>
        <v>151.62947999999997</v>
      </c>
      <c r="I28" s="10">
        <f>F28/12*G28</f>
        <v>12635.79</v>
      </c>
    </row>
    <row r="29" spans="1:9" ht="15.75" customHeight="1">
      <c r="A29" s="108" t="s">
        <v>84</v>
      </c>
      <c r="B29" s="109"/>
      <c r="C29" s="109"/>
      <c r="D29" s="109"/>
      <c r="E29" s="109"/>
      <c r="F29" s="109"/>
      <c r="G29" s="109"/>
      <c r="H29" s="109"/>
      <c r="I29" s="110"/>
    </row>
    <row r="30" spans="1:9" ht="15.75" customHeight="1">
      <c r="A30" s="21"/>
      <c r="B30" s="81" t="s">
        <v>27</v>
      </c>
      <c r="C30" s="61"/>
      <c r="D30" s="60"/>
      <c r="E30" s="62"/>
      <c r="F30" s="63"/>
      <c r="G30" s="63"/>
      <c r="H30" s="64"/>
      <c r="I30" s="10"/>
    </row>
    <row r="31" spans="1:9" ht="15.75" customHeight="1">
      <c r="A31" s="21">
        <v>8</v>
      </c>
      <c r="B31" s="60" t="s">
        <v>109</v>
      </c>
      <c r="C31" s="61" t="s">
        <v>90</v>
      </c>
      <c r="D31" s="60" t="s">
        <v>164</v>
      </c>
      <c r="E31" s="63">
        <v>600.63</v>
      </c>
      <c r="F31" s="63">
        <f>SUM(E31*52/1000)</f>
        <v>31.232759999999999</v>
      </c>
      <c r="G31" s="63">
        <v>166.65</v>
      </c>
      <c r="H31" s="64">
        <f t="shared" ref="H31:H36" si="1">SUM(F31*G31/1000)</f>
        <v>5.2049394540000007</v>
      </c>
      <c r="I31" s="10">
        <f>F31/6*G31</f>
        <v>867.4899089999999</v>
      </c>
    </row>
    <row r="32" spans="1:9" ht="31.5" customHeight="1">
      <c r="A32" s="21">
        <v>9</v>
      </c>
      <c r="B32" s="60" t="s">
        <v>108</v>
      </c>
      <c r="C32" s="61" t="s">
        <v>90</v>
      </c>
      <c r="D32" s="60" t="s">
        <v>165</v>
      </c>
      <c r="E32" s="63">
        <v>186.39</v>
      </c>
      <c r="F32" s="63">
        <f>SUM(E32*78/1000)</f>
        <v>14.538419999999999</v>
      </c>
      <c r="G32" s="63">
        <v>276.48</v>
      </c>
      <c r="H32" s="64">
        <f t="shared" si="1"/>
        <v>4.0195823615999995</v>
      </c>
      <c r="I32" s="10">
        <f t="shared" ref="I32:I34" si="2">F32/6*G32</f>
        <v>669.93039359999989</v>
      </c>
    </row>
    <row r="33" spans="1:9" ht="15.75" hidden="1" customHeight="1">
      <c r="A33" s="21">
        <v>16</v>
      </c>
      <c r="B33" s="60" t="s">
        <v>26</v>
      </c>
      <c r="C33" s="61" t="s">
        <v>90</v>
      </c>
      <c r="D33" s="60" t="s">
        <v>52</v>
      </c>
      <c r="E33" s="63">
        <v>600.63</v>
      </c>
      <c r="F33" s="63">
        <f>SUM(E33/1000)</f>
        <v>0.60063</v>
      </c>
      <c r="G33" s="63">
        <v>3228.73</v>
      </c>
      <c r="H33" s="64">
        <f t="shared" si="1"/>
        <v>1.9392720999000002</v>
      </c>
      <c r="I33" s="10">
        <f>F33*G33</f>
        <v>1939.2720999000001</v>
      </c>
    </row>
    <row r="34" spans="1:9" ht="15.75" customHeight="1">
      <c r="A34" s="21">
        <v>10</v>
      </c>
      <c r="B34" s="60" t="s">
        <v>107</v>
      </c>
      <c r="C34" s="61" t="s">
        <v>29</v>
      </c>
      <c r="D34" s="60" t="s">
        <v>61</v>
      </c>
      <c r="E34" s="67">
        <v>0.33333333333333331</v>
      </c>
      <c r="F34" s="63">
        <f>155/3</f>
        <v>51.666666666666664</v>
      </c>
      <c r="G34" s="63">
        <v>60.6</v>
      </c>
      <c r="H34" s="64">
        <f>SUM(G34*155/3/1000)</f>
        <v>3.1309999999999998</v>
      </c>
      <c r="I34" s="10">
        <f t="shared" si="2"/>
        <v>521.83333333333337</v>
      </c>
    </row>
    <row r="35" spans="1:9" ht="15.75" hidden="1" customHeight="1">
      <c r="A35" s="21"/>
      <c r="B35" s="60" t="s">
        <v>63</v>
      </c>
      <c r="C35" s="61" t="s">
        <v>31</v>
      </c>
      <c r="D35" s="60" t="s">
        <v>65</v>
      </c>
      <c r="E35" s="62"/>
      <c r="F35" s="63">
        <v>2</v>
      </c>
      <c r="G35" s="63">
        <v>204.52</v>
      </c>
      <c r="H35" s="64">
        <f t="shared" si="1"/>
        <v>0.40904000000000001</v>
      </c>
      <c r="I35" s="10">
        <v>0</v>
      </c>
    </row>
    <row r="36" spans="1:9" ht="15.75" hidden="1" customHeight="1">
      <c r="A36" s="21"/>
      <c r="B36" s="60" t="s">
        <v>64</v>
      </c>
      <c r="C36" s="61" t="s">
        <v>30</v>
      </c>
      <c r="D36" s="60" t="s">
        <v>65</v>
      </c>
      <c r="E36" s="62"/>
      <c r="F36" s="63">
        <v>1</v>
      </c>
      <c r="G36" s="63">
        <v>1214.74</v>
      </c>
      <c r="H36" s="64">
        <f t="shared" si="1"/>
        <v>1.2147399999999999</v>
      </c>
      <c r="I36" s="10">
        <v>0</v>
      </c>
    </row>
    <row r="37" spans="1:9" ht="15.75" hidden="1" customHeight="1">
      <c r="A37" s="21"/>
      <c r="B37" s="81" t="s">
        <v>5</v>
      </c>
      <c r="C37" s="61"/>
      <c r="D37" s="60"/>
      <c r="E37" s="62"/>
      <c r="F37" s="63"/>
      <c r="G37" s="63"/>
      <c r="H37" s="64" t="s">
        <v>120</v>
      </c>
      <c r="I37" s="10"/>
    </row>
    <row r="38" spans="1:9" ht="15.75" hidden="1" customHeight="1">
      <c r="A38" s="21">
        <v>8</v>
      </c>
      <c r="B38" s="60" t="s">
        <v>25</v>
      </c>
      <c r="C38" s="61" t="s">
        <v>30</v>
      </c>
      <c r="D38" s="60"/>
      <c r="E38" s="62"/>
      <c r="F38" s="63">
        <v>5</v>
      </c>
      <c r="G38" s="63">
        <v>1632.6</v>
      </c>
      <c r="H38" s="64">
        <f t="shared" ref="H38:H44" si="3">SUM(F38*G38/1000)</f>
        <v>8.1630000000000003</v>
      </c>
      <c r="I38" s="10">
        <f>F38/6*G38</f>
        <v>1360.5</v>
      </c>
    </row>
    <row r="39" spans="1:9" ht="15.75" hidden="1" customHeight="1">
      <c r="A39" s="21">
        <v>9</v>
      </c>
      <c r="B39" s="60" t="s">
        <v>127</v>
      </c>
      <c r="C39" s="61" t="s">
        <v>28</v>
      </c>
      <c r="D39" s="60" t="s">
        <v>88</v>
      </c>
      <c r="E39" s="62">
        <v>186.39</v>
      </c>
      <c r="F39" s="63">
        <f>E39*30/1000</f>
        <v>5.5916999999999994</v>
      </c>
      <c r="G39" s="63">
        <v>2247.8000000000002</v>
      </c>
      <c r="H39" s="64">
        <f>G39*F39/1000</f>
        <v>12.56902326</v>
      </c>
      <c r="I39" s="10">
        <f>F39/6*G39</f>
        <v>2094.8372100000001</v>
      </c>
    </row>
    <row r="40" spans="1:9" ht="15.75" hidden="1" customHeight="1">
      <c r="A40" s="21"/>
      <c r="B40" s="60" t="s">
        <v>138</v>
      </c>
      <c r="C40" s="61" t="s">
        <v>139</v>
      </c>
      <c r="D40" s="60" t="s">
        <v>65</v>
      </c>
      <c r="E40" s="62"/>
      <c r="F40" s="63">
        <v>72.3</v>
      </c>
      <c r="G40" s="63">
        <v>199.44</v>
      </c>
      <c r="H40" s="64">
        <f>G40*F40/1000</f>
        <v>14.419511999999999</v>
      </c>
      <c r="I40" s="10">
        <v>0</v>
      </c>
    </row>
    <row r="41" spans="1:9" ht="15.75" hidden="1" customHeight="1">
      <c r="A41" s="21">
        <v>10</v>
      </c>
      <c r="B41" s="60" t="s">
        <v>66</v>
      </c>
      <c r="C41" s="61" t="s">
        <v>28</v>
      </c>
      <c r="D41" s="60" t="s">
        <v>89</v>
      </c>
      <c r="E41" s="63">
        <v>186.39</v>
      </c>
      <c r="F41" s="63">
        <f>SUM(E41*155/1000)</f>
        <v>28.890449999999998</v>
      </c>
      <c r="G41" s="63">
        <v>374.95</v>
      </c>
      <c r="H41" s="64">
        <f t="shared" si="3"/>
        <v>10.832474227499999</v>
      </c>
      <c r="I41" s="10">
        <f>F41/6*G41</f>
        <v>1805.4123712499998</v>
      </c>
    </row>
    <row r="42" spans="1:9" ht="47.25" hidden="1" customHeight="1">
      <c r="A42" s="21">
        <v>11</v>
      </c>
      <c r="B42" s="60" t="s">
        <v>82</v>
      </c>
      <c r="C42" s="61" t="s">
        <v>90</v>
      </c>
      <c r="D42" s="60" t="s">
        <v>128</v>
      </c>
      <c r="E42" s="63">
        <v>52.2</v>
      </c>
      <c r="F42" s="63">
        <f>SUM(E42*35/1000)</f>
        <v>1.827</v>
      </c>
      <c r="G42" s="63">
        <v>6203.7</v>
      </c>
      <c r="H42" s="64">
        <f t="shared" si="3"/>
        <v>11.3341599</v>
      </c>
      <c r="I42" s="10">
        <f>F42/6*G42</f>
        <v>1889.0266499999998</v>
      </c>
    </row>
    <row r="43" spans="1:9" ht="15.75" hidden="1" customHeight="1">
      <c r="A43" s="21">
        <v>12</v>
      </c>
      <c r="B43" s="60" t="s">
        <v>129</v>
      </c>
      <c r="C43" s="61" t="s">
        <v>90</v>
      </c>
      <c r="D43" s="60" t="s">
        <v>67</v>
      </c>
      <c r="E43" s="63">
        <v>52.2</v>
      </c>
      <c r="F43" s="63">
        <f>SUM(E43*45/1000)</f>
        <v>2.3490000000000002</v>
      </c>
      <c r="G43" s="63">
        <v>458.28</v>
      </c>
      <c r="H43" s="64">
        <f t="shared" si="3"/>
        <v>1.0764997199999999</v>
      </c>
      <c r="I43" s="10">
        <f>F43/6*G43</f>
        <v>179.41661999999999</v>
      </c>
    </row>
    <row r="44" spans="1:9" ht="15.75" hidden="1" customHeight="1">
      <c r="A44" s="21">
        <v>13</v>
      </c>
      <c r="B44" s="60" t="s">
        <v>68</v>
      </c>
      <c r="C44" s="61" t="s">
        <v>31</v>
      </c>
      <c r="D44" s="60"/>
      <c r="E44" s="62"/>
      <c r="F44" s="63">
        <v>0.5</v>
      </c>
      <c r="G44" s="63">
        <v>853.06</v>
      </c>
      <c r="H44" s="64">
        <f t="shared" si="3"/>
        <v>0.42652999999999996</v>
      </c>
      <c r="I44" s="10">
        <f>F44/6*G44</f>
        <v>71.088333333333324</v>
      </c>
    </row>
    <row r="45" spans="1:9" ht="15.75" hidden="1" customHeight="1">
      <c r="A45" s="108" t="s">
        <v>133</v>
      </c>
      <c r="B45" s="109"/>
      <c r="C45" s="109"/>
      <c r="D45" s="109"/>
      <c r="E45" s="109"/>
      <c r="F45" s="109"/>
      <c r="G45" s="109"/>
      <c r="H45" s="109"/>
      <c r="I45" s="110"/>
    </row>
    <row r="46" spans="1:9" ht="15.75" hidden="1" customHeight="1">
      <c r="A46" s="21"/>
      <c r="B46" s="60" t="s">
        <v>110</v>
      </c>
      <c r="C46" s="61" t="s">
        <v>90</v>
      </c>
      <c r="D46" s="60" t="s">
        <v>41</v>
      </c>
      <c r="E46" s="62">
        <v>917.75</v>
      </c>
      <c r="F46" s="63">
        <f>SUM(E46*2/1000)</f>
        <v>1.8354999999999999</v>
      </c>
      <c r="G46" s="10">
        <v>865.61</v>
      </c>
      <c r="H46" s="64">
        <f t="shared" ref="H46:H55" si="4">SUM(F46*G46/1000)</f>
        <v>1.5888271549999999</v>
      </c>
      <c r="I46" s="10">
        <v>0</v>
      </c>
    </row>
    <row r="47" spans="1:9" ht="15.75" hidden="1" customHeight="1">
      <c r="A47" s="21"/>
      <c r="B47" s="60" t="s">
        <v>34</v>
      </c>
      <c r="C47" s="61" t="s">
        <v>90</v>
      </c>
      <c r="D47" s="60" t="s">
        <v>41</v>
      </c>
      <c r="E47" s="62">
        <v>48</v>
      </c>
      <c r="F47" s="63">
        <f>E47*2/1000</f>
        <v>9.6000000000000002E-2</v>
      </c>
      <c r="G47" s="10">
        <v>619.46</v>
      </c>
      <c r="H47" s="64">
        <f t="shared" si="4"/>
        <v>5.9468160000000006E-2</v>
      </c>
      <c r="I47" s="10">
        <v>0</v>
      </c>
    </row>
    <row r="48" spans="1:9" ht="15.75" hidden="1" customHeight="1">
      <c r="A48" s="21"/>
      <c r="B48" s="60" t="s">
        <v>35</v>
      </c>
      <c r="C48" s="61" t="s">
        <v>90</v>
      </c>
      <c r="D48" s="60" t="s">
        <v>41</v>
      </c>
      <c r="E48" s="62">
        <v>937.4</v>
      </c>
      <c r="F48" s="63">
        <f>SUM(E48*2/1000)</f>
        <v>1.8748</v>
      </c>
      <c r="G48" s="10">
        <v>619.46</v>
      </c>
      <c r="H48" s="64">
        <f t="shared" si="4"/>
        <v>1.161363608</v>
      </c>
      <c r="I48" s="10">
        <v>0</v>
      </c>
    </row>
    <row r="49" spans="1:9" ht="15.75" hidden="1" customHeight="1">
      <c r="A49" s="21"/>
      <c r="B49" s="60" t="s">
        <v>36</v>
      </c>
      <c r="C49" s="61" t="s">
        <v>90</v>
      </c>
      <c r="D49" s="60" t="s">
        <v>41</v>
      </c>
      <c r="E49" s="62">
        <v>1243.28</v>
      </c>
      <c r="F49" s="63">
        <f>SUM(E49*2/1000)</f>
        <v>2.4865599999999999</v>
      </c>
      <c r="G49" s="10">
        <v>648.64</v>
      </c>
      <c r="H49" s="64">
        <f t="shared" si="4"/>
        <v>1.6128822783999999</v>
      </c>
      <c r="I49" s="10">
        <v>0</v>
      </c>
    </row>
    <row r="50" spans="1:9" ht="15.75" hidden="1" customHeight="1">
      <c r="A50" s="21"/>
      <c r="B50" s="60" t="s">
        <v>32</v>
      </c>
      <c r="C50" s="61" t="s">
        <v>33</v>
      </c>
      <c r="D50" s="60" t="s">
        <v>41</v>
      </c>
      <c r="E50" s="62">
        <v>64.5</v>
      </c>
      <c r="F50" s="63">
        <f>SUM(E50*2/100)</f>
        <v>1.29</v>
      </c>
      <c r="G50" s="10">
        <v>77.84</v>
      </c>
      <c r="H50" s="64">
        <f t="shared" si="4"/>
        <v>0.10041360000000001</v>
      </c>
      <c r="I50" s="10">
        <v>0</v>
      </c>
    </row>
    <row r="51" spans="1:9" ht="15.75" hidden="1" customHeight="1">
      <c r="A51" s="21">
        <v>14</v>
      </c>
      <c r="B51" s="60" t="s">
        <v>54</v>
      </c>
      <c r="C51" s="61" t="s">
        <v>90</v>
      </c>
      <c r="D51" s="60" t="s">
        <v>144</v>
      </c>
      <c r="E51" s="62">
        <v>678.4</v>
      </c>
      <c r="F51" s="63">
        <f>SUM(E51*5/1000)</f>
        <v>3.3919999999999999</v>
      </c>
      <c r="G51" s="10">
        <v>1297.28</v>
      </c>
      <c r="H51" s="64">
        <f t="shared" si="4"/>
        <v>4.4003737599999999</v>
      </c>
      <c r="I51" s="10">
        <f>F51/5*G51</f>
        <v>880.07475199999999</v>
      </c>
    </row>
    <row r="52" spans="1:9" ht="31.5" hidden="1" customHeight="1">
      <c r="A52" s="21"/>
      <c r="B52" s="60" t="s">
        <v>91</v>
      </c>
      <c r="C52" s="61" t="s">
        <v>90</v>
      </c>
      <c r="D52" s="60" t="s">
        <v>41</v>
      </c>
      <c r="E52" s="62">
        <v>678.4</v>
      </c>
      <c r="F52" s="63">
        <f>SUM(E52*2/1000)</f>
        <v>1.3568</v>
      </c>
      <c r="G52" s="10">
        <v>1297.28</v>
      </c>
      <c r="H52" s="64">
        <f t="shared" si="4"/>
        <v>1.7601495039999999</v>
      </c>
      <c r="I52" s="10">
        <v>0</v>
      </c>
    </row>
    <row r="53" spans="1:9" ht="31.5" hidden="1" customHeight="1">
      <c r="A53" s="21"/>
      <c r="B53" s="60" t="s">
        <v>92</v>
      </c>
      <c r="C53" s="61" t="s">
        <v>37</v>
      </c>
      <c r="D53" s="60" t="s">
        <v>41</v>
      </c>
      <c r="E53" s="62">
        <v>12</v>
      </c>
      <c r="F53" s="63">
        <f>SUM(E53*2/100)</f>
        <v>0.24</v>
      </c>
      <c r="G53" s="10">
        <v>2918.89</v>
      </c>
      <c r="H53" s="64">
        <f t="shared" si="4"/>
        <v>0.70053359999999998</v>
      </c>
      <c r="I53" s="10">
        <v>0</v>
      </c>
    </row>
    <row r="54" spans="1:9" ht="15.75" hidden="1" customHeight="1">
      <c r="A54" s="21"/>
      <c r="B54" s="60" t="s">
        <v>38</v>
      </c>
      <c r="C54" s="61" t="s">
        <v>39</v>
      </c>
      <c r="D54" s="60" t="s">
        <v>41</v>
      </c>
      <c r="E54" s="62">
        <v>1</v>
      </c>
      <c r="F54" s="63">
        <v>0.02</v>
      </c>
      <c r="G54" s="10">
        <v>6042.12</v>
      </c>
      <c r="H54" s="64">
        <f t="shared" si="4"/>
        <v>0.1208424</v>
      </c>
      <c r="I54" s="10">
        <v>0</v>
      </c>
    </row>
    <row r="55" spans="1:9" ht="15.75" hidden="1" customHeight="1">
      <c r="A55" s="21">
        <v>15</v>
      </c>
      <c r="B55" s="60" t="s">
        <v>40</v>
      </c>
      <c r="C55" s="61" t="s">
        <v>111</v>
      </c>
      <c r="D55" s="60" t="s">
        <v>69</v>
      </c>
      <c r="E55" s="62">
        <v>72</v>
      </c>
      <c r="F55" s="63">
        <f>SUM(E55)*3</f>
        <v>216</v>
      </c>
      <c r="G55" s="10">
        <v>70.209999999999994</v>
      </c>
      <c r="H55" s="64">
        <f t="shared" si="4"/>
        <v>15.165359999999998</v>
      </c>
      <c r="I55" s="10">
        <f>E55*G55</f>
        <v>5055.12</v>
      </c>
    </row>
    <row r="56" spans="1:9" ht="15.75" hidden="1" customHeight="1">
      <c r="A56" s="108" t="s">
        <v>134</v>
      </c>
      <c r="B56" s="109"/>
      <c r="C56" s="109"/>
      <c r="D56" s="109"/>
      <c r="E56" s="109"/>
      <c r="F56" s="109"/>
      <c r="G56" s="109"/>
      <c r="H56" s="109"/>
      <c r="I56" s="110"/>
    </row>
    <row r="57" spans="1:9" ht="15.75" hidden="1" customHeight="1">
      <c r="A57" s="21"/>
      <c r="B57" s="81" t="s">
        <v>42</v>
      </c>
      <c r="C57" s="61"/>
      <c r="D57" s="60"/>
      <c r="E57" s="62"/>
      <c r="F57" s="63"/>
      <c r="G57" s="63"/>
      <c r="H57" s="64"/>
      <c r="I57" s="10"/>
    </row>
    <row r="58" spans="1:9" ht="30.75" hidden="1" customHeight="1">
      <c r="A58" s="100">
        <v>16</v>
      </c>
      <c r="B58" s="70" t="s">
        <v>112</v>
      </c>
      <c r="C58" s="69" t="s">
        <v>87</v>
      </c>
      <c r="D58" s="70" t="s">
        <v>113</v>
      </c>
      <c r="E58" s="62">
        <v>110.66</v>
      </c>
      <c r="F58" s="63">
        <f>SUM(E58*6/100)</f>
        <v>6.6396000000000006</v>
      </c>
      <c r="G58" s="10">
        <v>1654.04</v>
      </c>
      <c r="H58" s="64">
        <f>SUM(F58*G58/1000)</f>
        <v>10.982163984000001</v>
      </c>
      <c r="I58" s="10">
        <f>F58/6*G58</f>
        <v>1830.360664</v>
      </c>
    </row>
    <row r="59" spans="1:9" ht="19.5" customHeight="1">
      <c r="A59" s="21"/>
      <c r="B59" s="101" t="s">
        <v>43</v>
      </c>
      <c r="C59" s="13"/>
      <c r="D59" s="11"/>
      <c r="E59" s="79"/>
      <c r="F59" s="63"/>
      <c r="G59" s="10"/>
      <c r="H59" s="56"/>
      <c r="I59" s="10"/>
    </row>
    <row r="60" spans="1:9" ht="16.5" customHeight="1">
      <c r="A60" s="21">
        <v>11</v>
      </c>
      <c r="B60" s="102" t="s">
        <v>44</v>
      </c>
      <c r="C60" s="13"/>
      <c r="D60" s="11"/>
      <c r="E60" s="79"/>
      <c r="F60" s="63"/>
      <c r="G60" s="99">
        <v>237.74</v>
      </c>
      <c r="H60" s="56"/>
      <c r="I60" s="10">
        <f>G60</f>
        <v>237.74</v>
      </c>
    </row>
    <row r="61" spans="1:9" ht="25.5" hidden="1" customHeight="1">
      <c r="A61" s="21"/>
      <c r="B61" s="11" t="s">
        <v>45</v>
      </c>
      <c r="C61" s="13" t="s">
        <v>111</v>
      </c>
      <c r="D61" s="11" t="s">
        <v>65</v>
      </c>
      <c r="E61" s="15">
        <v>3</v>
      </c>
      <c r="F61" s="63">
        <v>3</v>
      </c>
      <c r="G61" s="10">
        <v>81.510000000000005</v>
      </c>
      <c r="H61" s="74">
        <f t="shared" ref="H61:H73" si="5">SUM(F61*G61/1000)</f>
        <v>0.24453000000000003</v>
      </c>
      <c r="I61" s="10">
        <v>0</v>
      </c>
    </row>
    <row r="62" spans="1:9" ht="24" hidden="1" customHeight="1">
      <c r="A62" s="21"/>
      <c r="B62" s="11" t="s">
        <v>46</v>
      </c>
      <c r="C62" s="13" t="s">
        <v>114</v>
      </c>
      <c r="D62" s="11" t="s">
        <v>52</v>
      </c>
      <c r="E62" s="62">
        <v>8539</v>
      </c>
      <c r="F62" s="10">
        <f>SUM(E62/100)</f>
        <v>85.39</v>
      </c>
      <c r="G62" s="10">
        <v>226.79</v>
      </c>
      <c r="H62" s="74">
        <f t="shared" si="5"/>
        <v>19.3655981</v>
      </c>
      <c r="I62" s="10">
        <v>0</v>
      </c>
    </row>
    <row r="63" spans="1:9" ht="27" hidden="1" customHeight="1">
      <c r="A63" s="21"/>
      <c r="B63" s="11" t="s">
        <v>47</v>
      </c>
      <c r="C63" s="13" t="s">
        <v>115</v>
      </c>
      <c r="D63" s="11"/>
      <c r="E63" s="62">
        <v>8539</v>
      </c>
      <c r="F63" s="10">
        <f>SUM(E63/1000)</f>
        <v>8.5389999999999997</v>
      </c>
      <c r="G63" s="10">
        <v>176.61</v>
      </c>
      <c r="H63" s="74">
        <f t="shared" si="5"/>
        <v>1.5080727900000002</v>
      </c>
      <c r="I63" s="10">
        <v>0</v>
      </c>
    </row>
    <row r="64" spans="1:9" ht="25.5" hidden="1" customHeight="1">
      <c r="A64" s="21"/>
      <c r="B64" s="11" t="s">
        <v>48</v>
      </c>
      <c r="C64" s="13" t="s">
        <v>75</v>
      </c>
      <c r="D64" s="11" t="s">
        <v>52</v>
      </c>
      <c r="E64" s="62">
        <v>1370</v>
      </c>
      <c r="F64" s="10">
        <f>SUM(E64/100)</f>
        <v>13.7</v>
      </c>
      <c r="G64" s="10">
        <v>2217.7800000000002</v>
      </c>
      <c r="H64" s="74">
        <f t="shared" si="5"/>
        <v>30.383586000000005</v>
      </c>
      <c r="I64" s="10">
        <v>0</v>
      </c>
    </row>
    <row r="65" spans="1:9" ht="24.75" hidden="1" customHeight="1">
      <c r="A65" s="21"/>
      <c r="B65" s="75" t="s">
        <v>116</v>
      </c>
      <c r="C65" s="13" t="s">
        <v>31</v>
      </c>
      <c r="D65" s="11"/>
      <c r="E65" s="62">
        <v>9</v>
      </c>
      <c r="F65" s="10">
        <f>SUM(E65)</f>
        <v>9</v>
      </c>
      <c r="G65" s="10">
        <v>42.67</v>
      </c>
      <c r="H65" s="74">
        <f t="shared" si="5"/>
        <v>0.38403000000000004</v>
      </c>
      <c r="I65" s="10">
        <v>0</v>
      </c>
    </row>
    <row r="66" spans="1:9" ht="27" hidden="1" customHeight="1">
      <c r="A66" s="21"/>
      <c r="B66" s="75" t="s">
        <v>117</v>
      </c>
      <c r="C66" s="13" t="s">
        <v>31</v>
      </c>
      <c r="D66" s="11"/>
      <c r="E66" s="62">
        <v>9</v>
      </c>
      <c r="F66" s="10">
        <f>SUM(E66)</f>
        <v>9</v>
      </c>
      <c r="G66" s="10">
        <v>39.81</v>
      </c>
      <c r="H66" s="74">
        <f t="shared" si="5"/>
        <v>0.35829</v>
      </c>
      <c r="I66" s="10">
        <v>0</v>
      </c>
    </row>
    <row r="67" spans="1:9" ht="24.75" hidden="1" customHeight="1">
      <c r="A67" s="21"/>
      <c r="B67" s="11" t="s">
        <v>55</v>
      </c>
      <c r="C67" s="13" t="s">
        <v>56</v>
      </c>
      <c r="D67" s="11" t="s">
        <v>52</v>
      </c>
      <c r="E67" s="15">
        <v>3</v>
      </c>
      <c r="F67" s="63">
        <v>3</v>
      </c>
      <c r="G67" s="10">
        <v>53.62</v>
      </c>
      <c r="H67" s="74">
        <f t="shared" si="5"/>
        <v>0.16085999999999998</v>
      </c>
      <c r="I67" s="10">
        <v>0</v>
      </c>
    </row>
    <row r="68" spans="1:9" ht="21" customHeight="1">
      <c r="A68" s="21"/>
      <c r="B68" s="23" t="s">
        <v>70</v>
      </c>
      <c r="C68" s="13"/>
      <c r="D68" s="11"/>
      <c r="E68" s="15"/>
      <c r="F68" s="10"/>
      <c r="G68" s="10"/>
      <c r="H68" s="74" t="s">
        <v>120</v>
      </c>
      <c r="I68" s="10"/>
    </row>
    <row r="69" spans="1:9" ht="18" customHeight="1">
      <c r="A69" s="21">
        <v>12</v>
      </c>
      <c r="B69" s="11" t="s">
        <v>71</v>
      </c>
      <c r="C69" s="13" t="s">
        <v>73</v>
      </c>
      <c r="D69" s="11"/>
      <c r="E69" s="15">
        <v>2</v>
      </c>
      <c r="F69" s="10">
        <v>0.2</v>
      </c>
      <c r="G69" s="10">
        <v>536.23</v>
      </c>
      <c r="H69" s="74">
        <f t="shared" si="5"/>
        <v>0.10724600000000001</v>
      </c>
      <c r="I69" s="10">
        <f>G69*0.1</f>
        <v>53.623000000000005</v>
      </c>
    </row>
    <row r="70" spans="1:9" ht="23.25" hidden="1" customHeight="1">
      <c r="A70" s="21"/>
      <c r="B70" s="11" t="s">
        <v>72</v>
      </c>
      <c r="C70" s="13" t="s">
        <v>29</v>
      </c>
      <c r="D70" s="11"/>
      <c r="E70" s="15">
        <v>1</v>
      </c>
      <c r="F70" s="56">
        <v>1</v>
      </c>
      <c r="G70" s="10">
        <v>911.85</v>
      </c>
      <c r="H70" s="74">
        <f>F70*G70/1000</f>
        <v>0.91185000000000005</v>
      </c>
      <c r="I70" s="10">
        <v>0</v>
      </c>
    </row>
    <row r="71" spans="1:9" ht="26.25" hidden="1" customHeight="1">
      <c r="A71" s="21"/>
      <c r="B71" s="11" t="s">
        <v>130</v>
      </c>
      <c r="C71" s="13" t="s">
        <v>29</v>
      </c>
      <c r="D71" s="11"/>
      <c r="E71" s="15">
        <v>1</v>
      </c>
      <c r="F71" s="10">
        <v>1</v>
      </c>
      <c r="G71" s="10">
        <v>383.25</v>
      </c>
      <c r="H71" s="74">
        <f>G71*F71/1000</f>
        <v>0.38324999999999998</v>
      </c>
      <c r="I71" s="10">
        <v>0</v>
      </c>
    </row>
    <row r="72" spans="1:9" ht="24" hidden="1" customHeight="1">
      <c r="A72" s="21"/>
      <c r="B72" s="76" t="s">
        <v>74</v>
      </c>
      <c r="C72" s="13"/>
      <c r="D72" s="11"/>
      <c r="E72" s="15"/>
      <c r="F72" s="10"/>
      <c r="G72" s="10" t="s">
        <v>120</v>
      </c>
      <c r="H72" s="74" t="s">
        <v>120</v>
      </c>
      <c r="I72" s="10"/>
    </row>
    <row r="73" spans="1:9" ht="24" hidden="1" customHeight="1">
      <c r="A73" s="21"/>
      <c r="B73" s="36" t="s">
        <v>121</v>
      </c>
      <c r="C73" s="13" t="s">
        <v>75</v>
      </c>
      <c r="D73" s="11"/>
      <c r="E73" s="15"/>
      <c r="F73" s="10">
        <v>1.35</v>
      </c>
      <c r="G73" s="10">
        <v>2949.85</v>
      </c>
      <c r="H73" s="74">
        <f t="shared" si="5"/>
        <v>3.9822975</v>
      </c>
      <c r="I73" s="10">
        <v>0</v>
      </c>
    </row>
    <row r="74" spans="1:9" ht="29.25" hidden="1" customHeight="1">
      <c r="A74" s="21"/>
      <c r="B74" s="55" t="s">
        <v>93</v>
      </c>
      <c r="C74" s="77"/>
      <c r="D74" s="23"/>
      <c r="E74" s="24"/>
      <c r="F74" s="66"/>
      <c r="G74" s="66"/>
      <c r="H74" s="78">
        <f>SUM(H58:H73)</f>
        <v>68.771774374000003</v>
      </c>
      <c r="I74" s="66"/>
    </row>
    <row r="75" spans="1:9" ht="24.75" hidden="1" customHeight="1">
      <c r="A75" s="21"/>
      <c r="B75" s="60" t="s">
        <v>118</v>
      </c>
      <c r="C75" s="13"/>
      <c r="D75" s="11"/>
      <c r="E75" s="79"/>
      <c r="F75" s="10">
        <v>1</v>
      </c>
      <c r="G75" s="10">
        <v>7101.4</v>
      </c>
      <c r="H75" s="74">
        <f>G75*F75/1000</f>
        <v>7.1013999999999999</v>
      </c>
      <c r="I75" s="10">
        <v>0</v>
      </c>
    </row>
    <row r="76" spans="1:9" ht="15.75" customHeight="1">
      <c r="A76" s="108" t="s">
        <v>153</v>
      </c>
      <c r="B76" s="109"/>
      <c r="C76" s="109"/>
      <c r="D76" s="109"/>
      <c r="E76" s="109"/>
      <c r="F76" s="109"/>
      <c r="G76" s="109"/>
      <c r="H76" s="109"/>
      <c r="I76" s="110"/>
    </row>
    <row r="77" spans="1:9" ht="15.75" customHeight="1">
      <c r="A77" s="21">
        <v>13</v>
      </c>
      <c r="B77" s="60" t="s">
        <v>119</v>
      </c>
      <c r="C77" s="13" t="s">
        <v>53</v>
      </c>
      <c r="D77" s="80" t="s">
        <v>145</v>
      </c>
      <c r="E77" s="10">
        <v>2054.6</v>
      </c>
      <c r="F77" s="10">
        <f>SUM(E77*12)</f>
        <v>24655.199999999997</v>
      </c>
      <c r="G77" s="10">
        <v>2.2400000000000002</v>
      </c>
      <c r="H77" s="74">
        <f>SUM(F77*G77/1000)</f>
        <v>55.227648000000002</v>
      </c>
      <c r="I77" s="10">
        <f>F77/12*G77</f>
        <v>4602.3040000000001</v>
      </c>
    </row>
    <row r="78" spans="1:9" ht="31.5" customHeight="1">
      <c r="A78" s="21">
        <v>14</v>
      </c>
      <c r="B78" s="11" t="s">
        <v>76</v>
      </c>
      <c r="C78" s="13"/>
      <c r="D78" s="80" t="s">
        <v>145</v>
      </c>
      <c r="E78" s="62">
        <f>E77</f>
        <v>2054.6</v>
      </c>
      <c r="F78" s="10">
        <f>E78*12</f>
        <v>24655.199999999997</v>
      </c>
      <c r="G78" s="10">
        <v>1.74</v>
      </c>
      <c r="H78" s="74">
        <f>F78*G78/1000</f>
        <v>42.900047999999998</v>
      </c>
      <c r="I78" s="10">
        <f>F78/12*G78</f>
        <v>3575.0039999999999</v>
      </c>
    </row>
    <row r="79" spans="1:9" ht="15.75" customHeight="1">
      <c r="A79" s="21"/>
      <c r="B79" s="28" t="s">
        <v>78</v>
      </c>
      <c r="C79" s="77"/>
      <c r="D79" s="76"/>
      <c r="E79" s="66"/>
      <c r="F79" s="66"/>
      <c r="G79" s="66"/>
      <c r="H79" s="78">
        <f>H78</f>
        <v>42.900047999999998</v>
      </c>
      <c r="I79" s="66">
        <f>I78+I77+I69+I60+I34+I32+I31+I28+I27+I21+I20+I18+I17+I16</f>
        <v>30088.0110346</v>
      </c>
    </row>
    <row r="80" spans="1:9" ht="15.75" customHeight="1">
      <c r="A80" s="122" t="s">
        <v>58</v>
      </c>
      <c r="B80" s="123"/>
      <c r="C80" s="123"/>
      <c r="D80" s="123"/>
      <c r="E80" s="123"/>
      <c r="F80" s="123"/>
      <c r="G80" s="123"/>
      <c r="H80" s="123"/>
      <c r="I80" s="124"/>
    </row>
    <row r="81" spans="1:9" ht="15.75" customHeight="1">
      <c r="A81" s="98">
        <v>15</v>
      </c>
      <c r="B81" s="70" t="s">
        <v>171</v>
      </c>
      <c r="C81" s="69" t="s">
        <v>172</v>
      </c>
      <c r="D81" s="70"/>
      <c r="E81" s="71"/>
      <c r="F81" s="72">
        <v>360</v>
      </c>
      <c r="G81" s="56">
        <v>1.2</v>
      </c>
      <c r="H81" s="73">
        <f>F81*G81/1000</f>
        <v>0.432</v>
      </c>
      <c r="I81" s="94">
        <f>G81*120</f>
        <v>144</v>
      </c>
    </row>
    <row r="82" spans="1:9" ht="15.75" customHeight="1">
      <c r="A82" s="21" t="s">
        <v>197</v>
      </c>
      <c r="B82" s="39" t="s">
        <v>122</v>
      </c>
      <c r="C82" s="40" t="s">
        <v>111</v>
      </c>
      <c r="D82" s="36"/>
      <c r="E82" s="10"/>
      <c r="F82" s="10">
        <v>432</v>
      </c>
      <c r="G82" s="10">
        <v>55.55</v>
      </c>
      <c r="H82" s="10">
        <f>G82*F82/1000</f>
        <v>23.997599999999998</v>
      </c>
      <c r="I82" s="10">
        <f>G82*36</f>
        <v>1999.8</v>
      </c>
    </row>
    <row r="83" spans="1:9" ht="28.5" customHeight="1">
      <c r="A83" s="21">
        <v>17</v>
      </c>
      <c r="B83" s="92" t="s">
        <v>166</v>
      </c>
      <c r="C83" s="42" t="s">
        <v>143</v>
      </c>
      <c r="D83" s="36"/>
      <c r="E83" s="10"/>
      <c r="F83" s="10"/>
      <c r="G83" s="27">
        <v>6183.75</v>
      </c>
      <c r="H83" s="10"/>
      <c r="I83" s="10">
        <f>G83*1.54</f>
        <v>9522.9750000000004</v>
      </c>
    </row>
    <row r="84" spans="1:9" ht="15.75" customHeight="1">
      <c r="A84" s="21">
        <v>18</v>
      </c>
      <c r="B84" s="92" t="s">
        <v>141</v>
      </c>
      <c r="C84" s="42" t="s">
        <v>142</v>
      </c>
      <c r="D84" s="36"/>
      <c r="E84" s="10"/>
      <c r="F84" s="10"/>
      <c r="G84" s="27">
        <v>1645</v>
      </c>
      <c r="H84" s="10"/>
      <c r="I84" s="10">
        <f>G84*3</f>
        <v>4935</v>
      </c>
    </row>
    <row r="85" spans="1:9" ht="15.75" customHeight="1">
      <c r="A85" s="21"/>
      <c r="B85" s="34" t="s">
        <v>49</v>
      </c>
      <c r="C85" s="30"/>
      <c r="D85" s="37"/>
      <c r="E85" s="30">
        <v>1</v>
      </c>
      <c r="F85" s="30"/>
      <c r="G85" s="30"/>
      <c r="H85" s="30"/>
      <c r="I85" s="24">
        <f>SUM(I81+I83+I84)</f>
        <v>14601.975</v>
      </c>
    </row>
    <row r="86" spans="1:9" ht="15.75" customHeight="1">
      <c r="A86" s="21"/>
      <c r="B86" s="36" t="s">
        <v>77</v>
      </c>
      <c r="C86" s="12"/>
      <c r="D86" s="12"/>
      <c r="E86" s="31"/>
      <c r="F86" s="31"/>
      <c r="G86" s="32"/>
      <c r="H86" s="32"/>
      <c r="I86" s="14">
        <v>0</v>
      </c>
    </row>
    <row r="87" spans="1:9" ht="15.75" customHeight="1">
      <c r="A87" s="38"/>
      <c r="B87" s="35" t="s">
        <v>163</v>
      </c>
      <c r="C87" s="26"/>
      <c r="D87" s="26"/>
      <c r="E87" s="26"/>
      <c r="F87" s="26"/>
      <c r="G87" s="26"/>
      <c r="H87" s="26"/>
      <c r="I87" s="33">
        <f>I79+I85</f>
        <v>44689.986034599999</v>
      </c>
    </row>
    <row r="88" spans="1:9" ht="15.75" customHeight="1">
      <c r="A88" s="125" t="s">
        <v>198</v>
      </c>
      <c r="B88" s="126"/>
      <c r="C88" s="126"/>
      <c r="D88" s="126"/>
      <c r="E88" s="126"/>
      <c r="F88" s="126"/>
      <c r="G88" s="126"/>
      <c r="H88" s="126"/>
      <c r="I88" s="126"/>
    </row>
    <row r="89" spans="1:9" ht="15.75">
      <c r="A89" s="121" t="s">
        <v>199</v>
      </c>
      <c r="B89" s="121"/>
      <c r="C89" s="121"/>
      <c r="D89" s="121"/>
      <c r="E89" s="121"/>
      <c r="F89" s="121"/>
      <c r="G89" s="121"/>
      <c r="H89" s="121"/>
      <c r="I89" s="121"/>
    </row>
    <row r="90" spans="1:9" ht="15.75">
      <c r="A90" s="48"/>
      <c r="B90" s="116" t="s">
        <v>200</v>
      </c>
      <c r="C90" s="116"/>
      <c r="D90" s="116"/>
      <c r="E90" s="116"/>
      <c r="F90" s="116"/>
      <c r="G90" s="116"/>
      <c r="H90" s="59"/>
      <c r="I90" s="2"/>
    </row>
    <row r="91" spans="1:9">
      <c r="A91" s="51"/>
      <c r="B91" s="112" t="s">
        <v>6</v>
      </c>
      <c r="C91" s="112"/>
      <c r="D91" s="112"/>
      <c r="E91" s="112"/>
      <c r="F91" s="112"/>
      <c r="G91" s="112"/>
      <c r="H91" s="16"/>
      <c r="I91" s="4"/>
    </row>
    <row r="92" spans="1:9">
      <c r="A92" s="7"/>
      <c r="B92" s="7"/>
      <c r="C92" s="7"/>
      <c r="D92" s="7"/>
      <c r="E92" s="7"/>
      <c r="F92" s="7"/>
      <c r="G92" s="7"/>
      <c r="H92" s="7"/>
      <c r="I92" s="7"/>
    </row>
    <row r="93" spans="1:9" ht="15.75">
      <c r="A93" s="117" t="s">
        <v>7</v>
      </c>
      <c r="B93" s="117"/>
      <c r="C93" s="117"/>
      <c r="D93" s="117"/>
      <c r="E93" s="117"/>
      <c r="F93" s="117"/>
      <c r="G93" s="117"/>
      <c r="H93" s="117"/>
      <c r="I93" s="117"/>
    </row>
    <row r="94" spans="1:9" ht="15.75">
      <c r="A94" s="117" t="s">
        <v>8</v>
      </c>
      <c r="B94" s="117"/>
      <c r="C94" s="117"/>
      <c r="D94" s="117"/>
      <c r="E94" s="117"/>
      <c r="F94" s="117"/>
      <c r="G94" s="117"/>
      <c r="H94" s="117"/>
      <c r="I94" s="117"/>
    </row>
    <row r="95" spans="1:9" ht="15.75">
      <c r="A95" s="118" t="s">
        <v>59</v>
      </c>
      <c r="B95" s="118"/>
      <c r="C95" s="118"/>
      <c r="D95" s="118"/>
      <c r="E95" s="118"/>
      <c r="F95" s="118"/>
      <c r="G95" s="118"/>
      <c r="H95" s="118"/>
      <c r="I95" s="118"/>
    </row>
    <row r="96" spans="1:9" ht="15.75">
      <c r="A96" s="8"/>
    </row>
    <row r="97" spans="1:9" ht="15.75">
      <c r="A97" s="119" t="s">
        <v>9</v>
      </c>
      <c r="B97" s="119"/>
      <c r="C97" s="119"/>
      <c r="D97" s="119"/>
      <c r="E97" s="119"/>
      <c r="F97" s="119"/>
      <c r="G97" s="119"/>
      <c r="H97" s="119"/>
      <c r="I97" s="119"/>
    </row>
    <row r="98" spans="1:9" ht="15.75">
      <c r="A98" s="3"/>
    </row>
    <row r="99" spans="1:9" ht="15.75">
      <c r="B99" s="52" t="s">
        <v>10</v>
      </c>
      <c r="C99" s="111" t="s">
        <v>136</v>
      </c>
      <c r="D99" s="111"/>
      <c r="E99" s="111"/>
      <c r="F99" s="57"/>
      <c r="I99" s="50"/>
    </row>
    <row r="100" spans="1:9">
      <c r="A100" s="51"/>
      <c r="C100" s="112" t="s">
        <v>11</v>
      </c>
      <c r="D100" s="112"/>
      <c r="E100" s="112"/>
      <c r="F100" s="16"/>
      <c r="I100" s="49" t="s">
        <v>12</v>
      </c>
    </row>
    <row r="101" spans="1:9" ht="15.75">
      <c r="A101" s="17"/>
      <c r="C101" s="9"/>
      <c r="D101" s="9"/>
      <c r="G101" s="9"/>
      <c r="H101" s="9"/>
    </row>
    <row r="102" spans="1:9" ht="15.75">
      <c r="B102" s="52" t="s">
        <v>13</v>
      </c>
      <c r="C102" s="113"/>
      <c r="D102" s="113"/>
      <c r="E102" s="113"/>
      <c r="F102" s="58"/>
      <c r="I102" s="50"/>
    </row>
    <row r="103" spans="1:9">
      <c r="A103" s="51"/>
      <c r="C103" s="114" t="s">
        <v>11</v>
      </c>
      <c r="D103" s="114"/>
      <c r="E103" s="114"/>
      <c r="F103" s="51"/>
      <c r="I103" s="49" t="s">
        <v>12</v>
      </c>
    </row>
    <row r="104" spans="1:9" ht="15.75">
      <c r="A104" s="3" t="s">
        <v>14</v>
      </c>
    </row>
    <row r="105" spans="1:9">
      <c r="A105" s="115" t="s">
        <v>15</v>
      </c>
      <c r="B105" s="115"/>
      <c r="C105" s="115"/>
      <c r="D105" s="115"/>
      <c r="E105" s="115"/>
      <c r="F105" s="115"/>
      <c r="G105" s="115"/>
      <c r="H105" s="115"/>
      <c r="I105" s="115"/>
    </row>
    <row r="106" spans="1:9" ht="45" customHeight="1">
      <c r="A106" s="107" t="s">
        <v>16</v>
      </c>
      <c r="B106" s="107"/>
      <c r="C106" s="107"/>
      <c r="D106" s="107"/>
      <c r="E106" s="107"/>
      <c r="F106" s="107"/>
      <c r="G106" s="107"/>
      <c r="H106" s="107"/>
      <c r="I106" s="107"/>
    </row>
    <row r="107" spans="1:9" ht="30" customHeight="1">
      <c r="A107" s="107" t="s">
        <v>17</v>
      </c>
      <c r="B107" s="107"/>
      <c r="C107" s="107"/>
      <c r="D107" s="107"/>
      <c r="E107" s="107"/>
      <c r="F107" s="107"/>
      <c r="G107" s="107"/>
      <c r="H107" s="107"/>
      <c r="I107" s="107"/>
    </row>
    <row r="108" spans="1:9" ht="30" customHeight="1">
      <c r="A108" s="107" t="s">
        <v>21</v>
      </c>
      <c r="B108" s="107"/>
      <c r="C108" s="107"/>
      <c r="D108" s="107"/>
      <c r="E108" s="107"/>
      <c r="F108" s="107"/>
      <c r="G108" s="107"/>
      <c r="H108" s="107"/>
      <c r="I108" s="107"/>
    </row>
    <row r="109" spans="1:9" ht="15" customHeight="1">
      <c r="A109" s="107" t="s">
        <v>20</v>
      </c>
      <c r="B109" s="107"/>
      <c r="C109" s="107"/>
      <c r="D109" s="107"/>
      <c r="E109" s="107"/>
      <c r="F109" s="107"/>
      <c r="G109" s="107"/>
      <c r="H109" s="107"/>
      <c r="I109" s="107"/>
    </row>
  </sheetData>
  <mergeCells count="29">
    <mergeCell ref="A107:I107"/>
    <mergeCell ref="A108:I108"/>
    <mergeCell ref="A109:I109"/>
    <mergeCell ref="C99:E99"/>
    <mergeCell ref="C100:E100"/>
    <mergeCell ref="C102:E102"/>
    <mergeCell ref="C103:E103"/>
    <mergeCell ref="A105:I105"/>
    <mergeCell ref="A106:I106"/>
    <mergeCell ref="A97:I97"/>
    <mergeCell ref="A15:I15"/>
    <mergeCell ref="A29:I29"/>
    <mergeCell ref="A45:I45"/>
    <mergeCell ref="A56:I56"/>
    <mergeCell ref="A76:I76"/>
    <mergeCell ref="A89:I89"/>
    <mergeCell ref="B90:G90"/>
    <mergeCell ref="B91:G91"/>
    <mergeCell ref="A93:I93"/>
    <mergeCell ref="A94:I94"/>
    <mergeCell ref="A95:I95"/>
    <mergeCell ref="A88:I88"/>
    <mergeCell ref="A14:I14"/>
    <mergeCell ref="A80:I80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114"/>
  <sheetViews>
    <sheetView topLeftCell="A76" workbookViewId="0">
      <selection activeCell="B82" sqref="B82:I82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194</v>
      </c>
      <c r="I1" s="18"/>
    </row>
    <row r="2" spans="1:9" ht="15.75">
      <c r="A2" s="20" t="s">
        <v>60</v>
      </c>
    </row>
    <row r="3" spans="1:9" ht="15.75">
      <c r="A3" s="128" t="s">
        <v>155</v>
      </c>
      <c r="B3" s="128"/>
      <c r="C3" s="128"/>
      <c r="D3" s="128"/>
      <c r="E3" s="128"/>
      <c r="F3" s="128"/>
      <c r="G3" s="128"/>
      <c r="H3" s="128"/>
      <c r="I3" s="128"/>
    </row>
    <row r="4" spans="1:9" ht="31.5" customHeight="1">
      <c r="A4" s="129" t="s">
        <v>132</v>
      </c>
      <c r="B4" s="129"/>
      <c r="C4" s="129"/>
      <c r="D4" s="129"/>
      <c r="E4" s="129"/>
      <c r="F4" s="129"/>
      <c r="G4" s="129"/>
      <c r="H4" s="129"/>
      <c r="I4" s="129"/>
    </row>
    <row r="5" spans="1:9" ht="15.75">
      <c r="A5" s="128" t="s">
        <v>209</v>
      </c>
      <c r="B5" s="130"/>
      <c r="C5" s="130"/>
      <c r="D5" s="130"/>
      <c r="E5" s="130"/>
      <c r="F5" s="130"/>
      <c r="G5" s="130"/>
      <c r="H5" s="130"/>
      <c r="I5" s="130"/>
    </row>
    <row r="6" spans="1:9" ht="15.75">
      <c r="A6" s="1"/>
      <c r="B6" s="54"/>
      <c r="C6" s="54"/>
      <c r="D6" s="54"/>
      <c r="E6" s="54"/>
      <c r="F6" s="54"/>
      <c r="G6" s="54"/>
      <c r="H6" s="54"/>
      <c r="I6" s="22">
        <v>43343</v>
      </c>
    </row>
    <row r="7" spans="1:9" ht="15.75">
      <c r="B7" s="52"/>
      <c r="C7" s="52"/>
      <c r="D7" s="52"/>
      <c r="E7" s="2"/>
      <c r="F7" s="2"/>
      <c r="G7" s="2"/>
      <c r="H7" s="2"/>
    </row>
    <row r="8" spans="1:9" ht="78.75" customHeight="1">
      <c r="A8" s="131" t="s">
        <v>196</v>
      </c>
      <c r="B8" s="131"/>
      <c r="C8" s="131"/>
      <c r="D8" s="131"/>
      <c r="E8" s="131"/>
      <c r="F8" s="131"/>
      <c r="G8" s="131"/>
      <c r="H8" s="131"/>
      <c r="I8" s="131"/>
    </row>
    <row r="9" spans="1:9" ht="15.75">
      <c r="A9" s="3"/>
    </row>
    <row r="10" spans="1:9" ht="47.25" customHeight="1">
      <c r="A10" s="132" t="s">
        <v>159</v>
      </c>
      <c r="B10" s="132"/>
      <c r="C10" s="132"/>
      <c r="D10" s="132"/>
      <c r="E10" s="132"/>
      <c r="F10" s="132"/>
      <c r="G10" s="132"/>
      <c r="H10" s="132"/>
      <c r="I10" s="132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>
      <c r="A14" s="127" t="s">
        <v>57</v>
      </c>
      <c r="B14" s="127"/>
      <c r="C14" s="127"/>
      <c r="D14" s="127"/>
      <c r="E14" s="127"/>
      <c r="F14" s="127"/>
      <c r="G14" s="127"/>
      <c r="H14" s="127"/>
      <c r="I14" s="127"/>
    </row>
    <row r="15" spans="1:9">
      <c r="A15" s="120" t="s">
        <v>4</v>
      </c>
      <c r="B15" s="120"/>
      <c r="C15" s="120"/>
      <c r="D15" s="120"/>
      <c r="E15" s="120"/>
      <c r="F15" s="120"/>
      <c r="G15" s="120"/>
      <c r="H15" s="120"/>
      <c r="I15" s="120"/>
    </row>
    <row r="16" spans="1:9" ht="15.75" customHeight="1">
      <c r="A16" s="21">
        <v>1</v>
      </c>
      <c r="B16" s="60" t="s">
        <v>86</v>
      </c>
      <c r="C16" s="61" t="s">
        <v>87</v>
      </c>
      <c r="D16" s="60" t="s">
        <v>160</v>
      </c>
      <c r="E16" s="62">
        <v>55</v>
      </c>
      <c r="F16" s="63">
        <f>SUM(E16*156/100)</f>
        <v>85.8</v>
      </c>
      <c r="G16" s="63">
        <v>187.48</v>
      </c>
      <c r="H16" s="64">
        <f t="shared" ref="H16:H26" si="0">SUM(F16*G16/1000)</f>
        <v>16.085783999999997</v>
      </c>
      <c r="I16" s="10">
        <f>F16/12*G16</f>
        <v>1340.4819999999997</v>
      </c>
    </row>
    <row r="17" spans="1:9" ht="15.75" customHeight="1">
      <c r="A17" s="21">
        <v>2</v>
      </c>
      <c r="B17" s="60" t="s">
        <v>123</v>
      </c>
      <c r="C17" s="61" t="s">
        <v>87</v>
      </c>
      <c r="D17" s="60" t="s">
        <v>161</v>
      </c>
      <c r="E17" s="62">
        <v>165</v>
      </c>
      <c r="F17" s="63">
        <f>SUM(E17*104/100)</f>
        <v>171.6</v>
      </c>
      <c r="G17" s="63">
        <v>187.48</v>
      </c>
      <c r="H17" s="64">
        <f t="shared" si="0"/>
        <v>32.171567999999994</v>
      </c>
      <c r="I17" s="10">
        <f>F17/12*G17</f>
        <v>2680.9639999999995</v>
      </c>
    </row>
    <row r="18" spans="1:9" ht="15.75" customHeight="1">
      <c r="A18" s="21">
        <v>3</v>
      </c>
      <c r="B18" s="60" t="s">
        <v>124</v>
      </c>
      <c r="C18" s="61" t="s">
        <v>87</v>
      </c>
      <c r="D18" s="60" t="s">
        <v>162</v>
      </c>
      <c r="E18" s="62">
        <f>SUM(E16+E17)</f>
        <v>220</v>
      </c>
      <c r="F18" s="63">
        <f>SUM(E18*24/100)</f>
        <v>52.8</v>
      </c>
      <c r="G18" s="63">
        <v>539.30999999999995</v>
      </c>
      <c r="H18" s="64">
        <f t="shared" si="0"/>
        <v>28.475567999999996</v>
      </c>
      <c r="I18" s="10">
        <f>F18/12*G18</f>
        <v>2372.9639999999995</v>
      </c>
    </row>
    <row r="19" spans="1:9" ht="15.75" hidden="1" customHeight="1">
      <c r="A19" s="21">
        <v>4</v>
      </c>
      <c r="B19" s="60" t="s">
        <v>94</v>
      </c>
      <c r="C19" s="61" t="s">
        <v>95</v>
      </c>
      <c r="D19" s="60" t="s">
        <v>96</v>
      </c>
      <c r="E19" s="62">
        <v>32.4</v>
      </c>
      <c r="F19" s="63">
        <f>SUM(E19/10)</f>
        <v>3.2399999999999998</v>
      </c>
      <c r="G19" s="63">
        <v>181.91</v>
      </c>
      <c r="H19" s="64">
        <f t="shared" si="0"/>
        <v>0.58938839999999992</v>
      </c>
      <c r="I19" s="10">
        <v>0</v>
      </c>
    </row>
    <row r="20" spans="1:9" ht="15.75" customHeight="1">
      <c r="A20" s="21">
        <v>4</v>
      </c>
      <c r="B20" s="60" t="s">
        <v>97</v>
      </c>
      <c r="C20" s="61" t="s">
        <v>87</v>
      </c>
      <c r="D20" s="60" t="s">
        <v>125</v>
      </c>
      <c r="E20" s="62">
        <v>12.24</v>
      </c>
      <c r="F20" s="63">
        <f>SUM(E20*12/100)</f>
        <v>1.4687999999999999</v>
      </c>
      <c r="G20" s="63">
        <v>232.92</v>
      </c>
      <c r="H20" s="64">
        <f t="shared" si="0"/>
        <v>0.342112896</v>
      </c>
      <c r="I20" s="10">
        <f>F20/12*G20</f>
        <v>28.509407999999997</v>
      </c>
    </row>
    <row r="21" spans="1:9" ht="15.75" hidden="1" customHeight="1">
      <c r="A21" s="21">
        <v>5</v>
      </c>
      <c r="B21" s="60" t="s">
        <v>98</v>
      </c>
      <c r="C21" s="61" t="s">
        <v>87</v>
      </c>
      <c r="D21" s="60" t="s">
        <v>126</v>
      </c>
      <c r="E21" s="62">
        <v>10.08</v>
      </c>
      <c r="F21" s="63">
        <f>SUM(E21*6/100)</f>
        <v>0.6048</v>
      </c>
      <c r="G21" s="63">
        <v>231.03</v>
      </c>
      <c r="H21" s="64">
        <f t="shared" si="0"/>
        <v>0.13972694399999999</v>
      </c>
      <c r="I21" s="10">
        <f>F21/6*G21</f>
        <v>23.287824000000001</v>
      </c>
    </row>
    <row r="22" spans="1:9" ht="15.75" hidden="1" customHeight="1">
      <c r="A22" s="21">
        <v>7</v>
      </c>
      <c r="B22" s="60" t="s">
        <v>99</v>
      </c>
      <c r="C22" s="61" t="s">
        <v>51</v>
      </c>
      <c r="D22" s="60" t="s">
        <v>96</v>
      </c>
      <c r="E22" s="62">
        <v>293.76</v>
      </c>
      <c r="F22" s="63">
        <f>SUM(E22/100)</f>
        <v>2.9375999999999998</v>
      </c>
      <c r="G22" s="63">
        <v>287.83999999999997</v>
      </c>
      <c r="H22" s="64">
        <f t="shared" si="0"/>
        <v>0.84555878399999984</v>
      </c>
      <c r="I22" s="10">
        <v>0</v>
      </c>
    </row>
    <row r="23" spans="1:9" ht="15.75" hidden="1" customHeight="1">
      <c r="A23" s="21">
        <v>8</v>
      </c>
      <c r="B23" s="60" t="s">
        <v>100</v>
      </c>
      <c r="C23" s="61" t="s">
        <v>51</v>
      </c>
      <c r="D23" s="60" t="s">
        <v>96</v>
      </c>
      <c r="E23" s="65">
        <v>17.64</v>
      </c>
      <c r="F23" s="63">
        <f>SUM(E23/100)</f>
        <v>0.1764</v>
      </c>
      <c r="G23" s="63">
        <v>47.34</v>
      </c>
      <c r="H23" s="64">
        <f t="shared" si="0"/>
        <v>8.3507760000000007E-3</v>
      </c>
      <c r="I23" s="10">
        <v>0</v>
      </c>
    </row>
    <row r="24" spans="1:9" ht="15.75" hidden="1" customHeight="1">
      <c r="A24" s="21">
        <v>9</v>
      </c>
      <c r="B24" s="60" t="s">
        <v>101</v>
      </c>
      <c r="C24" s="61" t="s">
        <v>51</v>
      </c>
      <c r="D24" s="60" t="s">
        <v>102</v>
      </c>
      <c r="E24" s="62">
        <v>10.8</v>
      </c>
      <c r="F24" s="63">
        <f>E24/100</f>
        <v>0.10800000000000001</v>
      </c>
      <c r="G24" s="63">
        <v>416.62</v>
      </c>
      <c r="H24" s="64">
        <f t="shared" si="0"/>
        <v>4.4994960000000007E-2</v>
      </c>
      <c r="I24" s="10">
        <v>0</v>
      </c>
    </row>
    <row r="25" spans="1:9" ht="15.75" hidden="1" customHeight="1">
      <c r="A25" s="21">
        <v>10</v>
      </c>
      <c r="B25" s="60" t="s">
        <v>103</v>
      </c>
      <c r="C25" s="61" t="s">
        <v>51</v>
      </c>
      <c r="D25" s="60" t="s">
        <v>52</v>
      </c>
      <c r="E25" s="62">
        <v>12.6</v>
      </c>
      <c r="F25" s="63">
        <f>E25/100</f>
        <v>0.126</v>
      </c>
      <c r="G25" s="63">
        <v>231.03</v>
      </c>
      <c r="H25" s="64">
        <f>G25*F25/1000</f>
        <v>2.9109780000000002E-2</v>
      </c>
      <c r="I25" s="10">
        <v>0</v>
      </c>
    </row>
    <row r="26" spans="1:9" ht="15.75" hidden="1" customHeight="1">
      <c r="A26" s="21">
        <v>11</v>
      </c>
      <c r="B26" s="60" t="s">
        <v>104</v>
      </c>
      <c r="C26" s="61" t="s">
        <v>51</v>
      </c>
      <c r="D26" s="60" t="s">
        <v>96</v>
      </c>
      <c r="E26" s="62">
        <v>14.4</v>
      </c>
      <c r="F26" s="63">
        <f>SUM(E26/100)</f>
        <v>0.14400000000000002</v>
      </c>
      <c r="G26" s="63">
        <v>556.74</v>
      </c>
      <c r="H26" s="64">
        <f t="shared" si="0"/>
        <v>8.0170560000000016E-2</v>
      </c>
      <c r="I26" s="10">
        <v>0</v>
      </c>
    </row>
    <row r="27" spans="1:9" ht="15.75" customHeight="1">
      <c r="A27" s="21">
        <v>5</v>
      </c>
      <c r="B27" s="60" t="s">
        <v>62</v>
      </c>
      <c r="C27" s="61" t="s">
        <v>31</v>
      </c>
      <c r="D27" s="60"/>
      <c r="E27" s="62">
        <v>0.1</v>
      </c>
      <c r="F27" s="63">
        <f>SUM(E27*365)</f>
        <v>36.5</v>
      </c>
      <c r="G27" s="63">
        <v>157.18</v>
      </c>
      <c r="H27" s="64">
        <f>SUM(F27*G27/1000)</f>
        <v>5.737070000000001</v>
      </c>
      <c r="I27" s="10">
        <f>F27/12*G27</f>
        <v>478.08916666666664</v>
      </c>
    </row>
    <row r="28" spans="1:9" ht="15.75" customHeight="1">
      <c r="A28" s="21">
        <v>6</v>
      </c>
      <c r="B28" s="68" t="s">
        <v>23</v>
      </c>
      <c r="C28" s="61" t="s">
        <v>24</v>
      </c>
      <c r="D28" s="60"/>
      <c r="E28" s="62">
        <v>2054.6</v>
      </c>
      <c r="F28" s="63">
        <f>SUM(E28*12)</f>
        <v>24655.199999999997</v>
      </c>
      <c r="G28" s="63">
        <v>6.15</v>
      </c>
      <c r="H28" s="64">
        <f>SUM(F28*G28/1000)</f>
        <v>151.62947999999997</v>
      </c>
      <c r="I28" s="10">
        <f>F28/12*G28</f>
        <v>12635.79</v>
      </c>
    </row>
    <row r="29" spans="1:9" ht="15.75" customHeight="1">
      <c r="A29" s="108" t="s">
        <v>84</v>
      </c>
      <c r="B29" s="109"/>
      <c r="C29" s="109"/>
      <c r="D29" s="109"/>
      <c r="E29" s="109"/>
      <c r="F29" s="109"/>
      <c r="G29" s="109"/>
      <c r="H29" s="109"/>
      <c r="I29" s="110"/>
    </row>
    <row r="30" spans="1:9" ht="15.75" customHeight="1">
      <c r="A30" s="21"/>
      <c r="B30" s="81" t="s">
        <v>27</v>
      </c>
      <c r="C30" s="61"/>
      <c r="D30" s="60"/>
      <c r="E30" s="62"/>
      <c r="F30" s="63"/>
      <c r="G30" s="63"/>
      <c r="H30" s="64"/>
      <c r="I30" s="10"/>
    </row>
    <row r="31" spans="1:9" ht="15.75" customHeight="1">
      <c r="A31" s="21">
        <v>7</v>
      </c>
      <c r="B31" s="60" t="s">
        <v>109</v>
      </c>
      <c r="C31" s="61" t="s">
        <v>90</v>
      </c>
      <c r="D31" s="60" t="s">
        <v>164</v>
      </c>
      <c r="E31" s="63">
        <v>600.63</v>
      </c>
      <c r="F31" s="63">
        <f>SUM(E31*52/1000)</f>
        <v>31.232759999999999</v>
      </c>
      <c r="G31" s="63">
        <v>166.65</v>
      </c>
      <c r="H31" s="64">
        <f t="shared" ref="H31:H36" si="1">SUM(F31*G31/1000)</f>
        <v>5.2049394540000007</v>
      </c>
      <c r="I31" s="10">
        <f>F31/6*G31</f>
        <v>867.4899089999999</v>
      </c>
    </row>
    <row r="32" spans="1:9" ht="31.5" customHeight="1">
      <c r="A32" s="21">
        <v>8</v>
      </c>
      <c r="B32" s="60" t="s">
        <v>108</v>
      </c>
      <c r="C32" s="61" t="s">
        <v>90</v>
      </c>
      <c r="D32" s="60" t="s">
        <v>165</v>
      </c>
      <c r="E32" s="63">
        <v>186.39</v>
      </c>
      <c r="F32" s="63">
        <f>SUM(E32*78/1000)</f>
        <v>14.538419999999999</v>
      </c>
      <c r="G32" s="63">
        <v>276.48</v>
      </c>
      <c r="H32" s="64">
        <f t="shared" si="1"/>
        <v>4.0195823615999995</v>
      </c>
      <c r="I32" s="10">
        <f t="shared" ref="I32:I34" si="2">F32/6*G32</f>
        <v>669.93039359999989</v>
      </c>
    </row>
    <row r="33" spans="1:9" ht="15.75" hidden="1" customHeight="1">
      <c r="A33" s="21">
        <v>16</v>
      </c>
      <c r="B33" s="60" t="s">
        <v>26</v>
      </c>
      <c r="C33" s="61" t="s">
        <v>90</v>
      </c>
      <c r="D33" s="60" t="s">
        <v>52</v>
      </c>
      <c r="E33" s="63">
        <v>600.63</v>
      </c>
      <c r="F33" s="63">
        <f>SUM(E33/1000)</f>
        <v>0.60063</v>
      </c>
      <c r="G33" s="63">
        <v>3228.73</v>
      </c>
      <c r="H33" s="64">
        <f t="shared" si="1"/>
        <v>1.9392720999000002</v>
      </c>
      <c r="I33" s="10">
        <f>F33*G33</f>
        <v>1939.2720999000001</v>
      </c>
    </row>
    <row r="34" spans="1:9" ht="15.75" customHeight="1">
      <c r="A34" s="21">
        <v>9</v>
      </c>
      <c r="B34" s="60" t="s">
        <v>107</v>
      </c>
      <c r="C34" s="61" t="s">
        <v>29</v>
      </c>
      <c r="D34" s="60" t="s">
        <v>61</v>
      </c>
      <c r="E34" s="67">
        <v>0.33333333333333331</v>
      </c>
      <c r="F34" s="63">
        <f>155/3</f>
        <v>51.666666666666664</v>
      </c>
      <c r="G34" s="63">
        <v>60.6</v>
      </c>
      <c r="H34" s="64">
        <f>SUM(G34*155/3/1000)</f>
        <v>3.1309999999999998</v>
      </c>
      <c r="I34" s="10">
        <f t="shared" si="2"/>
        <v>521.83333333333337</v>
      </c>
    </row>
    <row r="35" spans="1:9" ht="15.75" hidden="1" customHeight="1">
      <c r="A35" s="21"/>
      <c r="B35" s="60" t="s">
        <v>63</v>
      </c>
      <c r="C35" s="61" t="s">
        <v>31</v>
      </c>
      <c r="D35" s="60" t="s">
        <v>65</v>
      </c>
      <c r="E35" s="62"/>
      <c r="F35" s="63">
        <v>2</v>
      </c>
      <c r="G35" s="63">
        <v>204.52</v>
      </c>
      <c r="H35" s="64">
        <f t="shared" si="1"/>
        <v>0.40904000000000001</v>
      </c>
      <c r="I35" s="10">
        <v>0</v>
      </c>
    </row>
    <row r="36" spans="1:9" ht="15.75" hidden="1" customHeight="1">
      <c r="A36" s="21"/>
      <c r="B36" s="60" t="s">
        <v>64</v>
      </c>
      <c r="C36" s="61" t="s">
        <v>30</v>
      </c>
      <c r="D36" s="60" t="s">
        <v>65</v>
      </c>
      <c r="E36" s="62"/>
      <c r="F36" s="63">
        <v>1</v>
      </c>
      <c r="G36" s="63">
        <v>1214.74</v>
      </c>
      <c r="H36" s="64">
        <f t="shared" si="1"/>
        <v>1.2147399999999999</v>
      </c>
      <c r="I36" s="10">
        <v>0</v>
      </c>
    </row>
    <row r="37" spans="1:9" ht="15.75" hidden="1" customHeight="1">
      <c r="A37" s="21"/>
      <c r="B37" s="81" t="s">
        <v>5</v>
      </c>
      <c r="C37" s="61"/>
      <c r="D37" s="60"/>
      <c r="E37" s="62"/>
      <c r="F37" s="63"/>
      <c r="G37" s="63"/>
      <c r="H37" s="64" t="s">
        <v>120</v>
      </c>
      <c r="I37" s="10"/>
    </row>
    <row r="38" spans="1:9" ht="15.75" hidden="1" customHeight="1">
      <c r="A38" s="21">
        <v>8</v>
      </c>
      <c r="B38" s="60" t="s">
        <v>25</v>
      </c>
      <c r="C38" s="61" t="s">
        <v>30</v>
      </c>
      <c r="D38" s="60"/>
      <c r="E38" s="62"/>
      <c r="F38" s="63">
        <v>5</v>
      </c>
      <c r="G38" s="63">
        <v>1632.6</v>
      </c>
      <c r="H38" s="64">
        <f t="shared" ref="H38:H44" si="3">SUM(F38*G38/1000)</f>
        <v>8.1630000000000003</v>
      </c>
      <c r="I38" s="10">
        <f>F38/6*G38</f>
        <v>1360.5</v>
      </c>
    </row>
    <row r="39" spans="1:9" ht="15.75" hidden="1" customHeight="1">
      <c r="A39" s="21">
        <v>9</v>
      </c>
      <c r="B39" s="60" t="s">
        <v>127</v>
      </c>
      <c r="C39" s="61" t="s">
        <v>28</v>
      </c>
      <c r="D39" s="60" t="s">
        <v>88</v>
      </c>
      <c r="E39" s="62">
        <v>186.39</v>
      </c>
      <c r="F39" s="63">
        <f>E39*30/1000</f>
        <v>5.5916999999999994</v>
      </c>
      <c r="G39" s="63">
        <v>2247.8000000000002</v>
      </c>
      <c r="H39" s="64">
        <f>G39*F39/1000</f>
        <v>12.56902326</v>
      </c>
      <c r="I39" s="10">
        <f>F39/6*G39</f>
        <v>2094.8372100000001</v>
      </c>
    </row>
    <row r="40" spans="1:9" ht="15.75" hidden="1" customHeight="1">
      <c r="A40" s="21"/>
      <c r="B40" s="60" t="s">
        <v>138</v>
      </c>
      <c r="C40" s="61" t="s">
        <v>139</v>
      </c>
      <c r="D40" s="60" t="s">
        <v>65</v>
      </c>
      <c r="E40" s="62"/>
      <c r="F40" s="63">
        <v>72.3</v>
      </c>
      <c r="G40" s="63">
        <v>199.44</v>
      </c>
      <c r="H40" s="64">
        <f>G40*F40/1000</f>
        <v>14.419511999999999</v>
      </c>
      <c r="I40" s="10">
        <v>0</v>
      </c>
    </row>
    <row r="41" spans="1:9" ht="15.75" hidden="1" customHeight="1">
      <c r="A41" s="21">
        <v>10</v>
      </c>
      <c r="B41" s="60" t="s">
        <v>66</v>
      </c>
      <c r="C41" s="61" t="s">
        <v>28</v>
      </c>
      <c r="D41" s="60" t="s">
        <v>89</v>
      </c>
      <c r="E41" s="63">
        <v>186.39</v>
      </c>
      <c r="F41" s="63">
        <f>SUM(E41*155/1000)</f>
        <v>28.890449999999998</v>
      </c>
      <c r="G41" s="63">
        <v>374.95</v>
      </c>
      <c r="H41" s="64">
        <f t="shared" si="3"/>
        <v>10.832474227499999</v>
      </c>
      <c r="I41" s="10">
        <f>F41/6*G41</f>
        <v>1805.4123712499998</v>
      </c>
    </row>
    <row r="42" spans="1:9" ht="47.25" hidden="1" customHeight="1">
      <c r="A42" s="21">
        <v>11</v>
      </c>
      <c r="B42" s="60" t="s">
        <v>82</v>
      </c>
      <c r="C42" s="61" t="s">
        <v>90</v>
      </c>
      <c r="D42" s="60" t="s">
        <v>128</v>
      </c>
      <c r="E42" s="63">
        <v>52.2</v>
      </c>
      <c r="F42" s="63">
        <f>SUM(E42*35/1000)</f>
        <v>1.827</v>
      </c>
      <c r="G42" s="63">
        <v>6203.7</v>
      </c>
      <c r="H42" s="64">
        <f t="shared" si="3"/>
        <v>11.3341599</v>
      </c>
      <c r="I42" s="10">
        <f>F42/6*G42</f>
        <v>1889.0266499999998</v>
      </c>
    </row>
    <row r="43" spans="1:9" ht="15.75" hidden="1" customHeight="1">
      <c r="A43" s="21">
        <v>12</v>
      </c>
      <c r="B43" s="60" t="s">
        <v>129</v>
      </c>
      <c r="C43" s="61" t="s">
        <v>90</v>
      </c>
      <c r="D43" s="60" t="s">
        <v>67</v>
      </c>
      <c r="E43" s="63">
        <v>52.2</v>
      </c>
      <c r="F43" s="63">
        <f>SUM(E43*45/1000)</f>
        <v>2.3490000000000002</v>
      </c>
      <c r="G43" s="63">
        <v>458.28</v>
      </c>
      <c r="H43" s="64">
        <f t="shared" si="3"/>
        <v>1.0764997199999999</v>
      </c>
      <c r="I43" s="10">
        <f>F43/6*G43</f>
        <v>179.41661999999999</v>
      </c>
    </row>
    <row r="44" spans="1:9" ht="15.75" hidden="1" customHeight="1">
      <c r="A44" s="21">
        <v>13</v>
      </c>
      <c r="B44" s="60" t="s">
        <v>68</v>
      </c>
      <c r="C44" s="61" t="s">
        <v>31</v>
      </c>
      <c r="D44" s="60"/>
      <c r="E44" s="62"/>
      <c r="F44" s="63">
        <v>0.5</v>
      </c>
      <c r="G44" s="63">
        <v>853.06</v>
      </c>
      <c r="H44" s="64">
        <f t="shared" si="3"/>
        <v>0.42652999999999996</v>
      </c>
      <c r="I44" s="10">
        <f>F44/6*G44</f>
        <v>71.088333333333324</v>
      </c>
    </row>
    <row r="45" spans="1:9" ht="15.75" hidden="1" customHeight="1">
      <c r="A45" s="108" t="s">
        <v>133</v>
      </c>
      <c r="B45" s="109"/>
      <c r="C45" s="109"/>
      <c r="D45" s="109"/>
      <c r="E45" s="109"/>
      <c r="F45" s="109"/>
      <c r="G45" s="109"/>
      <c r="H45" s="109"/>
      <c r="I45" s="110"/>
    </row>
    <row r="46" spans="1:9" ht="15.75" hidden="1" customHeight="1">
      <c r="A46" s="21"/>
      <c r="B46" s="60" t="s">
        <v>110</v>
      </c>
      <c r="C46" s="61" t="s">
        <v>90</v>
      </c>
      <c r="D46" s="60" t="s">
        <v>41</v>
      </c>
      <c r="E46" s="62">
        <v>917.75</v>
      </c>
      <c r="F46" s="63">
        <f>SUM(E46*2/1000)</f>
        <v>1.8354999999999999</v>
      </c>
      <c r="G46" s="10">
        <v>865.61</v>
      </c>
      <c r="H46" s="64">
        <f t="shared" ref="H46:H55" si="4">SUM(F46*G46/1000)</f>
        <v>1.5888271549999999</v>
      </c>
      <c r="I46" s="10">
        <v>0</v>
      </c>
    </row>
    <row r="47" spans="1:9" ht="15.75" hidden="1" customHeight="1">
      <c r="A47" s="21"/>
      <c r="B47" s="60" t="s">
        <v>34</v>
      </c>
      <c r="C47" s="61" t="s">
        <v>90</v>
      </c>
      <c r="D47" s="60" t="s">
        <v>41</v>
      </c>
      <c r="E47" s="62">
        <v>48</v>
      </c>
      <c r="F47" s="63">
        <f>E47*2/1000</f>
        <v>9.6000000000000002E-2</v>
      </c>
      <c r="G47" s="10">
        <v>619.46</v>
      </c>
      <c r="H47" s="64">
        <f t="shared" si="4"/>
        <v>5.9468160000000006E-2</v>
      </c>
      <c r="I47" s="10">
        <v>0</v>
      </c>
    </row>
    <row r="48" spans="1:9" ht="15.75" hidden="1" customHeight="1">
      <c r="A48" s="21"/>
      <c r="B48" s="60" t="s">
        <v>35</v>
      </c>
      <c r="C48" s="61" t="s">
        <v>90</v>
      </c>
      <c r="D48" s="60" t="s">
        <v>41</v>
      </c>
      <c r="E48" s="62">
        <v>937.4</v>
      </c>
      <c r="F48" s="63">
        <f>SUM(E48*2/1000)</f>
        <v>1.8748</v>
      </c>
      <c r="G48" s="10">
        <v>619.46</v>
      </c>
      <c r="H48" s="64">
        <f t="shared" si="4"/>
        <v>1.161363608</v>
      </c>
      <c r="I48" s="10">
        <v>0</v>
      </c>
    </row>
    <row r="49" spans="1:9" ht="15.75" hidden="1" customHeight="1">
      <c r="A49" s="21"/>
      <c r="B49" s="60" t="s">
        <v>36</v>
      </c>
      <c r="C49" s="61" t="s">
        <v>90</v>
      </c>
      <c r="D49" s="60" t="s">
        <v>41</v>
      </c>
      <c r="E49" s="62">
        <v>1243.28</v>
      </c>
      <c r="F49" s="63">
        <f>SUM(E49*2/1000)</f>
        <v>2.4865599999999999</v>
      </c>
      <c r="G49" s="10">
        <v>648.64</v>
      </c>
      <c r="H49" s="64">
        <f t="shared" si="4"/>
        <v>1.6128822783999999</v>
      </c>
      <c r="I49" s="10">
        <v>0</v>
      </c>
    </row>
    <row r="50" spans="1:9" ht="15.75" hidden="1" customHeight="1">
      <c r="A50" s="21"/>
      <c r="B50" s="60" t="s">
        <v>32</v>
      </c>
      <c r="C50" s="61" t="s">
        <v>33</v>
      </c>
      <c r="D50" s="60" t="s">
        <v>41</v>
      </c>
      <c r="E50" s="62">
        <v>64.5</v>
      </c>
      <c r="F50" s="63">
        <f>SUM(E50*2/100)</f>
        <v>1.29</v>
      </c>
      <c r="G50" s="10">
        <v>77.84</v>
      </c>
      <c r="H50" s="64">
        <f t="shared" si="4"/>
        <v>0.10041360000000001</v>
      </c>
      <c r="I50" s="10">
        <v>0</v>
      </c>
    </row>
    <row r="51" spans="1:9" ht="15.75" hidden="1" customHeight="1">
      <c r="A51" s="21">
        <v>14</v>
      </c>
      <c r="B51" s="60" t="s">
        <v>54</v>
      </c>
      <c r="C51" s="61" t="s">
        <v>90</v>
      </c>
      <c r="D51" s="60" t="s">
        <v>144</v>
      </c>
      <c r="E51" s="62">
        <v>678.4</v>
      </c>
      <c r="F51" s="63">
        <f>SUM(E51*5/1000)</f>
        <v>3.3919999999999999</v>
      </c>
      <c r="G51" s="10">
        <v>1297.28</v>
      </c>
      <c r="H51" s="64">
        <f t="shared" si="4"/>
        <v>4.4003737599999999</v>
      </c>
      <c r="I51" s="10">
        <f>F51/5*G51</f>
        <v>880.07475199999999</v>
      </c>
    </row>
    <row r="52" spans="1:9" ht="31.5" hidden="1" customHeight="1">
      <c r="A52" s="21"/>
      <c r="B52" s="60" t="s">
        <v>91</v>
      </c>
      <c r="C52" s="61" t="s">
        <v>90</v>
      </c>
      <c r="D52" s="60" t="s">
        <v>41</v>
      </c>
      <c r="E52" s="62">
        <v>678.4</v>
      </c>
      <c r="F52" s="63">
        <f>SUM(E52*2/1000)</f>
        <v>1.3568</v>
      </c>
      <c r="G52" s="10">
        <v>1297.28</v>
      </c>
      <c r="H52" s="64">
        <f t="shared" si="4"/>
        <v>1.7601495039999999</v>
      </c>
      <c r="I52" s="10">
        <v>0</v>
      </c>
    </row>
    <row r="53" spans="1:9" ht="31.5" hidden="1" customHeight="1">
      <c r="A53" s="21"/>
      <c r="B53" s="60" t="s">
        <v>92</v>
      </c>
      <c r="C53" s="61" t="s">
        <v>37</v>
      </c>
      <c r="D53" s="60" t="s">
        <v>41</v>
      </c>
      <c r="E53" s="62">
        <v>12</v>
      </c>
      <c r="F53" s="63">
        <f>SUM(E53*2/100)</f>
        <v>0.24</v>
      </c>
      <c r="G53" s="10">
        <v>2918.89</v>
      </c>
      <c r="H53" s="64">
        <f t="shared" si="4"/>
        <v>0.70053359999999998</v>
      </c>
      <c r="I53" s="10">
        <v>0</v>
      </c>
    </row>
    <row r="54" spans="1:9" ht="15.75" hidden="1" customHeight="1">
      <c r="A54" s="21">
        <v>10</v>
      </c>
      <c r="B54" s="60" t="s">
        <v>38</v>
      </c>
      <c r="C54" s="61" t="s">
        <v>39</v>
      </c>
      <c r="D54" s="60" t="s">
        <v>41</v>
      </c>
      <c r="E54" s="62">
        <v>1</v>
      </c>
      <c r="F54" s="63">
        <v>0.02</v>
      </c>
      <c r="G54" s="10">
        <v>6042.12</v>
      </c>
      <c r="H54" s="64">
        <f t="shared" si="4"/>
        <v>0.1208424</v>
      </c>
      <c r="I54" s="10">
        <f>F54/2*G54</f>
        <v>60.421199999999999</v>
      </c>
    </row>
    <row r="55" spans="1:9" ht="15.75" hidden="1" customHeight="1">
      <c r="A55" s="21">
        <v>11</v>
      </c>
      <c r="B55" s="60" t="s">
        <v>40</v>
      </c>
      <c r="C55" s="61" t="s">
        <v>111</v>
      </c>
      <c r="D55" s="60" t="s">
        <v>69</v>
      </c>
      <c r="E55" s="62">
        <v>72</v>
      </c>
      <c r="F55" s="63">
        <f>SUM(E55)*3</f>
        <v>216</v>
      </c>
      <c r="G55" s="10">
        <v>70.209999999999994</v>
      </c>
      <c r="H55" s="64">
        <f t="shared" si="4"/>
        <v>15.165359999999998</v>
      </c>
      <c r="I55" s="10">
        <f>E55*G55</f>
        <v>5055.12</v>
      </c>
    </row>
    <row r="56" spans="1:9" ht="16.5" customHeight="1">
      <c r="A56" s="108" t="s">
        <v>148</v>
      </c>
      <c r="B56" s="109"/>
      <c r="C56" s="109"/>
      <c r="D56" s="109"/>
      <c r="E56" s="109"/>
      <c r="F56" s="109"/>
      <c r="G56" s="109"/>
      <c r="H56" s="109"/>
      <c r="I56" s="110"/>
    </row>
    <row r="57" spans="1:9" ht="20.25" hidden="1" customHeight="1">
      <c r="A57" s="21"/>
      <c r="B57" s="81" t="s">
        <v>42</v>
      </c>
      <c r="C57" s="61"/>
      <c r="D57" s="60"/>
      <c r="E57" s="62"/>
      <c r="F57" s="63"/>
      <c r="G57" s="63"/>
      <c r="H57" s="64"/>
      <c r="I57" s="10"/>
    </row>
    <row r="58" spans="1:9" ht="18.75" hidden="1" customHeight="1">
      <c r="A58" s="21">
        <v>16</v>
      </c>
      <c r="B58" s="60" t="s">
        <v>112</v>
      </c>
      <c r="C58" s="61" t="s">
        <v>87</v>
      </c>
      <c r="D58" s="60" t="s">
        <v>113</v>
      </c>
      <c r="E58" s="62">
        <v>110.66</v>
      </c>
      <c r="F58" s="63">
        <f>SUM(E58*6/100)</f>
        <v>6.6396000000000006</v>
      </c>
      <c r="G58" s="10">
        <v>1654.04</v>
      </c>
      <c r="H58" s="64">
        <f>SUM(F58*G58/1000)</f>
        <v>10.982163984000001</v>
      </c>
      <c r="I58" s="10">
        <f>F58/6*G58</f>
        <v>1830.360664</v>
      </c>
    </row>
    <row r="59" spans="1:9" ht="15.75" customHeight="1">
      <c r="A59" s="21"/>
      <c r="B59" s="82" t="s">
        <v>43</v>
      </c>
      <c r="C59" s="69"/>
      <c r="D59" s="70"/>
      <c r="E59" s="71"/>
      <c r="F59" s="72"/>
      <c r="G59" s="72"/>
      <c r="H59" s="73" t="s">
        <v>120</v>
      </c>
      <c r="I59" s="10"/>
    </row>
    <row r="60" spans="1:9" ht="21.75" customHeight="1">
      <c r="A60" s="21">
        <v>10</v>
      </c>
      <c r="B60" s="11" t="s">
        <v>44</v>
      </c>
      <c r="C60" s="13" t="s">
        <v>111</v>
      </c>
      <c r="D60" s="11" t="s">
        <v>65</v>
      </c>
      <c r="E60" s="15">
        <v>8</v>
      </c>
      <c r="F60" s="63">
        <v>8</v>
      </c>
      <c r="G60" s="10">
        <v>237.74</v>
      </c>
      <c r="H60" s="74">
        <f t="shared" ref="H60:H73" si="5">SUM(F60*G60/1000)</f>
        <v>1.9019200000000001</v>
      </c>
      <c r="I60" s="10">
        <f>G60*1</f>
        <v>237.74</v>
      </c>
    </row>
    <row r="61" spans="1:9" ht="18.75" hidden="1" customHeight="1">
      <c r="A61" s="21"/>
      <c r="B61" s="11" t="s">
        <v>45</v>
      </c>
      <c r="C61" s="13" t="s">
        <v>111</v>
      </c>
      <c r="D61" s="11" t="s">
        <v>65</v>
      </c>
      <c r="E61" s="15">
        <v>3</v>
      </c>
      <c r="F61" s="63">
        <v>3</v>
      </c>
      <c r="G61" s="10">
        <v>81.510000000000005</v>
      </c>
      <c r="H61" s="74">
        <f t="shared" si="5"/>
        <v>0.24453000000000003</v>
      </c>
      <c r="I61" s="10">
        <v>0</v>
      </c>
    </row>
    <row r="62" spans="1:9" ht="23.25" hidden="1" customHeight="1">
      <c r="A62" s="21"/>
      <c r="B62" s="11" t="s">
        <v>46</v>
      </c>
      <c r="C62" s="13" t="s">
        <v>114</v>
      </c>
      <c r="D62" s="11" t="s">
        <v>52</v>
      </c>
      <c r="E62" s="62">
        <v>8539</v>
      </c>
      <c r="F62" s="10">
        <f>SUM(E62/100)</f>
        <v>85.39</v>
      </c>
      <c r="G62" s="10">
        <v>226.79</v>
      </c>
      <c r="H62" s="74">
        <f t="shared" si="5"/>
        <v>19.3655981</v>
      </c>
      <c r="I62" s="10">
        <v>0</v>
      </c>
    </row>
    <row r="63" spans="1:9" ht="20.25" hidden="1" customHeight="1">
      <c r="A63" s="21"/>
      <c r="B63" s="11" t="s">
        <v>47</v>
      </c>
      <c r="C63" s="13" t="s">
        <v>115</v>
      </c>
      <c r="D63" s="11"/>
      <c r="E63" s="62">
        <v>8539</v>
      </c>
      <c r="F63" s="10">
        <f>SUM(E63/1000)</f>
        <v>8.5389999999999997</v>
      </c>
      <c r="G63" s="10">
        <v>176.61</v>
      </c>
      <c r="H63" s="74">
        <f t="shared" si="5"/>
        <v>1.5080727900000002</v>
      </c>
      <c r="I63" s="10">
        <v>0</v>
      </c>
    </row>
    <row r="64" spans="1:9" ht="24.75" hidden="1" customHeight="1">
      <c r="A64" s="21"/>
      <c r="B64" s="11" t="s">
        <v>48</v>
      </c>
      <c r="C64" s="13" t="s">
        <v>75</v>
      </c>
      <c r="D64" s="11" t="s">
        <v>52</v>
      </c>
      <c r="E64" s="62">
        <v>1370</v>
      </c>
      <c r="F64" s="10">
        <f>SUM(E64/100)</f>
        <v>13.7</v>
      </c>
      <c r="G64" s="10">
        <v>2217.7800000000002</v>
      </c>
      <c r="H64" s="74">
        <f t="shared" si="5"/>
        <v>30.383586000000005</v>
      </c>
      <c r="I64" s="10">
        <v>0</v>
      </c>
    </row>
    <row r="65" spans="1:9" ht="21.75" hidden="1" customHeight="1">
      <c r="A65" s="21"/>
      <c r="B65" s="75" t="s">
        <v>116</v>
      </c>
      <c r="C65" s="13" t="s">
        <v>31</v>
      </c>
      <c r="D65" s="11"/>
      <c r="E65" s="62">
        <v>9</v>
      </c>
      <c r="F65" s="10">
        <f>SUM(E65)</f>
        <v>9</v>
      </c>
      <c r="G65" s="10">
        <v>42.67</v>
      </c>
      <c r="H65" s="74">
        <f t="shared" si="5"/>
        <v>0.38403000000000004</v>
      </c>
      <c r="I65" s="10">
        <v>0</v>
      </c>
    </row>
    <row r="66" spans="1:9" ht="22.5" hidden="1" customHeight="1">
      <c r="A66" s="21"/>
      <c r="B66" s="75" t="s">
        <v>117</v>
      </c>
      <c r="C66" s="13" t="s">
        <v>31</v>
      </c>
      <c r="D66" s="11"/>
      <c r="E66" s="62">
        <v>9</v>
      </c>
      <c r="F66" s="10">
        <f>SUM(E66)</f>
        <v>9</v>
      </c>
      <c r="G66" s="10">
        <v>39.81</v>
      </c>
      <c r="H66" s="74">
        <f t="shared" si="5"/>
        <v>0.35829</v>
      </c>
      <c r="I66" s="10">
        <v>0</v>
      </c>
    </row>
    <row r="67" spans="1:9" ht="22.5" hidden="1" customHeight="1">
      <c r="A67" s="21"/>
      <c r="B67" s="11" t="s">
        <v>55</v>
      </c>
      <c r="C67" s="13" t="s">
        <v>56</v>
      </c>
      <c r="D67" s="11" t="s">
        <v>52</v>
      </c>
      <c r="E67" s="15">
        <v>3</v>
      </c>
      <c r="F67" s="63">
        <v>3</v>
      </c>
      <c r="G67" s="10">
        <v>53.62</v>
      </c>
      <c r="H67" s="74">
        <f t="shared" si="5"/>
        <v>0.16085999999999998</v>
      </c>
      <c r="I67" s="10">
        <v>0</v>
      </c>
    </row>
    <row r="68" spans="1:9" ht="21.75" hidden="1" customHeight="1">
      <c r="A68" s="21"/>
      <c r="B68" s="23" t="s">
        <v>70</v>
      </c>
      <c r="C68" s="13"/>
      <c r="D68" s="11"/>
      <c r="E68" s="15"/>
      <c r="F68" s="10"/>
      <c r="G68" s="10"/>
      <c r="H68" s="74" t="s">
        <v>120</v>
      </c>
      <c r="I68" s="10"/>
    </row>
    <row r="69" spans="1:9" ht="22.5" hidden="1" customHeight="1">
      <c r="A69" s="21"/>
      <c r="B69" s="11" t="s">
        <v>71</v>
      </c>
      <c r="C69" s="13" t="s">
        <v>73</v>
      </c>
      <c r="D69" s="11"/>
      <c r="E69" s="15">
        <v>2</v>
      </c>
      <c r="F69" s="10">
        <v>0.2</v>
      </c>
      <c r="G69" s="10">
        <v>536.23</v>
      </c>
      <c r="H69" s="74">
        <f t="shared" si="5"/>
        <v>0.10724600000000001</v>
      </c>
      <c r="I69" s="10">
        <v>0</v>
      </c>
    </row>
    <row r="70" spans="1:9" ht="22.5" hidden="1" customHeight="1">
      <c r="A70" s="21"/>
      <c r="B70" s="11" t="s">
        <v>72</v>
      </c>
      <c r="C70" s="13" t="s">
        <v>29</v>
      </c>
      <c r="D70" s="11"/>
      <c r="E70" s="15">
        <v>1</v>
      </c>
      <c r="F70" s="56">
        <v>1</v>
      </c>
      <c r="G70" s="10">
        <v>911.85</v>
      </c>
      <c r="H70" s="74">
        <f>F70*G70/1000</f>
        <v>0.91185000000000005</v>
      </c>
      <c r="I70" s="10">
        <v>0</v>
      </c>
    </row>
    <row r="71" spans="1:9" ht="22.5" hidden="1" customHeight="1">
      <c r="A71" s="21"/>
      <c r="B71" s="11" t="s">
        <v>130</v>
      </c>
      <c r="C71" s="13" t="s">
        <v>29</v>
      </c>
      <c r="D71" s="11"/>
      <c r="E71" s="15">
        <v>1</v>
      </c>
      <c r="F71" s="10">
        <v>1</v>
      </c>
      <c r="G71" s="10">
        <v>383.25</v>
      </c>
      <c r="H71" s="74">
        <f>G71*F71/1000</f>
        <v>0.38324999999999998</v>
      </c>
      <c r="I71" s="10">
        <v>0</v>
      </c>
    </row>
    <row r="72" spans="1:9" ht="24" hidden="1" customHeight="1">
      <c r="A72" s="21"/>
      <c r="B72" s="76" t="s">
        <v>74</v>
      </c>
      <c r="C72" s="13"/>
      <c r="D72" s="11"/>
      <c r="E72" s="15"/>
      <c r="F72" s="10"/>
      <c r="G72" s="10" t="s">
        <v>120</v>
      </c>
      <c r="H72" s="74" t="s">
        <v>120</v>
      </c>
      <c r="I72" s="10"/>
    </row>
    <row r="73" spans="1:9" ht="20.25" hidden="1" customHeight="1">
      <c r="A73" s="21"/>
      <c r="B73" s="36" t="s">
        <v>121</v>
      </c>
      <c r="C73" s="13" t="s">
        <v>75</v>
      </c>
      <c r="D73" s="11"/>
      <c r="E73" s="15"/>
      <c r="F73" s="10">
        <v>1.35</v>
      </c>
      <c r="G73" s="10">
        <v>2949.85</v>
      </c>
      <c r="H73" s="74">
        <f t="shared" si="5"/>
        <v>3.9822975</v>
      </c>
      <c r="I73" s="10">
        <v>0</v>
      </c>
    </row>
    <row r="74" spans="1:9" ht="15.75" hidden="1" customHeight="1">
      <c r="A74" s="21"/>
      <c r="B74" s="55" t="s">
        <v>93</v>
      </c>
      <c r="C74" s="77"/>
      <c r="D74" s="23"/>
      <c r="E74" s="24"/>
      <c r="F74" s="66"/>
      <c r="G74" s="66"/>
      <c r="H74" s="78">
        <f>SUM(H58:H73)</f>
        <v>70.673694374000007</v>
      </c>
      <c r="I74" s="66"/>
    </row>
    <row r="75" spans="1:9" ht="16.5" hidden="1" customHeight="1">
      <c r="A75" s="21"/>
      <c r="B75" s="60" t="s">
        <v>118</v>
      </c>
      <c r="C75" s="13"/>
      <c r="D75" s="11"/>
      <c r="E75" s="79"/>
      <c r="F75" s="10">
        <v>1</v>
      </c>
      <c r="G75" s="10">
        <v>7101.4</v>
      </c>
      <c r="H75" s="74">
        <f>G75*F75/1000</f>
        <v>7.1013999999999999</v>
      </c>
      <c r="I75" s="10">
        <v>0</v>
      </c>
    </row>
    <row r="76" spans="1:9" ht="15.75" customHeight="1">
      <c r="A76" s="108" t="s">
        <v>149</v>
      </c>
      <c r="B76" s="109"/>
      <c r="C76" s="109"/>
      <c r="D76" s="109"/>
      <c r="E76" s="109"/>
      <c r="F76" s="109"/>
      <c r="G76" s="109"/>
      <c r="H76" s="109"/>
      <c r="I76" s="110"/>
    </row>
    <row r="77" spans="1:9" ht="15.75" customHeight="1">
      <c r="A77" s="21">
        <v>11</v>
      </c>
      <c r="B77" s="60" t="s">
        <v>119</v>
      </c>
      <c r="C77" s="13" t="s">
        <v>53</v>
      </c>
      <c r="D77" s="80" t="s">
        <v>145</v>
      </c>
      <c r="E77" s="10">
        <v>2054.6</v>
      </c>
      <c r="F77" s="10">
        <f>SUM(E77*12)</f>
        <v>24655.199999999997</v>
      </c>
      <c r="G77" s="10">
        <v>2.2400000000000002</v>
      </c>
      <c r="H77" s="74">
        <f>SUM(F77*G77/1000)</f>
        <v>55.227648000000002</v>
      </c>
      <c r="I77" s="10">
        <f>F77/12*G77</f>
        <v>4602.3040000000001</v>
      </c>
    </row>
    <row r="78" spans="1:9" ht="31.5" customHeight="1">
      <c r="A78" s="21">
        <v>12</v>
      </c>
      <c r="B78" s="11" t="s">
        <v>76</v>
      </c>
      <c r="C78" s="13"/>
      <c r="D78" s="80" t="s">
        <v>145</v>
      </c>
      <c r="E78" s="62">
        <f>E77</f>
        <v>2054.6</v>
      </c>
      <c r="F78" s="10">
        <f>E78*12</f>
        <v>24655.199999999997</v>
      </c>
      <c r="G78" s="10">
        <v>1.74</v>
      </c>
      <c r="H78" s="74">
        <f>F78*G78/1000</f>
        <v>42.900047999999998</v>
      </c>
      <c r="I78" s="10">
        <f>F78/12*G78</f>
        <v>3575.0039999999999</v>
      </c>
    </row>
    <row r="79" spans="1:9" ht="15.75" customHeight="1">
      <c r="A79" s="21"/>
      <c r="B79" s="28" t="s">
        <v>78</v>
      </c>
      <c r="C79" s="77"/>
      <c r="D79" s="76"/>
      <c r="E79" s="66"/>
      <c r="F79" s="66"/>
      <c r="G79" s="66"/>
      <c r="H79" s="78">
        <f>H78</f>
        <v>42.900047999999998</v>
      </c>
      <c r="I79" s="66">
        <f>I78+I77+I60+I34+I32+I31+I28+I27+I20+I18+I17+I16</f>
        <v>30011.100210600001</v>
      </c>
    </row>
    <row r="80" spans="1:9" ht="15.75" customHeight="1">
      <c r="A80" s="122" t="s">
        <v>58</v>
      </c>
      <c r="B80" s="123"/>
      <c r="C80" s="123"/>
      <c r="D80" s="123"/>
      <c r="E80" s="123"/>
      <c r="F80" s="123"/>
      <c r="G80" s="123"/>
      <c r="H80" s="123"/>
      <c r="I80" s="124"/>
    </row>
    <row r="81" spans="1:9" ht="15.75" customHeight="1">
      <c r="A81" s="21" t="s">
        <v>211</v>
      </c>
      <c r="B81" s="39" t="s">
        <v>122</v>
      </c>
      <c r="C81" s="40" t="s">
        <v>111</v>
      </c>
      <c r="D81" s="36"/>
      <c r="E81" s="10"/>
      <c r="F81" s="10">
        <v>432</v>
      </c>
      <c r="G81" s="10">
        <v>55.55</v>
      </c>
      <c r="H81" s="10">
        <f>G81*F81/1000</f>
        <v>23.997599999999998</v>
      </c>
      <c r="I81" s="10">
        <f>G81*36</f>
        <v>1999.8</v>
      </c>
    </row>
    <row r="82" spans="1:9" ht="15.75" customHeight="1">
      <c r="A82" s="21">
        <v>14</v>
      </c>
      <c r="B82" s="70" t="s">
        <v>171</v>
      </c>
      <c r="C82" s="69" t="s">
        <v>172</v>
      </c>
      <c r="D82" s="70"/>
      <c r="E82" s="71"/>
      <c r="F82" s="72">
        <v>360</v>
      </c>
      <c r="G82" s="56">
        <v>1.2</v>
      </c>
      <c r="H82" s="73">
        <f>F82*G82/1000</f>
        <v>0.432</v>
      </c>
      <c r="I82" s="94">
        <f>G82*120</f>
        <v>144</v>
      </c>
    </row>
    <row r="83" spans="1:9" ht="18" customHeight="1">
      <c r="A83" s="21">
        <v>15</v>
      </c>
      <c r="B83" s="92" t="s">
        <v>80</v>
      </c>
      <c r="C83" s="42" t="s">
        <v>111</v>
      </c>
      <c r="D83" s="36"/>
      <c r="E83" s="10"/>
      <c r="F83" s="10">
        <v>10</v>
      </c>
      <c r="G83" s="27">
        <v>197.48</v>
      </c>
      <c r="H83" s="74">
        <f t="shared" ref="H83" si="6">G83*F83/1000</f>
        <v>1.9747999999999999</v>
      </c>
      <c r="I83" s="10">
        <f>G83*1</f>
        <v>197.48</v>
      </c>
    </row>
    <row r="84" spans="1:9" ht="31.5" hidden="1" customHeight="1">
      <c r="A84" s="21">
        <v>15</v>
      </c>
      <c r="B84" s="39"/>
      <c r="C84" s="40"/>
      <c r="D84" s="36"/>
      <c r="E84" s="10"/>
      <c r="F84" s="10">
        <v>0.02</v>
      </c>
      <c r="G84" s="10"/>
      <c r="H84" s="74">
        <f>G84*F84/1000</f>
        <v>0</v>
      </c>
      <c r="I84" s="10"/>
    </row>
    <row r="85" spans="1:9" ht="15.75" hidden="1" customHeight="1">
      <c r="A85" s="21">
        <v>16</v>
      </c>
      <c r="B85" s="11"/>
      <c r="C85" s="13"/>
      <c r="D85" s="11"/>
      <c r="E85" s="15"/>
      <c r="F85" s="10">
        <v>1</v>
      </c>
      <c r="G85" s="10"/>
      <c r="H85" s="74">
        <f t="shared" ref="H85:H86" si="7">G85*F85/1000</f>
        <v>0</v>
      </c>
      <c r="I85" s="10"/>
    </row>
    <row r="86" spans="1:9" ht="15.75" hidden="1" customHeight="1">
      <c r="A86" s="21">
        <v>17</v>
      </c>
      <c r="B86" s="25"/>
      <c r="C86" s="29"/>
      <c r="D86" s="41"/>
      <c r="E86" s="27"/>
      <c r="F86" s="27">
        <v>1</v>
      </c>
      <c r="G86" s="27"/>
      <c r="H86" s="74">
        <f t="shared" si="7"/>
        <v>0</v>
      </c>
      <c r="I86" s="10"/>
    </row>
    <row r="87" spans="1:9" ht="15.75" customHeight="1">
      <c r="A87" s="21">
        <v>16</v>
      </c>
      <c r="B87" s="92" t="s">
        <v>210</v>
      </c>
      <c r="C87" s="42" t="s">
        <v>79</v>
      </c>
      <c r="D87" s="41"/>
      <c r="E87" s="27"/>
      <c r="F87" s="27"/>
      <c r="G87" s="27">
        <v>645.19000000000005</v>
      </c>
      <c r="H87" s="74"/>
      <c r="I87" s="10">
        <f>G87*1</f>
        <v>645.19000000000005</v>
      </c>
    </row>
    <row r="88" spans="1:9" ht="31.5" customHeight="1">
      <c r="A88" s="21">
        <v>17</v>
      </c>
      <c r="B88" s="92" t="s">
        <v>213</v>
      </c>
      <c r="C88" s="42" t="s">
        <v>214</v>
      </c>
      <c r="D88" s="41"/>
      <c r="E88" s="27"/>
      <c r="F88" s="27"/>
      <c r="G88" s="27">
        <v>24829.08</v>
      </c>
      <c r="H88" s="74"/>
      <c r="I88" s="10">
        <f>G88*0.01</f>
        <v>248.29080000000002</v>
      </c>
    </row>
    <row r="89" spans="1:9" ht="33.75" customHeight="1">
      <c r="A89" s="21">
        <v>18</v>
      </c>
      <c r="B89" s="92" t="s">
        <v>215</v>
      </c>
      <c r="C89" s="42" t="s">
        <v>131</v>
      </c>
      <c r="D89" s="41"/>
      <c r="E89" s="27"/>
      <c r="F89" s="27"/>
      <c r="G89" s="27">
        <v>56.34</v>
      </c>
      <c r="H89" s="74"/>
      <c r="I89" s="10">
        <f>G89*1</f>
        <v>56.34</v>
      </c>
    </row>
    <row r="90" spans="1:9" ht="15.75" customHeight="1">
      <c r="A90" s="21"/>
      <c r="B90" s="34" t="s">
        <v>49</v>
      </c>
      <c r="C90" s="30"/>
      <c r="D90" s="37"/>
      <c r="E90" s="30">
        <v>1</v>
      </c>
      <c r="F90" s="30"/>
      <c r="G90" s="30"/>
      <c r="H90" s="30"/>
      <c r="I90" s="24">
        <f>SUM(I82:I89)</f>
        <v>1291.3008</v>
      </c>
    </row>
    <row r="91" spans="1:9" ht="15.75" customHeight="1">
      <c r="A91" s="21"/>
      <c r="B91" s="36" t="s">
        <v>77</v>
      </c>
      <c r="C91" s="12"/>
      <c r="D91" s="12"/>
      <c r="E91" s="31"/>
      <c r="F91" s="31"/>
      <c r="G91" s="32"/>
      <c r="H91" s="32"/>
      <c r="I91" s="14">
        <v>0</v>
      </c>
    </row>
    <row r="92" spans="1:9" ht="15.75" customHeight="1">
      <c r="A92" s="38"/>
      <c r="B92" s="35" t="s">
        <v>163</v>
      </c>
      <c r="C92" s="26"/>
      <c r="D92" s="26"/>
      <c r="E92" s="26"/>
      <c r="F92" s="26"/>
      <c r="G92" s="26"/>
      <c r="H92" s="26"/>
      <c r="I92" s="33">
        <f>I79+I90</f>
        <v>31302.401010600002</v>
      </c>
    </row>
    <row r="93" spans="1:9" ht="15.75" customHeight="1">
      <c r="A93" s="125" t="s">
        <v>212</v>
      </c>
      <c r="B93" s="126"/>
      <c r="C93" s="126"/>
      <c r="D93" s="126"/>
      <c r="E93" s="126"/>
      <c r="F93" s="126"/>
      <c r="G93" s="126"/>
      <c r="H93" s="126"/>
      <c r="I93" s="126"/>
    </row>
    <row r="94" spans="1:9" ht="15.75">
      <c r="A94" s="121" t="s">
        <v>216</v>
      </c>
      <c r="B94" s="121"/>
      <c r="C94" s="121"/>
      <c r="D94" s="121"/>
      <c r="E94" s="121"/>
      <c r="F94" s="121"/>
      <c r="G94" s="121"/>
      <c r="H94" s="121"/>
      <c r="I94" s="121"/>
    </row>
    <row r="95" spans="1:9" ht="15.75">
      <c r="A95" s="48"/>
      <c r="B95" s="116" t="s">
        <v>217</v>
      </c>
      <c r="C95" s="116"/>
      <c r="D95" s="116"/>
      <c r="E95" s="116"/>
      <c r="F95" s="116"/>
      <c r="G95" s="116"/>
      <c r="H95" s="59"/>
      <c r="I95" s="2"/>
    </row>
    <row r="96" spans="1:9">
      <c r="A96" s="51"/>
      <c r="B96" s="112" t="s">
        <v>6</v>
      </c>
      <c r="C96" s="112"/>
      <c r="D96" s="112"/>
      <c r="E96" s="112"/>
      <c r="F96" s="112"/>
      <c r="G96" s="112"/>
      <c r="H96" s="16"/>
      <c r="I96" s="4"/>
    </row>
    <row r="97" spans="1:9">
      <c r="A97" s="7"/>
      <c r="B97" s="7"/>
      <c r="C97" s="7"/>
      <c r="D97" s="7"/>
      <c r="E97" s="7"/>
      <c r="F97" s="7"/>
      <c r="G97" s="7"/>
      <c r="H97" s="7"/>
      <c r="I97" s="7"/>
    </row>
    <row r="98" spans="1:9" ht="15.75">
      <c r="A98" s="117" t="s">
        <v>7</v>
      </c>
      <c r="B98" s="117"/>
      <c r="C98" s="117"/>
      <c r="D98" s="117"/>
      <c r="E98" s="117"/>
      <c r="F98" s="117"/>
      <c r="G98" s="117"/>
      <c r="H98" s="117"/>
      <c r="I98" s="117"/>
    </row>
    <row r="99" spans="1:9" ht="15.75">
      <c r="A99" s="117" t="s">
        <v>8</v>
      </c>
      <c r="B99" s="117"/>
      <c r="C99" s="117"/>
      <c r="D99" s="117"/>
      <c r="E99" s="117"/>
      <c r="F99" s="117"/>
      <c r="G99" s="117"/>
      <c r="H99" s="117"/>
      <c r="I99" s="117"/>
    </row>
    <row r="100" spans="1:9" ht="15.75">
      <c r="A100" s="118" t="s">
        <v>59</v>
      </c>
      <c r="B100" s="118"/>
      <c r="C100" s="118"/>
      <c r="D100" s="118"/>
      <c r="E100" s="118"/>
      <c r="F100" s="118"/>
      <c r="G100" s="118"/>
      <c r="H100" s="118"/>
      <c r="I100" s="118"/>
    </row>
    <row r="101" spans="1:9" ht="15.75">
      <c r="A101" s="8"/>
    </row>
    <row r="102" spans="1:9" ht="15.75">
      <c r="A102" s="119" t="s">
        <v>9</v>
      </c>
      <c r="B102" s="119"/>
      <c r="C102" s="119"/>
      <c r="D102" s="119"/>
      <c r="E102" s="119"/>
      <c r="F102" s="119"/>
      <c r="G102" s="119"/>
      <c r="H102" s="119"/>
      <c r="I102" s="119"/>
    </row>
    <row r="103" spans="1:9" ht="15.75">
      <c r="A103" s="3"/>
    </row>
    <row r="104" spans="1:9" ht="15.75">
      <c r="B104" s="52" t="s">
        <v>10</v>
      </c>
      <c r="C104" s="111" t="s">
        <v>136</v>
      </c>
      <c r="D104" s="111"/>
      <c r="E104" s="111"/>
      <c r="F104" s="57"/>
      <c r="I104" s="50"/>
    </row>
    <row r="105" spans="1:9">
      <c r="A105" s="51"/>
      <c r="C105" s="112" t="s">
        <v>11</v>
      </c>
      <c r="D105" s="112"/>
      <c r="E105" s="112"/>
      <c r="F105" s="16"/>
      <c r="I105" s="49" t="s">
        <v>12</v>
      </c>
    </row>
    <row r="106" spans="1:9" ht="15.75">
      <c r="A106" s="17"/>
      <c r="C106" s="9"/>
      <c r="D106" s="9"/>
      <c r="G106" s="9"/>
      <c r="H106" s="9"/>
    </row>
    <row r="107" spans="1:9" ht="15.75">
      <c r="B107" s="52" t="s">
        <v>13</v>
      </c>
      <c r="C107" s="113"/>
      <c r="D107" s="113"/>
      <c r="E107" s="113"/>
      <c r="F107" s="58"/>
      <c r="I107" s="50"/>
    </row>
    <row r="108" spans="1:9">
      <c r="A108" s="51"/>
      <c r="C108" s="114" t="s">
        <v>11</v>
      </c>
      <c r="D108" s="114"/>
      <c r="E108" s="114"/>
      <c r="F108" s="51"/>
      <c r="I108" s="49" t="s">
        <v>12</v>
      </c>
    </row>
    <row r="109" spans="1:9" ht="15.75">
      <c r="A109" s="3" t="s">
        <v>14</v>
      </c>
    </row>
    <row r="110" spans="1:9">
      <c r="A110" s="115" t="s">
        <v>15</v>
      </c>
      <c r="B110" s="115"/>
      <c r="C110" s="115"/>
      <c r="D110" s="115"/>
      <c r="E110" s="115"/>
      <c r="F110" s="115"/>
      <c r="G110" s="115"/>
      <c r="H110" s="115"/>
      <c r="I110" s="115"/>
    </row>
    <row r="111" spans="1:9" ht="45" customHeight="1">
      <c r="A111" s="107" t="s">
        <v>16</v>
      </c>
      <c r="B111" s="107"/>
      <c r="C111" s="107"/>
      <c r="D111" s="107"/>
      <c r="E111" s="107"/>
      <c r="F111" s="107"/>
      <c r="G111" s="107"/>
      <c r="H111" s="107"/>
      <c r="I111" s="107"/>
    </row>
    <row r="112" spans="1:9" ht="30" customHeight="1">
      <c r="A112" s="107" t="s">
        <v>17</v>
      </c>
      <c r="B112" s="107"/>
      <c r="C112" s="107"/>
      <c r="D112" s="107"/>
      <c r="E112" s="107"/>
      <c r="F112" s="107"/>
      <c r="G112" s="107"/>
      <c r="H112" s="107"/>
      <c r="I112" s="107"/>
    </row>
    <row r="113" spans="1:9" ht="30" customHeight="1">
      <c r="A113" s="107" t="s">
        <v>21</v>
      </c>
      <c r="B113" s="107"/>
      <c r="C113" s="107"/>
      <c r="D113" s="107"/>
      <c r="E113" s="107"/>
      <c r="F113" s="107"/>
      <c r="G113" s="107"/>
      <c r="H113" s="107"/>
      <c r="I113" s="107"/>
    </row>
    <row r="114" spans="1:9" ht="15" customHeight="1">
      <c r="A114" s="107" t="s">
        <v>20</v>
      </c>
      <c r="B114" s="107"/>
      <c r="C114" s="107"/>
      <c r="D114" s="107"/>
      <c r="E114" s="107"/>
      <c r="F114" s="107"/>
      <c r="G114" s="107"/>
      <c r="H114" s="107"/>
      <c r="I114" s="107"/>
    </row>
  </sheetData>
  <mergeCells count="29">
    <mergeCell ref="A112:I112"/>
    <mergeCell ref="A113:I113"/>
    <mergeCell ref="A114:I114"/>
    <mergeCell ref="C104:E104"/>
    <mergeCell ref="C105:E105"/>
    <mergeCell ref="C107:E107"/>
    <mergeCell ref="C108:E108"/>
    <mergeCell ref="A110:I110"/>
    <mergeCell ref="A111:I111"/>
    <mergeCell ref="A102:I102"/>
    <mergeCell ref="A15:I15"/>
    <mergeCell ref="A29:I29"/>
    <mergeCell ref="A45:I45"/>
    <mergeCell ref="A56:I56"/>
    <mergeCell ref="A76:I76"/>
    <mergeCell ref="A94:I94"/>
    <mergeCell ref="B95:G95"/>
    <mergeCell ref="B96:G96"/>
    <mergeCell ref="A98:I98"/>
    <mergeCell ref="A99:I99"/>
    <mergeCell ref="A100:I100"/>
    <mergeCell ref="A93:I93"/>
    <mergeCell ref="A14:I14"/>
    <mergeCell ref="A80:I80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I114"/>
  <sheetViews>
    <sheetView topLeftCell="A79" workbookViewId="0">
      <selection activeCell="B82" sqref="B82:I82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194</v>
      </c>
      <c r="I1" s="18"/>
    </row>
    <row r="2" spans="1:9" ht="15.75">
      <c r="A2" s="20" t="s">
        <v>60</v>
      </c>
    </row>
    <row r="3" spans="1:9" ht="15.75">
      <c r="A3" s="128" t="s">
        <v>156</v>
      </c>
      <c r="B3" s="128"/>
      <c r="C3" s="128"/>
      <c r="D3" s="128"/>
      <c r="E3" s="128"/>
      <c r="F3" s="128"/>
      <c r="G3" s="128"/>
      <c r="H3" s="128"/>
      <c r="I3" s="128"/>
    </row>
    <row r="4" spans="1:9" ht="31.5" customHeight="1">
      <c r="A4" s="129" t="s">
        <v>132</v>
      </c>
      <c r="B4" s="129"/>
      <c r="C4" s="129"/>
      <c r="D4" s="129"/>
      <c r="E4" s="129"/>
      <c r="F4" s="129"/>
      <c r="G4" s="129"/>
      <c r="H4" s="129"/>
      <c r="I4" s="129"/>
    </row>
    <row r="5" spans="1:9" ht="15.75">
      <c r="A5" s="128" t="s">
        <v>218</v>
      </c>
      <c r="B5" s="130"/>
      <c r="C5" s="130"/>
      <c r="D5" s="130"/>
      <c r="E5" s="130"/>
      <c r="F5" s="130"/>
      <c r="G5" s="130"/>
      <c r="H5" s="130"/>
      <c r="I5" s="130"/>
    </row>
    <row r="6" spans="1:9" ht="15.75">
      <c r="A6" s="1"/>
      <c r="B6" s="54"/>
      <c r="C6" s="54"/>
      <c r="D6" s="54"/>
      <c r="E6" s="54"/>
      <c r="F6" s="54"/>
      <c r="G6" s="54"/>
      <c r="H6" s="54"/>
      <c r="I6" s="22">
        <v>43373</v>
      </c>
    </row>
    <row r="7" spans="1:9" ht="15.75">
      <c r="B7" s="52"/>
      <c r="C7" s="52"/>
      <c r="D7" s="52"/>
      <c r="E7" s="2"/>
      <c r="F7" s="2"/>
      <c r="G7" s="2"/>
      <c r="H7" s="2"/>
    </row>
    <row r="8" spans="1:9" ht="78.75" customHeight="1">
      <c r="A8" s="131" t="s">
        <v>196</v>
      </c>
      <c r="B8" s="131"/>
      <c r="C8" s="131"/>
      <c r="D8" s="131"/>
      <c r="E8" s="131"/>
      <c r="F8" s="131"/>
      <c r="G8" s="131"/>
      <c r="H8" s="131"/>
      <c r="I8" s="131"/>
    </row>
    <row r="9" spans="1:9" ht="15.75">
      <c r="A9" s="3"/>
    </row>
    <row r="10" spans="1:9" ht="47.25" customHeight="1">
      <c r="A10" s="132" t="s">
        <v>159</v>
      </c>
      <c r="B10" s="132"/>
      <c r="C10" s="132"/>
      <c r="D10" s="132"/>
      <c r="E10" s="132"/>
      <c r="F10" s="132"/>
      <c r="G10" s="132"/>
      <c r="H10" s="132"/>
      <c r="I10" s="132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>
      <c r="A14" s="127" t="s">
        <v>57</v>
      </c>
      <c r="B14" s="127"/>
      <c r="C14" s="127"/>
      <c r="D14" s="127"/>
      <c r="E14" s="127"/>
      <c r="F14" s="127"/>
      <c r="G14" s="127"/>
      <c r="H14" s="127"/>
      <c r="I14" s="127"/>
    </row>
    <row r="15" spans="1:9">
      <c r="A15" s="120" t="s">
        <v>4</v>
      </c>
      <c r="B15" s="120"/>
      <c r="C15" s="120"/>
      <c r="D15" s="120"/>
      <c r="E15" s="120"/>
      <c r="F15" s="120"/>
      <c r="G15" s="120"/>
      <c r="H15" s="120"/>
      <c r="I15" s="120"/>
    </row>
    <row r="16" spans="1:9" ht="15.75" customHeight="1">
      <c r="A16" s="21">
        <v>1</v>
      </c>
      <c r="B16" s="60" t="s">
        <v>86</v>
      </c>
      <c r="C16" s="61" t="s">
        <v>87</v>
      </c>
      <c r="D16" s="60" t="s">
        <v>160</v>
      </c>
      <c r="E16" s="62">
        <v>55</v>
      </c>
      <c r="F16" s="63">
        <f>SUM(E16*156/100)</f>
        <v>85.8</v>
      </c>
      <c r="G16" s="63">
        <v>187.48</v>
      </c>
      <c r="H16" s="64">
        <f t="shared" ref="H16:H26" si="0">SUM(F16*G16/1000)</f>
        <v>16.085783999999997</v>
      </c>
      <c r="I16" s="10">
        <f>F16/12*G16</f>
        <v>1340.4819999999997</v>
      </c>
    </row>
    <row r="17" spans="1:9" ht="15.75" customHeight="1">
      <c r="A17" s="21">
        <v>2</v>
      </c>
      <c r="B17" s="60" t="s">
        <v>123</v>
      </c>
      <c r="C17" s="61" t="s">
        <v>87</v>
      </c>
      <c r="D17" s="60" t="s">
        <v>161</v>
      </c>
      <c r="E17" s="62">
        <v>165</v>
      </c>
      <c r="F17" s="63">
        <f>SUM(E17*104/100)</f>
        <v>171.6</v>
      </c>
      <c r="G17" s="63">
        <v>187.48</v>
      </c>
      <c r="H17" s="64">
        <f t="shared" si="0"/>
        <v>32.171567999999994</v>
      </c>
      <c r="I17" s="10">
        <f>F17/12*G17</f>
        <v>2680.9639999999995</v>
      </c>
    </row>
    <row r="18" spans="1:9" ht="15.75" customHeight="1">
      <c r="A18" s="21">
        <v>3</v>
      </c>
      <c r="B18" s="60" t="s">
        <v>124</v>
      </c>
      <c r="C18" s="61" t="s">
        <v>87</v>
      </c>
      <c r="D18" s="60" t="s">
        <v>162</v>
      </c>
      <c r="E18" s="62">
        <f>SUM(E16+E17)</f>
        <v>220</v>
      </c>
      <c r="F18" s="63">
        <f>SUM(E18*24/100)</f>
        <v>52.8</v>
      </c>
      <c r="G18" s="63">
        <v>539.30999999999995</v>
      </c>
      <c r="H18" s="64">
        <f t="shared" si="0"/>
        <v>28.475567999999996</v>
      </c>
      <c r="I18" s="10">
        <f>F18/12*G18</f>
        <v>2372.9639999999995</v>
      </c>
    </row>
    <row r="19" spans="1:9" ht="15.75" hidden="1" customHeight="1">
      <c r="A19" s="21">
        <v>4</v>
      </c>
      <c r="B19" s="60" t="s">
        <v>94</v>
      </c>
      <c r="C19" s="61" t="s">
        <v>95</v>
      </c>
      <c r="D19" s="60" t="s">
        <v>96</v>
      </c>
      <c r="E19" s="62">
        <v>32.4</v>
      </c>
      <c r="F19" s="63">
        <f>SUM(E19/10)</f>
        <v>3.2399999999999998</v>
      </c>
      <c r="G19" s="63">
        <v>181.91</v>
      </c>
      <c r="H19" s="64">
        <f t="shared" si="0"/>
        <v>0.58938839999999992</v>
      </c>
      <c r="I19" s="10">
        <v>0</v>
      </c>
    </row>
    <row r="20" spans="1:9" ht="15.75" customHeight="1">
      <c r="A20" s="21">
        <v>4</v>
      </c>
      <c r="B20" s="60" t="s">
        <v>97</v>
      </c>
      <c r="C20" s="61" t="s">
        <v>87</v>
      </c>
      <c r="D20" s="60" t="s">
        <v>125</v>
      </c>
      <c r="E20" s="62">
        <v>12.24</v>
      </c>
      <c r="F20" s="63">
        <f>SUM(E20*12/100)</f>
        <v>1.4687999999999999</v>
      </c>
      <c r="G20" s="63">
        <v>232.92</v>
      </c>
      <c r="H20" s="64">
        <f t="shared" si="0"/>
        <v>0.342112896</v>
      </c>
      <c r="I20" s="10">
        <f>F20/12*G20</f>
        <v>28.509407999999997</v>
      </c>
    </row>
    <row r="21" spans="1:9" ht="15.75" customHeight="1">
      <c r="A21" s="21">
        <v>5</v>
      </c>
      <c r="B21" s="60" t="s">
        <v>98</v>
      </c>
      <c r="C21" s="61" t="s">
        <v>87</v>
      </c>
      <c r="D21" s="60" t="s">
        <v>126</v>
      </c>
      <c r="E21" s="62">
        <v>10.08</v>
      </c>
      <c r="F21" s="63">
        <f>SUM(E21*6/100)</f>
        <v>0.6048</v>
      </c>
      <c r="G21" s="63">
        <v>231.03</v>
      </c>
      <c r="H21" s="64">
        <f t="shared" si="0"/>
        <v>0.13972694399999999</v>
      </c>
      <c r="I21" s="10">
        <f>F21/6*G21</f>
        <v>23.287824000000001</v>
      </c>
    </row>
    <row r="22" spans="1:9" ht="15.75" hidden="1" customHeight="1">
      <c r="A22" s="21">
        <v>7</v>
      </c>
      <c r="B22" s="60" t="s">
        <v>99</v>
      </c>
      <c r="C22" s="61" t="s">
        <v>51</v>
      </c>
      <c r="D22" s="60" t="s">
        <v>96</v>
      </c>
      <c r="E22" s="62">
        <v>293.76</v>
      </c>
      <c r="F22" s="63">
        <f>SUM(E22/100)</f>
        <v>2.9375999999999998</v>
      </c>
      <c r="G22" s="63">
        <v>287.83999999999997</v>
      </c>
      <c r="H22" s="64">
        <f t="shared" si="0"/>
        <v>0.84555878399999984</v>
      </c>
      <c r="I22" s="10">
        <v>0</v>
      </c>
    </row>
    <row r="23" spans="1:9" ht="15.75" hidden="1" customHeight="1">
      <c r="A23" s="21">
        <v>8</v>
      </c>
      <c r="B23" s="60" t="s">
        <v>100</v>
      </c>
      <c r="C23" s="61" t="s">
        <v>51</v>
      </c>
      <c r="D23" s="60" t="s">
        <v>96</v>
      </c>
      <c r="E23" s="65">
        <v>17.64</v>
      </c>
      <c r="F23" s="63">
        <f>SUM(E23/100)</f>
        <v>0.1764</v>
      </c>
      <c r="G23" s="63">
        <v>47.34</v>
      </c>
      <c r="H23" s="64">
        <f t="shared" si="0"/>
        <v>8.3507760000000007E-3</v>
      </c>
      <c r="I23" s="10">
        <v>0</v>
      </c>
    </row>
    <row r="24" spans="1:9" ht="15.75" hidden="1" customHeight="1">
      <c r="A24" s="21">
        <v>9</v>
      </c>
      <c r="B24" s="60" t="s">
        <v>101</v>
      </c>
      <c r="C24" s="61" t="s">
        <v>51</v>
      </c>
      <c r="D24" s="60" t="s">
        <v>102</v>
      </c>
      <c r="E24" s="62">
        <v>10.8</v>
      </c>
      <c r="F24" s="63">
        <f>E24/100</f>
        <v>0.10800000000000001</v>
      </c>
      <c r="G24" s="63">
        <v>416.62</v>
      </c>
      <c r="H24" s="64">
        <f t="shared" si="0"/>
        <v>4.4994960000000007E-2</v>
      </c>
      <c r="I24" s="10">
        <v>0</v>
      </c>
    </row>
    <row r="25" spans="1:9" ht="15.75" hidden="1" customHeight="1">
      <c r="A25" s="21">
        <v>10</v>
      </c>
      <c r="B25" s="60" t="s">
        <v>103</v>
      </c>
      <c r="C25" s="61" t="s">
        <v>51</v>
      </c>
      <c r="D25" s="60" t="s">
        <v>52</v>
      </c>
      <c r="E25" s="62">
        <v>12.6</v>
      </c>
      <c r="F25" s="63">
        <f>E25/100</f>
        <v>0.126</v>
      </c>
      <c r="G25" s="63">
        <v>231.03</v>
      </c>
      <c r="H25" s="64">
        <f>G25*F25/1000</f>
        <v>2.9109780000000002E-2</v>
      </c>
      <c r="I25" s="10">
        <v>0</v>
      </c>
    </row>
    <row r="26" spans="1:9" ht="15.75" hidden="1" customHeight="1">
      <c r="A26" s="21">
        <v>11</v>
      </c>
      <c r="B26" s="60" t="s">
        <v>104</v>
      </c>
      <c r="C26" s="61" t="s">
        <v>51</v>
      </c>
      <c r="D26" s="60" t="s">
        <v>96</v>
      </c>
      <c r="E26" s="62">
        <v>14.4</v>
      </c>
      <c r="F26" s="63">
        <f>SUM(E26/100)</f>
        <v>0.14400000000000002</v>
      </c>
      <c r="G26" s="63">
        <v>556.74</v>
      </c>
      <c r="H26" s="64">
        <f t="shared" si="0"/>
        <v>8.0170560000000016E-2</v>
      </c>
      <c r="I26" s="10">
        <v>0</v>
      </c>
    </row>
    <row r="27" spans="1:9" ht="15.75" customHeight="1">
      <c r="A27" s="21">
        <v>6</v>
      </c>
      <c r="B27" s="60" t="s">
        <v>62</v>
      </c>
      <c r="C27" s="61" t="s">
        <v>31</v>
      </c>
      <c r="D27" s="60"/>
      <c r="E27" s="62">
        <v>0.1</v>
      </c>
      <c r="F27" s="63">
        <f>SUM(E27*365)</f>
        <v>36.5</v>
      </c>
      <c r="G27" s="63">
        <v>157.18</v>
      </c>
      <c r="H27" s="64">
        <f>SUM(F27*G27/1000)</f>
        <v>5.737070000000001</v>
      </c>
      <c r="I27" s="10">
        <f>F27/12*G27</f>
        <v>478.08916666666664</v>
      </c>
    </row>
    <row r="28" spans="1:9" ht="15.75" customHeight="1">
      <c r="A28" s="21">
        <v>7</v>
      </c>
      <c r="B28" s="68" t="s">
        <v>23</v>
      </c>
      <c r="C28" s="61" t="s">
        <v>24</v>
      </c>
      <c r="D28" s="60"/>
      <c r="E28" s="62">
        <v>2054.6</v>
      </c>
      <c r="F28" s="63">
        <f>SUM(E28*12)</f>
        <v>24655.199999999997</v>
      </c>
      <c r="G28" s="63">
        <v>6.15</v>
      </c>
      <c r="H28" s="64">
        <f>SUM(F28*G28/1000)</f>
        <v>151.62947999999997</v>
      </c>
      <c r="I28" s="10">
        <f>F28/12*G28</f>
        <v>12635.79</v>
      </c>
    </row>
    <row r="29" spans="1:9" ht="15.75" customHeight="1">
      <c r="A29" s="108" t="s">
        <v>84</v>
      </c>
      <c r="B29" s="109"/>
      <c r="C29" s="109"/>
      <c r="D29" s="109"/>
      <c r="E29" s="109"/>
      <c r="F29" s="109"/>
      <c r="G29" s="109"/>
      <c r="H29" s="109"/>
      <c r="I29" s="110"/>
    </row>
    <row r="30" spans="1:9" ht="15.75" customHeight="1">
      <c r="A30" s="21"/>
      <c r="B30" s="81" t="s">
        <v>27</v>
      </c>
      <c r="C30" s="61"/>
      <c r="D30" s="60"/>
      <c r="E30" s="62"/>
      <c r="F30" s="63"/>
      <c r="G30" s="63"/>
      <c r="H30" s="64"/>
      <c r="I30" s="10"/>
    </row>
    <row r="31" spans="1:9" ht="15.75" customHeight="1">
      <c r="A31" s="21">
        <v>8</v>
      </c>
      <c r="B31" s="60" t="s">
        <v>109</v>
      </c>
      <c r="C31" s="61" t="s">
        <v>90</v>
      </c>
      <c r="D31" s="60" t="s">
        <v>164</v>
      </c>
      <c r="E31" s="63">
        <v>600.63</v>
      </c>
      <c r="F31" s="63">
        <f>SUM(E31*52/1000)</f>
        <v>31.232759999999999</v>
      </c>
      <c r="G31" s="63">
        <v>166.65</v>
      </c>
      <c r="H31" s="64">
        <f t="shared" ref="H31:H36" si="1">SUM(F31*G31/1000)</f>
        <v>5.2049394540000007</v>
      </c>
      <c r="I31" s="10">
        <f>F31/6*G31</f>
        <v>867.4899089999999</v>
      </c>
    </row>
    <row r="32" spans="1:9" ht="31.5" customHeight="1">
      <c r="A32" s="21">
        <v>9</v>
      </c>
      <c r="B32" s="60" t="s">
        <v>108</v>
      </c>
      <c r="C32" s="61" t="s">
        <v>90</v>
      </c>
      <c r="D32" s="60" t="s">
        <v>165</v>
      </c>
      <c r="E32" s="63">
        <v>186.39</v>
      </c>
      <c r="F32" s="63">
        <f>SUM(E32*78/1000)</f>
        <v>14.538419999999999</v>
      </c>
      <c r="G32" s="63">
        <v>276.48</v>
      </c>
      <c r="H32" s="64">
        <f t="shared" si="1"/>
        <v>4.0195823615999995</v>
      </c>
      <c r="I32" s="10">
        <f t="shared" ref="I32:I34" si="2">F32/6*G32</f>
        <v>669.93039359999989</v>
      </c>
    </row>
    <row r="33" spans="1:9" ht="15.75" hidden="1" customHeight="1">
      <c r="A33" s="21">
        <v>16</v>
      </c>
      <c r="B33" s="60" t="s">
        <v>26</v>
      </c>
      <c r="C33" s="61" t="s">
        <v>90</v>
      </c>
      <c r="D33" s="60" t="s">
        <v>52</v>
      </c>
      <c r="E33" s="63">
        <v>600.63</v>
      </c>
      <c r="F33" s="63">
        <f>SUM(E33/1000)</f>
        <v>0.60063</v>
      </c>
      <c r="G33" s="63">
        <v>3228.73</v>
      </c>
      <c r="H33" s="64">
        <f t="shared" si="1"/>
        <v>1.9392720999000002</v>
      </c>
      <c r="I33" s="10">
        <f>F33*G33</f>
        <v>1939.2720999000001</v>
      </c>
    </row>
    <row r="34" spans="1:9" ht="15.75" customHeight="1">
      <c r="A34" s="21">
        <v>10</v>
      </c>
      <c r="B34" s="60" t="s">
        <v>107</v>
      </c>
      <c r="C34" s="61" t="s">
        <v>29</v>
      </c>
      <c r="D34" s="60" t="s">
        <v>61</v>
      </c>
      <c r="E34" s="67">
        <v>0.33333333333333331</v>
      </c>
      <c r="F34" s="63">
        <f>155/3</f>
        <v>51.666666666666664</v>
      </c>
      <c r="G34" s="63">
        <v>60.6</v>
      </c>
      <c r="H34" s="64">
        <f>SUM(G34*155/3/1000)</f>
        <v>3.1309999999999998</v>
      </c>
      <c r="I34" s="10">
        <f t="shared" si="2"/>
        <v>521.83333333333337</v>
      </c>
    </row>
    <row r="35" spans="1:9" ht="15.75" hidden="1" customHeight="1">
      <c r="A35" s="21"/>
      <c r="B35" s="60" t="s">
        <v>63</v>
      </c>
      <c r="C35" s="61" t="s">
        <v>31</v>
      </c>
      <c r="D35" s="60" t="s">
        <v>65</v>
      </c>
      <c r="E35" s="62"/>
      <c r="F35" s="63">
        <v>2</v>
      </c>
      <c r="G35" s="63">
        <v>204.52</v>
      </c>
      <c r="H35" s="64">
        <f t="shared" si="1"/>
        <v>0.40904000000000001</v>
      </c>
      <c r="I35" s="10">
        <v>0</v>
      </c>
    </row>
    <row r="36" spans="1:9" ht="15.75" hidden="1" customHeight="1">
      <c r="A36" s="21"/>
      <c r="B36" s="60" t="s">
        <v>64</v>
      </c>
      <c r="C36" s="61" t="s">
        <v>30</v>
      </c>
      <c r="D36" s="60" t="s">
        <v>65</v>
      </c>
      <c r="E36" s="62"/>
      <c r="F36" s="63">
        <v>1</v>
      </c>
      <c r="G36" s="63">
        <v>1214.74</v>
      </c>
      <c r="H36" s="64">
        <f t="shared" si="1"/>
        <v>1.2147399999999999</v>
      </c>
      <c r="I36" s="10">
        <v>0</v>
      </c>
    </row>
    <row r="37" spans="1:9" ht="15.75" hidden="1" customHeight="1">
      <c r="A37" s="21"/>
      <c r="B37" s="81" t="s">
        <v>5</v>
      </c>
      <c r="C37" s="61"/>
      <c r="D37" s="60"/>
      <c r="E37" s="62"/>
      <c r="F37" s="63"/>
      <c r="G37" s="63"/>
      <c r="H37" s="64" t="s">
        <v>120</v>
      </c>
      <c r="I37" s="10"/>
    </row>
    <row r="38" spans="1:9" ht="15.75" hidden="1" customHeight="1">
      <c r="A38" s="21">
        <v>8</v>
      </c>
      <c r="B38" s="60" t="s">
        <v>25</v>
      </c>
      <c r="C38" s="61" t="s">
        <v>30</v>
      </c>
      <c r="D38" s="60"/>
      <c r="E38" s="62"/>
      <c r="F38" s="63">
        <v>5</v>
      </c>
      <c r="G38" s="63">
        <v>1632.6</v>
      </c>
      <c r="H38" s="64">
        <f t="shared" ref="H38:H44" si="3">SUM(F38*G38/1000)</f>
        <v>8.1630000000000003</v>
      </c>
      <c r="I38" s="10">
        <f>F38/6*G38</f>
        <v>1360.5</v>
      </c>
    </row>
    <row r="39" spans="1:9" ht="15.75" hidden="1" customHeight="1">
      <c r="A39" s="21">
        <v>9</v>
      </c>
      <c r="B39" s="60" t="s">
        <v>127</v>
      </c>
      <c r="C39" s="61" t="s">
        <v>28</v>
      </c>
      <c r="D39" s="60" t="s">
        <v>88</v>
      </c>
      <c r="E39" s="62">
        <v>186.39</v>
      </c>
      <c r="F39" s="63">
        <f>E39*30/1000</f>
        <v>5.5916999999999994</v>
      </c>
      <c r="G39" s="63">
        <v>2247.8000000000002</v>
      </c>
      <c r="H39" s="64">
        <f>G39*F39/1000</f>
        <v>12.56902326</v>
      </c>
      <c r="I39" s="10">
        <f>F39/6*G39</f>
        <v>2094.8372100000001</v>
      </c>
    </row>
    <row r="40" spans="1:9" ht="15.75" hidden="1" customHeight="1">
      <c r="A40" s="21"/>
      <c r="B40" s="60" t="s">
        <v>138</v>
      </c>
      <c r="C40" s="61" t="s">
        <v>139</v>
      </c>
      <c r="D40" s="60" t="s">
        <v>65</v>
      </c>
      <c r="E40" s="62"/>
      <c r="F40" s="63">
        <v>72.3</v>
      </c>
      <c r="G40" s="63">
        <v>199.44</v>
      </c>
      <c r="H40" s="64">
        <f>G40*F40/1000</f>
        <v>14.419511999999999</v>
      </c>
      <c r="I40" s="10">
        <v>0</v>
      </c>
    </row>
    <row r="41" spans="1:9" ht="15.75" hidden="1" customHeight="1">
      <c r="A41" s="21">
        <v>10</v>
      </c>
      <c r="B41" s="60" t="s">
        <v>66</v>
      </c>
      <c r="C41" s="61" t="s">
        <v>28</v>
      </c>
      <c r="D41" s="60" t="s">
        <v>89</v>
      </c>
      <c r="E41" s="63">
        <v>186.39</v>
      </c>
      <c r="F41" s="63">
        <f>SUM(E41*155/1000)</f>
        <v>28.890449999999998</v>
      </c>
      <c r="G41" s="63">
        <v>374.95</v>
      </c>
      <c r="H41" s="64">
        <f t="shared" si="3"/>
        <v>10.832474227499999</v>
      </c>
      <c r="I41" s="10">
        <f>F41/6*G41</f>
        <v>1805.4123712499998</v>
      </c>
    </row>
    <row r="42" spans="1:9" ht="47.25" hidden="1" customHeight="1">
      <c r="A42" s="21">
        <v>11</v>
      </c>
      <c r="B42" s="60" t="s">
        <v>82</v>
      </c>
      <c r="C42" s="61" t="s">
        <v>90</v>
      </c>
      <c r="D42" s="60" t="s">
        <v>128</v>
      </c>
      <c r="E42" s="63">
        <v>52.2</v>
      </c>
      <c r="F42" s="63">
        <f>SUM(E42*35/1000)</f>
        <v>1.827</v>
      </c>
      <c r="G42" s="63">
        <v>6203.7</v>
      </c>
      <c r="H42" s="64">
        <f t="shared" si="3"/>
        <v>11.3341599</v>
      </c>
      <c r="I42" s="10">
        <f>F42/6*G42</f>
        <v>1889.0266499999998</v>
      </c>
    </row>
    <row r="43" spans="1:9" ht="15.75" hidden="1" customHeight="1">
      <c r="A43" s="21">
        <v>12</v>
      </c>
      <c r="B43" s="60" t="s">
        <v>129</v>
      </c>
      <c r="C43" s="61" t="s">
        <v>90</v>
      </c>
      <c r="D43" s="60" t="s">
        <v>67</v>
      </c>
      <c r="E43" s="63">
        <v>52.2</v>
      </c>
      <c r="F43" s="63">
        <f>SUM(E43*45/1000)</f>
        <v>2.3490000000000002</v>
      </c>
      <c r="G43" s="63">
        <v>458.28</v>
      </c>
      <c r="H43" s="64">
        <f t="shared" si="3"/>
        <v>1.0764997199999999</v>
      </c>
      <c r="I43" s="10">
        <f>F43/6*G43</f>
        <v>179.41661999999999</v>
      </c>
    </row>
    <row r="44" spans="1:9" ht="15.75" hidden="1" customHeight="1">
      <c r="A44" s="21">
        <v>13</v>
      </c>
      <c r="B44" s="60" t="s">
        <v>68</v>
      </c>
      <c r="C44" s="61" t="s">
        <v>31</v>
      </c>
      <c r="D44" s="60"/>
      <c r="E44" s="62"/>
      <c r="F44" s="63">
        <v>0.5</v>
      </c>
      <c r="G44" s="63">
        <v>853.06</v>
      </c>
      <c r="H44" s="64">
        <f t="shared" si="3"/>
        <v>0.42652999999999996</v>
      </c>
      <c r="I44" s="10">
        <f>F44/6*G44</f>
        <v>71.088333333333324</v>
      </c>
    </row>
    <row r="45" spans="1:9" ht="15.75" customHeight="1">
      <c r="A45" s="108" t="s">
        <v>133</v>
      </c>
      <c r="B45" s="109"/>
      <c r="C45" s="109"/>
      <c r="D45" s="109"/>
      <c r="E45" s="109"/>
      <c r="F45" s="109"/>
      <c r="G45" s="109"/>
      <c r="H45" s="109"/>
      <c r="I45" s="110"/>
    </row>
    <row r="46" spans="1:9" ht="15.75" customHeight="1">
      <c r="A46" s="21">
        <v>11</v>
      </c>
      <c r="B46" s="60" t="s">
        <v>110</v>
      </c>
      <c r="C46" s="61" t="s">
        <v>90</v>
      </c>
      <c r="D46" s="60" t="s">
        <v>41</v>
      </c>
      <c r="E46" s="62">
        <v>917.75</v>
      </c>
      <c r="F46" s="63">
        <f>SUM(E46*2/1000)</f>
        <v>1.8354999999999999</v>
      </c>
      <c r="G46" s="10">
        <v>865.61</v>
      </c>
      <c r="H46" s="64">
        <f t="shared" ref="H46:H55" si="4">SUM(F46*G46/1000)</f>
        <v>1.5888271549999999</v>
      </c>
      <c r="I46" s="10">
        <f t="shared" ref="I46:I49" si="5">F46/2*G46</f>
        <v>794.41357749999997</v>
      </c>
    </row>
    <row r="47" spans="1:9" ht="15.75" customHeight="1">
      <c r="A47" s="21">
        <v>12</v>
      </c>
      <c r="B47" s="60" t="s">
        <v>34</v>
      </c>
      <c r="C47" s="61" t="s">
        <v>90</v>
      </c>
      <c r="D47" s="60" t="s">
        <v>41</v>
      </c>
      <c r="E47" s="62">
        <v>48</v>
      </c>
      <c r="F47" s="63">
        <f>E47*2/1000</f>
        <v>9.6000000000000002E-2</v>
      </c>
      <c r="G47" s="10">
        <v>619.46</v>
      </c>
      <c r="H47" s="64">
        <f t="shared" si="4"/>
        <v>5.9468160000000006E-2</v>
      </c>
      <c r="I47" s="10">
        <f t="shared" si="5"/>
        <v>29.734080000000002</v>
      </c>
    </row>
    <row r="48" spans="1:9" ht="15.75" customHeight="1">
      <c r="A48" s="21">
        <v>13</v>
      </c>
      <c r="B48" s="60" t="s">
        <v>35</v>
      </c>
      <c r="C48" s="61" t="s">
        <v>90</v>
      </c>
      <c r="D48" s="60" t="s">
        <v>41</v>
      </c>
      <c r="E48" s="62">
        <v>937.4</v>
      </c>
      <c r="F48" s="63">
        <f>SUM(E48*2/1000)</f>
        <v>1.8748</v>
      </c>
      <c r="G48" s="10">
        <v>619.46</v>
      </c>
      <c r="H48" s="64">
        <f t="shared" si="4"/>
        <v>1.161363608</v>
      </c>
      <c r="I48" s="10">
        <f t="shared" si="5"/>
        <v>580.68180400000006</v>
      </c>
    </row>
    <row r="49" spans="1:9" ht="15.75" customHeight="1">
      <c r="A49" s="21">
        <v>14</v>
      </c>
      <c r="B49" s="60" t="s">
        <v>36</v>
      </c>
      <c r="C49" s="61" t="s">
        <v>90</v>
      </c>
      <c r="D49" s="60" t="s">
        <v>41</v>
      </c>
      <c r="E49" s="62">
        <v>1243.28</v>
      </c>
      <c r="F49" s="63">
        <f>SUM(E49*2/1000)</f>
        <v>2.4865599999999999</v>
      </c>
      <c r="G49" s="10">
        <v>648.64</v>
      </c>
      <c r="H49" s="64">
        <f t="shared" si="4"/>
        <v>1.6128822783999999</v>
      </c>
      <c r="I49" s="10">
        <f t="shared" si="5"/>
        <v>806.44113919999995</v>
      </c>
    </row>
    <row r="50" spans="1:9" ht="15.75" customHeight="1">
      <c r="A50" s="21">
        <v>15</v>
      </c>
      <c r="B50" s="60" t="s">
        <v>32</v>
      </c>
      <c r="C50" s="61" t="s">
        <v>33</v>
      </c>
      <c r="D50" s="60" t="s">
        <v>41</v>
      </c>
      <c r="E50" s="62">
        <v>64.5</v>
      </c>
      <c r="F50" s="63">
        <f>SUM(E50*2/100)</f>
        <v>1.29</v>
      </c>
      <c r="G50" s="10">
        <v>77.84</v>
      </c>
      <c r="H50" s="64">
        <f t="shared" si="4"/>
        <v>0.10041360000000001</v>
      </c>
      <c r="I50" s="10">
        <f>F50/2*G50</f>
        <v>50.206800000000001</v>
      </c>
    </row>
    <row r="51" spans="1:9" ht="15.75" customHeight="1">
      <c r="A51" s="21">
        <v>16</v>
      </c>
      <c r="B51" s="60" t="s">
        <v>54</v>
      </c>
      <c r="C51" s="61" t="s">
        <v>90</v>
      </c>
      <c r="D51" s="60" t="s">
        <v>144</v>
      </c>
      <c r="E51" s="62">
        <v>678.4</v>
      </c>
      <c r="F51" s="63">
        <f>SUM(E51*5/1000)</f>
        <v>3.3919999999999999</v>
      </c>
      <c r="G51" s="10">
        <v>1297.28</v>
      </c>
      <c r="H51" s="64">
        <f t="shared" si="4"/>
        <v>4.4003737599999999</v>
      </c>
      <c r="I51" s="10">
        <f>F51/5*G51</f>
        <v>880.07475199999999</v>
      </c>
    </row>
    <row r="52" spans="1:9" ht="31.5" hidden="1" customHeight="1">
      <c r="A52" s="21"/>
      <c r="B52" s="60" t="s">
        <v>91</v>
      </c>
      <c r="C52" s="61" t="s">
        <v>90</v>
      </c>
      <c r="D52" s="60" t="s">
        <v>41</v>
      </c>
      <c r="E52" s="62">
        <v>678.4</v>
      </c>
      <c r="F52" s="63">
        <f>SUM(E52*2/1000)</f>
        <v>1.3568</v>
      </c>
      <c r="G52" s="10">
        <v>1297.28</v>
      </c>
      <c r="H52" s="64">
        <f t="shared" si="4"/>
        <v>1.7601495039999999</v>
      </c>
      <c r="I52" s="10">
        <v>0</v>
      </c>
    </row>
    <row r="53" spans="1:9" ht="31.5" hidden="1" customHeight="1">
      <c r="A53" s="21"/>
      <c r="B53" s="60" t="s">
        <v>92</v>
      </c>
      <c r="C53" s="61" t="s">
        <v>37</v>
      </c>
      <c r="D53" s="60" t="s">
        <v>41</v>
      </c>
      <c r="E53" s="62">
        <v>12</v>
      </c>
      <c r="F53" s="63">
        <f>SUM(E53*2/100)</f>
        <v>0.24</v>
      </c>
      <c r="G53" s="10">
        <v>2918.89</v>
      </c>
      <c r="H53" s="64">
        <f t="shared" si="4"/>
        <v>0.70053359999999998</v>
      </c>
      <c r="I53" s="10">
        <v>0</v>
      </c>
    </row>
    <row r="54" spans="1:9" ht="15.75" hidden="1" customHeight="1">
      <c r="A54" s="21"/>
      <c r="B54" s="60" t="s">
        <v>38</v>
      </c>
      <c r="C54" s="61" t="s">
        <v>39</v>
      </c>
      <c r="D54" s="60" t="s">
        <v>41</v>
      </c>
      <c r="E54" s="62">
        <v>1</v>
      </c>
      <c r="F54" s="63">
        <v>0.02</v>
      </c>
      <c r="G54" s="10">
        <v>6042.12</v>
      </c>
      <c r="H54" s="64">
        <f t="shared" si="4"/>
        <v>0.1208424</v>
      </c>
      <c r="I54" s="10">
        <v>0</v>
      </c>
    </row>
    <row r="55" spans="1:9" ht="15.75" customHeight="1">
      <c r="A55" s="21">
        <v>17</v>
      </c>
      <c r="B55" s="60" t="s">
        <v>40</v>
      </c>
      <c r="C55" s="61" t="s">
        <v>111</v>
      </c>
      <c r="D55" s="60" t="s">
        <v>69</v>
      </c>
      <c r="E55" s="62">
        <v>72</v>
      </c>
      <c r="F55" s="63">
        <f>SUM(E55)*3</f>
        <v>216</v>
      </c>
      <c r="G55" s="10">
        <v>70.209999999999994</v>
      </c>
      <c r="H55" s="64">
        <f t="shared" si="4"/>
        <v>15.165359999999998</v>
      </c>
      <c r="I55" s="10">
        <f>E55*G55</f>
        <v>5055.12</v>
      </c>
    </row>
    <row r="56" spans="1:9" ht="15.75" customHeight="1">
      <c r="A56" s="108" t="s">
        <v>134</v>
      </c>
      <c r="B56" s="109"/>
      <c r="C56" s="109"/>
      <c r="D56" s="109"/>
      <c r="E56" s="109"/>
      <c r="F56" s="109"/>
      <c r="G56" s="109"/>
      <c r="H56" s="109"/>
      <c r="I56" s="110"/>
    </row>
    <row r="57" spans="1:9" ht="15.75" hidden="1" customHeight="1">
      <c r="A57" s="21"/>
      <c r="B57" s="81" t="s">
        <v>42</v>
      </c>
      <c r="C57" s="61"/>
      <c r="D57" s="60"/>
      <c r="E57" s="62"/>
      <c r="F57" s="63"/>
      <c r="G57" s="63"/>
      <c r="H57" s="64"/>
      <c r="I57" s="10"/>
    </row>
    <row r="58" spans="1:9" ht="31.5" hidden="1" customHeight="1">
      <c r="A58" s="21">
        <v>16</v>
      </c>
      <c r="B58" s="60" t="s">
        <v>112</v>
      </c>
      <c r="C58" s="61" t="s">
        <v>87</v>
      </c>
      <c r="D58" s="60" t="s">
        <v>113</v>
      </c>
      <c r="E58" s="62">
        <v>110.66</v>
      </c>
      <c r="F58" s="63">
        <f>SUM(E58*6/100)</f>
        <v>6.6396000000000006</v>
      </c>
      <c r="G58" s="10">
        <v>1654.04</v>
      </c>
      <c r="H58" s="64">
        <f>SUM(F58*G58/1000)</f>
        <v>10.982163984000001</v>
      </c>
      <c r="I58" s="10">
        <f>F58/6*G58</f>
        <v>1830.360664</v>
      </c>
    </row>
    <row r="59" spans="1:9" ht="15.75" customHeight="1">
      <c r="A59" s="21"/>
      <c r="B59" s="82" t="s">
        <v>43</v>
      </c>
      <c r="C59" s="69"/>
      <c r="D59" s="70"/>
      <c r="E59" s="71"/>
      <c r="F59" s="72"/>
      <c r="G59" s="72"/>
      <c r="H59" s="73" t="s">
        <v>120</v>
      </c>
      <c r="I59" s="10"/>
    </row>
    <row r="60" spans="1:9" ht="15.75" hidden="1" customHeight="1">
      <c r="A60" s="21">
        <v>18</v>
      </c>
      <c r="B60" s="11" t="s">
        <v>44</v>
      </c>
      <c r="C60" s="13" t="s">
        <v>111</v>
      </c>
      <c r="D60" s="11" t="s">
        <v>65</v>
      </c>
      <c r="E60" s="15">
        <v>8</v>
      </c>
      <c r="F60" s="63">
        <v>8</v>
      </c>
      <c r="G60" s="10">
        <v>237.74</v>
      </c>
      <c r="H60" s="74">
        <f t="shared" ref="H60:H73" si="6">SUM(F60*G60/1000)</f>
        <v>1.9019200000000001</v>
      </c>
      <c r="I60" s="10">
        <f>G60</f>
        <v>237.74</v>
      </c>
    </row>
    <row r="61" spans="1:9" ht="15.75" hidden="1" customHeight="1">
      <c r="A61" s="21"/>
      <c r="B61" s="11" t="s">
        <v>45</v>
      </c>
      <c r="C61" s="13" t="s">
        <v>111</v>
      </c>
      <c r="D61" s="11" t="s">
        <v>65</v>
      </c>
      <c r="E61" s="15">
        <v>3</v>
      </c>
      <c r="F61" s="63">
        <v>3</v>
      </c>
      <c r="G61" s="10">
        <v>81.510000000000005</v>
      </c>
      <c r="H61" s="74">
        <f t="shared" si="6"/>
        <v>0.24453000000000003</v>
      </c>
      <c r="I61" s="10">
        <v>0</v>
      </c>
    </row>
    <row r="62" spans="1:9" ht="15.75" hidden="1" customHeight="1">
      <c r="A62" s="21"/>
      <c r="B62" s="11" t="s">
        <v>46</v>
      </c>
      <c r="C62" s="13" t="s">
        <v>114</v>
      </c>
      <c r="D62" s="11" t="s">
        <v>52</v>
      </c>
      <c r="E62" s="62">
        <v>8539</v>
      </c>
      <c r="F62" s="10">
        <f>SUM(E62/100)</f>
        <v>85.39</v>
      </c>
      <c r="G62" s="10">
        <v>226.79</v>
      </c>
      <c r="H62" s="74">
        <f t="shared" si="6"/>
        <v>19.3655981</v>
      </c>
      <c r="I62" s="10">
        <v>0</v>
      </c>
    </row>
    <row r="63" spans="1:9" ht="15.75" hidden="1" customHeight="1">
      <c r="A63" s="21"/>
      <c r="B63" s="11" t="s">
        <v>47</v>
      </c>
      <c r="C63" s="13" t="s">
        <v>115</v>
      </c>
      <c r="D63" s="11"/>
      <c r="E63" s="62">
        <v>8539</v>
      </c>
      <c r="F63" s="10">
        <f>SUM(E63/1000)</f>
        <v>8.5389999999999997</v>
      </c>
      <c r="G63" s="10">
        <v>176.61</v>
      </c>
      <c r="H63" s="74">
        <f t="shared" si="6"/>
        <v>1.5080727900000002</v>
      </c>
      <c r="I63" s="10">
        <v>0</v>
      </c>
    </row>
    <row r="64" spans="1:9" ht="15.75" hidden="1" customHeight="1">
      <c r="A64" s="21"/>
      <c r="B64" s="11" t="s">
        <v>48</v>
      </c>
      <c r="C64" s="13" t="s">
        <v>75</v>
      </c>
      <c r="D64" s="11" t="s">
        <v>52</v>
      </c>
      <c r="E64" s="62">
        <v>1370</v>
      </c>
      <c r="F64" s="10">
        <f>SUM(E64/100)</f>
        <v>13.7</v>
      </c>
      <c r="G64" s="10">
        <v>2217.7800000000002</v>
      </c>
      <c r="H64" s="74">
        <f t="shared" si="6"/>
        <v>30.383586000000005</v>
      </c>
      <c r="I64" s="10">
        <v>0</v>
      </c>
    </row>
    <row r="65" spans="1:9" ht="15.75" hidden="1" customHeight="1">
      <c r="A65" s="21"/>
      <c r="B65" s="75" t="s">
        <v>116</v>
      </c>
      <c r="C65" s="13" t="s">
        <v>31</v>
      </c>
      <c r="D65" s="11"/>
      <c r="E65" s="62">
        <v>9</v>
      </c>
      <c r="F65" s="10">
        <f>SUM(E65)</f>
        <v>9</v>
      </c>
      <c r="G65" s="10">
        <v>42.67</v>
      </c>
      <c r="H65" s="74">
        <f t="shared" si="6"/>
        <v>0.38403000000000004</v>
      </c>
      <c r="I65" s="10">
        <v>0</v>
      </c>
    </row>
    <row r="66" spans="1:9" ht="15.75" hidden="1" customHeight="1">
      <c r="A66" s="21"/>
      <c r="B66" s="75" t="s">
        <v>117</v>
      </c>
      <c r="C66" s="13" t="s">
        <v>31</v>
      </c>
      <c r="D66" s="11"/>
      <c r="E66" s="62">
        <v>9</v>
      </c>
      <c r="F66" s="10">
        <f>SUM(E66)</f>
        <v>9</v>
      </c>
      <c r="G66" s="10">
        <v>39.81</v>
      </c>
      <c r="H66" s="74">
        <f t="shared" si="6"/>
        <v>0.35829</v>
      </c>
      <c r="I66" s="10">
        <v>0</v>
      </c>
    </row>
    <row r="67" spans="1:9" ht="15.75" customHeight="1">
      <c r="A67" s="21">
        <v>18</v>
      </c>
      <c r="B67" s="11" t="s">
        <v>55</v>
      </c>
      <c r="C67" s="13" t="s">
        <v>56</v>
      </c>
      <c r="D67" s="11" t="s">
        <v>52</v>
      </c>
      <c r="E67" s="15">
        <v>3</v>
      </c>
      <c r="F67" s="63">
        <v>3</v>
      </c>
      <c r="G67" s="10">
        <v>53.62</v>
      </c>
      <c r="H67" s="74">
        <f t="shared" si="6"/>
        <v>0.16085999999999998</v>
      </c>
      <c r="I67" s="10">
        <f>G67*3</f>
        <v>160.85999999999999</v>
      </c>
    </row>
    <row r="68" spans="1:9" ht="15.75" hidden="1" customHeight="1">
      <c r="A68" s="21"/>
      <c r="B68" s="23" t="s">
        <v>70</v>
      </c>
      <c r="C68" s="13"/>
      <c r="D68" s="11"/>
      <c r="E68" s="15"/>
      <c r="F68" s="10"/>
      <c r="G68" s="10"/>
      <c r="H68" s="74" t="s">
        <v>120</v>
      </c>
      <c r="I68" s="10"/>
    </row>
    <row r="69" spans="1:9" ht="15.75" hidden="1" customHeight="1">
      <c r="A69" s="21"/>
      <c r="B69" s="11" t="s">
        <v>71</v>
      </c>
      <c r="C69" s="13" t="s">
        <v>73</v>
      </c>
      <c r="D69" s="11"/>
      <c r="E69" s="15">
        <v>2</v>
      </c>
      <c r="F69" s="10">
        <v>0.2</v>
      </c>
      <c r="G69" s="10">
        <v>536.23</v>
      </c>
      <c r="H69" s="74">
        <f t="shared" si="6"/>
        <v>0.10724600000000001</v>
      </c>
      <c r="I69" s="10">
        <v>0</v>
      </c>
    </row>
    <row r="70" spans="1:9" ht="15.75" hidden="1" customHeight="1">
      <c r="A70" s="21"/>
      <c r="B70" s="11" t="s">
        <v>72</v>
      </c>
      <c r="C70" s="13" t="s">
        <v>29</v>
      </c>
      <c r="D70" s="11"/>
      <c r="E70" s="15">
        <v>1</v>
      </c>
      <c r="F70" s="56">
        <v>1</v>
      </c>
      <c r="G70" s="10">
        <v>911.85</v>
      </c>
      <c r="H70" s="74">
        <f>F70*G70/1000</f>
        <v>0.91185000000000005</v>
      </c>
      <c r="I70" s="10">
        <v>0</v>
      </c>
    </row>
    <row r="71" spans="1:9" ht="15.75" hidden="1" customHeight="1">
      <c r="A71" s="21"/>
      <c r="B71" s="11" t="s">
        <v>130</v>
      </c>
      <c r="C71" s="13" t="s">
        <v>29</v>
      </c>
      <c r="D71" s="11"/>
      <c r="E71" s="15">
        <v>1</v>
      </c>
      <c r="F71" s="10">
        <v>1</v>
      </c>
      <c r="G71" s="10">
        <v>383.25</v>
      </c>
      <c r="H71" s="74">
        <f>G71*F71/1000</f>
        <v>0.38324999999999998</v>
      </c>
      <c r="I71" s="10">
        <v>0</v>
      </c>
    </row>
    <row r="72" spans="1:9" ht="15.75" hidden="1" customHeight="1">
      <c r="A72" s="21"/>
      <c r="B72" s="76" t="s">
        <v>74</v>
      </c>
      <c r="C72" s="13"/>
      <c r="D72" s="11"/>
      <c r="E72" s="15"/>
      <c r="F72" s="10"/>
      <c r="G72" s="10" t="s">
        <v>120</v>
      </c>
      <c r="H72" s="74" t="s">
        <v>120</v>
      </c>
      <c r="I72" s="10"/>
    </row>
    <row r="73" spans="1:9" ht="15.75" hidden="1" customHeight="1">
      <c r="A73" s="21"/>
      <c r="B73" s="36" t="s">
        <v>121</v>
      </c>
      <c r="C73" s="13" t="s">
        <v>75</v>
      </c>
      <c r="D73" s="11"/>
      <c r="E73" s="15"/>
      <c r="F73" s="10">
        <v>1.35</v>
      </c>
      <c r="G73" s="10">
        <v>2949.85</v>
      </c>
      <c r="H73" s="74">
        <f t="shared" si="6"/>
        <v>3.9822975</v>
      </c>
      <c r="I73" s="10">
        <v>0</v>
      </c>
    </row>
    <row r="74" spans="1:9" ht="15.75" hidden="1" customHeight="1">
      <c r="A74" s="21"/>
      <c r="B74" s="55" t="s">
        <v>93</v>
      </c>
      <c r="C74" s="77"/>
      <c r="D74" s="23"/>
      <c r="E74" s="24"/>
      <c r="F74" s="66"/>
      <c r="G74" s="66"/>
      <c r="H74" s="78">
        <f>SUM(H58:H73)</f>
        <v>70.673694374000007</v>
      </c>
      <c r="I74" s="66"/>
    </row>
    <row r="75" spans="1:9" ht="15.75" hidden="1" customHeight="1">
      <c r="A75" s="21"/>
      <c r="B75" s="60" t="s">
        <v>118</v>
      </c>
      <c r="C75" s="13"/>
      <c r="D75" s="11"/>
      <c r="E75" s="79"/>
      <c r="F75" s="10">
        <v>1</v>
      </c>
      <c r="G75" s="10">
        <v>7101.4</v>
      </c>
      <c r="H75" s="74">
        <f>G75*F75/1000</f>
        <v>7.1013999999999999</v>
      </c>
      <c r="I75" s="10">
        <v>0</v>
      </c>
    </row>
    <row r="76" spans="1:9" ht="15.75" customHeight="1">
      <c r="A76" s="108" t="s">
        <v>135</v>
      </c>
      <c r="B76" s="109"/>
      <c r="C76" s="109"/>
      <c r="D76" s="109"/>
      <c r="E76" s="109"/>
      <c r="F76" s="109"/>
      <c r="G76" s="109"/>
      <c r="H76" s="109"/>
      <c r="I76" s="110"/>
    </row>
    <row r="77" spans="1:9" ht="15.75" customHeight="1">
      <c r="A77" s="21">
        <v>19</v>
      </c>
      <c r="B77" s="60" t="s">
        <v>119</v>
      </c>
      <c r="C77" s="13" t="s">
        <v>53</v>
      </c>
      <c r="D77" s="80" t="s">
        <v>145</v>
      </c>
      <c r="E77" s="10">
        <v>2054.6</v>
      </c>
      <c r="F77" s="10">
        <f>SUM(E77*12)</f>
        <v>24655.199999999997</v>
      </c>
      <c r="G77" s="10">
        <v>2.2400000000000002</v>
      </c>
      <c r="H77" s="74">
        <f>SUM(F77*G77/1000)</f>
        <v>55.227648000000002</v>
      </c>
      <c r="I77" s="10">
        <f>F77/12*G77</f>
        <v>4602.3040000000001</v>
      </c>
    </row>
    <row r="78" spans="1:9" ht="31.5" customHeight="1">
      <c r="A78" s="21">
        <v>20</v>
      </c>
      <c r="B78" s="11" t="s">
        <v>76</v>
      </c>
      <c r="C78" s="13"/>
      <c r="D78" s="80" t="s">
        <v>145</v>
      </c>
      <c r="E78" s="62">
        <f>E77</f>
        <v>2054.6</v>
      </c>
      <c r="F78" s="10">
        <f>E78*12</f>
        <v>24655.199999999997</v>
      </c>
      <c r="G78" s="10">
        <v>1.74</v>
      </c>
      <c r="H78" s="74">
        <f>F78*G78/1000</f>
        <v>42.900047999999998</v>
      </c>
      <c r="I78" s="10">
        <f>F78/12*G78</f>
        <v>3575.0039999999999</v>
      </c>
    </row>
    <row r="79" spans="1:9" ht="15.75" customHeight="1">
      <c r="A79" s="21"/>
      <c r="B79" s="28" t="s">
        <v>78</v>
      </c>
      <c r="C79" s="77"/>
      <c r="D79" s="76"/>
      <c r="E79" s="66"/>
      <c r="F79" s="66"/>
      <c r="G79" s="66"/>
      <c r="H79" s="78">
        <f>H78</f>
        <v>42.900047999999998</v>
      </c>
      <c r="I79" s="66">
        <f>I78+I77+I67+I55+I51+I50+I49+I48+I47+I46+I34+I32+I31+I28+I27+I21+I20+I18+I17+I16</f>
        <v>38154.180187299993</v>
      </c>
    </row>
    <row r="80" spans="1:9" ht="15.75" customHeight="1">
      <c r="A80" s="122" t="s">
        <v>58</v>
      </c>
      <c r="B80" s="123"/>
      <c r="C80" s="123"/>
      <c r="D80" s="123"/>
      <c r="E80" s="123"/>
      <c r="F80" s="123"/>
      <c r="G80" s="123"/>
      <c r="H80" s="123"/>
      <c r="I80" s="124"/>
    </row>
    <row r="81" spans="1:9" ht="15.75" customHeight="1">
      <c r="A81" s="21" t="s">
        <v>228</v>
      </c>
      <c r="B81" s="39" t="s">
        <v>122</v>
      </c>
      <c r="C81" s="40" t="s">
        <v>111</v>
      </c>
      <c r="D81" s="36"/>
      <c r="E81" s="10"/>
      <c r="F81" s="10">
        <v>432</v>
      </c>
      <c r="G81" s="10">
        <v>55.55</v>
      </c>
      <c r="H81" s="10">
        <f>G81*F81/1000</f>
        <v>23.997599999999998</v>
      </c>
      <c r="I81" s="10">
        <f>G81*36</f>
        <v>1999.8</v>
      </c>
    </row>
    <row r="82" spans="1:9" ht="15.75" customHeight="1">
      <c r="A82" s="21">
        <v>22</v>
      </c>
      <c r="B82" s="70" t="s">
        <v>171</v>
      </c>
      <c r="C82" s="69" t="s">
        <v>172</v>
      </c>
      <c r="D82" s="70"/>
      <c r="E82" s="71"/>
      <c r="F82" s="72">
        <v>360</v>
      </c>
      <c r="G82" s="56">
        <v>1.2</v>
      </c>
      <c r="H82" s="73">
        <f>F82*G82/1000</f>
        <v>0.432</v>
      </c>
      <c r="I82" s="94">
        <f>G82*120</f>
        <v>144</v>
      </c>
    </row>
    <row r="83" spans="1:9" ht="15.75" customHeight="1">
      <c r="A83" s="21">
        <v>23</v>
      </c>
      <c r="B83" s="92" t="s">
        <v>219</v>
      </c>
      <c r="C83" s="42" t="s">
        <v>220</v>
      </c>
      <c r="D83" s="36"/>
      <c r="E83" s="10"/>
      <c r="F83" s="10"/>
      <c r="G83" s="27">
        <v>134.12</v>
      </c>
      <c r="H83" s="10"/>
      <c r="I83" s="10">
        <f>G83*16</f>
        <v>2145.92</v>
      </c>
    </row>
    <row r="84" spans="1:9" ht="15.75" customHeight="1">
      <c r="A84" s="21">
        <v>24</v>
      </c>
      <c r="B84" s="92" t="s">
        <v>221</v>
      </c>
      <c r="C84" s="42" t="s">
        <v>111</v>
      </c>
      <c r="D84" s="36"/>
      <c r="E84" s="10"/>
      <c r="F84" s="10"/>
      <c r="G84" s="27">
        <v>122.45</v>
      </c>
      <c r="H84" s="10"/>
      <c r="I84" s="10">
        <f>G84*1</f>
        <v>122.45</v>
      </c>
    </row>
    <row r="85" spans="1:9" ht="31.5" customHeight="1">
      <c r="A85" s="21">
        <v>25</v>
      </c>
      <c r="B85" s="92" t="s">
        <v>213</v>
      </c>
      <c r="C85" s="42" t="s">
        <v>214</v>
      </c>
      <c r="D85" s="36"/>
      <c r="E85" s="10"/>
      <c r="F85" s="10"/>
      <c r="G85" s="27">
        <v>24829.08</v>
      </c>
      <c r="H85" s="10"/>
      <c r="I85" s="10">
        <f>G85*0.01</f>
        <v>248.29080000000002</v>
      </c>
    </row>
    <row r="86" spans="1:9" ht="15.75" customHeight="1">
      <c r="A86" s="21">
        <v>26</v>
      </c>
      <c r="B86" s="103" t="s">
        <v>222</v>
      </c>
      <c r="C86" s="104" t="s">
        <v>223</v>
      </c>
      <c r="D86" s="36"/>
      <c r="E86" s="10"/>
      <c r="F86" s="10"/>
      <c r="G86" s="27">
        <v>419.84</v>
      </c>
      <c r="H86" s="10"/>
      <c r="I86" s="10">
        <f>G86*1</f>
        <v>419.84</v>
      </c>
    </row>
    <row r="87" spans="1:9" ht="44.25" customHeight="1">
      <c r="A87" s="21">
        <v>27</v>
      </c>
      <c r="B87" s="92" t="s">
        <v>169</v>
      </c>
      <c r="C87" s="42" t="s">
        <v>143</v>
      </c>
      <c r="D87" s="36"/>
      <c r="E87" s="10"/>
      <c r="F87" s="10"/>
      <c r="G87" s="27">
        <v>10688.06</v>
      </c>
      <c r="H87" s="10"/>
      <c r="I87" s="10">
        <f>G87*0.02</f>
        <v>213.7612</v>
      </c>
    </row>
    <row r="88" spans="1:9" ht="15.75" customHeight="1">
      <c r="A88" s="21">
        <v>28</v>
      </c>
      <c r="B88" s="92" t="s">
        <v>224</v>
      </c>
      <c r="C88" s="42" t="s">
        <v>225</v>
      </c>
      <c r="D88" s="36"/>
      <c r="E88" s="10"/>
      <c r="F88" s="10"/>
      <c r="G88" s="27">
        <v>5668.72</v>
      </c>
      <c r="H88" s="10"/>
      <c r="I88" s="10">
        <f>G88*1</f>
        <v>5668.72</v>
      </c>
    </row>
    <row r="89" spans="1:9" ht="15.75" customHeight="1">
      <c r="A89" s="21">
        <v>29</v>
      </c>
      <c r="B89" s="92" t="s">
        <v>226</v>
      </c>
      <c r="C89" s="42" t="s">
        <v>227</v>
      </c>
      <c r="D89" s="36"/>
      <c r="E89" s="10"/>
      <c r="F89" s="10"/>
      <c r="G89" s="27">
        <v>214.8</v>
      </c>
      <c r="H89" s="10"/>
      <c r="I89" s="10">
        <f>G89*2</f>
        <v>429.6</v>
      </c>
    </row>
    <row r="90" spans="1:9" ht="15.75" customHeight="1">
      <c r="A90" s="21"/>
      <c r="B90" s="34" t="s">
        <v>49</v>
      </c>
      <c r="C90" s="30"/>
      <c r="D90" s="37"/>
      <c r="E90" s="30">
        <v>1</v>
      </c>
      <c r="F90" s="30"/>
      <c r="G90" s="30"/>
      <c r="H90" s="30"/>
      <c r="I90" s="24">
        <f>SUM(I82:I89)</f>
        <v>9392.5820000000003</v>
      </c>
    </row>
    <row r="91" spans="1:9" ht="15.75" customHeight="1">
      <c r="A91" s="21"/>
      <c r="B91" s="36" t="s">
        <v>77</v>
      </c>
      <c r="C91" s="12"/>
      <c r="D91" s="12"/>
      <c r="E91" s="31"/>
      <c r="F91" s="31"/>
      <c r="G91" s="32"/>
      <c r="H91" s="32"/>
      <c r="I91" s="14">
        <v>0</v>
      </c>
    </row>
    <row r="92" spans="1:9" ht="15.75" customHeight="1">
      <c r="A92" s="38"/>
      <c r="B92" s="35" t="s">
        <v>163</v>
      </c>
      <c r="C92" s="26"/>
      <c r="D92" s="26"/>
      <c r="E92" s="26"/>
      <c r="F92" s="26"/>
      <c r="G92" s="26"/>
      <c r="H92" s="26"/>
      <c r="I92" s="33">
        <f>I79+I90</f>
        <v>47546.762187299995</v>
      </c>
    </row>
    <row r="93" spans="1:9" ht="15.75" customHeight="1">
      <c r="A93" s="125" t="s">
        <v>231</v>
      </c>
      <c r="B93" s="126"/>
      <c r="C93" s="126"/>
      <c r="D93" s="126"/>
      <c r="E93" s="126"/>
      <c r="F93" s="126"/>
      <c r="G93" s="126"/>
      <c r="H93" s="126"/>
      <c r="I93" s="126"/>
    </row>
    <row r="94" spans="1:9" ht="15.75">
      <c r="A94" s="121" t="s">
        <v>229</v>
      </c>
      <c r="B94" s="121"/>
      <c r="C94" s="121"/>
      <c r="D94" s="121"/>
      <c r="E94" s="121"/>
      <c r="F94" s="121"/>
      <c r="G94" s="121"/>
      <c r="H94" s="121"/>
      <c r="I94" s="121"/>
    </row>
    <row r="95" spans="1:9" ht="15.75">
      <c r="A95" s="48"/>
      <c r="B95" s="116" t="s">
        <v>230</v>
      </c>
      <c r="C95" s="116"/>
      <c r="D95" s="116"/>
      <c r="E95" s="116"/>
      <c r="F95" s="116"/>
      <c r="G95" s="116"/>
      <c r="H95" s="59"/>
      <c r="I95" s="2"/>
    </row>
    <row r="96" spans="1:9">
      <c r="A96" s="51"/>
      <c r="B96" s="112" t="s">
        <v>6</v>
      </c>
      <c r="C96" s="112"/>
      <c r="D96" s="112"/>
      <c r="E96" s="112"/>
      <c r="F96" s="112"/>
      <c r="G96" s="112"/>
      <c r="H96" s="16"/>
      <c r="I96" s="4"/>
    </row>
    <row r="97" spans="1:9">
      <c r="A97" s="7"/>
      <c r="B97" s="7"/>
      <c r="C97" s="7"/>
      <c r="D97" s="7"/>
      <c r="E97" s="7"/>
      <c r="F97" s="7"/>
      <c r="G97" s="7"/>
      <c r="H97" s="7"/>
      <c r="I97" s="7"/>
    </row>
    <row r="98" spans="1:9" ht="15.75">
      <c r="A98" s="117" t="s">
        <v>7</v>
      </c>
      <c r="B98" s="117"/>
      <c r="C98" s="117"/>
      <c r="D98" s="117"/>
      <c r="E98" s="117"/>
      <c r="F98" s="117"/>
      <c r="G98" s="117"/>
      <c r="H98" s="117"/>
      <c r="I98" s="117"/>
    </row>
    <row r="99" spans="1:9" ht="15.75">
      <c r="A99" s="117" t="s">
        <v>8</v>
      </c>
      <c r="B99" s="117"/>
      <c r="C99" s="117"/>
      <c r="D99" s="117"/>
      <c r="E99" s="117"/>
      <c r="F99" s="117"/>
      <c r="G99" s="117"/>
      <c r="H99" s="117"/>
      <c r="I99" s="117"/>
    </row>
    <row r="100" spans="1:9" ht="15.75">
      <c r="A100" s="118" t="s">
        <v>59</v>
      </c>
      <c r="B100" s="118"/>
      <c r="C100" s="118"/>
      <c r="D100" s="118"/>
      <c r="E100" s="118"/>
      <c r="F100" s="118"/>
      <c r="G100" s="118"/>
      <c r="H100" s="118"/>
      <c r="I100" s="118"/>
    </row>
    <row r="101" spans="1:9" ht="15.75">
      <c r="A101" s="8"/>
    </row>
    <row r="102" spans="1:9" ht="15.75">
      <c r="A102" s="119" t="s">
        <v>9</v>
      </c>
      <c r="B102" s="119"/>
      <c r="C102" s="119"/>
      <c r="D102" s="119"/>
      <c r="E102" s="119"/>
      <c r="F102" s="119"/>
      <c r="G102" s="119"/>
      <c r="H102" s="119"/>
      <c r="I102" s="119"/>
    </row>
    <row r="103" spans="1:9" ht="15.75">
      <c r="A103" s="3"/>
    </row>
    <row r="104" spans="1:9" ht="15.75">
      <c r="B104" s="52" t="s">
        <v>10</v>
      </c>
      <c r="C104" s="111" t="s">
        <v>136</v>
      </c>
      <c r="D104" s="111"/>
      <c r="E104" s="111"/>
      <c r="F104" s="57"/>
      <c r="I104" s="50"/>
    </row>
    <row r="105" spans="1:9">
      <c r="A105" s="51"/>
      <c r="C105" s="112" t="s">
        <v>11</v>
      </c>
      <c r="D105" s="112"/>
      <c r="E105" s="112"/>
      <c r="F105" s="16"/>
      <c r="I105" s="49" t="s">
        <v>12</v>
      </c>
    </row>
    <row r="106" spans="1:9" ht="15.75">
      <c r="A106" s="17"/>
      <c r="C106" s="9"/>
      <c r="D106" s="9"/>
      <c r="G106" s="9"/>
      <c r="H106" s="9"/>
    </row>
    <row r="107" spans="1:9" ht="15.75">
      <c r="B107" s="52" t="s">
        <v>13</v>
      </c>
      <c r="C107" s="113"/>
      <c r="D107" s="113"/>
      <c r="E107" s="113"/>
      <c r="F107" s="58"/>
      <c r="I107" s="50"/>
    </row>
    <row r="108" spans="1:9">
      <c r="A108" s="51"/>
      <c r="C108" s="114" t="s">
        <v>11</v>
      </c>
      <c r="D108" s="114"/>
      <c r="E108" s="114"/>
      <c r="F108" s="51"/>
      <c r="I108" s="49" t="s">
        <v>12</v>
      </c>
    </row>
    <row r="109" spans="1:9" ht="15.75">
      <c r="A109" s="3" t="s">
        <v>14</v>
      </c>
    </row>
    <row r="110" spans="1:9">
      <c r="A110" s="115" t="s">
        <v>15</v>
      </c>
      <c r="B110" s="115"/>
      <c r="C110" s="115"/>
      <c r="D110" s="115"/>
      <c r="E110" s="115"/>
      <c r="F110" s="115"/>
      <c r="G110" s="115"/>
      <c r="H110" s="115"/>
      <c r="I110" s="115"/>
    </row>
    <row r="111" spans="1:9" ht="45" customHeight="1">
      <c r="A111" s="107" t="s">
        <v>16</v>
      </c>
      <c r="B111" s="107"/>
      <c r="C111" s="107"/>
      <c r="D111" s="107"/>
      <c r="E111" s="107"/>
      <c r="F111" s="107"/>
      <c r="G111" s="107"/>
      <c r="H111" s="107"/>
      <c r="I111" s="107"/>
    </row>
    <row r="112" spans="1:9" ht="30" customHeight="1">
      <c r="A112" s="107" t="s">
        <v>17</v>
      </c>
      <c r="B112" s="107"/>
      <c r="C112" s="107"/>
      <c r="D112" s="107"/>
      <c r="E112" s="107"/>
      <c r="F112" s="107"/>
      <c r="G112" s="107"/>
      <c r="H112" s="107"/>
      <c r="I112" s="107"/>
    </row>
    <row r="113" spans="1:9" ht="30" customHeight="1">
      <c r="A113" s="107" t="s">
        <v>21</v>
      </c>
      <c r="B113" s="107"/>
      <c r="C113" s="107"/>
      <c r="D113" s="107"/>
      <c r="E113" s="107"/>
      <c r="F113" s="107"/>
      <c r="G113" s="107"/>
      <c r="H113" s="107"/>
      <c r="I113" s="107"/>
    </row>
    <row r="114" spans="1:9" ht="15" customHeight="1">
      <c r="A114" s="107" t="s">
        <v>20</v>
      </c>
      <c r="B114" s="107"/>
      <c r="C114" s="107"/>
      <c r="D114" s="107"/>
      <c r="E114" s="107"/>
      <c r="F114" s="107"/>
      <c r="G114" s="107"/>
      <c r="H114" s="107"/>
      <c r="I114" s="107"/>
    </row>
  </sheetData>
  <mergeCells count="29">
    <mergeCell ref="A112:I112"/>
    <mergeCell ref="A113:I113"/>
    <mergeCell ref="A114:I114"/>
    <mergeCell ref="C104:E104"/>
    <mergeCell ref="C105:E105"/>
    <mergeCell ref="C107:E107"/>
    <mergeCell ref="C108:E108"/>
    <mergeCell ref="A110:I110"/>
    <mergeCell ref="A111:I111"/>
    <mergeCell ref="A102:I102"/>
    <mergeCell ref="A15:I15"/>
    <mergeCell ref="A29:I29"/>
    <mergeCell ref="A45:I45"/>
    <mergeCell ref="A56:I56"/>
    <mergeCell ref="A76:I76"/>
    <mergeCell ref="A94:I94"/>
    <mergeCell ref="B95:G95"/>
    <mergeCell ref="B96:G96"/>
    <mergeCell ref="A98:I98"/>
    <mergeCell ref="A99:I99"/>
    <mergeCell ref="A100:I100"/>
    <mergeCell ref="A93:I93"/>
    <mergeCell ref="A14:I14"/>
    <mergeCell ref="A80:I80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12</vt:i4>
      </vt:variant>
    </vt:vector>
  </HeadingPairs>
  <TitlesOfParts>
    <vt:vector size="24" baseType="lpstr">
      <vt:lpstr>01.18</vt:lpstr>
      <vt:lpstr>02.18</vt:lpstr>
      <vt:lpstr>03.18</vt:lpstr>
      <vt:lpstr>04.18</vt:lpstr>
      <vt:lpstr>05.18</vt:lpstr>
      <vt:lpstr>06.18</vt:lpstr>
      <vt:lpstr>07.18</vt:lpstr>
      <vt:lpstr>08.18</vt:lpstr>
      <vt:lpstr>09.18</vt:lpstr>
      <vt:lpstr>10.18</vt:lpstr>
      <vt:lpstr>11.18</vt:lpstr>
      <vt:lpstr>12.18</vt:lpstr>
      <vt:lpstr>'01.18'!Область_печати</vt:lpstr>
      <vt:lpstr>'02.18'!Область_печати</vt:lpstr>
      <vt:lpstr>'03.18'!Область_печати</vt:lpstr>
      <vt:lpstr>'04.18'!Область_печати</vt:lpstr>
      <vt:lpstr>'05.18'!Область_печати</vt:lpstr>
      <vt:lpstr>'06.18'!Область_печати</vt:lpstr>
      <vt:lpstr>'07.18'!Область_печати</vt:lpstr>
      <vt:lpstr>'08.18'!Область_печати</vt:lpstr>
      <vt:lpstr>'09.18'!Область_печати</vt:lpstr>
      <vt:lpstr>'10.18'!Область_печати</vt:lpstr>
      <vt:lpstr>'11.18'!Область_печати</vt:lpstr>
      <vt:lpstr>'12.18'!Область_печати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2017-12-19T06:18:45Z</cp:lastPrinted>
  <dcterms:created xsi:type="dcterms:W3CDTF">2016-03-25T08:33:47Z</dcterms:created>
  <dcterms:modified xsi:type="dcterms:W3CDTF">2019-01-17T12:43:16Z</dcterms:modified>
</cp:coreProperties>
</file>