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4" sheetId="1" r:id="rId1"/>
  </sheets>
  <definedNames>
    <definedName name="_xlnm.Print_Area" localSheetId="0">Нефт.4!$A$1:$U$152</definedName>
  </definedNames>
  <calcPr calcId="124519"/>
</workbook>
</file>

<file path=xl/calcChain.xml><?xml version="1.0" encoding="utf-8"?>
<calcChain xmlns="http://schemas.openxmlformats.org/spreadsheetml/2006/main">
  <c r="H133" i="1"/>
  <c r="U133"/>
  <c r="U132"/>
  <c r="H132"/>
  <c r="S132"/>
  <c r="S122"/>
  <c r="U131"/>
  <c r="S131"/>
  <c r="H131"/>
  <c r="S119"/>
  <c r="S130"/>
  <c r="U130" s="1"/>
  <c r="H130"/>
  <c r="F107" l="1"/>
  <c r="T107"/>
  <c r="U129"/>
  <c r="S129"/>
  <c r="H129"/>
  <c r="S128"/>
  <c r="U110"/>
  <c r="S110"/>
  <c r="T110"/>
  <c r="T111"/>
  <c r="S111"/>
  <c r="T116"/>
  <c r="S116"/>
  <c r="S76"/>
  <c r="T76"/>
  <c r="K40"/>
  <c r="U128"/>
  <c r="Q128"/>
  <c r="H128"/>
  <c r="U127"/>
  <c r="R127"/>
  <c r="H127"/>
  <c r="U126"/>
  <c r="O126"/>
  <c r="H126"/>
  <c r="U125"/>
  <c r="N125"/>
  <c r="H125"/>
  <c r="N124"/>
  <c r="U124" s="1"/>
  <c r="H124"/>
  <c r="U123"/>
  <c r="N123"/>
  <c r="H123"/>
  <c r="O76"/>
  <c r="O120"/>
  <c r="R117"/>
  <c r="R118"/>
  <c r="P107"/>
  <c r="K111"/>
  <c r="I111"/>
  <c r="H111"/>
  <c r="R111"/>
  <c r="O111"/>
  <c r="Q111"/>
  <c r="P111"/>
  <c r="N111"/>
  <c r="R76"/>
  <c r="N76"/>
  <c r="P76"/>
  <c r="O110"/>
  <c r="N110"/>
  <c r="R110"/>
  <c r="Q122"/>
  <c r="U122" s="1"/>
  <c r="H122"/>
  <c r="U121"/>
  <c r="Q121"/>
  <c r="H121"/>
  <c r="U120"/>
  <c r="H120"/>
  <c r="O118"/>
  <c r="U119"/>
  <c r="O119"/>
  <c r="H119"/>
  <c r="U118"/>
  <c r="H118"/>
  <c r="U117"/>
  <c r="H117"/>
  <c r="R116"/>
  <c r="Q116"/>
  <c r="U116" s="1"/>
  <c r="H116"/>
  <c r="T47" l="1"/>
  <c r="S47"/>
  <c r="T36"/>
  <c r="S36"/>
  <c r="P59"/>
  <c r="N58"/>
  <c r="N14"/>
  <c r="M115"/>
  <c r="U115" s="1"/>
  <c r="H115"/>
  <c r="M111"/>
  <c r="M107"/>
  <c r="L59"/>
  <c r="M26"/>
  <c r="F26"/>
  <c r="N26" s="1"/>
  <c r="U26" s="1"/>
  <c r="L107"/>
  <c r="L111"/>
  <c r="U111" s="1"/>
  <c r="L47"/>
  <c r="L36"/>
  <c r="K114"/>
  <c r="U114" s="1"/>
  <c r="H114"/>
  <c r="F94"/>
  <c r="N94" s="1"/>
  <c r="U94" s="1"/>
  <c r="H94"/>
  <c r="K113"/>
  <c r="U113" s="1"/>
  <c r="H113"/>
  <c r="K110"/>
  <c r="K47"/>
  <c r="K36"/>
  <c r="J110"/>
  <c r="J109"/>
  <c r="U109" s="1"/>
  <c r="J112"/>
  <c r="U112" s="1"/>
  <c r="H112"/>
  <c r="J59"/>
  <c r="J47"/>
  <c r="J36"/>
  <c r="J76"/>
  <c r="I108"/>
  <c r="U108" s="1"/>
  <c r="I110"/>
  <c r="I106"/>
  <c r="U106" s="1"/>
  <c r="U92"/>
  <c r="U90"/>
  <c r="U88"/>
  <c r="U77"/>
  <c r="U76"/>
  <c r="F74"/>
  <c r="I74" s="1"/>
  <c r="U59"/>
  <c r="U32"/>
  <c r="U31"/>
  <c r="I70"/>
  <c r="U70" s="1"/>
  <c r="I58"/>
  <c r="U58" s="1"/>
  <c r="I47"/>
  <c r="U47" s="1"/>
  <c r="I40"/>
  <c r="U40" s="1"/>
  <c r="I36"/>
  <c r="U36" s="1"/>
  <c r="H108"/>
  <c r="I107"/>
  <c r="U107" s="1"/>
  <c r="H106"/>
  <c r="H107"/>
  <c r="H109"/>
  <c r="H74"/>
  <c r="H70"/>
  <c r="F65"/>
  <c r="H65" s="1"/>
  <c r="F59"/>
  <c r="F45"/>
  <c r="I45" s="1"/>
  <c r="M74" l="1"/>
  <c r="T45"/>
  <c r="S65"/>
  <c r="N74"/>
  <c r="P74"/>
  <c r="R74"/>
  <c r="T74"/>
  <c r="S45"/>
  <c r="T65"/>
  <c r="O74"/>
  <c r="Q74"/>
  <c r="S74"/>
  <c r="K65"/>
  <c r="L65"/>
  <c r="K45"/>
  <c r="K74"/>
  <c r="L45"/>
  <c r="L74"/>
  <c r="J45"/>
  <c r="U45" s="1"/>
  <c r="J74"/>
  <c r="J65"/>
  <c r="I65"/>
  <c r="H40"/>
  <c r="U74" l="1"/>
  <c r="U65"/>
  <c r="H110"/>
  <c r="H90"/>
  <c r="C149" l="1"/>
  <c r="H135"/>
  <c r="H140"/>
  <c r="H139"/>
  <c r="F136"/>
  <c r="E98"/>
  <c r="H102" s="1"/>
  <c r="F96"/>
  <c r="H96" s="1"/>
  <c r="F95"/>
  <c r="H92"/>
  <c r="H89"/>
  <c r="F88"/>
  <c r="H88" s="1"/>
  <c r="H87"/>
  <c r="H86"/>
  <c r="F83"/>
  <c r="F82"/>
  <c r="F81"/>
  <c r="F80"/>
  <c r="F79"/>
  <c r="F78"/>
  <c r="H77"/>
  <c r="H76"/>
  <c r="H72"/>
  <c r="H71"/>
  <c r="H69"/>
  <c r="F67"/>
  <c r="H67" s="1"/>
  <c r="H64"/>
  <c r="F63"/>
  <c r="H63" s="1"/>
  <c r="H60"/>
  <c r="H59"/>
  <c r="H58"/>
  <c r="F57"/>
  <c r="Q57" s="1"/>
  <c r="F56"/>
  <c r="Q56" s="1"/>
  <c r="F55"/>
  <c r="F54"/>
  <c r="R54" s="1"/>
  <c r="F53"/>
  <c r="R53" s="1"/>
  <c r="F52"/>
  <c r="R52" s="1"/>
  <c r="F51"/>
  <c r="R51" s="1"/>
  <c r="H48"/>
  <c r="H47"/>
  <c r="F46"/>
  <c r="H45"/>
  <c r="F44"/>
  <c r="H44" s="1"/>
  <c r="F43"/>
  <c r="H43" s="1"/>
  <c r="F42"/>
  <c r="H42" s="1"/>
  <c r="F41"/>
  <c r="F39"/>
  <c r="H39" s="1"/>
  <c r="F38"/>
  <c r="H37"/>
  <c r="H36"/>
  <c r="F33"/>
  <c r="H32"/>
  <c r="H31"/>
  <c r="H30"/>
  <c r="H29"/>
  <c r="H28"/>
  <c r="F27"/>
  <c r="H26"/>
  <c r="F25"/>
  <c r="H24"/>
  <c r="F23"/>
  <c r="F22"/>
  <c r="F19"/>
  <c r="F18"/>
  <c r="F17"/>
  <c r="F16"/>
  <c r="F15"/>
  <c r="F14"/>
  <c r="E13"/>
  <c r="F13" s="1"/>
  <c r="F12"/>
  <c r="F11"/>
  <c r="T11" l="1"/>
  <c r="R11"/>
  <c r="P11"/>
  <c r="N11"/>
  <c r="M11"/>
  <c r="S11"/>
  <c r="Q11"/>
  <c r="O11"/>
  <c r="T13"/>
  <c r="R13"/>
  <c r="P13"/>
  <c r="N13"/>
  <c r="M13"/>
  <c r="S13"/>
  <c r="Q13"/>
  <c r="O13"/>
  <c r="S15"/>
  <c r="Q15"/>
  <c r="O15"/>
  <c r="T15"/>
  <c r="R15"/>
  <c r="P15"/>
  <c r="N15"/>
  <c r="M15"/>
  <c r="H17"/>
  <c r="N17"/>
  <c r="U17" s="1"/>
  <c r="H19"/>
  <c r="N19"/>
  <c r="U19" s="1"/>
  <c r="H23"/>
  <c r="Q23"/>
  <c r="O23"/>
  <c r="M23"/>
  <c r="R23"/>
  <c r="P23"/>
  <c r="N23"/>
  <c r="H25"/>
  <c r="M25"/>
  <c r="U25" s="1"/>
  <c r="S27"/>
  <c r="R27"/>
  <c r="P27"/>
  <c r="N27"/>
  <c r="T27"/>
  <c r="Q27"/>
  <c r="O27"/>
  <c r="M27"/>
  <c r="S33"/>
  <c r="Q33"/>
  <c r="O33"/>
  <c r="M33"/>
  <c r="T33"/>
  <c r="R33"/>
  <c r="P33"/>
  <c r="N33"/>
  <c r="S46"/>
  <c r="T46"/>
  <c r="H79"/>
  <c r="M79"/>
  <c r="U79" s="1"/>
  <c r="H81"/>
  <c r="M81"/>
  <c r="U81" s="1"/>
  <c r="H83"/>
  <c r="Q83"/>
  <c r="U83" s="1"/>
  <c r="S12"/>
  <c r="Q12"/>
  <c r="O12"/>
  <c r="T12"/>
  <c r="R12"/>
  <c r="P12"/>
  <c r="N12"/>
  <c r="M12"/>
  <c r="H14"/>
  <c r="M14"/>
  <c r="U14" s="1"/>
  <c r="T16"/>
  <c r="R16"/>
  <c r="P16"/>
  <c r="N16"/>
  <c r="M16"/>
  <c r="S16"/>
  <c r="Q16"/>
  <c r="O16"/>
  <c r="H18"/>
  <c r="N18"/>
  <c r="U18" s="1"/>
  <c r="H22"/>
  <c r="R22"/>
  <c r="P22"/>
  <c r="N22"/>
  <c r="Q22"/>
  <c r="O22"/>
  <c r="M22"/>
  <c r="U22" s="1"/>
  <c r="S38"/>
  <c r="T38"/>
  <c r="S41"/>
  <c r="T41"/>
  <c r="T55"/>
  <c r="Q55"/>
  <c r="M55"/>
  <c r="H78"/>
  <c r="M78"/>
  <c r="U78" s="1"/>
  <c r="H80"/>
  <c r="M80"/>
  <c r="U80" s="1"/>
  <c r="H82"/>
  <c r="M82"/>
  <c r="U82" s="1"/>
  <c r="S95"/>
  <c r="Q95"/>
  <c r="O95"/>
  <c r="T95"/>
  <c r="R95"/>
  <c r="P95"/>
  <c r="N95"/>
  <c r="M95"/>
  <c r="K11"/>
  <c r="L11"/>
  <c r="K13"/>
  <c r="L13"/>
  <c r="L15"/>
  <c r="K15"/>
  <c r="L27"/>
  <c r="K27"/>
  <c r="J33"/>
  <c r="K33"/>
  <c r="L33"/>
  <c r="J46"/>
  <c r="L46"/>
  <c r="K46"/>
  <c r="H52"/>
  <c r="L52"/>
  <c r="U52" s="1"/>
  <c r="H54"/>
  <c r="L54"/>
  <c r="U54" s="1"/>
  <c r="L12"/>
  <c r="K12"/>
  <c r="K16"/>
  <c r="L16"/>
  <c r="J38"/>
  <c r="K38"/>
  <c r="L38"/>
  <c r="J41"/>
  <c r="L41"/>
  <c r="K41"/>
  <c r="H51"/>
  <c r="L51"/>
  <c r="U51" s="1"/>
  <c r="H53"/>
  <c r="L53"/>
  <c r="U53" s="1"/>
  <c r="L95"/>
  <c r="K95"/>
  <c r="I11"/>
  <c r="J11"/>
  <c r="I13"/>
  <c r="J13"/>
  <c r="I15"/>
  <c r="J15"/>
  <c r="I27"/>
  <c r="J27"/>
  <c r="I12"/>
  <c r="J12"/>
  <c r="I16"/>
  <c r="J16"/>
  <c r="I55"/>
  <c r="J55"/>
  <c r="I95"/>
  <c r="J95"/>
  <c r="H33"/>
  <c r="I33"/>
  <c r="U33" s="1"/>
  <c r="H46"/>
  <c r="I46"/>
  <c r="U46" s="1"/>
  <c r="H56"/>
  <c r="I56"/>
  <c r="U56" s="1"/>
  <c r="H38"/>
  <c r="I38"/>
  <c r="U38" s="1"/>
  <c r="H41"/>
  <c r="I41"/>
  <c r="U41" s="1"/>
  <c r="H57"/>
  <c r="I57"/>
  <c r="U57" s="1"/>
  <c r="H95"/>
  <c r="H97" s="1"/>
  <c r="H27"/>
  <c r="H34" s="1"/>
  <c r="H55"/>
  <c r="H11"/>
  <c r="H12"/>
  <c r="H16"/>
  <c r="H13"/>
  <c r="H15"/>
  <c r="H61"/>
  <c r="F98"/>
  <c r="H49"/>
  <c r="H93"/>
  <c r="U93" l="1"/>
  <c r="S98"/>
  <c r="R98"/>
  <c r="P98"/>
  <c r="P136" s="1"/>
  <c r="N98"/>
  <c r="M98"/>
  <c r="M136" s="1"/>
  <c r="T98"/>
  <c r="T136" s="1"/>
  <c r="Q98"/>
  <c r="Q136" s="1"/>
  <c r="O98"/>
  <c r="U23"/>
  <c r="O136"/>
  <c r="S136"/>
  <c r="N136"/>
  <c r="R136"/>
  <c r="L98"/>
  <c r="K98"/>
  <c r="H20"/>
  <c r="K136"/>
  <c r="L136"/>
  <c r="I98"/>
  <c r="J98"/>
  <c r="U95"/>
  <c r="U97" s="1"/>
  <c r="U55"/>
  <c r="U61" s="1"/>
  <c r="U16"/>
  <c r="U12"/>
  <c r="U27"/>
  <c r="U34" s="1"/>
  <c r="U15"/>
  <c r="U13"/>
  <c r="U11"/>
  <c r="J136"/>
  <c r="U49"/>
  <c r="H98"/>
  <c r="H99" s="1"/>
  <c r="H100" s="1"/>
  <c r="H103" s="1"/>
  <c r="G136" s="1"/>
  <c r="H136" s="1"/>
  <c r="I136"/>
  <c r="U20" l="1"/>
  <c r="U98"/>
  <c r="U99" s="1"/>
  <c r="U100" l="1"/>
  <c r="U136" s="1"/>
  <c r="C152" s="1"/>
  <c r="C148" l="1"/>
</calcChain>
</file>

<file path=xl/sharedStrings.xml><?xml version="1.0" encoding="utf-8"?>
<sst xmlns="http://schemas.openxmlformats.org/spreadsheetml/2006/main" count="413" uniqueCount="294">
  <si>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</si>
  <si>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</si>
  <si>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</si>
  <si>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</si>
  <si>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</si>
  <si>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</si>
  <si>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</si>
  <si>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</si>
  <si>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</si>
  <si>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</si>
  <si>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</si>
  <si>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</si>
  <si>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</si>
  <si>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</si>
  <si>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</si>
  <si>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</si>
  <si>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</si>
  <si>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</si>
  <si>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</si>
  <si>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</si>
  <si>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</si>
  <si>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</si>
  <si>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</si>
  <si>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</si>
  <si>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</si>
  <si>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</si>
  <si>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</si>
  <si>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</si>
  <si>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</si>
  <si>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</si>
  <si>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</si>
  <si>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</si>
  <si>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</si>
  <si>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</si>
  <si>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</si>
  <si>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</si>
  <si>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</si>
  <si>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</si>
  <si>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</si>
  <si>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</si>
  <si>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</si>
  <si>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</si>
  <si>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</si>
  <si>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</si>
  <si>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53-002</t>
  </si>
  <si>
    <t>Уборка отмостки</t>
  </si>
  <si>
    <t>4 раза в месяц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</si>
  <si>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</si>
  <si>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</si>
  <si>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</si>
  <si>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</si>
  <si>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</si>
  <si>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</si>
  <si>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</si>
  <si>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</si>
  <si>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</si>
  <si>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</si>
  <si>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</si>
  <si>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ТЭР 53-022</t>
  </si>
  <si>
    <t>Выкашивание газонов</t>
  </si>
  <si>
    <t>1 раза в год</t>
  </si>
  <si>
    <t>ТЭР 53-024</t>
  </si>
  <si>
    <t>Уборка с газонов травы</t>
  </si>
  <si>
    <t>ТЭР 24-001</t>
  </si>
  <si>
    <t>Валка деревьев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</si>
  <si>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</si>
  <si>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</si>
  <si>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</si>
  <si>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</si>
  <si>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</si>
  <si>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</si>
  <si>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</si>
  <si>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</si>
  <si>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</si>
  <si>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</si>
  <si>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</si>
  <si>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54-035</t>
  </si>
  <si>
    <t>Перекидывания снега и скола</t>
  </si>
  <si>
    <t>ТЭР 54-013</t>
  </si>
  <si>
    <t xml:space="preserve">Сдвигание снега в дни снегопада </t>
  </si>
  <si>
    <t>1000 м2</t>
  </si>
  <si>
    <t>50 раз за сезон</t>
  </si>
  <si>
    <t>ТЭР 54-043</t>
  </si>
  <si>
    <t>Зимняя уборка газонов от мусора</t>
  </si>
  <si>
    <t>1 раз внеделю</t>
  </si>
  <si>
    <t>ТЭР 54-003</t>
  </si>
  <si>
    <t xml:space="preserve">Подметание снега с тротуара-,крылец,конт площадок </t>
  </si>
  <si>
    <t>155 раз за сезон</t>
  </si>
  <si>
    <t>Вывоз снега</t>
  </si>
  <si>
    <t>Погрузка снега универсальным погрузчиком</t>
  </si>
  <si>
    <t>ТЭР 54-022</t>
  </si>
  <si>
    <t>Очистка территории 1-го класса с усовершенствованным покрытием под скребок: тротуар,</t>
  </si>
  <si>
    <t xml:space="preserve">2раза в месяц    12 раз за сезон      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</si>
  <si>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</si>
  <si>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</si>
  <si>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</si>
  <si>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</si>
  <si>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</si>
  <si>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>Очистка отмостки от снега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</si>
  <si>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</si>
  <si>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</si>
  <si>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</si>
  <si>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</si>
  <si>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</si>
  <si>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</si>
  <si>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</si>
  <si>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</si>
  <si>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</si>
  <si>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</si>
  <si>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</si>
  <si>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</si>
  <si>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</si>
  <si>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</si>
  <si>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</si>
  <si>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</si>
  <si>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</si>
  <si>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</si>
  <si>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</si>
  <si>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</si>
  <si>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</si>
  <si>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</si>
  <si>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</si>
  <si>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</si>
  <si>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</si>
  <si>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>ТЭР 17-071</t>
  </si>
  <si>
    <t>Очистка кровли от мусора</t>
  </si>
  <si>
    <t xml:space="preserve">пр.ТЭР 54-041 </t>
  </si>
  <si>
    <t xml:space="preserve"> -от слежавшегося снега со сбрасыванием сосулек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</si>
  <si>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</si>
  <si>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</si>
  <si>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ТЭР 51-034</t>
  </si>
  <si>
    <t xml:space="preserve"> - очистка от мусора</t>
  </si>
  <si>
    <t xml:space="preserve"> - дератизация</t>
  </si>
  <si>
    <t>м2</t>
  </si>
  <si>
    <t>12 раз в год</t>
  </si>
  <si>
    <t>ТЭР 11-014</t>
  </si>
  <si>
    <t xml:space="preserve"> - закрытие проемов металлическими листами</t>
  </si>
  <si>
    <t>ТЭР 15-028</t>
  </si>
  <si>
    <t xml:space="preserve"> - утепление входных дверей</t>
  </si>
  <si>
    <t>10шт</t>
  </si>
  <si>
    <t>ТЭР 31-057</t>
  </si>
  <si>
    <t xml:space="preserve"> - утепление трубопроводов в тамбуре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</si>
  <si>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</si>
  <si>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</si>
  <si>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</si>
  <si>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</si>
  <si>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</si>
  <si>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</si>
  <si>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</si>
  <si>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</si>
  <si>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</si>
  <si>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</si>
  <si>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</si>
  <si>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</si>
  <si>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</si>
  <si>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</si>
  <si>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</si>
  <si>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</si>
  <si>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</si>
  <si>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</si>
  <si>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</si>
  <si>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33-021</t>
  </si>
  <si>
    <t>Смена магнитных пускателей</t>
  </si>
  <si>
    <t>ТЭР 33-025</t>
  </si>
  <si>
    <t>Смена выключателей</t>
  </si>
  <si>
    <t>ТЭР 33-028</t>
  </si>
  <si>
    <t>Смена патронов</t>
  </si>
  <si>
    <t>ТЭР 33-049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</si>
  <si>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</si>
  <si>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</si>
  <si>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</si>
  <si>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</si>
  <si>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</si>
  <si>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</si>
  <si>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</si>
  <si>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</si>
  <si>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</si>
  <si>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ТЭР 17-013</t>
  </si>
  <si>
    <t>Ремонт рулонной кровли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</si>
  <si>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</si>
  <si>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</si>
  <si>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</si>
  <si>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</si>
  <si>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</si>
  <si>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</si>
  <si>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</si>
  <si>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</si>
  <si>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</si>
  <si>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</si>
  <si>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>Обслуживание внутридомовое газовое оборудование</t>
  </si>
  <si>
    <t>плита</t>
  </si>
  <si>
    <t>водонагреватель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</si>
  <si>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</si>
  <si>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</si>
  <si>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</si>
  <si>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</si>
  <si>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</si>
  <si>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</si>
  <si>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</si>
  <si>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</si>
  <si>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</si>
  <si>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70 раз за сезон</t>
  </si>
  <si>
    <t>ТЭР42-002</t>
  </si>
  <si>
    <t>Осмотр рулонной  кровли</t>
  </si>
  <si>
    <t>8 раз в год</t>
  </si>
  <si>
    <t>ТЭР 31-066</t>
  </si>
  <si>
    <t>Очистка внутреннего водостока</t>
  </si>
  <si>
    <t>водосток</t>
  </si>
  <si>
    <t>Дератизация</t>
  </si>
  <si>
    <t>ТЭР 33-030</t>
  </si>
  <si>
    <t>Ремонт групповых щитков на лестничной клетке без ремонта автоматов</t>
  </si>
  <si>
    <t>ТЭР 33-032</t>
  </si>
  <si>
    <t>Ремонт силового предохранительного шкафа (без стоимости материалов)</t>
  </si>
  <si>
    <t>ТЭР42-012</t>
  </si>
  <si>
    <t>100 лестн.</t>
  </si>
  <si>
    <t>калькуляция</t>
  </si>
  <si>
    <t>Ремонт и регулировка доводчика (без стоимости доводчика)</t>
  </si>
  <si>
    <t>ТЭР 33-022</t>
  </si>
  <si>
    <t>Смена пакетных выключателей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</si>
  <si>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</si>
  <si>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</si>
  <si>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</si>
  <si>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</si>
  <si>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</si>
  <si>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</si>
  <si>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</si>
  <si>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</si>
  <si>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</si>
  <si>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</si>
  <si>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</si>
  <si>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</si>
  <si>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Внеплановый осмотр электросетей, арматуры и электрооборудования на лестничных клетках</t>
  </si>
  <si>
    <t>Снятие показаний эл.счетчика коммунального назначения</t>
  </si>
  <si>
    <t>ТЭР 33-037</t>
  </si>
  <si>
    <t>Смена ламп накаливания</t>
  </si>
  <si>
    <t>ТЭР 33-019</t>
  </si>
  <si>
    <t>Ремонт и регулировка доводчика (со стоимостью доводчика)</t>
  </si>
  <si>
    <t>1шт.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</si>
  <si>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Нефтяников, 4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</si>
  <si>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6 подъездов</t>
  </si>
  <si>
    <t>Стоимость (руб.)</t>
  </si>
  <si>
    <t>договор</t>
  </si>
  <si>
    <t>ТО внутридомового газ.оборудования</t>
  </si>
  <si>
    <t>10 м</t>
  </si>
  <si>
    <t>1 м</t>
  </si>
  <si>
    <t>ТЭР 32-083</t>
  </si>
  <si>
    <t>Смена полиэтиленовых канализационных труб диаметром до 100 мм (со стоимостью материала )</t>
  </si>
  <si>
    <t>Выполне  ние       май</t>
  </si>
  <si>
    <t>2-2-2-2-30</t>
  </si>
  <si>
    <t>Заделка стыков соединений стояков внутренних водостоков</t>
  </si>
  <si>
    <t>1 соединение</t>
  </si>
  <si>
    <t>С учетом показателя инфляции    ( К=1,064)</t>
  </si>
  <si>
    <t>Начислено за содержание и текущий ремонт за 2015  г.</t>
  </si>
  <si>
    <t xml:space="preserve">Выполнено работ по содержанию за   2015г. 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</si>
  <si>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</si>
  <si>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</si>
  <si>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</si>
  <si>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</si>
  <si>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место</t>
  </si>
  <si>
    <t>ТЭР 32-098</t>
  </si>
  <si>
    <t>Ремонт внутренних трубопроводов и стояков д=до 50 мм ( хомуты)</t>
  </si>
  <si>
    <t>Смена арматуры - вентилей и клапанов обратных муфтовых диаметром до 20 мм</t>
  </si>
  <si>
    <t>1 шт</t>
  </si>
  <si>
    <t>ТЭР 32-027</t>
  </si>
  <si>
    <t>1 сгон</t>
  </si>
  <si>
    <t xml:space="preserve">прим. ТЭР 31-010 </t>
  </si>
  <si>
    <t>Смена арматуры - вентилей и клапанов обратных муфтовых диаметром до 32 мм</t>
  </si>
  <si>
    <t>ТЭР 32-028</t>
  </si>
  <si>
    <t>ТЭР 32-092</t>
  </si>
  <si>
    <t xml:space="preserve">Смена сгонов у трубопроводов диаметром до 20 мм </t>
  </si>
  <si>
    <t>ТЭР 31-009</t>
  </si>
  <si>
    <t>смета</t>
  </si>
  <si>
    <t>Смена сгонов у трубопроводов диаметром до 32 мм (замена тройника на спускнике в подвале, кв.69,5)</t>
  </si>
  <si>
    <t>Смена внутренних трубопроводов из стальных труб диаметром до 100 мм (замена ливневой трубы)</t>
  </si>
  <si>
    <t>Зачеканка раструбов канализационных труб д=до 100 мм</t>
  </si>
  <si>
    <t>ТЭР 32-072</t>
  </si>
  <si>
    <t>Смена арматуры - вентилей и клапанов обратных муфтовых диаметром до 20 мм( без материала)</t>
  </si>
  <si>
    <t xml:space="preserve">Уплотнение сгонов с применением льняной пряди или асбестового шнура (без разборки сгонов) </t>
  </si>
  <si>
    <t>прим. ТЭР 2-2-1-2-7</t>
  </si>
  <si>
    <t>прим.ТЭР 53-021</t>
  </si>
  <si>
    <t>Уборка растительности с отмостки</t>
  </si>
  <si>
    <t>Ямочный ремонт отдельных участков отмосток</t>
  </si>
  <si>
    <t>ТЭР 11-010</t>
  </si>
  <si>
    <t>Подключение и отключение сварочного аппарата</t>
  </si>
  <si>
    <t>ТЭР 33-060</t>
  </si>
  <si>
    <t>Смена дверных приборов - пружины</t>
  </si>
  <si>
    <t>ТЭР 15-018</t>
  </si>
  <si>
    <t>ТЭР 33-023</t>
  </si>
  <si>
    <t>Смена светильников с лампами накаливания</t>
  </si>
  <si>
    <t>ТЭР 32-087</t>
  </si>
  <si>
    <t xml:space="preserve">Смена внутренних трубопроводов из стальных труб диаметром до 32 мм </t>
  </si>
  <si>
    <t>Смена трубопроводов на металл-полимерные трубы д=20 ( кв.62, кв.44)</t>
  </si>
  <si>
    <t>Смена радиаторов отопительных чугунных (без стоимости радиаторов)</t>
  </si>
  <si>
    <t>ТЭР 31-062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</si>
</sst>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21"/>
        <bgColor indexed="30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/>
    </xf>
    <xf numFmtId="4" fontId="1" fillId="9" borderId="8" xfId="0" applyNumberFormat="1" applyFont="1" applyFill="1" applyBorder="1" applyAlignment="1">
      <alignment vertical="center"/>
    </xf>
    <xf numFmtId="0" fontId="1" fillId="9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9" borderId="8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1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5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4" fontId="1" fillId="8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1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10" xfId="0" applyFont="1" applyBorder="1"/>
    <xf numFmtId="4" fontId="1" fillId="0" borderId="10" xfId="0" applyNumberFormat="1" applyFont="1" applyBorder="1" applyAlignment="1">
      <alignment horizontal="center" vertical="top" wrapText="1"/>
    </xf>
    <xf numFmtId="4" fontId="1" fillId="0" borderId="10" xfId="0" applyNumberFormat="1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7" borderId="1" xfId="0" applyFont="1" applyFill="1" applyBorder="1"/>
    <xf numFmtId="4" fontId="1" fillId="7" borderId="1" xfId="0" applyNumberFormat="1" applyFont="1" applyFill="1" applyBorder="1"/>
    <xf numFmtId="4" fontId="1" fillId="7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 applyProtection="1">
      <alignment horizontal="left" vertical="top" wrapText="1"/>
      <protection hidden="1"/>
    </xf>
    <xf numFmtId="2" fontId="1" fillId="0" borderId="3" xfId="0" applyNumberFormat="1" applyFont="1" applyFill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left" vertical="top" wrapText="1"/>
    </xf>
    <xf numFmtId="4" fontId="1" fillId="0" borderId="3" xfId="0" applyNumberFormat="1" applyFont="1" applyBorder="1"/>
    <xf numFmtId="4" fontId="1" fillId="0" borderId="3" xfId="0" applyNumberFormat="1" applyFont="1" applyFill="1" applyBorder="1" applyAlignment="1" applyProtection="1">
      <alignment horizontal="left" vertical="top" wrapText="1"/>
      <protection hidden="1"/>
    </xf>
    <xf numFmtId="4" fontId="1" fillId="0" borderId="3" xfId="0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0" xfId="0" applyFont="1"/>
    <xf numFmtId="0" fontId="7" fillId="0" borderId="3" xfId="0" applyFont="1" applyBorder="1" applyAlignment="1">
      <alignment horizontal="center" wrapText="1"/>
    </xf>
    <xf numFmtId="0" fontId="18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3" fillId="1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3" xfId="0" applyNumberFormat="1" applyFont="1" applyFill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3" fillId="11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9" borderId="3" xfId="0" applyNumberFormat="1" applyFont="1" applyFill="1" applyBorder="1" applyAlignment="1">
      <alignment horizontal="center" vertical="center"/>
    </xf>
    <xf numFmtId="4" fontId="3" fillId="9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3" fontId="1" fillId="9" borderId="3" xfId="0" applyNumberFormat="1" applyFont="1" applyFill="1" applyBorder="1" applyAlignment="1">
      <alignment horizontal="center" vertical="center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4" fontId="1" fillId="9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56"/>
  <sheetViews>
    <sheetView tabSelected="1" view="pageBreakPreview" topLeftCell="G1" zoomScaleNormal="75" zoomScaleSheetLayoutView="100" workbookViewId="0">
      <pane ySplit="7" topLeftCell="A8" activePane="bottomLeft" state="frozen"/>
      <selection activeCell="B1" sqref="B1"/>
      <selection pane="bottomLeft" activeCell="I144" sqref="I144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28515625" customWidth="1"/>
    <col min="10" max="10" width="9.85546875" customWidth="1"/>
    <col min="11" max="11" width="10.140625" customWidth="1"/>
    <col min="12" max="12" width="10" customWidth="1"/>
    <col min="13" max="13" width="10.7109375" customWidth="1"/>
    <col min="14" max="14" width="9.7109375" customWidth="1"/>
    <col min="15" max="16" width="9.5703125" customWidth="1"/>
    <col min="17" max="17" width="10.140625" customWidth="1"/>
    <col min="18" max="18" width="9.85546875" customWidth="1"/>
    <col min="19" max="19" width="9.7109375" customWidth="1"/>
    <col min="20" max="20" width="9.42578125" customWidth="1"/>
    <col min="21" max="21" width="12.5703125" customWidth="1"/>
  </cols>
  <sheetData>
    <row r="1" spans="1:21" ht="14.25" customHeight="1"/>
    <row r="3" spans="1:21" ht="18">
      <c r="A3" s="166"/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27"/>
      <c r="N3" s="127"/>
      <c r="O3" s="127"/>
      <c r="P3" s="127"/>
      <c r="Q3" s="127"/>
      <c r="R3" s="127"/>
      <c r="S3" s="127"/>
      <c r="T3" s="127"/>
      <c r="U3" s="127"/>
    </row>
    <row r="4" spans="1:21" ht="35.25" customHeight="1">
      <c r="A4" s="127"/>
      <c r="B4" s="191" t="s">
        <v>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27"/>
      <c r="N4" s="127"/>
      <c r="O4" s="127"/>
      <c r="P4" s="127"/>
      <c r="Q4" s="127"/>
      <c r="R4" s="127"/>
      <c r="S4" s="127"/>
      <c r="T4" s="127"/>
      <c r="U4" s="127"/>
    </row>
    <row r="5" spans="1:21" ht="18">
      <c r="A5" s="127"/>
      <c r="B5" s="191" t="s">
        <v>238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27"/>
      <c r="N5" s="127"/>
      <c r="O5" s="127"/>
      <c r="P5" s="127"/>
      <c r="Q5" s="127"/>
      <c r="R5" s="127"/>
      <c r="S5" s="127"/>
      <c r="T5" s="127"/>
      <c r="U5" s="127"/>
    </row>
    <row r="6" spans="1:21" ht="14.25">
      <c r="A6" s="127"/>
      <c r="B6" s="192" t="s">
        <v>239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27"/>
      <c r="N6" s="127"/>
      <c r="O6" s="127"/>
      <c r="P6" s="127"/>
      <c r="Q6" s="127"/>
      <c r="R6" s="127"/>
      <c r="S6" s="127"/>
      <c r="T6" s="127"/>
      <c r="U6" s="127"/>
    </row>
    <row r="7" spans="1:21" ht="48.75" customHeight="1">
      <c r="A7" s="167" t="s">
        <v>2</v>
      </c>
      <c r="B7" s="167" t="s">
        <v>3</v>
      </c>
      <c r="C7" s="167" t="s">
        <v>4</v>
      </c>
      <c r="D7" s="167" t="s">
        <v>5</v>
      </c>
      <c r="E7" s="167" t="s">
        <v>6</v>
      </c>
      <c r="F7" s="167" t="s">
        <v>7</v>
      </c>
      <c r="G7" s="167" t="s">
        <v>8</v>
      </c>
      <c r="H7" s="168" t="s">
        <v>9</v>
      </c>
      <c r="I7" s="30" t="s">
        <v>219</v>
      </c>
      <c r="J7" s="30" t="s">
        <v>220</v>
      </c>
      <c r="K7" s="30" t="s">
        <v>221</v>
      </c>
      <c r="L7" s="30" t="s">
        <v>222</v>
      </c>
      <c r="M7" s="30" t="s">
        <v>247</v>
      </c>
      <c r="N7" s="30" t="s">
        <v>223</v>
      </c>
      <c r="O7" s="30" t="s">
        <v>224</v>
      </c>
      <c r="P7" s="30" t="s">
        <v>225</v>
      </c>
      <c r="Q7" s="30" t="s">
        <v>226</v>
      </c>
      <c r="R7" s="30" t="s">
        <v>227</v>
      </c>
      <c r="S7" s="30" t="s">
        <v>228</v>
      </c>
      <c r="T7" s="30" t="s">
        <v>229</v>
      </c>
      <c r="U7" s="30" t="s">
        <v>240</v>
      </c>
    </row>
    <row r="8" spans="1:21">
      <c r="A8" s="31">
        <v>1</v>
      </c>
      <c r="B8" s="8">
        <v>2</v>
      </c>
      <c r="C8" s="31">
        <v>3</v>
      </c>
      <c r="D8" s="8">
        <v>4</v>
      </c>
      <c r="E8" s="8">
        <v>5</v>
      </c>
      <c r="F8" s="31">
        <v>6</v>
      </c>
      <c r="G8" s="31">
        <v>7</v>
      </c>
      <c r="H8" s="169">
        <v>8</v>
      </c>
      <c r="I8" s="170">
        <v>10</v>
      </c>
      <c r="J8" s="170">
        <v>11</v>
      </c>
      <c r="K8" s="170">
        <v>12</v>
      </c>
      <c r="L8" s="170">
        <v>13</v>
      </c>
      <c r="M8" s="171">
        <v>14</v>
      </c>
      <c r="N8" s="170">
        <v>15</v>
      </c>
      <c r="O8" s="170">
        <v>16</v>
      </c>
      <c r="P8" s="170">
        <v>17</v>
      </c>
      <c r="Q8" s="170">
        <v>18</v>
      </c>
      <c r="R8" s="170">
        <v>19</v>
      </c>
      <c r="S8" s="170">
        <v>20</v>
      </c>
      <c r="T8" s="170">
        <v>21</v>
      </c>
      <c r="U8" s="170">
        <v>22</v>
      </c>
    </row>
    <row r="9" spans="1:21" ht="38.25">
      <c r="A9" s="31"/>
      <c r="B9" s="10" t="s">
        <v>10</v>
      </c>
      <c r="C9" s="31"/>
      <c r="D9" s="11"/>
      <c r="E9" s="11"/>
      <c r="F9" s="31"/>
      <c r="G9" s="31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31"/>
      <c r="B10" s="10" t="s">
        <v>11</v>
      </c>
      <c r="C10" s="31"/>
      <c r="D10" s="11"/>
      <c r="E10" s="11"/>
      <c r="F10" s="31"/>
      <c r="G10" s="31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31" t="s">
        <v>12</v>
      </c>
      <c r="B11" s="11" t="s">
        <v>13</v>
      </c>
      <c r="C11" s="31" t="s">
        <v>14</v>
      </c>
      <c r="D11" s="11" t="s">
        <v>15</v>
      </c>
      <c r="E11" s="36">
        <v>118.34</v>
      </c>
      <c r="F11" s="37">
        <f>SUM(E11*156/100)</f>
        <v>184.6104</v>
      </c>
      <c r="G11" s="37">
        <v>175.38</v>
      </c>
      <c r="H11" s="38">
        <f t="shared" ref="H11:H19" si="0">SUM(F11*G11/1000)</f>
        <v>32.376971951999998</v>
      </c>
      <c r="I11" s="39">
        <f>F11/12*G11</f>
        <v>2698.0809959999997</v>
      </c>
      <c r="J11" s="39">
        <f>F11/12*G11</f>
        <v>2698.0809959999997</v>
      </c>
      <c r="K11" s="39">
        <f>F11/12*G11</f>
        <v>2698.0809959999997</v>
      </c>
      <c r="L11" s="39">
        <f>F11/12*G11</f>
        <v>2698.0809959999997</v>
      </c>
      <c r="M11" s="39">
        <f>F11/12*G11</f>
        <v>2698.0809959999997</v>
      </c>
      <c r="N11" s="39">
        <f>F11/12*G11</f>
        <v>2698.0809959999997</v>
      </c>
      <c r="O11" s="39">
        <f>F11/12*G11</f>
        <v>2698.0809959999997</v>
      </c>
      <c r="P11" s="39">
        <f>F11/12*G11</f>
        <v>2698.0809959999997</v>
      </c>
      <c r="Q11" s="39">
        <f>F11/12*G11</f>
        <v>2698.0809959999997</v>
      </c>
      <c r="R11" s="39">
        <f>F11/12*G11</f>
        <v>2698.0809959999997</v>
      </c>
      <c r="S11" s="39">
        <f>F11/12*G11</f>
        <v>2698.0809959999997</v>
      </c>
      <c r="T11" s="39">
        <f>F11/12*G11</f>
        <v>2698.0809959999997</v>
      </c>
      <c r="U11" s="39">
        <f t="shared" ref="U11:U19" si="1">SUM(I11:T11)</f>
        <v>32376.971952000004</v>
      </c>
    </row>
    <row r="12" spans="1:21" ht="25.5">
      <c r="A12" s="31" t="s">
        <v>12</v>
      </c>
      <c r="B12" s="11" t="s">
        <v>16</v>
      </c>
      <c r="C12" s="31" t="s">
        <v>14</v>
      </c>
      <c r="D12" s="11" t="s">
        <v>17</v>
      </c>
      <c r="E12" s="36">
        <v>473.36</v>
      </c>
      <c r="F12" s="37">
        <f>SUM(E12*104/100)</f>
        <v>492.2944</v>
      </c>
      <c r="G12" s="37">
        <v>175.38</v>
      </c>
      <c r="H12" s="38">
        <f t="shared" si="0"/>
        <v>86.338591871999995</v>
      </c>
      <c r="I12" s="39">
        <f>F12/12*G12</f>
        <v>7194.8826559999998</v>
      </c>
      <c r="J12" s="39">
        <f>F12/12*G12</f>
        <v>7194.8826559999998</v>
      </c>
      <c r="K12" s="39">
        <f>F12/12*G12</f>
        <v>7194.8826559999998</v>
      </c>
      <c r="L12" s="39">
        <f>F12/12*G12</f>
        <v>7194.8826559999998</v>
      </c>
      <c r="M12" s="39">
        <f>F12/12*G12</f>
        <v>7194.8826559999998</v>
      </c>
      <c r="N12" s="39">
        <f>F12/12*G12</f>
        <v>7194.8826559999998</v>
      </c>
      <c r="O12" s="39">
        <f>F12/12*G12</f>
        <v>7194.8826559999998</v>
      </c>
      <c r="P12" s="39">
        <f>F12/12*G12</f>
        <v>7194.8826559999998</v>
      </c>
      <c r="Q12" s="39">
        <f>F12/12*G12</f>
        <v>7194.8826559999998</v>
      </c>
      <c r="R12" s="39">
        <f>F12/12*G12</f>
        <v>7194.8826559999998</v>
      </c>
      <c r="S12" s="39">
        <f>F12/12*G12</f>
        <v>7194.8826559999998</v>
      </c>
      <c r="T12" s="39">
        <f>F12/12*G12</f>
        <v>7194.8826559999998</v>
      </c>
      <c r="U12" s="39">
        <f t="shared" si="1"/>
        <v>86338.591872000005</v>
      </c>
    </row>
    <row r="13" spans="1:21" ht="25.5">
      <c r="A13" s="31" t="s">
        <v>18</v>
      </c>
      <c r="B13" s="11" t="s">
        <v>19</v>
      </c>
      <c r="C13" s="31" t="s">
        <v>14</v>
      </c>
      <c r="D13" s="11" t="s">
        <v>20</v>
      </c>
      <c r="E13" s="36">
        <f>SUM(E11+E12)</f>
        <v>591.70000000000005</v>
      </c>
      <c r="F13" s="37">
        <f>SUM(E13*24/100)</f>
        <v>142.00800000000001</v>
      </c>
      <c r="G13" s="37">
        <v>504.5</v>
      </c>
      <c r="H13" s="38">
        <f t="shared" si="0"/>
        <v>71.643036000000009</v>
      </c>
      <c r="I13" s="39">
        <f>F13/12*G13</f>
        <v>5970.2530000000006</v>
      </c>
      <c r="J13" s="39">
        <f>F13/12*G13</f>
        <v>5970.2530000000006</v>
      </c>
      <c r="K13" s="39">
        <f>F13/12*G13</f>
        <v>5970.2530000000006</v>
      </c>
      <c r="L13" s="39">
        <f>F13/12*G13</f>
        <v>5970.2530000000006</v>
      </c>
      <c r="M13" s="39">
        <f>F13/12*G13</f>
        <v>5970.2530000000006</v>
      </c>
      <c r="N13" s="39">
        <f>F13/12*G13</f>
        <v>5970.2530000000006</v>
      </c>
      <c r="O13" s="39">
        <f>F13/12*G13</f>
        <v>5970.2530000000006</v>
      </c>
      <c r="P13" s="39">
        <f>F13/12*G13</f>
        <v>5970.2530000000006</v>
      </c>
      <c r="Q13" s="39">
        <f>F13/1*G13</f>
        <v>71643.036000000007</v>
      </c>
      <c r="R13" s="39">
        <f>F13/12*G13</f>
        <v>5970.2530000000006</v>
      </c>
      <c r="S13" s="39">
        <f>F13/12*G13</f>
        <v>5970.2530000000006</v>
      </c>
      <c r="T13" s="39">
        <f>F13/12*G13</f>
        <v>5970.2530000000006</v>
      </c>
      <c r="U13" s="39">
        <f t="shared" si="1"/>
        <v>137315.81900000002</v>
      </c>
    </row>
    <row r="14" spans="1:21">
      <c r="A14" s="31" t="s">
        <v>21</v>
      </c>
      <c r="B14" s="11" t="s">
        <v>22</v>
      </c>
      <c r="C14" s="31" t="s">
        <v>23</v>
      </c>
      <c r="D14" s="11" t="s">
        <v>192</v>
      </c>
      <c r="E14" s="36">
        <v>38.4</v>
      </c>
      <c r="F14" s="37">
        <f>SUM(E14/10)</f>
        <v>3.84</v>
      </c>
      <c r="G14" s="37">
        <v>170.16</v>
      </c>
      <c r="H14" s="38">
        <f t="shared" si="0"/>
        <v>0.65341439999999995</v>
      </c>
      <c r="I14" s="39">
        <v>0</v>
      </c>
      <c r="J14" s="39">
        <v>0</v>
      </c>
      <c r="K14" s="39">
        <v>0</v>
      </c>
      <c r="L14" s="39">
        <v>0</v>
      </c>
      <c r="M14" s="39">
        <f>F14*G14</f>
        <v>653.4144</v>
      </c>
      <c r="N14" s="39">
        <f>0</f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"/>
        <v>653.4144</v>
      </c>
    </row>
    <row r="15" spans="1:21">
      <c r="A15" s="31" t="s">
        <v>24</v>
      </c>
      <c r="B15" s="11" t="s">
        <v>25</v>
      </c>
      <c r="C15" s="31" t="s">
        <v>14</v>
      </c>
      <c r="D15" s="11" t="s">
        <v>193</v>
      </c>
      <c r="E15" s="36">
        <v>43.2</v>
      </c>
      <c r="F15" s="37">
        <f>SUM(E15*12/100)</f>
        <v>5.1840000000000011</v>
      </c>
      <c r="G15" s="37">
        <v>217.88</v>
      </c>
      <c r="H15" s="38">
        <f t="shared" si="0"/>
        <v>1.1294899200000001</v>
      </c>
      <c r="I15" s="39">
        <f>F15/12*G15</f>
        <v>94.124160000000018</v>
      </c>
      <c r="J15" s="39">
        <f>F15/12*G15</f>
        <v>94.124160000000018</v>
      </c>
      <c r="K15" s="39">
        <f>F15/12*G15</f>
        <v>94.124160000000018</v>
      </c>
      <c r="L15" s="39">
        <f>F15/12*G15</f>
        <v>94.124160000000018</v>
      </c>
      <c r="M15" s="39">
        <f>F15/12*G15</f>
        <v>94.124160000000018</v>
      </c>
      <c r="N15" s="39">
        <f>F15/12*G15</f>
        <v>94.124160000000018</v>
      </c>
      <c r="O15" s="39">
        <f>F15/12*G15</f>
        <v>94.124160000000018</v>
      </c>
      <c r="P15" s="39">
        <f>F15/12*G15</f>
        <v>94.124160000000018</v>
      </c>
      <c r="Q15" s="39">
        <f>F15/12*G15</f>
        <v>94.124160000000018</v>
      </c>
      <c r="R15" s="39">
        <f>F15/12*G15</f>
        <v>94.124160000000018</v>
      </c>
      <c r="S15" s="39">
        <f>F15/12*G15</f>
        <v>94.124160000000018</v>
      </c>
      <c r="T15" s="39">
        <f>F15/12*G15</f>
        <v>94.124160000000018</v>
      </c>
      <c r="U15" s="39">
        <f t="shared" si="1"/>
        <v>1129.4899200000004</v>
      </c>
    </row>
    <row r="16" spans="1:21">
      <c r="A16" s="31" t="s">
        <v>26</v>
      </c>
      <c r="B16" s="11" t="s">
        <v>27</v>
      </c>
      <c r="C16" s="31" t="s">
        <v>14</v>
      </c>
      <c r="D16" s="11" t="s">
        <v>193</v>
      </c>
      <c r="E16" s="36">
        <v>10.08</v>
      </c>
      <c r="F16" s="37">
        <f>SUM(E16*12/100)</f>
        <v>1.2096</v>
      </c>
      <c r="G16" s="37">
        <v>216.12</v>
      </c>
      <c r="H16" s="38">
        <f t="shared" si="0"/>
        <v>0.26141875199999998</v>
      </c>
      <c r="I16" s="39">
        <f>F16/12*G16</f>
        <v>21.784896</v>
      </c>
      <c r="J16" s="39">
        <f>F16/12*G16</f>
        <v>21.784896</v>
      </c>
      <c r="K16" s="39">
        <f>F16/12*G16</f>
        <v>21.784896</v>
      </c>
      <c r="L16" s="39">
        <f>F16/12*G16</f>
        <v>21.784896</v>
      </c>
      <c r="M16" s="39">
        <f>F16/12*G16</f>
        <v>21.784896</v>
      </c>
      <c r="N16" s="39">
        <f>F16/12*G16</f>
        <v>21.784896</v>
      </c>
      <c r="O16" s="39">
        <f>F16/12*G16</f>
        <v>21.784896</v>
      </c>
      <c r="P16" s="39">
        <f>F16/12*G16</f>
        <v>21.784896</v>
      </c>
      <c r="Q16" s="39">
        <f>F16/12*G16</f>
        <v>21.784896</v>
      </c>
      <c r="R16" s="39">
        <f>F16/12*G16</f>
        <v>21.784896</v>
      </c>
      <c r="S16" s="39">
        <f>F16/12*G16</f>
        <v>21.784896</v>
      </c>
      <c r="T16" s="39">
        <f>F16/12*G16</f>
        <v>21.784896</v>
      </c>
      <c r="U16" s="39">
        <f t="shared" si="1"/>
        <v>261.41875199999998</v>
      </c>
    </row>
    <row r="17" spans="1:21">
      <c r="A17" s="31" t="s">
        <v>28</v>
      </c>
      <c r="B17" s="11" t="s">
        <v>29</v>
      </c>
      <c r="C17" s="31" t="s">
        <v>30</v>
      </c>
      <c r="D17" s="11" t="s">
        <v>192</v>
      </c>
      <c r="E17" s="36">
        <v>771.12</v>
      </c>
      <c r="F17" s="37">
        <f>SUM(E17/100)</f>
        <v>7.7111999999999998</v>
      </c>
      <c r="G17" s="37">
        <v>269.26</v>
      </c>
      <c r="H17" s="38">
        <f t="shared" si="0"/>
        <v>2.0763177119999998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f>F17*G17</f>
        <v>2076.317712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f t="shared" si="1"/>
        <v>2076.317712</v>
      </c>
    </row>
    <row r="18" spans="1:21">
      <c r="A18" s="31" t="s">
        <v>31</v>
      </c>
      <c r="B18" s="11" t="s">
        <v>32</v>
      </c>
      <c r="C18" s="31" t="s">
        <v>30</v>
      </c>
      <c r="D18" s="11" t="s">
        <v>192</v>
      </c>
      <c r="E18" s="41">
        <v>70.56</v>
      </c>
      <c r="F18" s="37">
        <f>SUM(E18/100)</f>
        <v>0.7056</v>
      </c>
      <c r="G18" s="37">
        <v>44.29</v>
      </c>
      <c r="H18" s="38">
        <f t="shared" si="0"/>
        <v>3.1251024000000002E-2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f>F18*G18</f>
        <v>31.251024000000001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"/>
        <v>31.251024000000001</v>
      </c>
    </row>
    <row r="19" spans="1:21">
      <c r="A19" s="31" t="s">
        <v>33</v>
      </c>
      <c r="B19" s="11" t="s">
        <v>34</v>
      </c>
      <c r="C19" s="31" t="s">
        <v>30</v>
      </c>
      <c r="D19" s="11" t="s">
        <v>192</v>
      </c>
      <c r="E19" s="36">
        <v>28.22</v>
      </c>
      <c r="F19" s="37">
        <f>SUM(E19/100)</f>
        <v>0.28220000000000001</v>
      </c>
      <c r="G19" s="37">
        <v>520.79999999999995</v>
      </c>
      <c r="H19" s="38">
        <f t="shared" si="0"/>
        <v>0.14696975999999998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f>F19*G19</f>
        <v>146.96975999999998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"/>
        <v>146.96975999999998</v>
      </c>
    </row>
    <row r="20" spans="1:21" s="19" customFormat="1">
      <c r="A20" s="42"/>
      <c r="B20" s="20" t="s">
        <v>35</v>
      </c>
      <c r="C20" s="43"/>
      <c r="D20" s="20"/>
      <c r="E20" s="44"/>
      <c r="F20" s="45"/>
      <c r="G20" s="45"/>
      <c r="H20" s="46">
        <f>SUM(H11:H19)</f>
        <v>194.65746139199999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>
        <f>SUM(U11:U19)</f>
        <v>260330.24439200002</v>
      </c>
    </row>
    <row r="21" spans="1:21">
      <c r="A21" s="31"/>
      <c r="B21" s="12" t="s">
        <v>36</v>
      </c>
      <c r="C21" s="31"/>
      <c r="D21" s="11"/>
      <c r="E21" s="36"/>
      <c r="F21" s="37"/>
      <c r="G21" s="37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25.5" customHeight="1">
      <c r="A22" s="31" t="s">
        <v>37</v>
      </c>
      <c r="B22" s="11" t="s">
        <v>38</v>
      </c>
      <c r="C22" s="31" t="s">
        <v>42</v>
      </c>
      <c r="D22" s="11" t="s">
        <v>39</v>
      </c>
      <c r="E22" s="37">
        <v>1414.6</v>
      </c>
      <c r="F22" s="37">
        <f>SUM(E22*52/1000)</f>
        <v>73.559200000000004</v>
      </c>
      <c r="G22" s="37">
        <v>155.88999999999999</v>
      </c>
      <c r="H22" s="38">
        <f t="shared" ref="H22:H33" si="2">SUM(F22*G22/1000)</f>
        <v>11.467143688</v>
      </c>
      <c r="I22" s="39">
        <v>0</v>
      </c>
      <c r="J22" s="39">
        <v>0</v>
      </c>
      <c r="K22" s="39">
        <v>0</v>
      </c>
      <c r="L22" s="39">
        <v>0</v>
      </c>
      <c r="M22" s="39">
        <f>F22/6*G22</f>
        <v>1911.1906146666665</v>
      </c>
      <c r="N22" s="39">
        <f>F22/6*G22</f>
        <v>1911.1906146666665</v>
      </c>
      <c r="O22" s="39">
        <f>F22/6*G22</f>
        <v>1911.1906146666665</v>
      </c>
      <c r="P22" s="39">
        <f>F22/6*G22</f>
        <v>1911.1906146666665</v>
      </c>
      <c r="Q22" s="39">
        <f>F22/6*G22</f>
        <v>1911.1906146666665</v>
      </c>
      <c r="R22" s="39">
        <f>F22/6*G22</f>
        <v>1911.1906146666665</v>
      </c>
      <c r="S22" s="39">
        <v>0</v>
      </c>
      <c r="T22" s="39">
        <v>0</v>
      </c>
      <c r="U22" s="39">
        <f>SUM(I22:T22)</f>
        <v>11467.143687999998</v>
      </c>
    </row>
    <row r="23" spans="1:21" ht="38.25" customHeight="1">
      <c r="A23" s="31" t="s">
        <v>40</v>
      </c>
      <c r="B23" s="11" t="s">
        <v>41</v>
      </c>
      <c r="C23" s="31" t="s">
        <v>42</v>
      </c>
      <c r="D23" s="11" t="s">
        <v>43</v>
      </c>
      <c r="E23" s="37">
        <v>632.4</v>
      </c>
      <c r="F23" s="37">
        <f>SUM(E23*78/1000)</f>
        <v>49.327199999999998</v>
      </c>
      <c r="G23" s="37">
        <v>258.63</v>
      </c>
      <c r="H23" s="38">
        <f t="shared" si="2"/>
        <v>12.757493735999999</v>
      </c>
      <c r="I23" s="39">
        <v>0</v>
      </c>
      <c r="J23" s="39">
        <v>0</v>
      </c>
      <c r="K23" s="39">
        <v>0</v>
      </c>
      <c r="L23" s="39">
        <v>0</v>
      </c>
      <c r="M23" s="39">
        <f>F23/6*G23</f>
        <v>2126.2489559999999</v>
      </c>
      <c r="N23" s="39">
        <f>F23/6*G23</f>
        <v>2126.2489559999999</v>
      </c>
      <c r="O23" s="39">
        <f>F23/6*G23</f>
        <v>2126.2489559999999</v>
      </c>
      <c r="P23" s="39">
        <f>F23/6*G23</f>
        <v>2126.2489559999999</v>
      </c>
      <c r="Q23" s="39">
        <f>F23/6*G23</f>
        <v>2126.2489559999999</v>
      </c>
      <c r="R23" s="39">
        <f>F23/6*G23</f>
        <v>2126.2489559999999</v>
      </c>
      <c r="S23" s="39">
        <v>0</v>
      </c>
      <c r="T23" s="39">
        <v>0</v>
      </c>
      <c r="U23" s="39">
        <f>SUM(I23:T23)</f>
        <v>12757.493735999999</v>
      </c>
    </row>
    <row r="24" spans="1:21" hidden="1">
      <c r="A24" s="31" t="s">
        <v>44</v>
      </c>
      <c r="B24" s="11" t="s">
        <v>45</v>
      </c>
      <c r="C24" s="31" t="s">
        <v>42</v>
      </c>
      <c r="D24" s="11" t="s">
        <v>46</v>
      </c>
      <c r="E24" s="36">
        <v>143.20000000000002</v>
      </c>
      <c r="F24" s="37">
        <v>0</v>
      </c>
      <c r="G24" s="37">
        <v>293.27999999999997</v>
      </c>
      <c r="H24" s="38">
        <f t="shared" si="2"/>
        <v>0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>
      <c r="A25" s="31" t="s">
        <v>47</v>
      </c>
      <c r="B25" s="11" t="s">
        <v>48</v>
      </c>
      <c r="C25" s="31" t="s">
        <v>42</v>
      </c>
      <c r="D25" s="11" t="s">
        <v>49</v>
      </c>
      <c r="E25" s="37">
        <v>1414.6</v>
      </c>
      <c r="F25" s="37">
        <f>SUM(E25/1000)</f>
        <v>1.4145999999999999</v>
      </c>
      <c r="G25" s="37">
        <v>3020.33</v>
      </c>
      <c r="H25" s="38">
        <f t="shared" si="2"/>
        <v>4.2725588179999994</v>
      </c>
      <c r="I25" s="39">
        <v>0</v>
      </c>
      <c r="J25" s="39">
        <v>0</v>
      </c>
      <c r="K25" s="39">
        <v>0</v>
      </c>
      <c r="L25" s="39">
        <v>0</v>
      </c>
      <c r="M25" s="39">
        <f>F25*G25</f>
        <v>4272.5588179999995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f>SUM(I25:T25)</f>
        <v>4272.5588179999995</v>
      </c>
    </row>
    <row r="26" spans="1:21">
      <c r="A26" s="31" t="s">
        <v>50</v>
      </c>
      <c r="B26" s="11" t="s">
        <v>51</v>
      </c>
      <c r="C26" s="31" t="s">
        <v>52</v>
      </c>
      <c r="D26" s="11" t="s">
        <v>53</v>
      </c>
      <c r="E26" s="49">
        <v>0.33333333333333331</v>
      </c>
      <c r="F26" s="37">
        <f>155/3</f>
        <v>51.666666666666664</v>
      </c>
      <c r="G26" s="37">
        <v>56.69</v>
      </c>
      <c r="H26" s="38">
        <f>SUM(G26*155/3/1000)</f>
        <v>2.9289833333333331</v>
      </c>
      <c r="I26" s="39">
        <v>0</v>
      </c>
      <c r="J26" s="39">
        <v>0</v>
      </c>
      <c r="K26" s="39">
        <v>0</v>
      </c>
      <c r="L26" s="39">
        <v>0</v>
      </c>
      <c r="M26" s="39">
        <f>F26/6*G26</f>
        <v>488.16388888888883</v>
      </c>
      <c r="N26" s="39">
        <f>F26/6*G26</f>
        <v>488.16388888888883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f>SUM(I26:T26)</f>
        <v>976.32777777777767</v>
      </c>
    </row>
    <row r="27" spans="1:21" ht="12.75" customHeight="1">
      <c r="A27" s="31" t="s">
        <v>54</v>
      </c>
      <c r="B27" s="11" t="s">
        <v>55</v>
      </c>
      <c r="C27" s="31" t="s">
        <v>56</v>
      </c>
      <c r="D27" s="11" t="s">
        <v>57</v>
      </c>
      <c r="E27" s="50">
        <v>0.1</v>
      </c>
      <c r="F27" s="37">
        <f>SUM(E27*365)</f>
        <v>36.5</v>
      </c>
      <c r="G27" s="37">
        <v>147.03</v>
      </c>
      <c r="H27" s="38">
        <f t="shared" si="2"/>
        <v>5.3665950000000002</v>
      </c>
      <c r="I27" s="39">
        <f>F27/12*G27</f>
        <v>447.21625</v>
      </c>
      <c r="J27" s="39">
        <f>F27/12*G27</f>
        <v>447.21625</v>
      </c>
      <c r="K27" s="39">
        <f>F27/12*G27</f>
        <v>447.21625</v>
      </c>
      <c r="L27" s="39">
        <f>F27/12*G27</f>
        <v>447.21625</v>
      </c>
      <c r="M27" s="39">
        <f>F27/12*G27</f>
        <v>447.21625</v>
      </c>
      <c r="N27" s="39">
        <f>F27/12*G27</f>
        <v>447.21625</v>
      </c>
      <c r="O27" s="39">
        <f>F27/12*G27</f>
        <v>447.21625</v>
      </c>
      <c r="P27" s="39">
        <f>F27/12*G27</f>
        <v>447.21625</v>
      </c>
      <c r="Q27" s="39">
        <f>F27/12*G27</f>
        <v>447.21625</v>
      </c>
      <c r="R27" s="39">
        <f>F27/12*G27</f>
        <v>447.21625</v>
      </c>
      <c r="S27" s="39">
        <f>F27/12*G27</f>
        <v>447.21625</v>
      </c>
      <c r="T27" s="39">
        <f>F27/12*G27</f>
        <v>447.21625</v>
      </c>
      <c r="U27" s="39">
        <f>SUM(I27:T27)</f>
        <v>5366.5950000000012</v>
      </c>
    </row>
    <row r="28" spans="1:21" hidden="1">
      <c r="A28" s="31" t="s">
        <v>58</v>
      </c>
      <c r="B28" s="11" t="s">
        <v>59</v>
      </c>
      <c r="C28" s="31" t="s">
        <v>42</v>
      </c>
      <c r="D28" s="11" t="s">
        <v>60</v>
      </c>
      <c r="E28" s="36"/>
      <c r="F28" s="37"/>
      <c r="G28" s="37">
        <v>169.95</v>
      </c>
      <c r="H28" s="38">
        <f t="shared" si="2"/>
        <v>0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idden="1">
      <c r="A29" s="31" t="s">
        <v>61</v>
      </c>
      <c r="B29" s="11" t="s">
        <v>62</v>
      </c>
      <c r="C29" s="31" t="s">
        <v>42</v>
      </c>
      <c r="D29" s="11" t="s">
        <v>60</v>
      </c>
      <c r="E29" s="36"/>
      <c r="F29" s="37"/>
      <c r="G29" s="37">
        <v>1009.42</v>
      </c>
      <c r="H29" s="38">
        <f t="shared" si="2"/>
        <v>0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idden="1">
      <c r="A30" s="31" t="s">
        <v>63</v>
      </c>
      <c r="B30" s="11" t="s">
        <v>64</v>
      </c>
      <c r="C30" s="31" t="s">
        <v>56</v>
      </c>
      <c r="D30" s="11" t="s">
        <v>65</v>
      </c>
      <c r="E30" s="36"/>
      <c r="F30" s="37"/>
      <c r="G30" s="37">
        <v>1.6</v>
      </c>
      <c r="H30" s="38">
        <f t="shared" si="2"/>
        <v>0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2.75" customHeight="1">
      <c r="A31" s="31" t="s">
        <v>66</v>
      </c>
      <c r="B31" s="11" t="s">
        <v>67</v>
      </c>
      <c r="C31" s="31" t="s">
        <v>56</v>
      </c>
      <c r="D31" s="11" t="s">
        <v>65</v>
      </c>
      <c r="E31" s="36"/>
      <c r="F31" s="37">
        <v>4</v>
      </c>
      <c r="G31" s="37">
        <v>191.32</v>
      </c>
      <c r="H31" s="38">
        <f t="shared" si="2"/>
        <v>0.76527999999999996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f>SUM(I31:T31)</f>
        <v>0</v>
      </c>
    </row>
    <row r="32" spans="1:21" ht="13.5" customHeight="1">
      <c r="A32" s="31" t="s">
        <v>68</v>
      </c>
      <c r="B32" s="11" t="s">
        <v>69</v>
      </c>
      <c r="C32" s="31" t="s">
        <v>70</v>
      </c>
      <c r="D32" s="11" t="s">
        <v>65</v>
      </c>
      <c r="E32" s="36"/>
      <c r="F32" s="37">
        <v>3</v>
      </c>
      <c r="G32" s="37">
        <v>1136.32</v>
      </c>
      <c r="H32" s="38">
        <f t="shared" si="2"/>
        <v>3.40896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f>SUM(I32:T32)</f>
        <v>0</v>
      </c>
    </row>
    <row r="33" spans="1:21">
      <c r="A33" s="31"/>
      <c r="B33" s="51" t="s">
        <v>71</v>
      </c>
      <c r="C33" s="31" t="s">
        <v>72</v>
      </c>
      <c r="D33" s="51" t="s">
        <v>57</v>
      </c>
      <c r="E33" s="36">
        <v>4224.3999999999996</v>
      </c>
      <c r="F33" s="37">
        <f>SUM(E33*12)</f>
        <v>50692.799999999996</v>
      </c>
      <c r="G33" s="37">
        <v>4.59</v>
      </c>
      <c r="H33" s="38">
        <f t="shared" si="2"/>
        <v>232.67995199999996</v>
      </c>
      <c r="I33" s="39">
        <f>F33/12*G33</f>
        <v>19389.995999999999</v>
      </c>
      <c r="J33" s="39">
        <f>F33/12*G33</f>
        <v>19389.995999999999</v>
      </c>
      <c r="K33" s="39">
        <f>F33/12*G33</f>
        <v>19389.995999999999</v>
      </c>
      <c r="L33" s="39">
        <f>F33/12*G33</f>
        <v>19389.995999999999</v>
      </c>
      <c r="M33" s="39">
        <f>F33/12*G33</f>
        <v>19389.995999999999</v>
      </c>
      <c r="N33" s="39">
        <f>F33/12*G33</f>
        <v>19389.995999999999</v>
      </c>
      <c r="O33" s="39">
        <f>F33/12*G33</f>
        <v>19389.995999999999</v>
      </c>
      <c r="P33" s="39">
        <f>F33/12*G33</f>
        <v>19389.995999999999</v>
      </c>
      <c r="Q33" s="39">
        <f>F33/12*G33</f>
        <v>19389.995999999999</v>
      </c>
      <c r="R33" s="39">
        <f>F33/12*G33</f>
        <v>19389.995999999999</v>
      </c>
      <c r="S33" s="39">
        <f>F33/12*G33</f>
        <v>19389.995999999999</v>
      </c>
      <c r="T33" s="39">
        <f>F33/12*G33</f>
        <v>19389.995999999999</v>
      </c>
      <c r="U33" s="39">
        <f>SUM(I33:T33)</f>
        <v>232679.95199999993</v>
      </c>
    </row>
    <row r="34" spans="1:21" s="19" customFormat="1">
      <c r="A34" s="42"/>
      <c r="B34" s="20" t="s">
        <v>35</v>
      </c>
      <c r="C34" s="43"/>
      <c r="D34" s="20"/>
      <c r="E34" s="44"/>
      <c r="F34" s="45"/>
      <c r="G34" s="45"/>
      <c r="H34" s="52">
        <f>SUM(H22:H33)</f>
        <v>273.64696657533329</v>
      </c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>
        <f>SUM(U22:U33)</f>
        <v>267520.07101977768</v>
      </c>
    </row>
    <row r="35" spans="1:21">
      <c r="A35" s="31"/>
      <c r="B35" s="12" t="s">
        <v>74</v>
      </c>
      <c r="C35" s="31"/>
      <c r="D35" s="11"/>
      <c r="E35" s="36"/>
      <c r="F35" s="37"/>
      <c r="G35" s="37"/>
      <c r="H35" s="38" t="s">
        <v>73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25.5">
      <c r="A36" s="31" t="s">
        <v>68</v>
      </c>
      <c r="B36" s="13" t="s">
        <v>75</v>
      </c>
      <c r="C36" s="31" t="s">
        <v>70</v>
      </c>
      <c r="D36" s="11"/>
      <c r="E36" s="36"/>
      <c r="F36" s="37">
        <v>20</v>
      </c>
      <c r="G36" s="37">
        <v>1527.22</v>
      </c>
      <c r="H36" s="38">
        <f t="shared" ref="H36:H48" si="3">SUM(F36*G36/1000)</f>
        <v>30.544400000000003</v>
      </c>
      <c r="I36" s="39">
        <f>F36/6*G36</f>
        <v>5090.7333333333336</v>
      </c>
      <c r="J36" s="39">
        <f>F36/6*G36</f>
        <v>5090.7333333333336</v>
      </c>
      <c r="K36" s="39">
        <f>F36/6*G36</f>
        <v>5090.7333333333336</v>
      </c>
      <c r="L36" s="39">
        <f>F36/6*G36</f>
        <v>5090.7333333333336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>F36/6*G36</f>
        <v>5090.7333333333336</v>
      </c>
      <c r="T36" s="39">
        <f>F36/6*G36</f>
        <v>5090.7333333333336</v>
      </c>
      <c r="U36" s="39">
        <f>SUM(I36:T36)</f>
        <v>30544.400000000001</v>
      </c>
    </row>
    <row r="37" spans="1:21" hidden="1">
      <c r="A37" s="31" t="s">
        <v>76</v>
      </c>
      <c r="B37" s="11" t="s">
        <v>77</v>
      </c>
      <c r="C37" s="31" t="s">
        <v>56</v>
      </c>
      <c r="D37" s="11"/>
      <c r="E37" s="36"/>
      <c r="F37" s="37">
        <v>0</v>
      </c>
      <c r="G37" s="37">
        <v>69.239999999999995</v>
      </c>
      <c r="H37" s="38">
        <f t="shared" si="3"/>
        <v>0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1" customFormat="1">
      <c r="A38" s="53" t="s">
        <v>78</v>
      </c>
      <c r="B38" s="13" t="s">
        <v>79</v>
      </c>
      <c r="C38" s="53" t="s">
        <v>80</v>
      </c>
      <c r="D38" s="13" t="s">
        <v>81</v>
      </c>
      <c r="E38" s="54">
        <v>632.4</v>
      </c>
      <c r="F38" s="54">
        <f>SUM(E38*50/1000)</f>
        <v>31.62</v>
      </c>
      <c r="G38" s="54">
        <v>2102.71</v>
      </c>
      <c r="H38" s="38">
        <f t="shared" si="3"/>
        <v>66.487690200000003</v>
      </c>
      <c r="I38" s="55">
        <f>F38/6*G38</f>
        <v>11081.281700000001</v>
      </c>
      <c r="J38" s="55">
        <f>F38/6*G38</f>
        <v>11081.281700000001</v>
      </c>
      <c r="K38" s="55">
        <f>F38/6*G38</f>
        <v>11081.281700000001</v>
      </c>
      <c r="L38" s="55">
        <f>F38/6*G38</f>
        <v>11081.281700000001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f>F38/6*G38</f>
        <v>11081.281700000001</v>
      </c>
      <c r="T38" s="55">
        <f>F38/6*G38</f>
        <v>11081.281700000001</v>
      </c>
      <c r="U38" s="39">
        <f>SUM(I38:T38)</f>
        <v>66487.690200000012</v>
      </c>
    </row>
    <row r="39" spans="1:21" hidden="1">
      <c r="A39" s="31" t="s">
        <v>82</v>
      </c>
      <c r="B39" s="11" t="s">
        <v>83</v>
      </c>
      <c r="C39" s="31" t="s">
        <v>80</v>
      </c>
      <c r="D39" s="11" t="s">
        <v>84</v>
      </c>
      <c r="E39" s="36"/>
      <c r="F39" s="54">
        <f>SUM(E39*50/1000)</f>
        <v>0</v>
      </c>
      <c r="G39" s="37">
        <v>39.340000000000003</v>
      </c>
      <c r="H39" s="38">
        <f t="shared" si="3"/>
        <v>0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>
      <c r="A40" s="31" t="s">
        <v>68</v>
      </c>
      <c r="B40" s="11" t="s">
        <v>200</v>
      </c>
      <c r="C40" s="31" t="s">
        <v>142</v>
      </c>
      <c r="D40" s="11" t="s">
        <v>65</v>
      </c>
      <c r="E40" s="36"/>
      <c r="F40" s="54">
        <v>30</v>
      </c>
      <c r="G40" s="37">
        <v>213.2</v>
      </c>
      <c r="H40" s="38">
        <f>G40*F40/1000</f>
        <v>6.3959999999999999</v>
      </c>
      <c r="I40" s="39">
        <f>0</f>
        <v>0</v>
      </c>
      <c r="J40" s="39">
        <v>0</v>
      </c>
      <c r="K40" s="39">
        <f>30*G40</f>
        <v>6396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f>SUM(I40:T40)</f>
        <v>6396</v>
      </c>
    </row>
    <row r="41" spans="1:21" ht="24.75" customHeight="1">
      <c r="A41" s="31" t="s">
        <v>85</v>
      </c>
      <c r="B41" s="11" t="s">
        <v>86</v>
      </c>
      <c r="C41" s="31" t="s">
        <v>80</v>
      </c>
      <c r="D41" s="11" t="s">
        <v>87</v>
      </c>
      <c r="E41" s="37">
        <v>106</v>
      </c>
      <c r="F41" s="54">
        <f>SUM(E41*155/1000)</f>
        <v>16.43</v>
      </c>
      <c r="G41" s="37">
        <v>350.75</v>
      </c>
      <c r="H41" s="38">
        <f t="shared" si="3"/>
        <v>5.7628225000000004</v>
      </c>
      <c r="I41" s="39">
        <f>F41/6*G41</f>
        <v>960.47041666666667</v>
      </c>
      <c r="J41" s="39">
        <f>F41/6*G41</f>
        <v>960.47041666666667</v>
      </c>
      <c r="K41" s="39">
        <f>F41/6*G41</f>
        <v>960.47041666666667</v>
      </c>
      <c r="L41" s="39">
        <f>F41/6*G41</f>
        <v>960.47041666666667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f>F41/6*G41</f>
        <v>960.47041666666667</v>
      </c>
      <c r="T41" s="39">
        <f>F41/6*G41</f>
        <v>960.47041666666667</v>
      </c>
      <c r="U41" s="39">
        <f>SUM(I41:T41)</f>
        <v>5762.8225000000002</v>
      </c>
    </row>
    <row r="42" spans="1:21" hidden="1">
      <c r="A42" s="31"/>
      <c r="B42" s="11" t="s">
        <v>88</v>
      </c>
      <c r="C42" s="31" t="s">
        <v>70</v>
      </c>
      <c r="D42" s="11"/>
      <c r="E42" s="36"/>
      <c r="F42" s="54">
        <f>SUM(E42*155/1000)</f>
        <v>0</v>
      </c>
      <c r="G42" s="37">
        <v>707.87</v>
      </c>
      <c r="H42" s="38">
        <f t="shared" si="3"/>
        <v>0</v>
      </c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idden="1">
      <c r="A43" s="31"/>
      <c r="B43" s="11" t="s">
        <v>89</v>
      </c>
      <c r="C43" s="31" t="s">
        <v>70</v>
      </c>
      <c r="D43" s="11"/>
      <c r="E43" s="36"/>
      <c r="F43" s="54">
        <f>SUM(E43*155/1000)</f>
        <v>0</v>
      </c>
      <c r="G43" s="37">
        <v>460</v>
      </c>
      <c r="H43" s="38">
        <f t="shared" si="3"/>
        <v>0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38.25" hidden="1">
      <c r="A44" s="31" t="s">
        <v>90</v>
      </c>
      <c r="B44" s="11" t="s">
        <v>91</v>
      </c>
      <c r="C44" s="31" t="s">
        <v>42</v>
      </c>
      <c r="D44" s="11" t="s">
        <v>92</v>
      </c>
      <c r="E44" s="36">
        <v>0</v>
      </c>
      <c r="F44" s="54">
        <f>SUM(E44*155/1000)</f>
        <v>0</v>
      </c>
      <c r="G44" s="37">
        <v>5155.17</v>
      </c>
      <c r="H44" s="38">
        <f t="shared" si="3"/>
        <v>0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51" customHeight="1">
      <c r="A45" s="31" t="s">
        <v>90</v>
      </c>
      <c r="B45" s="11" t="s">
        <v>93</v>
      </c>
      <c r="C45" s="31" t="s">
        <v>42</v>
      </c>
      <c r="D45" s="11" t="s">
        <v>201</v>
      </c>
      <c r="E45" s="37">
        <v>106</v>
      </c>
      <c r="F45" s="54">
        <f>SUM(E45*70/1000)</f>
        <v>7.42</v>
      </c>
      <c r="G45" s="37">
        <v>5803.28</v>
      </c>
      <c r="H45" s="38">
        <f t="shared" si="3"/>
        <v>43.060337599999997</v>
      </c>
      <c r="I45" s="39">
        <f>F45/6*G45</f>
        <v>7176.7229333333325</v>
      </c>
      <c r="J45" s="39">
        <f>F45/6*G45</f>
        <v>7176.7229333333325</v>
      </c>
      <c r="K45" s="39">
        <f>F45/6*G45</f>
        <v>7176.7229333333325</v>
      </c>
      <c r="L45" s="39">
        <f>F45/6*G45</f>
        <v>7176.7229333333325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f>F45/6*G45</f>
        <v>7176.7229333333325</v>
      </c>
      <c r="T45" s="39">
        <f>F45/6*G45</f>
        <v>7176.7229333333325</v>
      </c>
      <c r="U45" s="39">
        <f>SUM(I45:T45)</f>
        <v>43060.337599999992</v>
      </c>
    </row>
    <row r="46" spans="1:21" ht="12.75" customHeight="1">
      <c r="A46" s="31" t="s">
        <v>94</v>
      </c>
      <c r="B46" s="11" t="s">
        <v>95</v>
      </c>
      <c r="C46" s="31" t="s">
        <v>42</v>
      </c>
      <c r="D46" s="11" t="s">
        <v>96</v>
      </c>
      <c r="E46" s="37">
        <v>106</v>
      </c>
      <c r="F46" s="54">
        <f>SUM(E46*45/1000)</f>
        <v>4.7699999999999996</v>
      </c>
      <c r="G46" s="37">
        <v>428.7</v>
      </c>
      <c r="H46" s="38">
        <f t="shared" si="3"/>
        <v>2.0448989999999996</v>
      </c>
      <c r="I46" s="39">
        <f>F46/6*G46</f>
        <v>340.81649999999996</v>
      </c>
      <c r="J46" s="39">
        <f>F46/6*G46</f>
        <v>340.81649999999996</v>
      </c>
      <c r="K46" s="39">
        <f>F46/6*G46</f>
        <v>340.81649999999996</v>
      </c>
      <c r="L46" s="39">
        <f>F46/6*G46</f>
        <v>340.81649999999996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f>F46/6*G46</f>
        <v>340.81649999999996</v>
      </c>
      <c r="T46" s="39">
        <f>F46/6*G46</f>
        <v>340.81649999999996</v>
      </c>
      <c r="U46" s="39">
        <f>SUM(I46:T46)</f>
        <v>2044.8989999999997</v>
      </c>
    </row>
    <row r="47" spans="1:21" s="2" customFormat="1">
      <c r="A47" s="53"/>
      <c r="B47" s="13" t="s">
        <v>97</v>
      </c>
      <c r="C47" s="53" t="s">
        <v>56</v>
      </c>
      <c r="D47" s="13"/>
      <c r="E47" s="50"/>
      <c r="F47" s="54">
        <v>0.9</v>
      </c>
      <c r="G47" s="54">
        <v>798</v>
      </c>
      <c r="H47" s="38">
        <f t="shared" si="3"/>
        <v>0.71820000000000006</v>
      </c>
      <c r="I47" s="55">
        <f>F47/6*G47</f>
        <v>119.69999999999999</v>
      </c>
      <c r="J47" s="55">
        <f>F47/6*G47</f>
        <v>119.69999999999999</v>
      </c>
      <c r="K47" s="55">
        <f>F47/6*G47</f>
        <v>119.69999999999999</v>
      </c>
      <c r="L47" s="55">
        <f>F47/6*G47</f>
        <v>119.69999999999999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f>F47/6*G47</f>
        <v>119.69999999999999</v>
      </c>
      <c r="T47" s="55">
        <f>F47/6*G47</f>
        <v>119.69999999999999</v>
      </c>
      <c r="U47" s="39">
        <f>SUM(I47:T47)</f>
        <v>718.2</v>
      </c>
    </row>
    <row r="48" spans="1:21" hidden="1">
      <c r="A48" s="31" t="s">
        <v>78</v>
      </c>
      <c r="B48" s="11" t="s">
        <v>98</v>
      </c>
      <c r="C48" s="31" t="s">
        <v>42</v>
      </c>
      <c r="D48" s="11"/>
      <c r="E48" s="36"/>
      <c r="F48" s="37"/>
      <c r="G48" s="37">
        <v>1481.29</v>
      </c>
      <c r="H48" s="38">
        <f t="shared" si="3"/>
        <v>0</v>
      </c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s="19" customFormat="1">
      <c r="A49" s="42"/>
      <c r="B49" s="20" t="s">
        <v>35</v>
      </c>
      <c r="C49" s="43"/>
      <c r="D49" s="20"/>
      <c r="E49" s="44"/>
      <c r="F49" s="45" t="s">
        <v>73</v>
      </c>
      <c r="G49" s="45"/>
      <c r="H49" s="52">
        <f>SUM(H36:H48)</f>
        <v>155.01434929999996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>
        <f>SUM(U36:U47)</f>
        <v>155014.3493</v>
      </c>
    </row>
    <row r="50" spans="1:21">
      <c r="A50" s="31"/>
      <c r="B50" s="14" t="s">
        <v>99</v>
      </c>
      <c r="C50" s="31"/>
      <c r="D50" s="11"/>
      <c r="E50" s="36"/>
      <c r="F50" s="37"/>
      <c r="G50" s="37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>
      <c r="A51" s="31" t="s">
        <v>202</v>
      </c>
      <c r="B51" s="11" t="s">
        <v>203</v>
      </c>
      <c r="C51" s="31" t="s">
        <v>42</v>
      </c>
      <c r="D51" s="11" t="s">
        <v>100</v>
      </c>
      <c r="E51" s="36">
        <v>1150.5999999999999</v>
      </c>
      <c r="F51" s="37">
        <f>SUM(E51*2/1000)</f>
        <v>2.3011999999999997</v>
      </c>
      <c r="G51" s="56">
        <v>849.49</v>
      </c>
      <c r="H51" s="38">
        <f t="shared" ref="H51:H60" si="4">SUM(F51*G51/1000)</f>
        <v>1.9548463879999998</v>
      </c>
      <c r="I51" s="39">
        <v>0</v>
      </c>
      <c r="J51" s="39">
        <v>0</v>
      </c>
      <c r="K51" s="39">
        <v>0</v>
      </c>
      <c r="L51" s="39">
        <f>F51/2*G51</f>
        <v>977.42319399999985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f>F51/2*G51</f>
        <v>977.42319399999985</v>
      </c>
      <c r="S51" s="39">
        <v>0</v>
      </c>
      <c r="T51" s="39">
        <v>0</v>
      </c>
      <c r="U51" s="39">
        <f t="shared" ref="U51:U58" si="5">SUM(I51:T51)</f>
        <v>1954.8463879999997</v>
      </c>
    </row>
    <row r="52" spans="1:21">
      <c r="A52" s="31" t="s">
        <v>101</v>
      </c>
      <c r="B52" s="11" t="s">
        <v>102</v>
      </c>
      <c r="C52" s="31" t="s">
        <v>42</v>
      </c>
      <c r="D52" s="11" t="s">
        <v>100</v>
      </c>
      <c r="E52" s="36">
        <v>108.96</v>
      </c>
      <c r="F52" s="37">
        <f>SUM(E52*2/1000)</f>
        <v>0.21791999999999997</v>
      </c>
      <c r="G52" s="56">
        <v>579.48</v>
      </c>
      <c r="H52" s="38">
        <f t="shared" si="4"/>
        <v>0.12628028159999999</v>
      </c>
      <c r="I52" s="39">
        <v>0</v>
      </c>
      <c r="J52" s="39">
        <v>0</v>
      </c>
      <c r="K52" s="39">
        <v>0</v>
      </c>
      <c r="L52" s="39">
        <f>F52/2*G52</f>
        <v>63.140140799999998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f>F52/2*G52</f>
        <v>63.140140799999998</v>
      </c>
      <c r="S52" s="39">
        <v>0</v>
      </c>
      <c r="T52" s="39">
        <v>0</v>
      </c>
      <c r="U52" s="39">
        <f t="shared" si="5"/>
        <v>126.2802816</v>
      </c>
    </row>
    <row r="53" spans="1:21" ht="25.5">
      <c r="A53" s="31" t="s">
        <v>103</v>
      </c>
      <c r="B53" s="11" t="s">
        <v>104</v>
      </c>
      <c r="C53" s="31" t="s">
        <v>42</v>
      </c>
      <c r="D53" s="11" t="s">
        <v>100</v>
      </c>
      <c r="E53" s="36">
        <v>4224.3999999999996</v>
      </c>
      <c r="F53" s="37">
        <f>SUM(E53*2/1000)</f>
        <v>8.4487999999999985</v>
      </c>
      <c r="G53" s="56">
        <v>579.48</v>
      </c>
      <c r="H53" s="38">
        <f t="shared" si="4"/>
        <v>4.895910623999999</v>
      </c>
      <c r="I53" s="39">
        <v>0</v>
      </c>
      <c r="J53" s="39">
        <v>0</v>
      </c>
      <c r="K53" s="39">
        <v>0</v>
      </c>
      <c r="L53" s="39">
        <f>F53/2*G53</f>
        <v>2447.9553119999996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f>F53/2*G53</f>
        <v>2447.9553119999996</v>
      </c>
      <c r="S53" s="39">
        <v>0</v>
      </c>
      <c r="T53" s="39">
        <v>0</v>
      </c>
      <c r="U53" s="39">
        <f t="shared" si="5"/>
        <v>4895.9106239999992</v>
      </c>
    </row>
    <row r="54" spans="1:21">
      <c r="A54" s="31" t="s">
        <v>105</v>
      </c>
      <c r="B54" s="11" t="s">
        <v>106</v>
      </c>
      <c r="C54" s="31" t="s">
        <v>42</v>
      </c>
      <c r="D54" s="11" t="s">
        <v>100</v>
      </c>
      <c r="E54" s="36">
        <v>3059.7</v>
      </c>
      <c r="F54" s="37">
        <f>SUM(E54*2/1000)</f>
        <v>6.1193999999999997</v>
      </c>
      <c r="G54" s="56">
        <v>606.77</v>
      </c>
      <c r="H54" s="38">
        <f t="shared" si="4"/>
        <v>3.7130683379999998</v>
      </c>
      <c r="I54" s="39">
        <v>0</v>
      </c>
      <c r="J54" s="39">
        <v>0</v>
      </c>
      <c r="K54" s="39">
        <v>0</v>
      </c>
      <c r="L54" s="39">
        <f>F54/2*G54</f>
        <v>1856.5341689999998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f>F54/2*G54</f>
        <v>1856.5341689999998</v>
      </c>
      <c r="S54" s="39">
        <v>0</v>
      </c>
      <c r="T54" s="39">
        <v>0</v>
      </c>
      <c r="U54" s="39">
        <f t="shared" si="5"/>
        <v>3713.0683379999996</v>
      </c>
    </row>
    <row r="55" spans="1:21" ht="25.5">
      <c r="A55" s="31" t="s">
        <v>107</v>
      </c>
      <c r="B55" s="11" t="s">
        <v>108</v>
      </c>
      <c r="C55" s="31" t="s">
        <v>42</v>
      </c>
      <c r="D55" s="11" t="s">
        <v>109</v>
      </c>
      <c r="E55" s="36">
        <v>1150.5999999999999</v>
      </c>
      <c r="F55" s="37">
        <f>SUM(E55*5/1000)</f>
        <v>5.7530000000000001</v>
      </c>
      <c r="G55" s="56">
        <v>1213.55</v>
      </c>
      <c r="H55" s="38">
        <f t="shared" si="4"/>
        <v>6.9815531499999999</v>
      </c>
      <c r="I55" s="39">
        <f>F55/5*G55</f>
        <v>1396.3106299999999</v>
      </c>
      <c r="J55" s="39">
        <f>F55/5*G55</f>
        <v>1396.3106299999999</v>
      </c>
      <c r="K55" s="39">
        <v>0</v>
      </c>
      <c r="L55" s="39">
        <v>0</v>
      </c>
      <c r="M55" s="39">
        <f>F55/5*G55</f>
        <v>1396.3106299999999</v>
      </c>
      <c r="N55" s="39">
        <v>0</v>
      </c>
      <c r="O55" s="39">
        <v>0</v>
      </c>
      <c r="P55" s="39">
        <v>0</v>
      </c>
      <c r="Q55" s="39">
        <f>F55/5*G55</f>
        <v>1396.3106299999999</v>
      </c>
      <c r="R55" s="39">
        <v>0</v>
      </c>
      <c r="S55" s="39">
        <v>0</v>
      </c>
      <c r="T55" s="39">
        <f>F55/5*G55</f>
        <v>1396.3106299999999</v>
      </c>
      <c r="U55" s="39">
        <f t="shared" si="5"/>
        <v>6981.5531499999997</v>
      </c>
    </row>
    <row r="56" spans="1:21" ht="39.6" customHeight="1">
      <c r="A56" s="31" t="s">
        <v>110</v>
      </c>
      <c r="B56" s="11" t="s">
        <v>111</v>
      </c>
      <c r="C56" s="31" t="s">
        <v>42</v>
      </c>
      <c r="D56" s="11" t="s">
        <v>100</v>
      </c>
      <c r="E56" s="36">
        <v>1150.5999999999999</v>
      </c>
      <c r="F56" s="37">
        <f>SUM(E56*2/1000)</f>
        <v>2.3011999999999997</v>
      </c>
      <c r="G56" s="56">
        <v>1213.55</v>
      </c>
      <c r="H56" s="38">
        <f t="shared" si="4"/>
        <v>2.7926212599999993</v>
      </c>
      <c r="I56" s="39">
        <f>F56/2*G56</f>
        <v>1396.3106299999997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f>F56/2*G56</f>
        <v>1396.3106299999997</v>
      </c>
      <c r="R56" s="39">
        <v>0</v>
      </c>
      <c r="S56" s="39">
        <v>0</v>
      </c>
      <c r="T56" s="39">
        <v>0</v>
      </c>
      <c r="U56" s="39">
        <f t="shared" si="5"/>
        <v>2792.6212599999994</v>
      </c>
    </row>
    <row r="57" spans="1:21" ht="28.9" customHeight="1">
      <c r="A57" s="31" t="s">
        <v>112</v>
      </c>
      <c r="B57" s="11" t="s">
        <v>113</v>
      </c>
      <c r="C57" s="31" t="s">
        <v>114</v>
      </c>
      <c r="D57" s="11" t="s">
        <v>100</v>
      </c>
      <c r="E57" s="36">
        <v>30</v>
      </c>
      <c r="F57" s="37">
        <f>SUM(E57*2/100)</f>
        <v>0.6</v>
      </c>
      <c r="G57" s="56">
        <v>2730.49</v>
      </c>
      <c r="H57" s="38">
        <f t="shared" si="4"/>
        <v>1.6382939999999999</v>
      </c>
      <c r="I57" s="39">
        <f>F57/2*G57</f>
        <v>819.14699999999993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f>F57*G57</f>
        <v>1638.2939999999999</v>
      </c>
      <c r="R57" s="39">
        <v>0</v>
      </c>
      <c r="S57" s="39">
        <v>0</v>
      </c>
      <c r="T57" s="39">
        <v>0</v>
      </c>
      <c r="U57" s="39">
        <f t="shared" si="5"/>
        <v>2457.4409999999998</v>
      </c>
    </row>
    <row r="58" spans="1:21">
      <c r="A58" s="31" t="s">
        <v>115</v>
      </c>
      <c r="B58" s="11" t="s">
        <v>116</v>
      </c>
      <c r="C58" s="31" t="s">
        <v>117</v>
      </c>
      <c r="D58" s="11" t="s">
        <v>100</v>
      </c>
      <c r="E58" s="36">
        <v>1</v>
      </c>
      <c r="F58" s="37">
        <v>0.02</v>
      </c>
      <c r="G58" s="56">
        <v>5652.13</v>
      </c>
      <c r="H58" s="38">
        <f t="shared" si="4"/>
        <v>0.11304260000000001</v>
      </c>
      <c r="I58" s="39">
        <f>F58/2*G58</f>
        <v>56.521300000000004</v>
      </c>
      <c r="J58" s="39">
        <v>0</v>
      </c>
      <c r="K58" s="39">
        <v>0</v>
      </c>
      <c r="L58" s="39">
        <v>0</v>
      </c>
      <c r="M58" s="39">
        <v>0</v>
      </c>
      <c r="N58" s="39">
        <f>F58/2*G58</f>
        <v>56.521300000000004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f t="shared" si="5"/>
        <v>113.04260000000001</v>
      </c>
    </row>
    <row r="59" spans="1:21" ht="13.5" customHeight="1">
      <c r="A59" s="31" t="s">
        <v>119</v>
      </c>
      <c r="B59" s="11" t="s">
        <v>120</v>
      </c>
      <c r="C59" s="31" t="s">
        <v>118</v>
      </c>
      <c r="D59" s="11" t="s">
        <v>194</v>
      </c>
      <c r="E59" s="36">
        <v>158</v>
      </c>
      <c r="F59" s="37">
        <f>SUM(E59)*3</f>
        <v>474</v>
      </c>
      <c r="G59" s="57">
        <v>65.67</v>
      </c>
      <c r="H59" s="38">
        <f t="shared" si="4"/>
        <v>31.127580000000002</v>
      </c>
      <c r="I59" s="39">
        <v>0</v>
      </c>
      <c r="J59" s="39">
        <f>E59*G59</f>
        <v>10375.86</v>
      </c>
      <c r="K59" s="39">
        <v>0</v>
      </c>
      <c r="L59" s="39">
        <f>E59*G59</f>
        <v>10375.86</v>
      </c>
      <c r="M59" s="39">
        <v>0</v>
      </c>
      <c r="N59" s="39">
        <v>0</v>
      </c>
      <c r="O59" s="39">
        <v>0</v>
      </c>
      <c r="P59" s="39">
        <f>E59*G59</f>
        <v>10375.86</v>
      </c>
      <c r="Q59" s="39">
        <v>0</v>
      </c>
      <c r="R59" s="39">
        <v>0</v>
      </c>
      <c r="S59" s="39">
        <v>0</v>
      </c>
      <c r="T59" s="39">
        <v>0</v>
      </c>
      <c r="U59" s="39">
        <f>SUM(I59:T60)</f>
        <v>31127.58</v>
      </c>
    </row>
    <row r="60" spans="1:21" s="2" customFormat="1" hidden="1">
      <c r="A60" s="53"/>
      <c r="B60" s="13" t="s">
        <v>121</v>
      </c>
      <c r="C60" s="53"/>
      <c r="D60" s="11" t="s">
        <v>122</v>
      </c>
      <c r="E60" s="50"/>
      <c r="F60" s="54"/>
      <c r="G60" s="54">
        <v>5750</v>
      </c>
      <c r="H60" s="58">
        <f t="shared" si="4"/>
        <v>0</v>
      </c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  <row r="61" spans="1:21" s="21" customFormat="1">
      <c r="A61" s="59"/>
      <c r="B61" s="20" t="s">
        <v>35</v>
      </c>
      <c r="C61" s="60"/>
      <c r="D61" s="20"/>
      <c r="E61" s="61"/>
      <c r="F61" s="62"/>
      <c r="G61" s="62"/>
      <c r="H61" s="52">
        <f>SUM(H51:H59)</f>
        <v>53.343196641600002</v>
      </c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>
        <f>SUM(U51:U59)</f>
        <v>54162.343641599997</v>
      </c>
    </row>
    <row r="62" spans="1:21">
      <c r="A62" s="31"/>
      <c r="B62" s="12" t="s">
        <v>123</v>
      </c>
      <c r="C62" s="31"/>
      <c r="D62" s="11"/>
      <c r="E62" s="36"/>
      <c r="F62" s="37"/>
      <c r="G62" s="37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idden="1">
      <c r="A63" s="31" t="s">
        <v>124</v>
      </c>
      <c r="B63" s="11" t="s">
        <v>125</v>
      </c>
      <c r="C63" s="31" t="s">
        <v>14</v>
      </c>
      <c r="D63" s="11" t="s">
        <v>100</v>
      </c>
      <c r="E63" s="36">
        <v>946</v>
      </c>
      <c r="F63" s="37">
        <f>SUM(E63*2/100)</f>
        <v>18.920000000000002</v>
      </c>
      <c r="G63" s="56">
        <v>0</v>
      </c>
      <c r="H63" s="38">
        <f>SUM(F63*G63/1000)</f>
        <v>0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24.75" hidden="1" customHeight="1">
      <c r="A64" s="31" t="s">
        <v>126</v>
      </c>
      <c r="B64" s="11" t="s">
        <v>127</v>
      </c>
      <c r="C64" s="31" t="s">
        <v>14</v>
      </c>
      <c r="D64" s="11" t="s">
        <v>65</v>
      </c>
      <c r="E64" s="36"/>
      <c r="F64" s="37"/>
      <c r="G64" s="37">
        <v>1090.82</v>
      </c>
      <c r="H64" s="38">
        <f>SUM(F64*G64/1000)</f>
        <v>0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38.25">
      <c r="A65" s="31" t="s">
        <v>126</v>
      </c>
      <c r="B65" s="11" t="s">
        <v>128</v>
      </c>
      <c r="C65" s="31" t="s">
        <v>14</v>
      </c>
      <c r="D65" s="11" t="s">
        <v>204</v>
      </c>
      <c r="E65" s="64">
        <v>6</v>
      </c>
      <c r="F65" s="56">
        <f>E65*8/100</f>
        <v>0.48</v>
      </c>
      <c r="G65" s="54">
        <v>1547.28</v>
      </c>
      <c r="H65" s="38">
        <f>SUM(F65*G65/1000)</f>
        <v>0.74269439999999998</v>
      </c>
      <c r="I65" s="39">
        <f>F65/6*G65</f>
        <v>123.7824</v>
      </c>
      <c r="J65" s="39">
        <f>F65/6*G65</f>
        <v>123.7824</v>
      </c>
      <c r="K65" s="39">
        <f>F65/6*G65</f>
        <v>123.7824</v>
      </c>
      <c r="L65" s="39">
        <f>F65/6*G65</f>
        <v>123.7824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f>F65/6*G65</f>
        <v>123.7824</v>
      </c>
      <c r="T65" s="39">
        <f>F65/6*G65</f>
        <v>123.7824</v>
      </c>
      <c r="U65" s="39">
        <f>SUM(I65:T65)</f>
        <v>742.69440000000009</v>
      </c>
    </row>
    <row r="66" spans="1:21" hidden="1">
      <c r="A66" s="31"/>
      <c r="B66" s="12" t="s">
        <v>129</v>
      </c>
      <c r="C66" s="31"/>
      <c r="D66" s="11"/>
      <c r="E66" s="36"/>
      <c r="F66" s="37"/>
      <c r="G66" s="37"/>
      <c r="H66" s="38" t="s">
        <v>73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idden="1">
      <c r="A67" s="31" t="s">
        <v>130</v>
      </c>
      <c r="B67" s="11" t="s">
        <v>131</v>
      </c>
      <c r="C67" s="31" t="s">
        <v>14</v>
      </c>
      <c r="D67" s="11" t="s">
        <v>49</v>
      </c>
      <c r="E67" s="36">
        <v>938</v>
      </c>
      <c r="F67" s="37">
        <f>SUM(E67/100)</f>
        <v>9.3800000000000008</v>
      </c>
      <c r="G67" s="56">
        <v>0</v>
      </c>
      <c r="H67" s="38">
        <f>SUM(F67*G67/1000)</f>
        <v>0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idden="1">
      <c r="A68" s="31"/>
      <c r="B68" s="11" t="s">
        <v>132</v>
      </c>
      <c r="C68" s="31" t="s">
        <v>133</v>
      </c>
      <c r="D68" s="11" t="s">
        <v>134</v>
      </c>
      <c r="E68" s="50"/>
      <c r="F68" s="37"/>
      <c r="G68" s="56">
        <v>0</v>
      </c>
      <c r="H68" s="38">
        <v>0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25.5" hidden="1">
      <c r="A69" s="31" t="s">
        <v>135</v>
      </c>
      <c r="B69" s="11" t="s">
        <v>136</v>
      </c>
      <c r="C69" s="31" t="s">
        <v>23</v>
      </c>
      <c r="D69" s="11" t="s">
        <v>49</v>
      </c>
      <c r="E69" s="36"/>
      <c r="F69" s="37"/>
      <c r="G69" s="65">
        <v>1863.87</v>
      </c>
      <c r="H69" s="38">
        <f>SUM(F69*G69/1000)</f>
        <v>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>
      <c r="A70" s="31" t="s">
        <v>205</v>
      </c>
      <c r="B70" s="11" t="s">
        <v>206</v>
      </c>
      <c r="C70" s="31" t="s">
        <v>207</v>
      </c>
      <c r="D70" s="11" t="s">
        <v>100</v>
      </c>
      <c r="E70" s="36">
        <v>6</v>
      </c>
      <c r="F70" s="37">
        <v>12</v>
      </c>
      <c r="G70" s="66">
        <v>180.78</v>
      </c>
      <c r="H70" s="38">
        <f>F70*G70/1000</f>
        <v>2.1693600000000002</v>
      </c>
      <c r="I70" s="39">
        <f>F70/6*G70</f>
        <v>361.56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f>SUM(I70:T70)</f>
        <v>361.56</v>
      </c>
    </row>
    <row r="71" spans="1:21" ht="12.75" hidden="1" customHeight="1">
      <c r="A71" s="31" t="s">
        <v>137</v>
      </c>
      <c r="B71" s="11" t="s">
        <v>138</v>
      </c>
      <c r="C71" s="31" t="s">
        <v>139</v>
      </c>
      <c r="D71" s="11" t="s">
        <v>49</v>
      </c>
      <c r="E71" s="36"/>
      <c r="F71" s="37"/>
      <c r="G71" s="65">
        <v>10305.030000000001</v>
      </c>
      <c r="H71" s="38">
        <f t="shared" ref="H71:H92" si="6">SUM(F71*G71/1000)</f>
        <v>0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2.75" hidden="1" customHeight="1">
      <c r="A72" s="31" t="s">
        <v>140</v>
      </c>
      <c r="B72" s="11" t="s">
        <v>141</v>
      </c>
      <c r="C72" s="31" t="s">
        <v>142</v>
      </c>
      <c r="D72" s="11" t="s">
        <v>49</v>
      </c>
      <c r="E72" s="36"/>
      <c r="F72" s="37"/>
      <c r="G72" s="65">
        <v>1854.76</v>
      </c>
      <c r="H72" s="38">
        <f t="shared" si="6"/>
        <v>0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2.75" customHeight="1">
      <c r="A73" s="67"/>
      <c r="B73" s="27" t="s">
        <v>129</v>
      </c>
      <c r="C73" s="67"/>
      <c r="D73" s="26"/>
      <c r="E73" s="68"/>
      <c r="F73" s="69"/>
      <c r="G73" s="70"/>
      <c r="H73" s="71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2.75" customHeight="1">
      <c r="A74" s="67"/>
      <c r="B74" s="26" t="s">
        <v>208</v>
      </c>
      <c r="C74" s="67" t="s">
        <v>133</v>
      </c>
      <c r="D74" s="26"/>
      <c r="E74" s="68">
        <v>232.6</v>
      </c>
      <c r="F74" s="69">
        <f>E74*12</f>
        <v>2791.2</v>
      </c>
      <c r="G74" s="72">
        <v>2.5960000000000001</v>
      </c>
      <c r="H74" s="71">
        <f>G74*F74</f>
        <v>7245.9551999999994</v>
      </c>
      <c r="I74" s="39">
        <f>F74/12*G74</f>
        <v>603.82960000000003</v>
      </c>
      <c r="J74" s="39">
        <f>F74/12*G74</f>
        <v>603.82960000000003</v>
      </c>
      <c r="K74" s="39">
        <f>F74/12*G74</f>
        <v>603.82960000000003</v>
      </c>
      <c r="L74" s="39">
        <f>F74/12*G74</f>
        <v>603.82960000000003</v>
      </c>
      <c r="M74" s="39">
        <f>F74/12*G74</f>
        <v>603.82960000000003</v>
      </c>
      <c r="N74" s="39">
        <f>F74/12*G74</f>
        <v>603.82960000000003</v>
      </c>
      <c r="O74" s="39">
        <f>F74/12*G74</f>
        <v>603.82960000000003</v>
      </c>
      <c r="P74" s="39">
        <f>F74/12*G74</f>
        <v>603.82960000000003</v>
      </c>
      <c r="Q74" s="39">
        <f>F74/12*G74</f>
        <v>603.82960000000003</v>
      </c>
      <c r="R74" s="39">
        <f>F74/12*G74</f>
        <v>603.82960000000003</v>
      </c>
      <c r="S74" s="39">
        <f>F74/12*G74</f>
        <v>603.82960000000003</v>
      </c>
      <c r="T74" s="39">
        <f>F74/12*G74</f>
        <v>603.82960000000003</v>
      </c>
      <c r="U74" s="39">
        <f>SUM(I74:T74)</f>
        <v>7245.9552000000003</v>
      </c>
    </row>
    <row r="75" spans="1:21">
      <c r="A75" s="67"/>
      <c r="B75" s="15" t="s">
        <v>143</v>
      </c>
      <c r="C75" s="67"/>
      <c r="D75" s="26"/>
      <c r="E75" s="68"/>
      <c r="F75" s="69"/>
      <c r="G75" s="69"/>
      <c r="H75" s="71" t="s">
        <v>73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2.75" customHeight="1">
      <c r="A76" s="73" t="s">
        <v>144</v>
      </c>
      <c r="B76" s="16" t="s">
        <v>145</v>
      </c>
      <c r="C76" s="73" t="s">
        <v>118</v>
      </c>
      <c r="D76" s="9" t="s">
        <v>65</v>
      </c>
      <c r="E76" s="74">
        <v>15</v>
      </c>
      <c r="F76" s="37">
        <v>15</v>
      </c>
      <c r="G76" s="56">
        <v>209.41</v>
      </c>
      <c r="H76" s="158">
        <f t="shared" si="6"/>
        <v>3.1411500000000001</v>
      </c>
      <c r="I76" s="39">
        <v>0</v>
      </c>
      <c r="J76" s="39">
        <f>G76</f>
        <v>209.41</v>
      </c>
      <c r="K76" s="39">
        <v>0</v>
      </c>
      <c r="L76" s="39">
        <v>0</v>
      </c>
      <c r="M76" s="39">
        <v>0</v>
      </c>
      <c r="N76" s="39">
        <f>G76*5</f>
        <v>1047.05</v>
      </c>
      <c r="O76" s="39">
        <f>G76*8</f>
        <v>1675.28</v>
      </c>
      <c r="P76" s="39">
        <f>G76*6</f>
        <v>1256.46</v>
      </c>
      <c r="Q76" s="39">
        <v>0</v>
      </c>
      <c r="R76" s="39">
        <f>G76</f>
        <v>209.41</v>
      </c>
      <c r="S76" s="39">
        <f>G76*13</f>
        <v>2722.33</v>
      </c>
      <c r="T76" s="39">
        <f>G76*6</f>
        <v>1256.46</v>
      </c>
      <c r="U76" s="39">
        <f t="shared" ref="U76:U83" si="7">SUM(I76:T76)</f>
        <v>8376.4</v>
      </c>
    </row>
    <row r="77" spans="1:21" ht="12.75" customHeight="1">
      <c r="A77" s="73" t="s">
        <v>146</v>
      </c>
      <c r="B77" s="16" t="s">
        <v>147</v>
      </c>
      <c r="C77" s="73" t="s">
        <v>118</v>
      </c>
      <c r="D77" s="9" t="s">
        <v>65</v>
      </c>
      <c r="E77" s="74">
        <v>5</v>
      </c>
      <c r="F77" s="37">
        <v>5</v>
      </c>
      <c r="G77" s="56">
        <v>71.790000000000006</v>
      </c>
      <c r="H77" s="158">
        <f t="shared" si="6"/>
        <v>0.35895000000000005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f t="shared" si="7"/>
        <v>0</v>
      </c>
    </row>
    <row r="78" spans="1:21" s="2" customFormat="1">
      <c r="A78" s="75" t="s">
        <v>148</v>
      </c>
      <c r="B78" s="16" t="s">
        <v>149</v>
      </c>
      <c r="C78" s="75" t="s">
        <v>150</v>
      </c>
      <c r="D78" s="9" t="s">
        <v>49</v>
      </c>
      <c r="E78" s="36">
        <v>18281</v>
      </c>
      <c r="F78" s="57">
        <f>SUM(E78/100)</f>
        <v>182.81</v>
      </c>
      <c r="G78" s="56">
        <v>199.77</v>
      </c>
      <c r="H78" s="158">
        <f t="shared" si="6"/>
        <v>36.519953700000002</v>
      </c>
      <c r="I78" s="55">
        <v>0</v>
      </c>
      <c r="J78" s="55">
        <v>0</v>
      </c>
      <c r="K78" s="55">
        <v>0</v>
      </c>
      <c r="L78" s="55">
        <v>0</v>
      </c>
      <c r="M78" s="55">
        <f>F78*G78</f>
        <v>36519.953700000005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39">
        <f t="shared" si="7"/>
        <v>36519.953700000005</v>
      </c>
    </row>
    <row r="79" spans="1:21" ht="25.5">
      <c r="A79" s="73" t="s">
        <v>151</v>
      </c>
      <c r="B79" s="16" t="s">
        <v>152</v>
      </c>
      <c r="C79" s="73" t="s">
        <v>153</v>
      </c>
      <c r="D79" s="9"/>
      <c r="E79" s="36">
        <v>18281</v>
      </c>
      <c r="F79" s="56">
        <f>SUM(E79/1000)</f>
        <v>18.280999999999999</v>
      </c>
      <c r="G79" s="56">
        <v>155.57</v>
      </c>
      <c r="H79" s="158">
        <f t="shared" si="6"/>
        <v>2.8439751699999998</v>
      </c>
      <c r="I79" s="39">
        <v>0</v>
      </c>
      <c r="J79" s="39">
        <v>0</v>
      </c>
      <c r="K79" s="39">
        <v>0</v>
      </c>
      <c r="L79" s="39">
        <v>0</v>
      </c>
      <c r="M79" s="39">
        <f>F79*G79</f>
        <v>2843.9751699999997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f t="shared" si="7"/>
        <v>2843.9751699999997</v>
      </c>
    </row>
    <row r="80" spans="1:21">
      <c r="A80" s="73" t="s">
        <v>154</v>
      </c>
      <c r="B80" s="16" t="s">
        <v>155</v>
      </c>
      <c r="C80" s="73" t="s">
        <v>156</v>
      </c>
      <c r="D80" s="9" t="s">
        <v>49</v>
      </c>
      <c r="E80" s="36">
        <v>2730</v>
      </c>
      <c r="F80" s="56">
        <f>SUM(E80/100)</f>
        <v>27.3</v>
      </c>
      <c r="G80" s="56">
        <v>1953.52</v>
      </c>
      <c r="H80" s="158">
        <f t="shared" si="6"/>
        <v>53.331095999999995</v>
      </c>
      <c r="I80" s="39">
        <v>0</v>
      </c>
      <c r="J80" s="39">
        <v>0</v>
      </c>
      <c r="K80" s="39">
        <v>0</v>
      </c>
      <c r="L80" s="39">
        <v>0</v>
      </c>
      <c r="M80" s="39">
        <f>F80*G80</f>
        <v>53331.095999999998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f t="shared" si="7"/>
        <v>53331.095999999998</v>
      </c>
    </row>
    <row r="81" spans="1:21">
      <c r="A81" s="73"/>
      <c r="B81" s="17" t="s">
        <v>195</v>
      </c>
      <c r="C81" s="73" t="s">
        <v>56</v>
      </c>
      <c r="D81" s="9"/>
      <c r="E81" s="36">
        <v>16.399999999999999</v>
      </c>
      <c r="F81" s="56">
        <f>SUM(E81)</f>
        <v>16.399999999999999</v>
      </c>
      <c r="G81" s="56">
        <v>42.67</v>
      </c>
      <c r="H81" s="158">
        <f t="shared" si="6"/>
        <v>0.69978799999999997</v>
      </c>
      <c r="I81" s="39">
        <v>0</v>
      </c>
      <c r="J81" s="39">
        <v>0</v>
      </c>
      <c r="K81" s="39">
        <v>0</v>
      </c>
      <c r="L81" s="39">
        <v>0</v>
      </c>
      <c r="M81" s="39">
        <f>F81*G81</f>
        <v>699.78800000000001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f t="shared" si="7"/>
        <v>699.78800000000001</v>
      </c>
    </row>
    <row r="82" spans="1:21" ht="25.5">
      <c r="A82" s="73"/>
      <c r="B82" s="17" t="s">
        <v>196</v>
      </c>
      <c r="C82" s="73" t="s">
        <v>56</v>
      </c>
      <c r="D82" s="9"/>
      <c r="E82" s="36">
        <v>16.399999999999999</v>
      </c>
      <c r="F82" s="56">
        <f>SUM(E82)</f>
        <v>16.399999999999999</v>
      </c>
      <c r="G82" s="56">
        <v>39.81</v>
      </c>
      <c r="H82" s="158">
        <f t="shared" si="6"/>
        <v>0.65288400000000002</v>
      </c>
      <c r="I82" s="39">
        <v>0</v>
      </c>
      <c r="J82" s="39">
        <v>0</v>
      </c>
      <c r="K82" s="39">
        <v>0</v>
      </c>
      <c r="L82" s="39">
        <v>0</v>
      </c>
      <c r="M82" s="39">
        <f>F82*G82</f>
        <v>652.88400000000001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f t="shared" si="7"/>
        <v>652.88400000000001</v>
      </c>
    </row>
    <row r="83" spans="1:21">
      <c r="A83" s="73" t="s">
        <v>157</v>
      </c>
      <c r="B83" s="9" t="s">
        <v>158</v>
      </c>
      <c r="C83" s="73" t="s">
        <v>159</v>
      </c>
      <c r="D83" s="9" t="s">
        <v>49</v>
      </c>
      <c r="E83" s="74">
        <v>7</v>
      </c>
      <c r="F83" s="37">
        <f>SUM(E83)</f>
        <v>7</v>
      </c>
      <c r="G83" s="56">
        <v>46.97</v>
      </c>
      <c r="H83" s="158">
        <f t="shared" si="6"/>
        <v>0.32878999999999997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f>F83*G83</f>
        <v>328.78999999999996</v>
      </c>
      <c r="R83" s="39">
        <v>0</v>
      </c>
      <c r="S83" s="39">
        <v>0</v>
      </c>
      <c r="T83" s="39">
        <v>0</v>
      </c>
      <c r="U83" s="39">
        <f t="shared" si="7"/>
        <v>328.78999999999996</v>
      </c>
    </row>
    <row r="84" spans="1:21">
      <c r="A84" s="73"/>
      <c r="B84" s="18" t="s">
        <v>160</v>
      </c>
      <c r="C84" s="73"/>
      <c r="D84" s="9"/>
      <c r="E84" s="74"/>
      <c r="F84" s="56"/>
      <c r="G84" s="56"/>
      <c r="H84" s="158" t="s">
        <v>73</v>
      </c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idden="1">
      <c r="A85" s="73" t="s">
        <v>161</v>
      </c>
      <c r="B85" s="9" t="s">
        <v>162</v>
      </c>
      <c r="C85" s="73" t="s">
        <v>118</v>
      </c>
      <c r="D85" s="9"/>
      <c r="E85" s="74"/>
      <c r="F85" s="56"/>
      <c r="G85" s="56" t="s">
        <v>73</v>
      </c>
      <c r="H85" s="158">
        <v>0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idden="1">
      <c r="A86" s="73" t="s">
        <v>163</v>
      </c>
      <c r="B86" s="9" t="s">
        <v>164</v>
      </c>
      <c r="C86" s="73" t="s">
        <v>118</v>
      </c>
      <c r="D86" s="9"/>
      <c r="E86" s="74"/>
      <c r="F86" s="56"/>
      <c r="G86" s="56">
        <v>65.72</v>
      </c>
      <c r="H86" s="158">
        <f t="shared" si="6"/>
        <v>0</v>
      </c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idden="1">
      <c r="A87" s="73" t="s">
        <v>165</v>
      </c>
      <c r="B87" s="9" t="s">
        <v>166</v>
      </c>
      <c r="C87" s="73" t="s">
        <v>118</v>
      </c>
      <c r="D87" s="9"/>
      <c r="E87" s="74"/>
      <c r="F87" s="56"/>
      <c r="G87" s="56">
        <v>82.33</v>
      </c>
      <c r="H87" s="158">
        <f t="shared" si="6"/>
        <v>0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>
      <c r="A88" s="73" t="s">
        <v>167</v>
      </c>
      <c r="B88" s="9" t="s">
        <v>168</v>
      </c>
      <c r="C88" s="73" t="s">
        <v>52</v>
      </c>
      <c r="D88" s="9"/>
      <c r="E88" s="74">
        <v>1</v>
      </c>
      <c r="F88" s="37">
        <f>SUM(E88)</f>
        <v>1</v>
      </c>
      <c r="G88" s="56">
        <v>337.58</v>
      </c>
      <c r="H88" s="158">
        <f t="shared" si="6"/>
        <v>0.33757999999999999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f>SUM(I88:T88)</f>
        <v>0</v>
      </c>
    </row>
    <row r="89" spans="1:21" hidden="1">
      <c r="A89" s="73" t="s">
        <v>169</v>
      </c>
      <c r="B89" s="9" t="s">
        <v>170</v>
      </c>
      <c r="C89" s="73" t="s">
        <v>171</v>
      </c>
      <c r="D89" s="9"/>
      <c r="E89" s="74"/>
      <c r="F89" s="56"/>
      <c r="G89" s="56">
        <v>31.54</v>
      </c>
      <c r="H89" s="158">
        <f t="shared" si="6"/>
        <v>0</v>
      </c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>
      <c r="A90" s="73" t="s">
        <v>197</v>
      </c>
      <c r="B90" s="9" t="s">
        <v>198</v>
      </c>
      <c r="C90" s="73" t="s">
        <v>52</v>
      </c>
      <c r="D90" s="9"/>
      <c r="E90" s="74">
        <v>2</v>
      </c>
      <c r="F90" s="56">
        <v>2</v>
      </c>
      <c r="G90" s="56">
        <v>803.19</v>
      </c>
      <c r="H90" s="158">
        <f>F90*G90/1000</f>
        <v>1.6063800000000001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f>SUM(I90:T90)</f>
        <v>0</v>
      </c>
    </row>
    <row r="91" spans="1:21">
      <c r="A91" s="73"/>
      <c r="B91" s="76" t="s">
        <v>172</v>
      </c>
      <c r="C91" s="73"/>
      <c r="D91" s="9"/>
      <c r="E91" s="74"/>
      <c r="F91" s="56"/>
      <c r="G91" s="56" t="s">
        <v>73</v>
      </c>
      <c r="H91" s="158" t="s">
        <v>73</v>
      </c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s="2" customFormat="1">
      <c r="A92" s="75" t="s">
        <v>173</v>
      </c>
      <c r="B92" s="77" t="s">
        <v>174</v>
      </c>
      <c r="C92" s="75" t="s">
        <v>156</v>
      </c>
      <c r="D92" s="16"/>
      <c r="E92" s="78"/>
      <c r="F92" s="57">
        <v>1.35</v>
      </c>
      <c r="G92" s="57">
        <v>2494</v>
      </c>
      <c r="H92" s="158">
        <f t="shared" si="6"/>
        <v>3.3669000000000002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39">
        <f>SUM(I92:T92)</f>
        <v>0</v>
      </c>
    </row>
    <row r="93" spans="1:21" s="21" customFormat="1">
      <c r="A93" s="79"/>
      <c r="B93" s="20" t="s">
        <v>35</v>
      </c>
      <c r="C93" s="80"/>
      <c r="D93" s="81"/>
      <c r="E93" s="82"/>
      <c r="F93" s="63"/>
      <c r="G93" s="63"/>
      <c r="H93" s="83">
        <f>SUM(H64:H92)</f>
        <v>7352.054701269999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>
        <f>SUM(U64:U92)</f>
        <v>111103.09647</v>
      </c>
    </row>
    <row r="94" spans="1:21">
      <c r="A94" s="164" t="s">
        <v>241</v>
      </c>
      <c r="B94" s="11" t="s">
        <v>242</v>
      </c>
      <c r="C94" s="85" t="s">
        <v>243</v>
      </c>
      <c r="D94" s="86"/>
      <c r="E94" s="165"/>
      <c r="F94" s="87">
        <f>88/10</f>
        <v>8.8000000000000007</v>
      </c>
      <c r="G94" s="88">
        <v>9</v>
      </c>
      <c r="H94" s="158">
        <f>G94*F94/1000</f>
        <v>7.9200000000000007E-2</v>
      </c>
      <c r="I94" s="39">
        <v>0</v>
      </c>
      <c r="J94" s="39">
        <v>0</v>
      </c>
      <c r="K94" s="39">
        <v>0</v>
      </c>
      <c r="L94" s="39">
        <v>0</v>
      </c>
      <c r="M94" s="40">
        <v>0</v>
      </c>
      <c r="N94" s="39">
        <f>F94*G94</f>
        <v>79.2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f>SUM(I94:T94)</f>
        <v>79.2</v>
      </c>
    </row>
    <row r="95" spans="1:21" ht="12.75" customHeight="1">
      <c r="A95" s="89"/>
      <c r="B95" s="84" t="s">
        <v>175</v>
      </c>
      <c r="C95" s="73" t="s">
        <v>176</v>
      </c>
      <c r="D95" s="90"/>
      <c r="E95" s="56">
        <v>4224.3999999999996</v>
      </c>
      <c r="F95" s="56">
        <f>SUM(E95*12)</f>
        <v>50692.799999999996</v>
      </c>
      <c r="G95" s="91">
        <v>2.1</v>
      </c>
      <c r="H95" s="158">
        <f>SUM(F95*G95/1000)</f>
        <v>106.45487999999999</v>
      </c>
      <c r="I95" s="39">
        <f>F95/12*G95</f>
        <v>8871.24</v>
      </c>
      <c r="J95" s="39">
        <f>F95/12*G95</f>
        <v>8871.24</v>
      </c>
      <c r="K95" s="39">
        <f>F95/12*G95</f>
        <v>8871.24</v>
      </c>
      <c r="L95" s="39">
        <f>F95/12*G95</f>
        <v>8871.24</v>
      </c>
      <c r="M95" s="39">
        <f>F95/12*G95</f>
        <v>8871.24</v>
      </c>
      <c r="N95" s="39">
        <f>F95/12*G95</f>
        <v>8871.24</v>
      </c>
      <c r="O95" s="39">
        <f>F95/12*G95</f>
        <v>8871.24</v>
      </c>
      <c r="P95" s="39">
        <f>F95/12*G95</f>
        <v>8871.24</v>
      </c>
      <c r="Q95" s="39">
        <f>F95/12*G95</f>
        <v>8871.24</v>
      </c>
      <c r="R95" s="39">
        <f>F95/12*G95</f>
        <v>8871.24</v>
      </c>
      <c r="S95" s="39">
        <f>F95/12*G95</f>
        <v>8871.24</v>
      </c>
      <c r="T95" s="39">
        <f>F95/12*G95</f>
        <v>8871.24</v>
      </c>
      <c r="U95" s="39">
        <f>SUM(I95:T95)</f>
        <v>106454.88000000002</v>
      </c>
    </row>
    <row r="96" spans="1:21" hidden="1">
      <c r="A96" s="73" t="s">
        <v>177</v>
      </c>
      <c r="B96" s="9" t="s">
        <v>178</v>
      </c>
      <c r="C96" s="67" t="s">
        <v>14</v>
      </c>
      <c r="D96" s="9"/>
      <c r="E96" s="74">
        <v>30</v>
      </c>
      <c r="F96" s="56">
        <f>E96/100</f>
        <v>0.3</v>
      </c>
      <c r="G96" s="56">
        <v>0</v>
      </c>
      <c r="H96" s="158">
        <f>F96*G96/1000</f>
        <v>0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6" s="19" customFormat="1">
      <c r="A97" s="92"/>
      <c r="B97" s="20" t="s">
        <v>35</v>
      </c>
      <c r="C97" s="93"/>
      <c r="D97" s="94"/>
      <c r="E97" s="95"/>
      <c r="F97" s="47"/>
      <c r="G97" s="96"/>
      <c r="H97" s="48">
        <f>SUM(H94:H96)</f>
        <v>106.53407999999999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>
        <f>SUM(U94:U96)</f>
        <v>106534.08000000002</v>
      </c>
    </row>
    <row r="98" spans="1:26" ht="35.25" customHeight="1">
      <c r="A98" s="97"/>
      <c r="B98" s="9" t="s">
        <v>179</v>
      </c>
      <c r="C98" s="73"/>
      <c r="D98" s="98"/>
      <c r="E98" s="36">
        <f>E95</f>
        <v>4224.3999999999996</v>
      </c>
      <c r="F98" s="56">
        <f>E98*12</f>
        <v>50692.799999999996</v>
      </c>
      <c r="G98" s="56">
        <v>1.63</v>
      </c>
      <c r="H98" s="158">
        <f>F98*G98/1000</f>
        <v>82.629263999999978</v>
      </c>
      <c r="I98" s="39">
        <f>F98/12*G98</f>
        <v>6885.771999999999</v>
      </c>
      <c r="J98" s="39">
        <f>F98/12*G98</f>
        <v>6885.771999999999</v>
      </c>
      <c r="K98" s="39">
        <f>F98/12*G98</f>
        <v>6885.771999999999</v>
      </c>
      <c r="L98" s="39">
        <f>F98/12*G98</f>
        <v>6885.771999999999</v>
      </c>
      <c r="M98" s="39">
        <f>F98/12*G98</f>
        <v>6885.771999999999</v>
      </c>
      <c r="N98" s="39">
        <f>F98/12*G98</f>
        <v>6885.771999999999</v>
      </c>
      <c r="O98" s="39">
        <f>F98/12*G98</f>
        <v>6885.771999999999</v>
      </c>
      <c r="P98" s="39">
        <f>F98/12*G98</f>
        <v>6885.771999999999</v>
      </c>
      <c r="Q98" s="39">
        <f>F98/12*G98</f>
        <v>6885.771999999999</v>
      </c>
      <c r="R98" s="39">
        <f>F98/12*G98</f>
        <v>6885.771999999999</v>
      </c>
      <c r="S98" s="39">
        <f>F98/12*G98</f>
        <v>6885.771999999999</v>
      </c>
      <c r="T98" s="39">
        <f>F98/12*G98</f>
        <v>6885.771999999999</v>
      </c>
      <c r="U98" s="39">
        <f>SUM(I98:T98)</f>
        <v>82629.263999999981</v>
      </c>
    </row>
    <row r="99" spans="1:26" s="19" customFormat="1">
      <c r="A99" s="92"/>
      <c r="B99" s="99" t="s">
        <v>180</v>
      </c>
      <c r="C99" s="100"/>
      <c r="D99" s="99"/>
      <c r="E99" s="47"/>
      <c r="F99" s="47"/>
      <c r="G99" s="47"/>
      <c r="H99" s="83">
        <f>H98</f>
        <v>82.629263999999978</v>
      </c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160">
        <f>U98</f>
        <v>82629.263999999981</v>
      </c>
    </row>
    <row r="100" spans="1:26" s="19" customFormat="1">
      <c r="A100" s="92"/>
      <c r="B100" s="99" t="s">
        <v>181</v>
      </c>
      <c r="C100" s="101"/>
      <c r="D100" s="102"/>
      <c r="E100" s="103"/>
      <c r="F100" s="103"/>
      <c r="G100" s="103"/>
      <c r="H100" s="83">
        <f>SUM(H99+H97+H93+H61+H49+H34+H20)</f>
        <v>8217.8800191789305</v>
      </c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60">
        <f>SUM(U99+U97+U93+U61+U49+U34+U20)*1.064</f>
        <v>1103680.2295480738</v>
      </c>
      <c r="W100" s="189"/>
      <c r="X100" s="189"/>
      <c r="Y100" s="189"/>
      <c r="Z100" s="189"/>
    </row>
    <row r="101" spans="1:26" s="155" customFormat="1" ht="51.75" customHeight="1">
      <c r="A101" s="97"/>
      <c r="B101" s="76"/>
      <c r="C101" s="73"/>
      <c r="D101" s="98"/>
      <c r="E101" s="56"/>
      <c r="F101" s="56"/>
      <c r="G101" s="56"/>
      <c r="H101" s="154"/>
      <c r="I101" s="56"/>
      <c r="J101" s="56"/>
      <c r="K101" s="56"/>
      <c r="L101" s="56"/>
      <c r="M101" s="56"/>
      <c r="N101" s="56"/>
      <c r="O101" s="56"/>
      <c r="P101" s="56"/>
      <c r="Q101" s="56"/>
      <c r="R101" s="173"/>
      <c r="S101" s="173"/>
      <c r="T101" s="173"/>
      <c r="U101" s="174" t="s">
        <v>251</v>
      </c>
    </row>
    <row r="102" spans="1:26">
      <c r="A102" s="97"/>
      <c r="B102" s="98" t="s">
        <v>182</v>
      </c>
      <c r="C102" s="73"/>
      <c r="D102" s="98"/>
      <c r="E102" s="56"/>
      <c r="F102" s="56"/>
      <c r="G102" s="56" t="s">
        <v>183</v>
      </c>
      <c r="H102" s="104">
        <f>E98</f>
        <v>4224.3999999999996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6" s="19" customFormat="1">
      <c r="A103" s="92"/>
      <c r="B103" s="102" t="s">
        <v>184</v>
      </c>
      <c r="C103" s="101"/>
      <c r="D103" s="102"/>
      <c r="E103" s="103"/>
      <c r="F103" s="103"/>
      <c r="G103" s="103"/>
      <c r="H103" s="105">
        <f>SUM(H100/H102/12*1000)</f>
        <v>162.11138503256737</v>
      </c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61"/>
    </row>
    <row r="104" spans="1:26">
      <c r="A104" s="97"/>
      <c r="B104" s="98"/>
      <c r="C104" s="73"/>
      <c r="D104" s="98"/>
      <c r="E104" s="56"/>
      <c r="F104" s="56"/>
      <c r="G104" s="56"/>
      <c r="H104" s="106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162"/>
    </row>
    <row r="105" spans="1:26">
      <c r="A105" s="97"/>
      <c r="B105" s="76" t="s">
        <v>185</v>
      </c>
      <c r="C105" s="73"/>
      <c r="D105" s="98"/>
      <c r="E105" s="56"/>
      <c r="F105" s="56"/>
      <c r="G105" s="56"/>
      <c r="H105" s="56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6" ht="25.5">
      <c r="A106" s="29" t="s">
        <v>215</v>
      </c>
      <c r="B106" s="28" t="s">
        <v>216</v>
      </c>
      <c r="C106" s="73" t="s">
        <v>52</v>
      </c>
      <c r="D106" s="98"/>
      <c r="E106" s="56"/>
      <c r="F106" s="56">
        <v>1</v>
      </c>
      <c r="G106" s="56">
        <v>350.1</v>
      </c>
      <c r="H106" s="56">
        <f t="shared" ref="H106" si="8">G106*F106/1000</f>
        <v>0.35010000000000002</v>
      </c>
      <c r="I106" s="39">
        <f>1*G106</f>
        <v>350.1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f t="shared" ref="U106:U128" si="9">SUM(I106:T106)</f>
        <v>350.1</v>
      </c>
    </row>
    <row r="107" spans="1:26" ht="33.75" customHeight="1">
      <c r="A107" s="107" t="s">
        <v>213</v>
      </c>
      <c r="B107" s="25" t="s">
        <v>231</v>
      </c>
      <c r="C107" s="73" t="s">
        <v>214</v>
      </c>
      <c r="D107" s="98"/>
      <c r="E107" s="56"/>
      <c r="F107" s="56">
        <f>0.1</f>
        <v>0.1</v>
      </c>
      <c r="G107" s="56">
        <v>3105.72</v>
      </c>
      <c r="H107" s="56">
        <f t="shared" ref="H107:H123" si="10">G107*F107/1000</f>
        <v>0.31057200000000001</v>
      </c>
      <c r="I107" s="39">
        <f>0.01*G107</f>
        <v>31.057199999999998</v>
      </c>
      <c r="J107" s="39">
        <v>0</v>
      </c>
      <c r="K107" s="39">
        <v>0</v>
      </c>
      <c r="L107" s="39">
        <f>G107*0.05</f>
        <v>155.286</v>
      </c>
      <c r="M107" s="39">
        <f>G107*0.02</f>
        <v>62.114399999999996</v>
      </c>
      <c r="N107" s="39">
        <v>0</v>
      </c>
      <c r="O107" s="39">
        <v>0</v>
      </c>
      <c r="P107" s="39">
        <f>G107*0.01</f>
        <v>31.057199999999998</v>
      </c>
      <c r="Q107" s="39">
        <v>0</v>
      </c>
      <c r="R107" s="39">
        <v>0</v>
      </c>
      <c r="S107" s="39">
        <v>0</v>
      </c>
      <c r="T107" s="39">
        <f>G107*0.01</f>
        <v>31.057199999999998</v>
      </c>
      <c r="U107" s="39">
        <f t="shared" si="9"/>
        <v>310.572</v>
      </c>
    </row>
    <row r="108" spans="1:26">
      <c r="A108" s="107" t="s">
        <v>217</v>
      </c>
      <c r="B108" s="22" t="s">
        <v>218</v>
      </c>
      <c r="C108" s="73" t="s">
        <v>52</v>
      </c>
      <c r="D108" s="98"/>
      <c r="E108" s="56"/>
      <c r="F108" s="56">
        <v>1</v>
      </c>
      <c r="G108" s="56">
        <v>443.02</v>
      </c>
      <c r="H108" s="56">
        <f t="shared" si="10"/>
        <v>0.44301999999999997</v>
      </c>
      <c r="I108" s="39">
        <f>G108*1</f>
        <v>443.02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f t="shared" si="9"/>
        <v>443.02</v>
      </c>
    </row>
    <row r="109" spans="1:26" ht="25.5">
      <c r="A109" s="107" t="s">
        <v>211</v>
      </c>
      <c r="B109" s="22" t="s">
        <v>212</v>
      </c>
      <c r="C109" s="73" t="s">
        <v>52</v>
      </c>
      <c r="D109" s="98"/>
      <c r="E109" s="56"/>
      <c r="F109" s="56">
        <v>1</v>
      </c>
      <c r="G109" s="56">
        <v>1992.08</v>
      </c>
      <c r="H109" s="56">
        <f t="shared" si="10"/>
        <v>1.9920799999999999</v>
      </c>
      <c r="I109" s="39">
        <v>0</v>
      </c>
      <c r="J109" s="39">
        <f>G109</f>
        <v>1992.08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f t="shared" si="9"/>
        <v>1992.08</v>
      </c>
    </row>
    <row r="110" spans="1:26" ht="25.5">
      <c r="A110" s="107" t="s">
        <v>209</v>
      </c>
      <c r="B110" s="22" t="s">
        <v>210</v>
      </c>
      <c r="C110" s="73" t="s">
        <v>52</v>
      </c>
      <c r="D110" s="98"/>
      <c r="E110" s="56"/>
      <c r="F110" s="56">
        <v>13</v>
      </c>
      <c r="G110" s="56">
        <v>42.29</v>
      </c>
      <c r="H110" s="56">
        <f t="shared" si="10"/>
        <v>0.54976999999999998</v>
      </c>
      <c r="I110" s="39">
        <f>G110*2</f>
        <v>84.58</v>
      </c>
      <c r="J110" s="39">
        <f>G110</f>
        <v>42.29</v>
      </c>
      <c r="K110" s="39">
        <f>G110</f>
        <v>42.29</v>
      </c>
      <c r="L110" s="39">
        <v>0</v>
      </c>
      <c r="M110" s="39">
        <v>0</v>
      </c>
      <c r="N110" s="39">
        <f>G110</f>
        <v>42.29</v>
      </c>
      <c r="O110" s="39">
        <f>G110*3</f>
        <v>126.87</v>
      </c>
      <c r="P110" s="39">
        <v>0</v>
      </c>
      <c r="Q110" s="39">
        <v>0</v>
      </c>
      <c r="R110" s="39">
        <f>G110*2</f>
        <v>84.58</v>
      </c>
      <c r="S110" s="39">
        <f>G110</f>
        <v>42.29</v>
      </c>
      <c r="T110" s="39">
        <f>G110*2</f>
        <v>84.58</v>
      </c>
      <c r="U110" s="39">
        <f>SUM(I110:T110)</f>
        <v>549.77</v>
      </c>
    </row>
    <row r="111" spans="1:26" ht="25.5">
      <c r="A111" s="153" t="s">
        <v>233</v>
      </c>
      <c r="B111" s="25" t="s">
        <v>232</v>
      </c>
      <c r="C111" s="153" t="s">
        <v>118</v>
      </c>
      <c r="D111" s="98"/>
      <c r="E111" s="56"/>
      <c r="F111" s="56">
        <v>880</v>
      </c>
      <c r="G111" s="56">
        <v>46.33</v>
      </c>
      <c r="H111" s="158">
        <f>G111*F111/1000</f>
        <v>40.770400000000002</v>
      </c>
      <c r="I111" s="39">
        <f>G111*80</f>
        <v>3706.3999999999996</v>
      </c>
      <c r="J111" s="39">
        <v>0</v>
      </c>
      <c r="K111" s="39">
        <f>G111*80</f>
        <v>3706.3999999999996</v>
      </c>
      <c r="L111" s="39">
        <f>G111*80</f>
        <v>3706.3999999999996</v>
      </c>
      <c r="M111" s="39">
        <f>G111*80</f>
        <v>3706.3999999999996</v>
      </c>
      <c r="N111" s="39">
        <f>G111*80</f>
        <v>3706.3999999999996</v>
      </c>
      <c r="O111" s="39">
        <f>G111*80</f>
        <v>3706.3999999999996</v>
      </c>
      <c r="P111" s="39">
        <f>G111*80</f>
        <v>3706.3999999999996</v>
      </c>
      <c r="Q111" s="39">
        <f>G111*80</f>
        <v>3706.3999999999996</v>
      </c>
      <c r="R111" s="39">
        <f>G111*80</f>
        <v>3706.3999999999996</v>
      </c>
      <c r="S111" s="39">
        <f>G111*80</f>
        <v>3706.3999999999996</v>
      </c>
      <c r="T111" s="39">
        <f>G111*80</f>
        <v>3706.3999999999996</v>
      </c>
      <c r="U111" s="39">
        <f t="shared" si="9"/>
        <v>40770.400000000009</v>
      </c>
    </row>
    <row r="112" spans="1:26">
      <c r="A112" s="156" t="s">
        <v>235</v>
      </c>
      <c r="B112" s="25" t="s">
        <v>234</v>
      </c>
      <c r="C112" s="153" t="s">
        <v>139</v>
      </c>
      <c r="D112" s="98"/>
      <c r="E112" s="56"/>
      <c r="F112" s="56">
        <v>1</v>
      </c>
      <c r="G112" s="56">
        <v>570.54</v>
      </c>
      <c r="H112" s="158">
        <f t="shared" si="10"/>
        <v>0.57053999999999994</v>
      </c>
      <c r="I112" s="39">
        <v>0</v>
      </c>
      <c r="J112" s="39">
        <f>G112</f>
        <v>570.54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f t="shared" si="9"/>
        <v>570.54</v>
      </c>
    </row>
    <row r="113" spans="1:21" ht="25.5">
      <c r="A113" s="29" t="s">
        <v>215</v>
      </c>
      <c r="B113" s="28" t="s">
        <v>236</v>
      </c>
      <c r="C113" s="159" t="s">
        <v>237</v>
      </c>
      <c r="D113" s="98"/>
      <c r="E113" s="56"/>
      <c r="F113" s="56">
        <v>1</v>
      </c>
      <c r="G113" s="56">
        <v>1678.06</v>
      </c>
      <c r="H113" s="158">
        <f t="shared" si="10"/>
        <v>1.6780599999999999</v>
      </c>
      <c r="I113" s="39">
        <v>0</v>
      </c>
      <c r="J113" s="39">
        <v>0</v>
      </c>
      <c r="K113" s="39">
        <f>G113</f>
        <v>1678.06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f t="shared" si="9"/>
        <v>1678.06</v>
      </c>
    </row>
    <row r="114" spans="1:21" ht="38.25">
      <c r="A114" s="172" t="s">
        <v>245</v>
      </c>
      <c r="B114" s="22" t="s">
        <v>246</v>
      </c>
      <c r="C114" s="172" t="s">
        <v>244</v>
      </c>
      <c r="D114" s="98"/>
      <c r="E114" s="56"/>
      <c r="F114" s="56">
        <v>4</v>
      </c>
      <c r="G114" s="56">
        <v>730.92</v>
      </c>
      <c r="H114" s="158">
        <f t="shared" si="10"/>
        <v>2.9236800000000001</v>
      </c>
      <c r="I114" s="39">
        <v>0</v>
      </c>
      <c r="J114" s="39">
        <v>0</v>
      </c>
      <c r="K114" s="39">
        <f>G114*4</f>
        <v>2923.68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f t="shared" si="9"/>
        <v>2923.68</v>
      </c>
    </row>
    <row r="115" spans="1:21" ht="29.25" customHeight="1">
      <c r="A115" s="172" t="s">
        <v>248</v>
      </c>
      <c r="B115" s="22" t="s">
        <v>249</v>
      </c>
      <c r="C115" s="172" t="s">
        <v>250</v>
      </c>
      <c r="D115" s="98"/>
      <c r="E115" s="56"/>
      <c r="F115" s="56">
        <v>1</v>
      </c>
      <c r="G115" s="56">
        <v>112.02</v>
      </c>
      <c r="H115" s="158">
        <f t="shared" si="10"/>
        <v>0.11201999999999999</v>
      </c>
      <c r="I115" s="39">
        <v>0</v>
      </c>
      <c r="J115" s="39">
        <v>0</v>
      </c>
      <c r="K115" s="39">
        <v>0</v>
      </c>
      <c r="L115" s="39">
        <v>0</v>
      </c>
      <c r="M115" s="39">
        <f>G115</f>
        <v>112.02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f t="shared" si="9"/>
        <v>112.02</v>
      </c>
    </row>
    <row r="116" spans="1:21" ht="34.5" customHeight="1">
      <c r="A116" s="172" t="s">
        <v>259</v>
      </c>
      <c r="B116" s="22" t="s">
        <v>260</v>
      </c>
      <c r="C116" s="172" t="s">
        <v>258</v>
      </c>
      <c r="D116" s="98"/>
      <c r="E116" s="56"/>
      <c r="F116" s="56">
        <v>6</v>
      </c>
      <c r="G116" s="56">
        <v>169.85</v>
      </c>
      <c r="H116" s="158">
        <f t="shared" si="10"/>
        <v>1.0190999999999999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f>G116</f>
        <v>169.85</v>
      </c>
      <c r="R116" s="39">
        <f>G116*2</f>
        <v>339.7</v>
      </c>
      <c r="S116" s="39">
        <f>G116</f>
        <v>169.85</v>
      </c>
      <c r="T116" s="39">
        <f>G116*2</f>
        <v>339.7</v>
      </c>
      <c r="U116" s="39">
        <f t="shared" si="9"/>
        <v>1019.0999999999999</v>
      </c>
    </row>
    <row r="117" spans="1:21" ht="29.25" customHeight="1">
      <c r="A117" s="175" t="s">
        <v>263</v>
      </c>
      <c r="B117" s="22" t="s">
        <v>261</v>
      </c>
      <c r="C117" s="172" t="s">
        <v>262</v>
      </c>
      <c r="D117" s="98"/>
      <c r="E117" s="56"/>
      <c r="F117" s="56">
        <v>3</v>
      </c>
      <c r="G117" s="56">
        <v>511.54</v>
      </c>
      <c r="H117" s="158">
        <f t="shared" si="10"/>
        <v>1.5346200000000001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f>G117*3</f>
        <v>1534.6200000000001</v>
      </c>
      <c r="S117" s="39">
        <v>0</v>
      </c>
      <c r="T117" s="39">
        <v>0</v>
      </c>
      <c r="U117" s="39">
        <f t="shared" si="9"/>
        <v>1534.6200000000001</v>
      </c>
    </row>
    <row r="118" spans="1:21" ht="39.75" customHeight="1">
      <c r="A118" s="172" t="s">
        <v>265</v>
      </c>
      <c r="B118" s="22" t="s">
        <v>272</v>
      </c>
      <c r="C118" s="172" t="s">
        <v>264</v>
      </c>
      <c r="D118" s="98"/>
      <c r="E118" s="56"/>
      <c r="F118" s="56">
        <v>3</v>
      </c>
      <c r="G118" s="56">
        <v>265.69799999999998</v>
      </c>
      <c r="H118" s="158">
        <f t="shared" si="10"/>
        <v>0.79709399999999997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f>G118</f>
        <v>265.69799999999998</v>
      </c>
      <c r="P118" s="39">
        <v>0</v>
      </c>
      <c r="Q118" s="39">
        <v>0</v>
      </c>
      <c r="R118" s="39">
        <f>G118*2</f>
        <v>531.39599999999996</v>
      </c>
      <c r="S118" s="39">
        <v>0</v>
      </c>
      <c r="T118" s="39">
        <v>0</v>
      </c>
      <c r="U118" s="39">
        <f t="shared" si="9"/>
        <v>797.09399999999994</v>
      </c>
    </row>
    <row r="119" spans="1:21" ht="33.75" customHeight="1">
      <c r="A119" s="175" t="s">
        <v>267</v>
      </c>
      <c r="B119" s="22" t="s">
        <v>266</v>
      </c>
      <c r="C119" s="172" t="s">
        <v>262</v>
      </c>
      <c r="D119" s="98"/>
      <c r="E119" s="56"/>
      <c r="F119" s="56">
        <v>3</v>
      </c>
      <c r="G119" s="56">
        <v>696.86</v>
      </c>
      <c r="H119" s="158">
        <f t="shared" si="10"/>
        <v>2.0905800000000001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f>G119*2</f>
        <v>1393.72</v>
      </c>
      <c r="P119" s="39">
        <v>0</v>
      </c>
      <c r="Q119" s="39">
        <v>0</v>
      </c>
      <c r="R119" s="39">
        <v>0</v>
      </c>
      <c r="S119" s="39">
        <f>G119</f>
        <v>696.86</v>
      </c>
      <c r="T119" s="39">
        <v>0</v>
      </c>
      <c r="U119" s="39">
        <f t="shared" si="9"/>
        <v>2090.58</v>
      </c>
    </row>
    <row r="120" spans="1:21" ht="41.25" customHeight="1">
      <c r="A120" s="172" t="s">
        <v>268</v>
      </c>
      <c r="B120" s="22" t="s">
        <v>273</v>
      </c>
      <c r="C120" s="172" t="s">
        <v>244</v>
      </c>
      <c r="D120" s="98"/>
      <c r="E120" s="56"/>
      <c r="F120" s="56">
        <v>3</v>
      </c>
      <c r="G120" s="56">
        <v>2133.1999999999998</v>
      </c>
      <c r="H120" s="158">
        <f t="shared" si="10"/>
        <v>6.3995999999999995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f>G120*3</f>
        <v>6399.5999999999995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f t="shared" si="9"/>
        <v>6399.5999999999995</v>
      </c>
    </row>
    <row r="121" spans="1:21" ht="28.5" customHeight="1">
      <c r="A121" s="172" t="s">
        <v>270</v>
      </c>
      <c r="B121" s="22" t="s">
        <v>269</v>
      </c>
      <c r="C121" s="172" t="s">
        <v>264</v>
      </c>
      <c r="D121" s="98"/>
      <c r="E121" s="56"/>
      <c r="F121" s="56">
        <v>1</v>
      </c>
      <c r="G121" s="56">
        <v>179.12</v>
      </c>
      <c r="H121" s="158">
        <f t="shared" si="10"/>
        <v>0.17912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f>G121</f>
        <v>179.12</v>
      </c>
      <c r="R121" s="39">
        <v>0</v>
      </c>
      <c r="S121" s="39">
        <v>0</v>
      </c>
      <c r="T121" s="39">
        <v>0</v>
      </c>
      <c r="U121" s="39">
        <f t="shared" si="9"/>
        <v>179.12</v>
      </c>
    </row>
    <row r="122" spans="1:21" ht="28.5" customHeight="1">
      <c r="A122" s="172" t="s">
        <v>271</v>
      </c>
      <c r="B122" s="22" t="s">
        <v>291</v>
      </c>
      <c r="C122" s="172" t="s">
        <v>244</v>
      </c>
      <c r="D122" s="98"/>
      <c r="E122" s="56"/>
      <c r="F122" s="56">
        <v>5</v>
      </c>
      <c r="G122" s="56">
        <v>2057</v>
      </c>
      <c r="H122" s="158">
        <f t="shared" si="10"/>
        <v>10.285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f>G122*4</f>
        <v>8228</v>
      </c>
      <c r="R122" s="39">
        <v>0</v>
      </c>
      <c r="S122" s="39">
        <f>G122</f>
        <v>2057</v>
      </c>
      <c r="T122" s="39">
        <v>0</v>
      </c>
      <c r="U122" s="39">
        <f t="shared" si="9"/>
        <v>10285</v>
      </c>
    </row>
    <row r="123" spans="1:21" ht="28.5" customHeight="1">
      <c r="A123" s="172" t="s">
        <v>275</v>
      </c>
      <c r="B123" s="22" t="s">
        <v>274</v>
      </c>
      <c r="C123" s="172" t="s">
        <v>262</v>
      </c>
      <c r="D123" s="98"/>
      <c r="E123" s="56"/>
      <c r="F123" s="56">
        <v>1</v>
      </c>
      <c r="G123" s="56">
        <v>271.88</v>
      </c>
      <c r="H123" s="158">
        <f t="shared" si="10"/>
        <v>0.27188000000000001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f>G123</f>
        <v>271.88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f t="shared" si="9"/>
        <v>271.88</v>
      </c>
    </row>
    <row r="124" spans="1:21" ht="28.5" customHeight="1">
      <c r="A124" s="175" t="s">
        <v>263</v>
      </c>
      <c r="B124" s="22" t="s">
        <v>276</v>
      </c>
      <c r="C124" s="172" t="s">
        <v>262</v>
      </c>
      <c r="D124" s="98"/>
      <c r="E124" s="56"/>
      <c r="F124" s="56">
        <v>3</v>
      </c>
      <c r="G124" s="56">
        <v>428.68</v>
      </c>
      <c r="H124" s="158">
        <f t="shared" ref="H124:H132" si="11">G124*F124/1000</f>
        <v>1.2860400000000001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f>G124*3</f>
        <v>1286.04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f t="shared" si="9"/>
        <v>1286.04</v>
      </c>
    </row>
    <row r="125" spans="1:21" ht="42.75" customHeight="1">
      <c r="A125" s="172" t="s">
        <v>278</v>
      </c>
      <c r="B125" s="22" t="s">
        <v>277</v>
      </c>
      <c r="C125" s="172" t="s">
        <v>250</v>
      </c>
      <c r="D125" s="98"/>
      <c r="E125" s="56"/>
      <c r="F125" s="56">
        <v>1</v>
      </c>
      <c r="G125" s="56">
        <v>46.98</v>
      </c>
      <c r="H125" s="158">
        <f t="shared" si="11"/>
        <v>4.6979999999999994E-2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f>G125</f>
        <v>46.98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f t="shared" si="9"/>
        <v>46.98</v>
      </c>
    </row>
    <row r="126" spans="1:21" ht="33" customHeight="1">
      <c r="A126" s="153" t="s">
        <v>279</v>
      </c>
      <c r="B126" s="25" t="s">
        <v>280</v>
      </c>
      <c r="C126" s="153" t="s">
        <v>80</v>
      </c>
      <c r="D126" s="98"/>
      <c r="E126" s="56"/>
      <c r="F126" s="56">
        <v>0.13780000000000001</v>
      </c>
      <c r="G126" s="56">
        <v>3435.36</v>
      </c>
      <c r="H126" s="158">
        <f t="shared" si="11"/>
        <v>0.47339260800000005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f>F126*G126</f>
        <v>473.39260800000005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f t="shared" si="9"/>
        <v>473.39260800000005</v>
      </c>
    </row>
    <row r="127" spans="1:21" ht="26.25" customHeight="1">
      <c r="A127" s="176" t="s">
        <v>282</v>
      </c>
      <c r="B127" s="177" t="s">
        <v>281</v>
      </c>
      <c r="C127" s="107" t="s">
        <v>133</v>
      </c>
      <c r="D127" s="98"/>
      <c r="E127" s="56"/>
      <c r="F127" s="56">
        <v>3</v>
      </c>
      <c r="G127" s="56">
        <v>1324.83</v>
      </c>
      <c r="H127" s="158">
        <f t="shared" si="11"/>
        <v>3.9744899999999999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f>G127*3</f>
        <v>3974.49</v>
      </c>
      <c r="S127" s="39">
        <v>0</v>
      </c>
      <c r="T127" s="39">
        <v>0</v>
      </c>
      <c r="U127" s="39">
        <f t="shared" si="9"/>
        <v>3974.49</v>
      </c>
    </row>
    <row r="128" spans="1:21" ht="26.25" customHeight="1">
      <c r="A128" s="172" t="s">
        <v>284</v>
      </c>
      <c r="B128" s="22" t="s">
        <v>283</v>
      </c>
      <c r="C128" s="172" t="s">
        <v>118</v>
      </c>
      <c r="D128" s="98"/>
      <c r="E128" s="56"/>
      <c r="F128" s="56">
        <v>3</v>
      </c>
      <c r="G128" s="56">
        <v>164.67</v>
      </c>
      <c r="H128" s="158">
        <f t="shared" si="11"/>
        <v>0.49401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f>G128*2</f>
        <v>329.34</v>
      </c>
      <c r="R128" s="39">
        <v>0</v>
      </c>
      <c r="S128" s="39">
        <f>G128</f>
        <v>164.67</v>
      </c>
      <c r="T128" s="39">
        <v>0</v>
      </c>
      <c r="U128" s="39">
        <f t="shared" si="9"/>
        <v>494.01</v>
      </c>
    </row>
    <row r="129" spans="1:21" ht="26.25" customHeight="1">
      <c r="A129" s="176" t="s">
        <v>286</v>
      </c>
      <c r="B129" s="178" t="s">
        <v>285</v>
      </c>
      <c r="C129" s="156" t="s">
        <v>118</v>
      </c>
      <c r="D129" s="98"/>
      <c r="E129" s="56"/>
      <c r="F129" s="56">
        <v>1</v>
      </c>
      <c r="G129" s="56">
        <v>270.19</v>
      </c>
      <c r="H129" s="158">
        <f t="shared" si="11"/>
        <v>0.27018999999999999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f>G129</f>
        <v>270.19</v>
      </c>
      <c r="T129" s="39">
        <v>0</v>
      </c>
      <c r="U129" s="39">
        <f>SUM(I129:T129)</f>
        <v>270.19</v>
      </c>
    </row>
    <row r="130" spans="1:21" ht="26.25" customHeight="1">
      <c r="A130" s="175" t="s">
        <v>287</v>
      </c>
      <c r="B130" s="22" t="s">
        <v>288</v>
      </c>
      <c r="C130" s="172" t="s">
        <v>118</v>
      </c>
      <c r="D130" s="98"/>
      <c r="E130" s="56"/>
      <c r="F130" s="56">
        <v>1</v>
      </c>
      <c r="G130" s="56">
        <v>669.88</v>
      </c>
      <c r="H130" s="158">
        <f t="shared" si="11"/>
        <v>0.66988000000000003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f>G130</f>
        <v>669.88</v>
      </c>
      <c r="T130" s="39">
        <v>0</v>
      </c>
      <c r="U130" s="39">
        <f t="shared" ref="U130" si="12">SUM(I130:T130)</f>
        <v>669.88</v>
      </c>
    </row>
    <row r="131" spans="1:21" ht="26.25" customHeight="1">
      <c r="A131" s="172" t="s">
        <v>289</v>
      </c>
      <c r="B131" s="22" t="s">
        <v>290</v>
      </c>
      <c r="C131" s="172" t="s">
        <v>244</v>
      </c>
      <c r="D131" s="98"/>
      <c r="E131" s="56"/>
      <c r="F131" s="56">
        <v>1</v>
      </c>
      <c r="G131" s="56">
        <v>908.62</v>
      </c>
      <c r="H131" s="158">
        <f t="shared" si="11"/>
        <v>0.90861999999999998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f>G131</f>
        <v>908.62</v>
      </c>
      <c r="T131" s="39">
        <v>0</v>
      </c>
      <c r="U131" s="39">
        <f>SUM(I131:T131)</f>
        <v>908.62</v>
      </c>
    </row>
    <row r="132" spans="1:21" ht="26.25" customHeight="1">
      <c r="A132" s="172" t="s">
        <v>293</v>
      </c>
      <c r="B132" s="22" t="s">
        <v>292</v>
      </c>
      <c r="C132" s="172" t="s">
        <v>262</v>
      </c>
      <c r="D132" s="98"/>
      <c r="E132" s="56"/>
      <c r="F132" s="56">
        <v>1</v>
      </c>
      <c r="G132" s="56">
        <v>1188.8</v>
      </c>
      <c r="H132" s="158">
        <f t="shared" si="11"/>
        <v>1.1887999999999999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f>G132</f>
        <v>1188.8</v>
      </c>
      <c r="T132" s="39">
        <v>0</v>
      </c>
      <c r="U132" s="39">
        <f>SUM(I132:T132)</f>
        <v>1188.8</v>
      </c>
    </row>
    <row r="133" spans="1:21" s="19" customFormat="1">
      <c r="A133" s="108"/>
      <c r="B133" s="109" t="s">
        <v>186</v>
      </c>
      <c r="C133" s="108"/>
      <c r="D133" s="108"/>
      <c r="E133" s="103"/>
      <c r="F133" s="103"/>
      <c r="G133" s="103"/>
      <c r="H133" s="48">
        <f>SUM(H106:H132)</f>
        <v>81.589638608000016</v>
      </c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47">
        <f>SUM(U106:U132)</f>
        <v>81589.638607999994</v>
      </c>
    </row>
    <row r="134" spans="1:21">
      <c r="A134" s="110"/>
      <c r="B134" s="111"/>
      <c r="C134" s="110"/>
      <c r="D134" s="110"/>
      <c r="E134" s="56"/>
      <c r="F134" s="56"/>
      <c r="G134" s="56"/>
      <c r="H134" s="112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163"/>
    </row>
    <row r="135" spans="1:21" ht="12" customHeight="1">
      <c r="A135" s="97"/>
      <c r="B135" s="18" t="s">
        <v>187</v>
      </c>
      <c r="C135" s="73"/>
      <c r="D135" s="98"/>
      <c r="E135" s="56"/>
      <c r="F135" s="56"/>
      <c r="G135" s="56"/>
      <c r="H135" s="113">
        <f>H133/E136/12*1000</f>
        <v>3.7113190778748186</v>
      </c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163"/>
    </row>
    <row r="136" spans="1:21" s="19" customFormat="1">
      <c r="A136" s="114"/>
      <c r="B136" s="115" t="s">
        <v>188</v>
      </c>
      <c r="C136" s="116"/>
      <c r="D136" s="115"/>
      <c r="E136" s="117">
        <v>1832</v>
      </c>
      <c r="F136" s="118">
        <f>SUM(E136*12)</f>
        <v>21984</v>
      </c>
      <c r="G136" s="119">
        <f>H103+H135</f>
        <v>165.82270411044217</v>
      </c>
      <c r="H136" s="120">
        <f>SUM(F136*G136/1000)</f>
        <v>3645.4463271639606</v>
      </c>
      <c r="I136" s="103">
        <f t="shared" ref="I136:R136" si="13">SUM(I11:I135)</f>
        <v>85715.693601333303</v>
      </c>
      <c r="J136" s="103">
        <f t="shared" si="13"/>
        <v>91657.1774713333</v>
      </c>
      <c r="K136" s="103">
        <f t="shared" si="13"/>
        <v>91817.116841333293</v>
      </c>
      <c r="L136" s="103">
        <f t="shared" si="13"/>
        <v>96653.28565713331</v>
      </c>
      <c r="M136" s="103">
        <f t="shared" si="13"/>
        <v>160953.29813555552</v>
      </c>
      <c r="N136" s="103">
        <f t="shared" si="13"/>
        <v>65493.682813555548</v>
      </c>
      <c r="O136" s="103">
        <f t="shared" si="13"/>
        <v>70255.579736666652</v>
      </c>
      <c r="P136" s="103">
        <f t="shared" si="13"/>
        <v>71584.396328666655</v>
      </c>
      <c r="Q136" s="103">
        <f t="shared" si="13"/>
        <v>139259.81738866665</v>
      </c>
      <c r="R136" s="103">
        <f t="shared" si="13"/>
        <v>71940.267944466657</v>
      </c>
      <c r="S136" s="103">
        <f>SUM(S11:S135)</f>
        <v>89667.576841333313</v>
      </c>
      <c r="T136" s="103">
        <f>SUM(T11:T135)</f>
        <v>83885.194671333302</v>
      </c>
      <c r="U136" s="47">
        <f>U100+U133</f>
        <v>1185269.8681560738</v>
      </c>
    </row>
    <row r="137" spans="1:21" hidden="1">
      <c r="A137" s="121"/>
      <c r="B137" s="122"/>
      <c r="C137" s="122"/>
      <c r="D137" s="122"/>
      <c r="E137" s="123"/>
      <c r="F137" s="124"/>
      <c r="G137" s="125"/>
      <c r="H137" s="125"/>
      <c r="I137" s="126"/>
      <c r="J137" s="126"/>
      <c r="K137" s="126"/>
      <c r="L137" s="126"/>
      <c r="M137" s="126"/>
      <c r="N137" s="127"/>
      <c r="O137" s="127"/>
      <c r="P137" s="127"/>
      <c r="Q137" s="127"/>
      <c r="R137" s="127"/>
      <c r="S137" s="127"/>
      <c r="T137" s="127"/>
      <c r="U137" s="127"/>
    </row>
    <row r="138" spans="1:21" hidden="1">
      <c r="A138" s="128"/>
      <c r="B138" s="129"/>
      <c r="C138" s="130"/>
      <c r="D138" s="131"/>
      <c r="E138" s="132"/>
      <c r="F138" s="133"/>
      <c r="G138" s="133"/>
      <c r="H138" s="134"/>
      <c r="I138" s="126"/>
      <c r="J138" s="126"/>
      <c r="K138" s="126"/>
      <c r="L138" s="126"/>
      <c r="M138" s="126"/>
      <c r="N138" s="127"/>
      <c r="O138" s="127"/>
      <c r="P138" s="127"/>
      <c r="Q138" s="127"/>
      <c r="R138" s="127"/>
      <c r="S138" s="127"/>
      <c r="T138" s="127"/>
      <c r="U138" s="127"/>
    </row>
    <row r="139" spans="1:21" hidden="1">
      <c r="A139" s="128"/>
      <c r="B139" s="135" t="s">
        <v>189</v>
      </c>
      <c r="C139" s="135" t="s">
        <v>118</v>
      </c>
      <c r="D139" s="135" t="s">
        <v>190</v>
      </c>
      <c r="E139" s="136">
        <v>64</v>
      </c>
      <c r="F139" s="136">
        <v>64</v>
      </c>
      <c r="G139" s="137">
        <v>11.41</v>
      </c>
      <c r="H139" s="137">
        <f>G139*12*F139/1000</f>
        <v>8.7628800000000009</v>
      </c>
      <c r="I139" s="126"/>
      <c r="J139" s="126"/>
      <c r="K139" s="126"/>
      <c r="L139" s="126"/>
      <c r="M139" s="126"/>
      <c r="N139" s="127"/>
      <c r="O139" s="127"/>
      <c r="P139" s="127"/>
      <c r="Q139" s="127"/>
      <c r="R139" s="127"/>
      <c r="S139" s="127"/>
      <c r="T139" s="127"/>
      <c r="U139" s="127"/>
    </row>
    <row r="140" spans="1:21" hidden="1">
      <c r="A140" s="128"/>
      <c r="B140" s="135" t="s">
        <v>189</v>
      </c>
      <c r="C140" s="135" t="s">
        <v>118</v>
      </c>
      <c r="D140" s="135" t="s">
        <v>191</v>
      </c>
      <c r="E140" s="136">
        <v>64</v>
      </c>
      <c r="F140" s="136">
        <v>64</v>
      </c>
      <c r="G140" s="137">
        <v>18.98</v>
      </c>
      <c r="H140" s="137">
        <f>G140*12*F140/1000</f>
        <v>14.576639999999999</v>
      </c>
      <c r="I140" s="126"/>
      <c r="J140" s="126"/>
      <c r="K140" s="126"/>
      <c r="L140" s="126"/>
      <c r="M140" s="126"/>
      <c r="N140" s="127"/>
      <c r="O140" s="127"/>
      <c r="P140" s="127"/>
      <c r="Q140" s="127"/>
      <c r="R140" s="127"/>
      <c r="S140" s="127"/>
      <c r="T140" s="127"/>
      <c r="U140" s="127"/>
    </row>
    <row r="141" spans="1:21" hidden="1">
      <c r="A141" s="128"/>
      <c r="B141" s="138"/>
      <c r="C141" s="139"/>
      <c r="D141" s="140"/>
      <c r="E141" s="141"/>
      <c r="F141" s="142"/>
      <c r="G141" s="143"/>
      <c r="H141" s="144"/>
      <c r="I141" s="126"/>
      <c r="J141" s="126"/>
      <c r="K141" s="126"/>
      <c r="L141" s="126"/>
      <c r="M141" s="126"/>
      <c r="N141" s="127"/>
      <c r="O141" s="127"/>
      <c r="P141" s="127"/>
      <c r="Q141" s="127"/>
      <c r="R141" s="127"/>
      <c r="S141" s="127"/>
      <c r="T141" s="127"/>
      <c r="U141" s="127"/>
    </row>
    <row r="142" spans="1:21" hidden="1">
      <c r="A142" s="128"/>
      <c r="B142" s="138"/>
      <c r="C142" s="139"/>
      <c r="D142" s="140"/>
      <c r="E142" s="141"/>
      <c r="F142" s="142"/>
      <c r="G142" s="143"/>
      <c r="H142" s="144"/>
      <c r="I142" s="126"/>
      <c r="J142" s="126"/>
      <c r="K142" s="126"/>
      <c r="L142" s="126"/>
      <c r="M142" s="126"/>
      <c r="N142" s="127"/>
      <c r="O142" s="127"/>
      <c r="P142" s="127"/>
      <c r="Q142" s="127"/>
      <c r="R142" s="127"/>
      <c r="S142" s="127"/>
      <c r="T142" s="127"/>
      <c r="U142" s="127"/>
    </row>
    <row r="143" spans="1:21" hidden="1">
      <c r="A143" s="128"/>
      <c r="B143" s="138"/>
      <c r="C143" s="139"/>
      <c r="D143" s="140"/>
      <c r="E143" s="141"/>
      <c r="F143" s="142"/>
      <c r="G143" s="143"/>
      <c r="H143" s="144"/>
      <c r="I143" s="126"/>
      <c r="J143" s="126"/>
      <c r="K143" s="126"/>
      <c r="L143" s="126"/>
      <c r="M143" s="126"/>
      <c r="N143" s="127"/>
      <c r="O143" s="127"/>
      <c r="P143" s="127"/>
      <c r="Q143" s="127"/>
      <c r="R143" s="127"/>
      <c r="S143" s="127"/>
      <c r="T143" s="127"/>
      <c r="U143" s="127"/>
    </row>
    <row r="144" spans="1:21">
      <c r="A144" s="127"/>
      <c r="B144" s="127"/>
      <c r="C144" s="127"/>
      <c r="D144" s="127"/>
      <c r="E144" s="126"/>
      <c r="F144" s="126"/>
      <c r="G144" s="126"/>
      <c r="H144" s="126"/>
      <c r="I144" s="126"/>
      <c r="J144" s="126"/>
      <c r="K144" s="126"/>
      <c r="L144" s="126"/>
      <c r="M144" s="127"/>
      <c r="N144" s="126"/>
      <c r="O144" s="127"/>
      <c r="P144" s="127"/>
      <c r="Q144" s="127"/>
      <c r="R144" s="127"/>
      <c r="S144" s="127"/>
      <c r="T144" s="127"/>
      <c r="U144" s="127"/>
    </row>
    <row r="145" spans="1:21">
      <c r="A145" s="127"/>
      <c r="B145" s="127"/>
      <c r="C145" s="127"/>
      <c r="D145" s="127"/>
      <c r="E145" s="126"/>
      <c r="F145" s="126"/>
      <c r="G145" s="126"/>
      <c r="H145" s="126"/>
      <c r="I145" s="126"/>
      <c r="J145" s="145"/>
      <c r="K145" s="146"/>
      <c r="L145" s="145"/>
      <c r="M145" s="126"/>
      <c r="N145" s="127"/>
      <c r="O145" s="127"/>
      <c r="P145" s="127"/>
      <c r="Q145" s="127"/>
      <c r="R145" s="127"/>
      <c r="S145" s="127"/>
      <c r="T145" s="127"/>
      <c r="U145" s="127"/>
    </row>
    <row r="146" spans="1:21" ht="45">
      <c r="A146" s="127"/>
      <c r="B146" s="147" t="s">
        <v>230</v>
      </c>
      <c r="C146" s="179">
        <v>-213801.08</v>
      </c>
      <c r="D146" s="180"/>
      <c r="E146" s="180"/>
      <c r="F146" s="181"/>
      <c r="G146" s="126"/>
      <c r="H146" s="126"/>
      <c r="I146" s="126"/>
      <c r="J146" s="145"/>
      <c r="K146" s="146"/>
      <c r="L146" s="145"/>
      <c r="M146" s="126"/>
      <c r="N146" s="127"/>
      <c r="O146" s="127"/>
      <c r="P146" s="127"/>
      <c r="Q146" s="127"/>
      <c r="R146" s="127"/>
      <c r="S146" s="127"/>
      <c r="T146" s="127"/>
      <c r="U146" s="127"/>
    </row>
    <row r="147" spans="1:21" ht="30">
      <c r="A147" s="127"/>
      <c r="B147" s="23" t="s">
        <v>252</v>
      </c>
      <c r="C147" s="183">
        <v>1128421.9099999999</v>
      </c>
      <c r="D147" s="184"/>
      <c r="E147" s="184"/>
      <c r="F147" s="185"/>
      <c r="G147" s="126"/>
      <c r="H147" s="126"/>
      <c r="I147" s="126"/>
      <c r="J147" s="145"/>
      <c r="K147" s="146"/>
      <c r="L147" s="145"/>
      <c r="M147" s="126"/>
      <c r="N147" s="127"/>
      <c r="O147" s="127"/>
      <c r="P147" s="127"/>
      <c r="Q147" s="127"/>
      <c r="R147" s="127"/>
      <c r="S147" s="127"/>
      <c r="T147" s="127"/>
      <c r="U147" s="127"/>
    </row>
    <row r="148" spans="1:21" ht="30">
      <c r="A148" s="127"/>
      <c r="B148" s="23" t="s">
        <v>253</v>
      </c>
      <c r="C148" s="183">
        <f>SUM(U136-U133)</f>
        <v>1103680.2295480738</v>
      </c>
      <c r="D148" s="184"/>
      <c r="E148" s="184"/>
      <c r="F148" s="185"/>
      <c r="G148" s="126"/>
      <c r="H148" s="126"/>
      <c r="I148" s="126"/>
      <c r="J148" s="145"/>
      <c r="K148" s="146"/>
      <c r="L148" s="145"/>
      <c r="M148" s="126"/>
      <c r="N148" s="127"/>
      <c r="O148" s="127"/>
      <c r="P148" s="127"/>
      <c r="Q148" s="127"/>
      <c r="R148" s="127"/>
      <c r="S148" s="127"/>
      <c r="T148" s="127"/>
      <c r="U148" s="127"/>
    </row>
    <row r="149" spans="1:21" ht="30">
      <c r="A149" s="127"/>
      <c r="B149" s="23" t="s">
        <v>254</v>
      </c>
      <c r="C149" s="183">
        <f>SUM(U133)</f>
        <v>81589.638607999994</v>
      </c>
      <c r="D149" s="184"/>
      <c r="E149" s="184"/>
      <c r="F149" s="185"/>
      <c r="G149" s="126"/>
      <c r="H149" s="126"/>
      <c r="I149" s="126"/>
      <c r="J149" s="145"/>
      <c r="K149" s="146"/>
      <c r="L149" s="145"/>
      <c r="M149" s="126"/>
      <c r="N149" s="127"/>
      <c r="O149" s="127"/>
      <c r="P149" s="127"/>
      <c r="Q149" s="127"/>
      <c r="R149" s="127"/>
      <c r="S149" s="127"/>
      <c r="T149" s="127"/>
      <c r="U149" s="127"/>
    </row>
    <row r="150" spans="1:21" ht="18">
      <c r="A150" s="127"/>
      <c r="B150" s="157" t="s">
        <v>255</v>
      </c>
      <c r="C150" s="179">
        <v>1061667.08</v>
      </c>
      <c r="D150" s="180"/>
      <c r="E150" s="180"/>
      <c r="F150" s="181"/>
      <c r="G150" s="127"/>
      <c r="H150" s="148" t="s">
        <v>199</v>
      </c>
      <c r="I150" s="149"/>
      <c r="J150" s="149"/>
      <c r="K150" s="150"/>
      <c r="L150" s="151"/>
      <c r="M150" s="148"/>
      <c r="N150" s="148"/>
      <c r="O150" s="127"/>
      <c r="P150" s="127"/>
      <c r="Q150" s="127"/>
      <c r="R150" s="127"/>
      <c r="S150" s="127"/>
      <c r="T150" s="127"/>
      <c r="U150" s="127"/>
    </row>
    <row r="151" spans="1:21" ht="78.75">
      <c r="A151" s="127"/>
      <c r="B151" s="24" t="s">
        <v>256</v>
      </c>
      <c r="C151" s="186">
        <v>305951.12</v>
      </c>
      <c r="D151" s="187"/>
      <c r="E151" s="187"/>
      <c r="F151" s="188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</row>
    <row r="152" spans="1:21" ht="45">
      <c r="A152" s="127"/>
      <c r="B152" s="152" t="s">
        <v>257</v>
      </c>
      <c r="C152" s="182">
        <f>SUM(U136-C147)+C146</f>
        <v>-156953.12184392606</v>
      </c>
      <c r="D152" s="180"/>
      <c r="E152" s="180"/>
      <c r="F152" s="181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</row>
    <row r="154" spans="1:21">
      <c r="J154" s="4"/>
      <c r="K154" s="5"/>
      <c r="L154" s="5"/>
      <c r="M154" s="3"/>
    </row>
    <row r="155" spans="1:21">
      <c r="G155" s="6"/>
      <c r="H155" s="6"/>
    </row>
    <row r="156" spans="1:21">
      <c r="G156" s="7"/>
    </row>
  </sheetData>
  <mergeCells count="12">
    <mergeCell ref="W100:Z100"/>
    <mergeCell ref="B3:L3"/>
    <mergeCell ref="B4:L4"/>
    <mergeCell ref="B5:L5"/>
    <mergeCell ref="B6:L6"/>
    <mergeCell ref="C146:F146"/>
    <mergeCell ref="C152:F152"/>
    <mergeCell ref="C147:F147"/>
    <mergeCell ref="C148:F148"/>
    <mergeCell ref="C149:F149"/>
    <mergeCell ref="C150:F150"/>
    <mergeCell ref="C151:F151"/>
  </mergeCells>
  <pageMargins left="0.31496062992125984" right="0.31496062992125984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Нефт.4</vt:lpstr>
      <vt:lpstr>Нефт.4!Область_печати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2018-11-27T11:58:51Z</cp:lastPrinted>
  <dcterms:created xsi:type="dcterms:W3CDTF">2014-02-05T12:20:20Z</dcterms:created>
  <dcterms:modified xsi:type="dcterms:W3CDTF">2018-11-27T11:59:26Z</dcterms:modified>
</cp:coreProperties>
</file>