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00" yWindow="75" windowWidth="15480" windowHeight="8055" activeTab="10"/>
  </bookViews>
  <sheets>
    <sheet name="01.16" sheetId="17" r:id="rId1"/>
    <sheet name="02.16" sheetId="18" r:id="rId2"/>
    <sheet name="03.16" sheetId="19" r:id="rId3"/>
    <sheet name="04.16" sheetId="20" r:id="rId4"/>
    <sheet name="05.16" sheetId="21" r:id="rId5"/>
    <sheet name="06.16" sheetId="22" r:id="rId6"/>
    <sheet name="07.16" sheetId="23" r:id="rId7"/>
    <sheet name="08.16" sheetId="24" r:id="rId8"/>
    <sheet name="09.16" sheetId="25" r:id="rId9"/>
    <sheet name="10.16" sheetId="26" r:id="rId10"/>
    <sheet name="11.16" sheetId="14" r:id="rId11"/>
    <sheet name="12.16" sheetId="8" r:id="rId12"/>
    <sheet name="Лист1" sheetId="16" r:id="rId13"/>
  </sheets>
  <definedNames>
    <definedName name="_xlnm._FilterDatabase" localSheetId="0" hidden="1">'01.16'!$I$12:$I$62</definedName>
    <definedName name="_xlnm._FilterDatabase" localSheetId="1" hidden="1">'02.16'!$I$12:$I$62</definedName>
    <definedName name="_xlnm._FilterDatabase" localSheetId="2" hidden="1">'03.16'!$I$12:$I$62</definedName>
    <definedName name="_xlnm._FilterDatabase" localSheetId="3" hidden="1">'04.16'!$I$12:$I$62</definedName>
    <definedName name="_xlnm._FilterDatabase" localSheetId="4" hidden="1">'05.16'!$I$12:$I$62</definedName>
    <definedName name="_xlnm._FilterDatabase" localSheetId="5" hidden="1">'06.16'!$I$12:$I$62</definedName>
    <definedName name="_xlnm._FilterDatabase" localSheetId="6" hidden="1">'07.16'!$I$12:$I$62</definedName>
    <definedName name="_xlnm._FilterDatabase" localSheetId="7" hidden="1">'08.16'!$I$12:$I$62</definedName>
    <definedName name="_xlnm._FilterDatabase" localSheetId="8" hidden="1">'09.16'!$I$12:$I$62</definedName>
    <definedName name="_xlnm._FilterDatabase" localSheetId="9" hidden="1">'10.16'!$I$12:$I$62</definedName>
    <definedName name="_xlnm._FilterDatabase" localSheetId="10" hidden="1">'11.16'!$G$13:$G$74</definedName>
    <definedName name="_xlnm._FilterDatabase" localSheetId="11" hidden="1">'12.16'!$G$12:$G$67</definedName>
    <definedName name="_xlnm.Print_Titles" localSheetId="4">'05.16'!$12:$13</definedName>
    <definedName name="_xlnm.Print_Titles" localSheetId="10">'11.16'!$13:$14</definedName>
    <definedName name="_xlnm.Print_Area" localSheetId="0">'01.16'!$A$1:$I$144</definedName>
    <definedName name="_xlnm.Print_Area" localSheetId="1">'02.16'!$A$1:$I$112</definedName>
    <definedName name="_xlnm.Print_Area" localSheetId="2">'03.16'!$A$1:$I$144</definedName>
    <definedName name="_xlnm.Print_Area" localSheetId="3">'04.16'!$A$1:$I$113</definedName>
    <definedName name="_xlnm.Print_Area" localSheetId="4">'05.16'!$A$1:$I$114</definedName>
    <definedName name="_xlnm.Print_Area" localSheetId="5">'06.16'!$A$1:$I$111</definedName>
    <definedName name="_xlnm.Print_Area" localSheetId="6">'07.16'!$A$1:$I$121</definedName>
    <definedName name="_xlnm.Print_Area" localSheetId="7">'08.16'!$A$1:$I$117</definedName>
    <definedName name="_xlnm.Print_Area" localSheetId="8">'09.16'!$A$1:$I$114</definedName>
    <definedName name="_xlnm.Print_Area" localSheetId="9">'10.16'!$A$1:$I$112</definedName>
    <definedName name="_xlnm.Print_Area" localSheetId="10">'11.16'!$A$1:$G$96</definedName>
    <definedName name="_xlnm.Print_Area" localSheetId="11">'12.16'!$A$1:$G$115</definedName>
  </definedNames>
  <calcPr calcId="124519"/>
</workbook>
</file>

<file path=xl/calcChain.xml><?xml version="1.0" encoding="utf-8"?>
<calcChain xmlns="http://schemas.openxmlformats.org/spreadsheetml/2006/main">
  <c r="G73" i="14"/>
  <c r="I85" i="26"/>
  <c r="I88"/>
  <c r="I66"/>
  <c r="I32"/>
  <c r="H88"/>
  <c r="I87"/>
  <c r="I89" s="1"/>
  <c r="H87"/>
  <c r="E84"/>
  <c r="F84" s="1"/>
  <c r="F83"/>
  <c r="H83" s="1"/>
  <c r="H81"/>
  <c r="H79"/>
  <c r="H77"/>
  <c r="I76"/>
  <c r="H76"/>
  <c r="H75"/>
  <c r="H73"/>
  <c r="F72"/>
  <c r="H72" s="1"/>
  <c r="F71"/>
  <c r="H71" s="1"/>
  <c r="F70"/>
  <c r="H70" s="1"/>
  <c r="F69"/>
  <c r="H69" s="1"/>
  <c r="F68"/>
  <c r="H68" s="1"/>
  <c r="H67"/>
  <c r="H66"/>
  <c r="F64"/>
  <c r="I64" s="1"/>
  <c r="H63"/>
  <c r="F61"/>
  <c r="I61" s="1"/>
  <c r="I60"/>
  <c r="H60"/>
  <c r="F59"/>
  <c r="H59" s="1"/>
  <c r="F58"/>
  <c r="I58" s="1"/>
  <c r="I55"/>
  <c r="F55"/>
  <c r="H55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I44"/>
  <c r="H44"/>
  <c r="F43"/>
  <c r="H43" s="1"/>
  <c r="F42"/>
  <c r="I42" s="1"/>
  <c r="F41"/>
  <c r="H41" s="1"/>
  <c r="H40"/>
  <c r="F39"/>
  <c r="H39" s="1"/>
  <c r="F38"/>
  <c r="I38" s="1"/>
  <c r="I37"/>
  <c r="H37"/>
  <c r="H35"/>
  <c r="H34"/>
  <c r="H33"/>
  <c r="F33"/>
  <c r="I33" s="1"/>
  <c r="H32"/>
  <c r="F31"/>
  <c r="H31" s="1"/>
  <c r="F30"/>
  <c r="H30" s="1"/>
  <c r="F29"/>
  <c r="H29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90" i="25"/>
  <c r="I89"/>
  <c r="I91" s="1"/>
  <c r="I88"/>
  <c r="I87"/>
  <c r="I73"/>
  <c r="I66"/>
  <c r="I53"/>
  <c r="I32"/>
  <c r="H90"/>
  <c r="H89"/>
  <c r="H88"/>
  <c r="H87"/>
  <c r="E84"/>
  <c r="F84" s="1"/>
  <c r="F83"/>
  <c r="H83" s="1"/>
  <c r="H81"/>
  <c r="H79"/>
  <c r="H77"/>
  <c r="I76"/>
  <c r="H76"/>
  <c r="H75"/>
  <c r="H73"/>
  <c r="F72"/>
  <c r="H72" s="1"/>
  <c r="F71"/>
  <c r="H71" s="1"/>
  <c r="F70"/>
  <c r="H70" s="1"/>
  <c r="F69"/>
  <c r="H69" s="1"/>
  <c r="F68"/>
  <c r="H68" s="1"/>
  <c r="H67"/>
  <c r="H66"/>
  <c r="F64"/>
  <c r="I64" s="1"/>
  <c r="H63"/>
  <c r="F61"/>
  <c r="I61" s="1"/>
  <c r="I60"/>
  <c r="H60"/>
  <c r="F59"/>
  <c r="H59" s="1"/>
  <c r="F58"/>
  <c r="I58" s="1"/>
  <c r="I55"/>
  <c r="F55"/>
  <c r="H55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I44"/>
  <c r="H44"/>
  <c r="F43"/>
  <c r="H43" s="1"/>
  <c r="F42"/>
  <c r="I42" s="1"/>
  <c r="F41"/>
  <c r="H41" s="1"/>
  <c r="H40"/>
  <c r="F39"/>
  <c r="H39" s="1"/>
  <c r="F38"/>
  <c r="I38" s="1"/>
  <c r="I37"/>
  <c r="H37"/>
  <c r="H35"/>
  <c r="H34"/>
  <c r="H33"/>
  <c r="F33"/>
  <c r="I33" s="1"/>
  <c r="H32"/>
  <c r="F31"/>
  <c r="H31" s="1"/>
  <c r="F30"/>
  <c r="H30" s="1"/>
  <c r="F29"/>
  <c r="H29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93" i="24"/>
  <c r="I92"/>
  <c r="I91"/>
  <c r="I90"/>
  <c r="I89"/>
  <c r="I88"/>
  <c r="I87"/>
  <c r="I32"/>
  <c r="H93"/>
  <c r="H92"/>
  <c r="G91"/>
  <c r="H91" s="1"/>
  <c r="H90"/>
  <c r="H89"/>
  <c r="H88"/>
  <c r="H87"/>
  <c r="I94"/>
  <c r="E84"/>
  <c r="F84" s="1"/>
  <c r="F83"/>
  <c r="H83" s="1"/>
  <c r="H81"/>
  <c r="H79"/>
  <c r="H77"/>
  <c r="I76"/>
  <c r="H76"/>
  <c r="H75"/>
  <c r="H73"/>
  <c r="F72"/>
  <c r="H72" s="1"/>
  <c r="F71"/>
  <c r="H71" s="1"/>
  <c r="F70"/>
  <c r="H70" s="1"/>
  <c r="F69"/>
  <c r="H69" s="1"/>
  <c r="F68"/>
  <c r="H68" s="1"/>
  <c r="H67"/>
  <c r="H66"/>
  <c r="F64"/>
  <c r="I64" s="1"/>
  <c r="H63"/>
  <c r="F61"/>
  <c r="I61" s="1"/>
  <c r="I60"/>
  <c r="H60"/>
  <c r="F59"/>
  <c r="H59" s="1"/>
  <c r="F58"/>
  <c r="I58" s="1"/>
  <c r="I55"/>
  <c r="F55"/>
  <c r="H55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I44"/>
  <c r="H44"/>
  <c r="F43"/>
  <c r="H43" s="1"/>
  <c r="F42"/>
  <c r="I42" s="1"/>
  <c r="F41"/>
  <c r="H41" s="1"/>
  <c r="H40"/>
  <c r="F39"/>
  <c r="H39" s="1"/>
  <c r="F38"/>
  <c r="I38" s="1"/>
  <c r="I37"/>
  <c r="H37"/>
  <c r="H35"/>
  <c r="H34"/>
  <c r="H33"/>
  <c r="F33"/>
  <c r="I33" s="1"/>
  <c r="H32"/>
  <c r="F31"/>
  <c r="H31" s="1"/>
  <c r="F30"/>
  <c r="H30" s="1"/>
  <c r="F29"/>
  <c r="H29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97" i="23"/>
  <c r="I96"/>
  <c r="I95"/>
  <c r="I94"/>
  <c r="I93"/>
  <c r="I92"/>
  <c r="I91"/>
  <c r="I90"/>
  <c r="I89"/>
  <c r="I88"/>
  <c r="I87"/>
  <c r="I32"/>
  <c r="H97"/>
  <c r="H96"/>
  <c r="H95"/>
  <c r="F94"/>
  <c r="H94" s="1"/>
  <c r="H93"/>
  <c r="H92"/>
  <c r="H91"/>
  <c r="H90"/>
  <c r="H89"/>
  <c r="F88"/>
  <c r="H88" s="1"/>
  <c r="H87"/>
  <c r="E84"/>
  <c r="F84" s="1"/>
  <c r="F83"/>
  <c r="H83" s="1"/>
  <c r="H81"/>
  <c r="H79"/>
  <c r="H77"/>
  <c r="I76"/>
  <c r="H76"/>
  <c r="H75"/>
  <c r="H73"/>
  <c r="F72"/>
  <c r="H72" s="1"/>
  <c r="F71"/>
  <c r="H71" s="1"/>
  <c r="F70"/>
  <c r="H70" s="1"/>
  <c r="F69"/>
  <c r="H69" s="1"/>
  <c r="F68"/>
  <c r="H68" s="1"/>
  <c r="H67"/>
  <c r="H66"/>
  <c r="F64"/>
  <c r="I64" s="1"/>
  <c r="H63"/>
  <c r="F61"/>
  <c r="I61" s="1"/>
  <c r="I60"/>
  <c r="H60"/>
  <c r="F59"/>
  <c r="H59" s="1"/>
  <c r="F58"/>
  <c r="I58" s="1"/>
  <c r="I55"/>
  <c r="F55"/>
  <c r="H55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I44"/>
  <c r="H44"/>
  <c r="F43"/>
  <c r="H43" s="1"/>
  <c r="F42"/>
  <c r="I42" s="1"/>
  <c r="F41"/>
  <c r="H41" s="1"/>
  <c r="H40"/>
  <c r="F39"/>
  <c r="H39" s="1"/>
  <c r="F38"/>
  <c r="I38" s="1"/>
  <c r="I37"/>
  <c r="H37"/>
  <c r="H35"/>
  <c r="H34"/>
  <c r="H33"/>
  <c r="F33"/>
  <c r="I33" s="1"/>
  <c r="H32"/>
  <c r="F31"/>
  <c r="H31" s="1"/>
  <c r="F30"/>
  <c r="H30" s="1"/>
  <c r="F29"/>
  <c r="H29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87" i="22"/>
  <c r="I88" s="1"/>
  <c r="I32"/>
  <c r="F87"/>
  <c r="H87" s="1"/>
  <c r="E84"/>
  <c r="F84" s="1"/>
  <c r="F83"/>
  <c r="H83" s="1"/>
  <c r="H81"/>
  <c r="H79"/>
  <c r="H77"/>
  <c r="I76"/>
  <c r="H76"/>
  <c r="H75"/>
  <c r="H73"/>
  <c r="F72"/>
  <c r="H72" s="1"/>
  <c r="F71"/>
  <c r="H71" s="1"/>
  <c r="F70"/>
  <c r="H70" s="1"/>
  <c r="F69"/>
  <c r="H69" s="1"/>
  <c r="F68"/>
  <c r="H68" s="1"/>
  <c r="H67"/>
  <c r="H66"/>
  <c r="F64"/>
  <c r="I64" s="1"/>
  <c r="H63"/>
  <c r="F61"/>
  <c r="I61" s="1"/>
  <c r="I60"/>
  <c r="H60"/>
  <c r="F59"/>
  <c r="H59" s="1"/>
  <c r="F58"/>
  <c r="I58" s="1"/>
  <c r="I55"/>
  <c r="F55"/>
  <c r="H55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I44"/>
  <c r="H44"/>
  <c r="F43"/>
  <c r="H43" s="1"/>
  <c r="F42"/>
  <c r="I42" s="1"/>
  <c r="F41"/>
  <c r="H41" s="1"/>
  <c r="H40"/>
  <c r="F39"/>
  <c r="H39" s="1"/>
  <c r="F38"/>
  <c r="I38" s="1"/>
  <c r="I37"/>
  <c r="H37"/>
  <c r="H35"/>
  <c r="H34"/>
  <c r="H33"/>
  <c r="F33"/>
  <c r="I33" s="1"/>
  <c r="H32"/>
  <c r="F31"/>
  <c r="H31" s="1"/>
  <c r="F30"/>
  <c r="H30" s="1"/>
  <c r="F29"/>
  <c r="H29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19" i="21"/>
  <c r="I85"/>
  <c r="I93" s="1"/>
  <c r="I89"/>
  <c r="I88"/>
  <c r="I90"/>
  <c r="I87"/>
  <c r="I76"/>
  <c r="I32"/>
  <c r="I31" i="26" l="1"/>
  <c r="I29"/>
  <c r="I30"/>
  <c r="H84"/>
  <c r="H85" s="1"/>
  <c r="I84"/>
  <c r="I18"/>
  <c r="H18"/>
  <c r="I16"/>
  <c r="H17"/>
  <c r="I25"/>
  <c r="H26"/>
  <c r="H38"/>
  <c r="I39"/>
  <c r="I41"/>
  <c r="H42"/>
  <c r="I43"/>
  <c r="H50"/>
  <c r="H58"/>
  <c r="I59"/>
  <c r="H61"/>
  <c r="H64"/>
  <c r="I83"/>
  <c r="I20" i="25"/>
  <c r="I29"/>
  <c r="I30"/>
  <c r="I48"/>
  <c r="I46"/>
  <c r="I19"/>
  <c r="I21"/>
  <c r="I31"/>
  <c r="I49"/>
  <c r="I47"/>
  <c r="I51"/>
  <c r="I52"/>
  <c r="H84"/>
  <c r="H85" s="1"/>
  <c r="I84"/>
  <c r="I18"/>
  <c r="H18"/>
  <c r="I16"/>
  <c r="H17"/>
  <c r="I25"/>
  <c r="H26"/>
  <c r="H38"/>
  <c r="I39"/>
  <c r="I41"/>
  <c r="H42"/>
  <c r="I43"/>
  <c r="H50"/>
  <c r="H58"/>
  <c r="I59"/>
  <c r="H61"/>
  <c r="H64"/>
  <c r="I83"/>
  <c r="H17" i="24"/>
  <c r="I31"/>
  <c r="I29"/>
  <c r="I30"/>
  <c r="I18"/>
  <c r="H18"/>
  <c r="H84"/>
  <c r="H85" s="1"/>
  <c r="I84"/>
  <c r="I16"/>
  <c r="I25"/>
  <c r="H26"/>
  <c r="H38"/>
  <c r="I39"/>
  <c r="I41"/>
  <c r="H42"/>
  <c r="I43"/>
  <c r="H50"/>
  <c r="H58"/>
  <c r="I59"/>
  <c r="H61"/>
  <c r="H64"/>
  <c r="I83"/>
  <c r="I98" i="23"/>
  <c r="H64"/>
  <c r="H17"/>
  <c r="I29"/>
  <c r="I30"/>
  <c r="I31"/>
  <c r="H61"/>
  <c r="H58"/>
  <c r="H84"/>
  <c r="H85" s="1"/>
  <c r="I84"/>
  <c r="I18"/>
  <c r="H18"/>
  <c r="I16"/>
  <c r="I25"/>
  <c r="H26"/>
  <c r="H38"/>
  <c r="I39"/>
  <c r="I41"/>
  <c r="H42"/>
  <c r="I43"/>
  <c r="H50"/>
  <c r="I59"/>
  <c r="I83"/>
  <c r="I31" i="22"/>
  <c r="I29"/>
  <c r="I30"/>
  <c r="I18"/>
  <c r="H18"/>
  <c r="H84"/>
  <c r="H85" s="1"/>
  <c r="I84"/>
  <c r="I16"/>
  <c r="H17"/>
  <c r="I25"/>
  <c r="H26"/>
  <c r="H38"/>
  <c r="I39"/>
  <c r="I41"/>
  <c r="H42"/>
  <c r="I43"/>
  <c r="H50"/>
  <c r="H58"/>
  <c r="I59"/>
  <c r="H61"/>
  <c r="H64"/>
  <c r="I83"/>
  <c r="H80" i="26" l="1"/>
  <c r="I91"/>
  <c r="I85" i="25"/>
  <c r="H80"/>
  <c r="I93"/>
  <c r="I85" i="24"/>
  <c r="I96" s="1"/>
  <c r="H80"/>
  <c r="H80" i="23"/>
  <c r="I85"/>
  <c r="I100" s="1"/>
  <c r="I85" i="22"/>
  <c r="H80"/>
  <c r="I90"/>
  <c r="H90" i="21" l="1"/>
  <c r="H89"/>
  <c r="H88"/>
  <c r="H87"/>
  <c r="I91"/>
  <c r="E84"/>
  <c r="F84" s="1"/>
  <c r="F83"/>
  <c r="H83" s="1"/>
  <c r="H81"/>
  <c r="H79"/>
  <c r="H77"/>
  <c r="H76"/>
  <c r="H75"/>
  <c r="H73"/>
  <c r="F72"/>
  <c r="F71"/>
  <c r="F70"/>
  <c r="F69"/>
  <c r="F68"/>
  <c r="H67"/>
  <c r="H66"/>
  <c r="F64"/>
  <c r="I64" s="1"/>
  <c r="H63"/>
  <c r="F61"/>
  <c r="I61" s="1"/>
  <c r="I60"/>
  <c r="H60"/>
  <c r="F59"/>
  <c r="H59" s="1"/>
  <c r="F58"/>
  <c r="I58" s="1"/>
  <c r="I55"/>
  <c r="F55"/>
  <c r="H55" s="1"/>
  <c r="I54"/>
  <c r="F54"/>
  <c r="H54" s="1"/>
  <c r="H53"/>
  <c r="F52"/>
  <c r="H52" s="1"/>
  <c r="F51"/>
  <c r="H51" s="1"/>
  <c r="F50"/>
  <c r="I50" s="1"/>
  <c r="F49"/>
  <c r="F48"/>
  <c r="F47"/>
  <c r="F46"/>
  <c r="I44"/>
  <c r="H44"/>
  <c r="F43"/>
  <c r="H43" s="1"/>
  <c r="F42"/>
  <c r="I42" s="1"/>
  <c r="F41"/>
  <c r="H41" s="1"/>
  <c r="H40"/>
  <c r="F39"/>
  <c r="H39" s="1"/>
  <c r="F38"/>
  <c r="I38" s="1"/>
  <c r="I37"/>
  <c r="H37"/>
  <c r="H35"/>
  <c r="H34"/>
  <c r="H33"/>
  <c r="F33"/>
  <c r="I33" s="1"/>
  <c r="H32"/>
  <c r="F31"/>
  <c r="F30"/>
  <c r="F29"/>
  <c r="F26"/>
  <c r="I26" s="1"/>
  <c r="F25"/>
  <c r="H25" s="1"/>
  <c r="F24"/>
  <c r="F23"/>
  <c r="F22"/>
  <c r="F21"/>
  <c r="F20"/>
  <c r="F19"/>
  <c r="E18"/>
  <c r="F18" s="1"/>
  <c r="F17"/>
  <c r="I17" s="1"/>
  <c r="F16"/>
  <c r="H16" s="1"/>
  <c r="I85" i="20"/>
  <c r="I89"/>
  <c r="I88"/>
  <c r="I87"/>
  <c r="H89"/>
  <c r="H88"/>
  <c r="H87"/>
  <c r="F87"/>
  <c r="I90"/>
  <c r="E84"/>
  <c r="F84" s="1"/>
  <c r="F83"/>
  <c r="H83" s="1"/>
  <c r="H81"/>
  <c r="H79"/>
  <c r="H77"/>
  <c r="I76"/>
  <c r="H76"/>
  <c r="H75"/>
  <c r="H73"/>
  <c r="F72"/>
  <c r="H72" s="1"/>
  <c r="F71"/>
  <c r="H71" s="1"/>
  <c r="F70"/>
  <c r="H70" s="1"/>
  <c r="F69"/>
  <c r="H69" s="1"/>
  <c r="F68"/>
  <c r="H68" s="1"/>
  <c r="H67"/>
  <c r="H66"/>
  <c r="F64"/>
  <c r="I64" s="1"/>
  <c r="H63"/>
  <c r="F61"/>
  <c r="I61" s="1"/>
  <c r="I60"/>
  <c r="H60"/>
  <c r="F59"/>
  <c r="H59" s="1"/>
  <c r="F58"/>
  <c r="I58" s="1"/>
  <c r="I55"/>
  <c r="F55"/>
  <c r="H55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I44"/>
  <c r="H44"/>
  <c r="F43"/>
  <c r="H43" s="1"/>
  <c r="F42"/>
  <c r="I42" s="1"/>
  <c r="F41"/>
  <c r="H41" s="1"/>
  <c r="H40"/>
  <c r="F39"/>
  <c r="H39" s="1"/>
  <c r="F38"/>
  <c r="I38" s="1"/>
  <c r="I37"/>
  <c r="H37"/>
  <c r="H35"/>
  <c r="H34"/>
  <c r="H33"/>
  <c r="F33"/>
  <c r="H32"/>
  <c r="F31"/>
  <c r="H31" s="1"/>
  <c r="F30"/>
  <c r="H30" s="1"/>
  <c r="F29"/>
  <c r="H29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85" i="19"/>
  <c r="I81"/>
  <c r="I53"/>
  <c r="H120"/>
  <c r="F120"/>
  <c r="H119"/>
  <c r="F118"/>
  <c r="H118" s="1"/>
  <c r="H117"/>
  <c r="H116"/>
  <c r="H115"/>
  <c r="F115"/>
  <c r="H114"/>
  <c r="H113"/>
  <c r="H112"/>
  <c r="H111"/>
  <c r="H110"/>
  <c r="H109"/>
  <c r="H108"/>
  <c r="H107"/>
  <c r="H106"/>
  <c r="G106"/>
  <c r="H105"/>
  <c r="H104"/>
  <c r="H103"/>
  <c r="H102"/>
  <c r="H101"/>
  <c r="H100"/>
  <c r="H99"/>
  <c r="F99"/>
  <c r="H98"/>
  <c r="H97"/>
  <c r="H96"/>
  <c r="H95"/>
  <c r="H94"/>
  <c r="H93"/>
  <c r="H92"/>
  <c r="H91"/>
  <c r="F90"/>
  <c r="H90" s="1"/>
  <c r="F89"/>
  <c r="H89" s="1"/>
  <c r="H88"/>
  <c r="I121"/>
  <c r="H87"/>
  <c r="E84"/>
  <c r="F84" s="1"/>
  <c r="F83"/>
  <c r="H83" s="1"/>
  <c r="H81"/>
  <c r="H79"/>
  <c r="H77"/>
  <c r="I76"/>
  <c r="H76"/>
  <c r="H75"/>
  <c r="H73"/>
  <c r="F72"/>
  <c r="H72" s="1"/>
  <c r="F71"/>
  <c r="H71" s="1"/>
  <c r="F70"/>
  <c r="H70" s="1"/>
  <c r="F69"/>
  <c r="H69" s="1"/>
  <c r="F68"/>
  <c r="H68" s="1"/>
  <c r="H67"/>
  <c r="H66"/>
  <c r="F64"/>
  <c r="I64" s="1"/>
  <c r="H63"/>
  <c r="F61"/>
  <c r="I61" s="1"/>
  <c r="I60"/>
  <c r="H60"/>
  <c r="F59"/>
  <c r="H59" s="1"/>
  <c r="F58"/>
  <c r="I58" s="1"/>
  <c r="I55"/>
  <c r="F55"/>
  <c r="H55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I44"/>
  <c r="H44"/>
  <c r="F43"/>
  <c r="H43" s="1"/>
  <c r="F42"/>
  <c r="I42" s="1"/>
  <c r="F41"/>
  <c r="H41" s="1"/>
  <c r="H40"/>
  <c r="F39"/>
  <c r="H39" s="1"/>
  <c r="F38"/>
  <c r="I38" s="1"/>
  <c r="I37"/>
  <c r="H37"/>
  <c r="H35"/>
  <c r="H34"/>
  <c r="H33"/>
  <c r="F33"/>
  <c r="H32"/>
  <c r="F31"/>
  <c r="H31" s="1"/>
  <c r="F30"/>
  <c r="H30" s="1"/>
  <c r="F29"/>
  <c r="H29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85" i="18"/>
  <c r="I91" s="1"/>
  <c r="I89"/>
  <c r="I88"/>
  <c r="I87"/>
  <c r="F88"/>
  <c r="H88" s="1"/>
  <c r="H87"/>
  <c r="E84"/>
  <c r="F84" s="1"/>
  <c r="H84" s="1"/>
  <c r="H85" s="1"/>
  <c r="F83"/>
  <c r="H83" s="1"/>
  <c r="H81"/>
  <c r="H79"/>
  <c r="H77"/>
  <c r="I76"/>
  <c r="H76"/>
  <c r="H75"/>
  <c r="H73"/>
  <c r="F72"/>
  <c r="H72" s="1"/>
  <c r="F71"/>
  <c r="H71" s="1"/>
  <c r="F70"/>
  <c r="H70" s="1"/>
  <c r="F69"/>
  <c r="H69" s="1"/>
  <c r="F68"/>
  <c r="H68" s="1"/>
  <c r="H67"/>
  <c r="H66"/>
  <c r="F64"/>
  <c r="I64" s="1"/>
  <c r="H63"/>
  <c r="F61"/>
  <c r="I61" s="1"/>
  <c r="I60"/>
  <c r="H60"/>
  <c r="F59"/>
  <c r="H59" s="1"/>
  <c r="F58"/>
  <c r="I58" s="1"/>
  <c r="I55"/>
  <c r="F55"/>
  <c r="H55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I44"/>
  <c r="H44"/>
  <c r="F43"/>
  <c r="H43" s="1"/>
  <c r="F42"/>
  <c r="I42" s="1"/>
  <c r="F41"/>
  <c r="H41" s="1"/>
  <c r="H40"/>
  <c r="F39"/>
  <c r="H39" s="1"/>
  <c r="F38"/>
  <c r="I38" s="1"/>
  <c r="I37"/>
  <c r="H37"/>
  <c r="H35"/>
  <c r="H34"/>
  <c r="H33"/>
  <c r="F33"/>
  <c r="H32"/>
  <c r="F31"/>
  <c r="H31" s="1"/>
  <c r="F30"/>
  <c r="H30" s="1"/>
  <c r="F29"/>
  <c r="H29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123" i="17"/>
  <c r="I85"/>
  <c r="I121"/>
  <c r="F120"/>
  <c r="H120" s="1"/>
  <c r="H119"/>
  <c r="F118"/>
  <c r="H118" s="1"/>
  <c r="H117"/>
  <c r="H116"/>
  <c r="F115"/>
  <c r="H115" s="1"/>
  <c r="H114"/>
  <c r="H113"/>
  <c r="H112"/>
  <c r="H111"/>
  <c r="H110"/>
  <c r="H109"/>
  <c r="H108"/>
  <c r="H107"/>
  <c r="G106"/>
  <c r="H106" s="1"/>
  <c r="H105"/>
  <c r="H104"/>
  <c r="H103"/>
  <c r="H102"/>
  <c r="H101"/>
  <c r="H100"/>
  <c r="F99"/>
  <c r="H99" s="1"/>
  <c r="H98"/>
  <c r="H97"/>
  <c r="H96"/>
  <c r="H95"/>
  <c r="H94"/>
  <c r="H93"/>
  <c r="H92"/>
  <c r="H91"/>
  <c r="F90"/>
  <c r="H90" s="1"/>
  <c r="F89"/>
  <c r="H89" s="1"/>
  <c r="H88"/>
  <c r="I87"/>
  <c r="H87"/>
  <c r="E84"/>
  <c r="F83"/>
  <c r="I83" s="1"/>
  <c r="H81"/>
  <c r="H79"/>
  <c r="H77"/>
  <c r="I76"/>
  <c r="H76"/>
  <c r="H75"/>
  <c r="H73"/>
  <c r="F72"/>
  <c r="H72" s="1"/>
  <c r="F71"/>
  <c r="H71" s="1"/>
  <c r="F70"/>
  <c r="H70" s="1"/>
  <c r="F69"/>
  <c r="H69" s="1"/>
  <c r="F68"/>
  <c r="H68" s="1"/>
  <c r="H67"/>
  <c r="H66"/>
  <c r="F64"/>
  <c r="H64" s="1"/>
  <c r="H63"/>
  <c r="F61"/>
  <c r="H61" s="1"/>
  <c r="I60"/>
  <c r="H60"/>
  <c r="F59"/>
  <c r="I59" s="1"/>
  <c r="F58"/>
  <c r="H58" s="1"/>
  <c r="I55"/>
  <c r="F55"/>
  <c r="H55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I44"/>
  <c r="H44"/>
  <c r="F43"/>
  <c r="I43" s="1"/>
  <c r="F42"/>
  <c r="H42" s="1"/>
  <c r="F41"/>
  <c r="I41" s="1"/>
  <c r="H40"/>
  <c r="F39"/>
  <c r="I39" s="1"/>
  <c r="F38"/>
  <c r="H38" s="1"/>
  <c r="I37"/>
  <c r="H37"/>
  <c r="F26"/>
  <c r="H26" s="1"/>
  <c r="H35"/>
  <c r="H34"/>
  <c r="F25"/>
  <c r="I25" s="1"/>
  <c r="H33"/>
  <c r="F33"/>
  <c r="H32"/>
  <c r="F31"/>
  <c r="H31" s="1"/>
  <c r="F30"/>
  <c r="H30" s="1"/>
  <c r="F29"/>
  <c r="H29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I16" s="1"/>
  <c r="H17" i="21" l="1"/>
  <c r="H20"/>
  <c r="I20"/>
  <c r="H22"/>
  <c r="I22"/>
  <c r="H24"/>
  <c r="I24"/>
  <c r="H30"/>
  <c r="I30"/>
  <c r="H47"/>
  <c r="I47"/>
  <c r="H49"/>
  <c r="I49"/>
  <c r="H68"/>
  <c r="I68"/>
  <c r="H70"/>
  <c r="I70"/>
  <c r="H72"/>
  <c r="I72"/>
  <c r="H19"/>
  <c r="H21"/>
  <c r="I21"/>
  <c r="H23"/>
  <c r="I23"/>
  <c r="H29"/>
  <c r="I29"/>
  <c r="H31"/>
  <c r="I31"/>
  <c r="H46"/>
  <c r="I46"/>
  <c r="H48"/>
  <c r="I48"/>
  <c r="H69"/>
  <c r="I69"/>
  <c r="H71"/>
  <c r="I71"/>
  <c r="H64"/>
  <c r="H61"/>
  <c r="H84"/>
  <c r="H85" s="1"/>
  <c r="I84"/>
  <c r="I18"/>
  <c r="H18"/>
  <c r="I16"/>
  <c r="I25"/>
  <c r="H26"/>
  <c r="H38"/>
  <c r="I39"/>
  <c r="I41"/>
  <c r="H42"/>
  <c r="I43"/>
  <c r="H50"/>
  <c r="H58"/>
  <c r="I59"/>
  <c r="I83"/>
  <c r="I52" i="20"/>
  <c r="I51"/>
  <c r="I18"/>
  <c r="H18"/>
  <c r="H84"/>
  <c r="H85" s="1"/>
  <c r="I84"/>
  <c r="I16"/>
  <c r="H17"/>
  <c r="I25"/>
  <c r="H26"/>
  <c r="H38"/>
  <c r="I39"/>
  <c r="I41"/>
  <c r="H42"/>
  <c r="I43"/>
  <c r="H50"/>
  <c r="H58"/>
  <c r="I59"/>
  <c r="H61"/>
  <c r="H64"/>
  <c r="I83"/>
  <c r="I18" i="19"/>
  <c r="H18"/>
  <c r="H84"/>
  <c r="H85" s="1"/>
  <c r="I84"/>
  <c r="I16"/>
  <c r="H17"/>
  <c r="I25"/>
  <c r="H26"/>
  <c r="H38"/>
  <c r="I39"/>
  <c r="I41"/>
  <c r="H42"/>
  <c r="I43"/>
  <c r="H50"/>
  <c r="H58"/>
  <c r="I59"/>
  <c r="H61"/>
  <c r="H64"/>
  <c r="I83"/>
  <c r="H50" i="18"/>
  <c r="H58"/>
  <c r="H64"/>
  <c r="H42"/>
  <c r="H61"/>
  <c r="I18"/>
  <c r="H18"/>
  <c r="I16"/>
  <c r="H17"/>
  <c r="I25"/>
  <c r="H26"/>
  <c r="H38"/>
  <c r="I39"/>
  <c r="I41"/>
  <c r="I43"/>
  <c r="I59"/>
  <c r="I83"/>
  <c r="I84"/>
  <c r="H17" i="17"/>
  <c r="H83"/>
  <c r="H18"/>
  <c r="I18"/>
  <c r="H16"/>
  <c r="H25"/>
  <c r="I26"/>
  <c r="I38"/>
  <c r="H39"/>
  <c r="H41"/>
  <c r="I42"/>
  <c r="H43"/>
  <c r="H50"/>
  <c r="I58"/>
  <c r="H59"/>
  <c r="H80" s="1"/>
  <c r="I61"/>
  <c r="I64"/>
  <c r="F84"/>
  <c r="H80" i="21" l="1"/>
  <c r="H80" i="20"/>
  <c r="I92"/>
  <c r="H80" i="19"/>
  <c r="I123"/>
  <c r="H80" i="18"/>
  <c r="H84" i="17"/>
  <c r="H85" s="1"/>
  <c r="I84"/>
  <c r="G54" i="14" l="1"/>
  <c r="G85" i="8" l="1"/>
  <c r="G92"/>
  <c r="G94" l="1"/>
  <c r="G63"/>
  <c r="E30"/>
  <c r="G75" i="14" l="1"/>
  <c r="E19"/>
  <c r="G41" l="1"/>
  <c r="G40"/>
  <c r="G38"/>
  <c r="G37"/>
  <c r="E37"/>
  <c r="E38"/>
  <c r="E39"/>
  <c r="G36"/>
  <c r="G35"/>
  <c r="G34"/>
  <c r="E23" l="1"/>
  <c r="E26"/>
  <c r="E32"/>
  <c r="E33"/>
  <c r="E34"/>
  <c r="E35"/>
  <c r="E36"/>
  <c r="E44"/>
  <c r="E48"/>
  <c r="E50"/>
  <c r="E52"/>
  <c r="G32" l="1"/>
  <c r="G33"/>
  <c r="E31" l="1"/>
  <c r="J52"/>
  <c r="E24" l="1"/>
  <c r="G31" l="1"/>
  <c r="G39"/>
  <c r="H52"/>
  <c r="H53" s="1"/>
  <c r="E28"/>
  <c r="E27" l="1"/>
  <c r="E29"/>
</calcChain>
</file>

<file path=xl/sharedStrings.xml><?xml version="1.0" encoding="utf-8"?>
<sst xmlns="http://schemas.openxmlformats.org/spreadsheetml/2006/main" count="2798" uniqueCount="285">
  <si>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</si>
  <si>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</si>
  <si>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</si>
  <si>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</si>
  <si>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</si>
  <si>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</si>
  <si>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</si>
  <si>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</si>
  <si>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</si>
  <si>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Настоящий Акт составлен в 2 экземплярах, имеющих одинаковую юридическую силу, по одному для каждой из Сторон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</si>
  <si>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</si>
  <si>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</si>
  <si>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</si>
  <si>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</si>
  <si>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</si>
  <si>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</si>
  <si>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</si>
  <si>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</si>
  <si>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</si>
  <si>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</si>
  <si>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</si>
  <si>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t xml:space="preserve">Приказ Министерства строительства и жилищно - коммунального хозяйства Российской Федерации от 26 октября 2015г. № 761/пр. 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</si>
  <si>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</si>
  <si>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</si>
  <si>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</si>
  <si>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</si>
  <si>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</si>
  <si>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ежедневно</t>
  </si>
  <si>
    <t>м2</t>
  </si>
  <si>
    <t>по необходим-ти</t>
  </si>
  <si>
    <t>Механизированная уборка дворовой территории</t>
  </si>
  <si>
    <t xml:space="preserve">Стоимость песка 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</si>
  <si>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</si>
  <si>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</si>
  <si>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</si>
  <si>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</si>
  <si>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</si>
  <si>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м/час</t>
  </si>
  <si>
    <t>м3</t>
  </si>
  <si>
    <t>Осмотр шиферной  кровли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</si>
  <si>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</si>
  <si>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</si>
  <si>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</si>
  <si>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</si>
  <si>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</si>
  <si>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Осмотр электросетей, арматуры и электрообору- дования на чердаках, подвалах и техэтажах</t>
  </si>
  <si>
    <t>Осмотр электросетей,арматуры и электооборудо- вания на лестничных клетках</t>
  </si>
  <si>
    <t>100 лест.</t>
  </si>
  <si>
    <t>Осмотр вводных электрических щитков</t>
  </si>
  <si>
    <t>100 шт.</t>
  </si>
  <si>
    <t>Проверка  дымоходов</t>
  </si>
  <si>
    <t>4 раза в год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</si>
  <si>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</si>
  <si>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</si>
  <si>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</si>
  <si>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</si>
  <si>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</si>
  <si>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</si>
  <si>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</si>
  <si>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</si>
  <si>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</si>
  <si>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</si>
  <si>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</si>
  <si>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</si>
  <si>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Итого годовые затраты</t>
  </si>
  <si>
    <t>100 м2</t>
  </si>
  <si>
    <t>1 раз в год</t>
  </si>
  <si>
    <t>1 м2</t>
  </si>
  <si>
    <t>ежемесячно</t>
  </si>
  <si>
    <t>за период с 01.06.2016 г. по 30.06.2016 г.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</si>
  <si>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</si>
  <si>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</si>
  <si>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</si>
  <si>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</si>
  <si>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</si>
  <si>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весенне-осенний осмотр, 2 раза</t>
  </si>
  <si>
    <t>5. Настоящий Акт составлен в 2 экземплярах, имеющих одинаковую юридическую силу, по одному для каждой из Сторон</t>
  </si>
  <si>
    <t>за период с 01.08.2016 г. по 31.08.2016 г.</t>
  </si>
  <si>
    <t>за период с 01.10.2016 г. по 31.10.2016 г.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</si>
  <si>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</si>
  <si>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</si>
  <si>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</si>
  <si>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</si>
  <si>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</si>
  <si>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</si>
  <si>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</si>
  <si>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</si>
  <si>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</si>
  <si>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</si>
  <si>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</si>
  <si>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</si>
  <si>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</si>
  <si>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</si>
  <si>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</si>
  <si>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</si>
  <si>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</si>
  <si>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</si>
  <si>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за период с 01.01.2016 г. по 31.01.2016 г.</t>
  </si>
  <si>
    <t>2 раза в месяц</t>
  </si>
  <si>
    <t>Аварийное - диспетчерское обслуживание</t>
  </si>
  <si>
    <t>Ремонт групповых щитков на лестничной клетке без ремонта автоматов</t>
  </si>
  <si>
    <t>Итого:</t>
  </si>
  <si>
    <t>за период с 01.02.2016 г. по 29.02.2016 г.</t>
  </si>
  <si>
    <t>1 м</t>
  </si>
  <si>
    <t>за период с 01.03.2016 г. по 31.03.2016 г.</t>
  </si>
  <si>
    <t>за период с 01.04.2016 г. по 30.04.2016 г.</t>
  </si>
  <si>
    <t>Подключение и отключение сварочного аппарата</t>
  </si>
  <si>
    <t>за период с 01.05.2016 г. по 31.05.2016 г.</t>
  </si>
  <si>
    <t>за период с 01.07.2016 г. по 31.07.2016 г.</t>
  </si>
  <si>
    <t>за период с 01.09.2016 г. по 30.09.2016 г.</t>
  </si>
  <si>
    <t>Внеплановый осмотр электросетей, арматуры и электрооборудования на лестничных клетках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</si>
  <si>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</si>
  <si>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</si>
  <si>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Смена дверных приборов - петли</t>
  </si>
  <si>
    <t>Смена дверных приборов (замки навесные)</t>
  </si>
  <si>
    <t>7 раз в месяц</t>
  </si>
  <si>
    <t xml:space="preserve">ежедневно </t>
  </si>
  <si>
    <t xml:space="preserve">II. Уборка земельного участка </t>
  </si>
  <si>
    <t>26 раз в месяц</t>
  </si>
  <si>
    <r>
      <t>Наименование вида работы (услуги)</t>
    </r>
    <r>
      <rPr>
        <vertAlign val="superscript"/>
        <sz val="12"/>
        <rFont val="Times New Roman"/>
        <family val="1"/>
        <charset val="204"/>
      </rPr>
      <t>2</t>
    </r>
  </si>
  <si>
    <t>ООО «Жилсервис»</t>
  </si>
  <si>
    <t>за период с 01.11.2016 г. по 30.11.2016 г.</t>
  </si>
  <si>
    <t>Влажное подметание лестничных клеток 1 этажа</t>
  </si>
  <si>
    <t>13 раз в месяц</t>
  </si>
  <si>
    <t>8 - 9 раз в месяц</t>
  </si>
  <si>
    <t>III. Плановые осмотры  и мелкий ремонт</t>
  </si>
  <si>
    <t>III. Содержание общего имущества</t>
  </si>
  <si>
    <t xml:space="preserve"> IV. Прочие услуги</t>
  </si>
  <si>
    <t>Пескопосыпка территории: входн. площадки</t>
  </si>
  <si>
    <t xml:space="preserve">Очистка края кровли  от слежавшегося снега со сбрасы- ванием сосулек (10% от S кровли, козырьки над подъездами) </t>
  </si>
  <si>
    <t>Смена арматуры - вентилей и клапанов обратных муфтовых диаметром до 20 мм</t>
  </si>
  <si>
    <t>Смена трубопроводов на полипропиленовые трубы PN20 диаметром 20мм</t>
  </si>
  <si>
    <t>генеральный директор Куканов Ю.Л.</t>
  </si>
  <si>
    <t>Сдвигание снега в дни снегопада (проезд)</t>
  </si>
  <si>
    <t>Сдвигание снега в дни снегопада (тротуар, крыльца)</t>
  </si>
  <si>
    <t>5 раз в месяц</t>
  </si>
  <si>
    <t>Подметание снега - с тротуара, крылец, контейнерных площадок</t>
  </si>
  <si>
    <t>4 раза в месяц</t>
  </si>
  <si>
    <t>Очистка оголовков дымоходов и вентканалов от наледи и снега</t>
  </si>
  <si>
    <t xml:space="preserve">2 раза в месяц  </t>
  </si>
  <si>
    <t>шт</t>
  </si>
  <si>
    <t>Внеплановая проверка дымоходов</t>
  </si>
  <si>
    <t>Дератизация</t>
  </si>
  <si>
    <t xml:space="preserve">приемки оказанных услуг и выполненных работ по содержанию и текущему ремонту
общего имущества в многоквартирном доме № 8  по  ул. Космонавтов  пгт. Ярега
</t>
  </si>
  <si>
    <t>Прочистка засоров ГВС, XВC</t>
  </si>
  <si>
    <t>3м</t>
  </si>
  <si>
    <t>Смена трубопроводов на полипропиленовые трубы PN20 диаметром 25 мм</t>
  </si>
  <si>
    <t>Смена бруса у входной двери (IV подъезд)</t>
  </si>
  <si>
    <t>10 м2</t>
  </si>
  <si>
    <t>Ремонт дверных полотен</t>
  </si>
  <si>
    <t>брусок</t>
  </si>
  <si>
    <t>Смена дверных приборов - ручки-скобы</t>
  </si>
  <si>
    <t>Смена дверных приборов - проушины</t>
  </si>
  <si>
    <r>
      <t xml:space="preserve">1. Исполнителем предъявлены к приемке следующие оказанные на основании Договора на содержание и ремонт многоквартирного дома  № </t>
    </r>
    <r>
      <rPr>
        <u/>
        <sz val="12"/>
        <rFont val="Times New Roman"/>
        <family val="1"/>
        <charset val="204"/>
      </rPr>
      <t xml:space="preserve">  8    </t>
    </r>
    <r>
      <rPr>
        <sz val="12"/>
        <rFont val="Times New Roman"/>
        <family val="1"/>
        <charset val="204"/>
      </rPr>
      <t>от</t>
    </r>
    <r>
      <rPr>
        <u/>
        <sz val="12"/>
        <rFont val="Times New Roman"/>
        <family val="1"/>
        <charset val="204"/>
      </rPr>
      <t xml:space="preserve">                             </t>
    </r>
    <r>
      <rPr>
        <sz val="12"/>
        <rFont val="Times New Roman"/>
        <family val="1"/>
        <charset val="204"/>
      </rPr>
      <t>20   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 Ярега,  ул. Космонавтов, д. 8</t>
    </r>
  </si>
  <si>
    <t>Влажное подметание лестничных клеток 2-5 этажа</t>
  </si>
  <si>
    <t>Мытье лестничных  площадок и маршей 1-5 этаж.</t>
  </si>
  <si>
    <t>АКТ №12</t>
  </si>
  <si>
    <t>за период с 01.12.2016 г. по 31.12.2016 г.</t>
  </si>
  <si>
    <t>100м2</t>
  </si>
  <si>
    <t>3 раза в неделю 156 раз в год</t>
  </si>
  <si>
    <t>2 раза в неделю 104 раза в год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</si>
  <si>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</si>
  <si>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</si>
  <si>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</si>
  <si>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</si>
  <si>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</si>
  <si>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</si>
  <si>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</si>
  <si>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отопительных приборов</t>
  </si>
  <si>
    <t>Уборка газонов</t>
  </si>
  <si>
    <t>1000м2</t>
  </si>
  <si>
    <t>52 раза в сезон</t>
  </si>
  <si>
    <t>Подметание территории с усовершенствованным покрытием асф.: крыльца, контейнерн. пл., проезд, тротуар</t>
  </si>
  <si>
    <t>78 раз за сезон</t>
  </si>
  <si>
    <t>Очистка урн от мусора</t>
  </si>
  <si>
    <t>Уборка контейнерной площадки (16 кв.м.)</t>
  </si>
  <si>
    <t>12 раз за сезон</t>
  </si>
  <si>
    <t>Сдвигание снега в дни снегопада (крыльца, тротуары)</t>
  </si>
  <si>
    <t>30 раз за сезон</t>
  </si>
  <si>
    <t>Вывоз снега с придомовой территории</t>
  </si>
  <si>
    <t>1м3</t>
  </si>
  <si>
    <t>155 раз за сезон</t>
  </si>
  <si>
    <t>24 раза за сезон</t>
  </si>
  <si>
    <t xml:space="preserve">Пескопосыпка территории: крыльца и тротуары </t>
  </si>
  <si>
    <t>Осмотр рулонной кровли</t>
  </si>
  <si>
    <t>5 раз в году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</si>
  <si>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</si>
  <si>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</si>
  <si>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Проверка дымоходов</t>
  </si>
  <si>
    <t xml:space="preserve">6 раз за сезон </t>
  </si>
  <si>
    <t>Очистка внутреннего водостока</t>
  </si>
  <si>
    <t>водосток</t>
  </si>
  <si>
    <t>Очистка водостоков от наледи</t>
  </si>
  <si>
    <t>100м3</t>
  </si>
  <si>
    <t>1000м3</t>
  </si>
  <si>
    <t>Вода для промывки СО</t>
  </si>
  <si>
    <t>Сброс воды после промывки СО в канализацию</t>
  </si>
  <si>
    <t>Техническое обслуживание наружных газопроводов</t>
  </si>
  <si>
    <t>ТО внутридомового газ.оборудования</t>
  </si>
  <si>
    <t>Замена ламп ДРЛ</t>
  </si>
  <si>
    <t>Прочистка каналов</t>
  </si>
  <si>
    <t>Аварийно-диспетчерское обслуживание</t>
  </si>
  <si>
    <t>Очистка фановой трубы от наледи</t>
  </si>
  <si>
    <t>генеральный директор  Куканов Ю.Л.</t>
  </si>
  <si>
    <t xml:space="preserve">приемки оказанных услуг и выполненных работ по содержанию и текущему ремонту
общего имущества в многоквартирном доме №8 по ул.Космонавтов пгт.Ярега
</t>
  </si>
  <si>
    <r>
      <t xml:space="preserve">1. Исполнителем предъявлены к приемке следующие оказанные на основании Договора на содержание и ремонт многоквартирного дома  № </t>
    </r>
    <r>
      <rPr>
        <u/>
        <sz val="12"/>
        <rFont val="Times New Roman"/>
        <family val="1"/>
        <charset val="204"/>
      </rPr>
      <t xml:space="preserve">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ул.Космонавтов, д.8</t>
    </r>
  </si>
  <si>
    <t xml:space="preserve">2 раза в месяц   24 раза в год </t>
  </si>
  <si>
    <t>Очистка края кровли от слежавшегося снега со сбрасыванием сосулек (10% от S кровли и козырьки)</t>
  </si>
  <si>
    <t>Устройство хомута диаметром до 50 мм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</si>
  <si>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</si>
  <si>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</si>
  <si>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2. Всего за период с 01.12.2016 по 31.12.2016 выполнено работ (оказано услуг) на общую сумму: 65834,78 руб.</t>
  </si>
  <si>
    <t>(шестьдесят пять тысяч восемьсот тридцать четыре рубля 78 копеек)</t>
  </si>
  <si>
    <t>АКТ №11</t>
  </si>
  <si>
    <t>АКТ №1</t>
  </si>
  <si>
    <t>2 раза в неделю 52 раза в сезон</t>
  </si>
  <si>
    <t>3 раза в неделю 78 раз за сезон</t>
  </si>
  <si>
    <t>ежедневно 365 раз</t>
  </si>
  <si>
    <t xml:space="preserve"> </t>
  </si>
  <si>
    <t>Очистка  от мусора</t>
  </si>
  <si>
    <t>Смена трубопроводов на металл-полимерные трубы д=20</t>
  </si>
  <si>
    <t xml:space="preserve">Демонтаж козырьков </t>
  </si>
  <si>
    <t>тыс.руб.</t>
  </si>
  <si>
    <t>Ремонт и регулировка доводчика (без стоимости доводчика)</t>
  </si>
  <si>
    <t>1шт.</t>
  </si>
  <si>
    <t>Ремонт силового предохранительного шкафа (без стоимости материалов)</t>
  </si>
  <si>
    <t>Смена трубопроводов на полипропиленовые трубы PN25 диаметром 25 мм</t>
  </si>
  <si>
    <t>1 шт</t>
  </si>
  <si>
    <t xml:space="preserve">Смена сгонов у трубопроводов диаметром до 20 мм </t>
  </si>
  <si>
    <t>1 сгон</t>
  </si>
  <si>
    <t>Ремонт отдельными местами рулонного покрытия, промазка битумными составами отдельными местами рулонного покрытия, замена 2 слоев.</t>
  </si>
  <si>
    <t>Внеплановая проверка вентканалов</t>
  </si>
  <si>
    <t>Смена полиэтиленовых канализационных труб диаметром до 100 мм</t>
  </si>
  <si>
    <t>Переход чугун-пластик Ду 110 с манжетой</t>
  </si>
  <si>
    <t>Патрубок компенсационный 100</t>
  </si>
  <si>
    <t xml:space="preserve">Герметизация стыков трубопроводов    </t>
  </si>
  <si>
    <t>1 место</t>
  </si>
  <si>
    <t>Смена ламп ДРЛ</t>
  </si>
  <si>
    <t>Работа автовышки</t>
  </si>
  <si>
    <t>маш/час</t>
  </si>
  <si>
    <t xml:space="preserve">Смена сосков у трубопроводов диаметром до 20 мм </t>
  </si>
  <si>
    <t>Манжета 110 мм</t>
  </si>
  <si>
    <t>Переход 110×50</t>
  </si>
  <si>
    <t>Тройник Ду-100</t>
  </si>
  <si>
    <t>Подметание территории с усовершенствованным покрытием асф.: крыльца, контейнерн пл., проезд, тротуар</t>
  </si>
  <si>
    <t>III. Проведение технических осмотров и мелкий ремонт</t>
  </si>
  <si>
    <t>1 раз в месяц (5 раз в год)</t>
  </si>
  <si>
    <t>III. Проведение технических осмотров</t>
  </si>
  <si>
    <t>IV. Содержание общего имущества МКД</t>
  </si>
  <si>
    <t>V. Прочие услуги</t>
  </si>
  <si>
    <t>2. Всего за период с 01.01.2016 по 31.01.2016 выполнено работ (оказано услуг) на общую сумму: 93707,99 руб.</t>
  </si>
  <si>
    <t>(девяносто три тысячи семьсот семь рублей 99 копеек)</t>
  </si>
  <si>
    <t>АКТ №2</t>
  </si>
  <si>
    <t>2. Всего за период с 01.02.2016 по 29.02.2016 выполнено работ (оказано услуг) на общую сумму: 87548,09 руб.</t>
  </si>
  <si>
    <t>(восемьдесят семь тысяч пятьсот сорок восемь рублей 09 копеек)</t>
  </si>
  <si>
    <t>АКТ №3</t>
  </si>
  <si>
    <t>2. Всего за период с 01.03.2016 по 31.03.2016 выполнено работ (оказано услуг) на общую сумму: 91665,20 руб.</t>
  </si>
  <si>
    <t>(девяносто одна тысяча шестьсот естьдесят пять рублей 20 копеек)</t>
  </si>
  <si>
    <t>АКТ №4</t>
  </si>
  <si>
    <t>2. Всего за период с 01.04.2016 по 30.04.2016 выполнено работ (оказано услуг) на общую сумму: 139011,83 руб.</t>
  </si>
  <si>
    <t>(сто тридцать девять тысяч одиннадцать рублей 83 копейки)</t>
  </si>
  <si>
    <t>АКТ №5</t>
  </si>
  <si>
    <t>2. Всего за период с 01.05.2016 по 31.05.2016 выполнено работ (оказано услуг) на общую сумму: 159405,85 руб.</t>
  </si>
  <si>
    <t>(сто пятьдесят девять тысяч четыреста пять рублей 85 копеек)</t>
  </si>
  <si>
    <t>АКТ №6</t>
  </si>
  <si>
    <t>III. Содержание общего имущества МКД</t>
  </si>
  <si>
    <t>IV. Прочие услуги</t>
  </si>
  <si>
    <t>2. Всего за период с 01.06.2016 по 30.06.2016 выполнено работ (оказано услуг) на общую сумму: 56898,61 руб.</t>
  </si>
  <si>
    <t>(пятьдесят шесть тысяч восемьсот девяносто восемь рублей 81 копейка)</t>
  </si>
  <si>
    <t>АКТ №7</t>
  </si>
  <si>
    <t>2. Всего за период с 01.07.2016 по 31.07.2016 выполнено работ (оказано услуг) на общую сумму: 74449,27 руб.</t>
  </si>
  <si>
    <t>(семьдесят четыре тысячи четыреста сорок девять рублей 27 копеек)</t>
  </si>
  <si>
    <t>АКТ №8</t>
  </si>
  <si>
    <t>2. Всего за период с 01.08.2016 по 31.08.2016 выполнено работ (оказано услуг) на общую сумму: 85731,90 руб.</t>
  </si>
  <si>
    <t>(восемьдесят пять тысяч семьсот тридцать один рубль 90 копеек)</t>
  </si>
  <si>
    <t>АКТ №9</t>
  </si>
  <si>
    <t>2. Всего за период с 01.09.2016 по 30.09.2016 выполнено работ (оказано услуг) на общую сумму: 66208,12 руб.</t>
  </si>
  <si>
    <t>(шестьдесят шесть тысяч двести восемь рублей 12 копеек)</t>
  </si>
  <si>
    <t>АКТ №10</t>
  </si>
  <si>
    <t>2. Всего за период с 01.10.2016 по 31.10.2016 выполнено работ (оказано услуг) на общую сумму: 56185,95 руб.</t>
  </si>
  <si>
    <t>(пятьдесят шесть тысяч сто восемьдесят пять рублей 95 копеек)</t>
  </si>
  <si>
    <t>2. Всего за период с  01.11.2016 г. по 30.11.2016 г. выполнено работ (оказано услуг) на общую сумму: 79906,40 руб.</t>
  </si>
  <si>
    <t>(семьдесят девять тысяч девятьсот шесть рублей 40 копеек)</t>
  </si>
  <si>
    <r>
      <t xml:space="preserve">    Собственники   помещений   в многоквартирном доме, расположенном по адресу: пгт.Ярега, ул.Космонавтов, д.8,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09.12.2013г. стороны, и ООО «Жилсервис»,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</si>
  <si>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r>
      <t xml:space="preserve">    Собственники   помещений   в многоквартирном доме, расположенном по адресу: пгт. Ярега, ул. Космонавтов, д 8,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09.12.2013г. стороны, и ООО «Жилсервис»,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</si>
</sst>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#,##0.0"/>
    <numFmt numFmtId="166" formatCode="0.00000"/>
    <numFmt numFmtId="167" formatCode="0.0000000"/>
  </numFmts>
  <fonts count="26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95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2" fillId="0" borderId="0" xfId="0" applyFont="1" applyAlignment="1">
      <alignment horizontal="right" wrapText="1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0" fontId="10" fillId="0" borderId="0" xfId="0" applyFont="1"/>
    <xf numFmtId="0" fontId="12" fillId="0" borderId="3" xfId="0" applyFont="1" applyFill="1" applyBorder="1" applyAlignment="1">
      <alignment horizontal="left"/>
    </xf>
    <xf numFmtId="0" fontId="12" fillId="0" borderId="3" xfId="0" applyFont="1" applyFill="1" applyBorder="1" applyAlignment="1">
      <alignment horizontal="center"/>
    </xf>
    <xf numFmtId="4" fontId="12" fillId="0" borderId="3" xfId="0" applyNumberFormat="1" applyFont="1" applyFill="1" applyBorder="1" applyAlignment="1">
      <alignment horizontal="center" wrapText="1"/>
    </xf>
    <xf numFmtId="4" fontId="12" fillId="0" borderId="3" xfId="0" applyNumberFormat="1" applyFont="1" applyFill="1" applyBorder="1" applyAlignment="1">
      <alignment horizontal="center" vertical="center"/>
    </xf>
    <xf numFmtId="4" fontId="12" fillId="0" borderId="3" xfId="0" applyNumberFormat="1" applyFont="1" applyFill="1" applyBorder="1" applyAlignment="1">
      <alignment horizontal="center"/>
    </xf>
    <xf numFmtId="0" fontId="12" fillId="0" borderId="3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164" fontId="12" fillId="0" borderId="3" xfId="0" applyNumberFormat="1" applyFont="1" applyFill="1" applyBorder="1" applyAlignment="1">
      <alignment horizontal="center" vertical="center"/>
    </xf>
    <xf numFmtId="4" fontId="12" fillId="2" borderId="3" xfId="0" applyNumberFormat="1" applyFont="1" applyFill="1" applyBorder="1" applyAlignment="1">
      <alignment horizontal="center"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2" fontId="12" fillId="0" borderId="3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3" xfId="0" applyFont="1" applyBorder="1"/>
    <xf numFmtId="2" fontId="0" fillId="0" borderId="0" xfId="0" applyNumberFormat="1"/>
    <xf numFmtId="4" fontId="0" fillId="0" borderId="0" xfId="0" applyNumberFormat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6" fillId="0" borderId="0" xfId="0" applyFont="1"/>
    <xf numFmtId="4" fontId="0" fillId="0" borderId="0" xfId="0" applyNumberFormat="1" applyFill="1"/>
    <xf numFmtId="166" fontId="0" fillId="0" borderId="0" xfId="0" applyNumberFormat="1" applyFill="1"/>
    <xf numFmtId="167" fontId="0" fillId="0" borderId="0" xfId="0" applyNumberFormat="1" applyFill="1"/>
    <xf numFmtId="0" fontId="12" fillId="0" borderId="3" xfId="0" applyFont="1" applyFill="1" applyBorder="1" applyAlignment="1">
      <alignment horizontal="center" vertical="center" wrapText="1"/>
    </xf>
    <xf numFmtId="165" fontId="0" fillId="0" borderId="0" xfId="0" applyNumberFormat="1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4" fontId="2" fillId="0" borderId="0" xfId="0" applyNumberFormat="1" applyFont="1" applyAlignment="1">
      <alignment wrapText="1"/>
    </xf>
    <xf numFmtId="0" fontId="14" fillId="0" borderId="3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 vertical="top"/>
    </xf>
    <xf numFmtId="0" fontId="16" fillId="0" borderId="0" xfId="0" applyFont="1" applyAlignment="1"/>
    <xf numFmtId="14" fontId="1" fillId="0" borderId="0" xfId="0" applyNumberFormat="1" applyFont="1" applyAlignment="1">
      <alignment wrapText="1"/>
    </xf>
    <xf numFmtId="4" fontId="14" fillId="0" borderId="3" xfId="0" applyNumberFormat="1" applyFont="1" applyFill="1" applyBorder="1" applyAlignment="1">
      <alignment horizontal="center" vertical="center" wrapText="1"/>
    </xf>
    <xf numFmtId="4" fontId="12" fillId="2" borderId="9" xfId="0" applyNumberFormat="1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/>
    </xf>
    <xf numFmtId="0" fontId="12" fillId="3" borderId="9" xfId="0" applyFont="1" applyFill="1" applyBorder="1" applyAlignment="1">
      <alignment horizontal="left" vertical="center" wrapText="1"/>
    </xf>
    <xf numFmtId="4" fontId="12" fillId="3" borderId="9" xfId="0" applyNumberFormat="1" applyFont="1" applyFill="1" applyBorder="1" applyAlignment="1">
      <alignment horizontal="center" vertical="center"/>
    </xf>
    <xf numFmtId="0" fontId="15" fillId="0" borderId="3" xfId="0" applyFont="1" applyBorder="1"/>
    <xf numFmtId="0" fontId="15" fillId="0" borderId="3" xfId="0" applyFont="1" applyFill="1" applyBorder="1"/>
    <xf numFmtId="4" fontId="12" fillId="2" borderId="3" xfId="0" applyNumberFormat="1" applyFont="1" applyFill="1" applyBorder="1" applyAlignment="1">
      <alignment horizontal="center" vertical="center"/>
    </xf>
    <xf numFmtId="4" fontId="12" fillId="3" borderId="3" xfId="0" applyNumberFormat="1" applyFont="1" applyFill="1" applyBorder="1" applyAlignment="1">
      <alignment horizontal="center" vertical="center"/>
    </xf>
    <xf numFmtId="4" fontId="12" fillId="4" borderId="3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center" vertical="center"/>
    </xf>
    <xf numFmtId="4" fontId="14" fillId="2" borderId="3" xfId="0" applyNumberFormat="1" applyFont="1" applyFill="1" applyBorder="1" applyAlignment="1">
      <alignment horizontal="left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1" fontId="12" fillId="0" borderId="3" xfId="0" applyNumberFormat="1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/>
    </xf>
    <xf numFmtId="4" fontId="14" fillId="2" borderId="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wrapText="1"/>
    </xf>
    <xf numFmtId="0" fontId="14" fillId="0" borderId="3" xfId="0" applyFont="1" applyFill="1" applyBorder="1" applyAlignment="1">
      <alignment horizontal="left"/>
    </xf>
    <xf numFmtId="0" fontId="14" fillId="0" borderId="3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6" fillId="0" borderId="3" xfId="0" applyFont="1" applyBorder="1"/>
    <xf numFmtId="4" fontId="2" fillId="0" borderId="3" xfId="0" applyNumberFormat="1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left" vertical="center"/>
    </xf>
    <xf numFmtId="4" fontId="1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>
      <alignment horizontal="center" wrapText="1"/>
    </xf>
    <xf numFmtId="0" fontId="18" fillId="0" borderId="3" xfId="0" applyFont="1" applyFill="1" applyBorder="1" applyAlignment="1">
      <alignment horizont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/>
    </xf>
    <xf numFmtId="0" fontId="2" fillId="2" borderId="3" xfId="0" applyNumberFormat="1" applyFont="1" applyFill="1" applyBorder="1" applyAlignment="1" applyProtection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wrapText="1"/>
    </xf>
    <xf numFmtId="0" fontId="12" fillId="0" borderId="3" xfId="0" applyFont="1" applyBorder="1"/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3" xfId="1" applyFont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wrapText="1"/>
    </xf>
    <xf numFmtId="0" fontId="2" fillId="0" borderId="3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5" fillId="0" borderId="0" xfId="0" applyFont="1"/>
    <xf numFmtId="0" fontId="24" fillId="0" borderId="0" xfId="0" applyFont="1"/>
    <xf numFmtId="0" fontId="2" fillId="0" borderId="4" xfId="1" applyFont="1" applyBorder="1" applyAlignment="1">
      <alignment horizontal="center" vertical="center" wrapText="1"/>
    </xf>
    <xf numFmtId="0" fontId="20" fillId="0" borderId="3" xfId="0" applyFont="1" applyBorder="1" applyAlignment="1">
      <alignment vertical="center"/>
    </xf>
    <xf numFmtId="0" fontId="20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 wrapText="1"/>
    </xf>
    <xf numFmtId="0" fontId="2" fillId="5" borderId="3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4" fontId="2" fillId="0" borderId="3" xfId="0" applyNumberFormat="1" applyFont="1" applyFill="1" applyBorder="1" applyAlignment="1">
      <alignment horizontal="left" vertical="center" wrapText="1"/>
    </xf>
    <xf numFmtId="4" fontId="1" fillId="0" borderId="3" xfId="0" applyNumberFormat="1" applyFont="1" applyFill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2" borderId="16" xfId="0" applyNumberFormat="1" applyFont="1" applyFill="1" applyBorder="1" applyAlignment="1" applyProtection="1">
      <alignment horizontal="left" vertical="center" wrapText="1"/>
    </xf>
    <xf numFmtId="0" fontId="2" fillId="2" borderId="16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14" fillId="0" borderId="3" xfId="0" applyFont="1" applyFill="1" applyBorder="1" applyAlignment="1">
      <alignment horizontal="center" vertical="center" wrapText="1"/>
    </xf>
    <xf numFmtId="2" fontId="12" fillId="0" borderId="3" xfId="0" applyNumberFormat="1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left" vertical="center" wrapText="1"/>
    </xf>
    <xf numFmtId="0" fontId="12" fillId="2" borderId="15" xfId="0" applyFont="1" applyFill="1" applyBorder="1" applyAlignment="1">
      <alignment horizontal="left" vertical="center" wrapText="1"/>
    </xf>
    <xf numFmtId="4" fontId="12" fillId="0" borderId="7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left" vertical="center" wrapText="1"/>
    </xf>
    <xf numFmtId="0" fontId="12" fillId="4" borderId="7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 wrapText="1"/>
    </xf>
    <xf numFmtId="1" fontId="12" fillId="2" borderId="3" xfId="0" applyNumberFormat="1" applyFont="1" applyFill="1" applyBorder="1" applyAlignment="1">
      <alignment horizontal="left" vertical="center" wrapText="1"/>
    </xf>
    <xf numFmtId="4" fontId="14" fillId="2" borderId="3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wrapText="1"/>
    </xf>
    <xf numFmtId="3" fontId="12" fillId="2" borderId="3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 applyProtection="1">
      <alignment horizontal="left" vertical="center" wrapText="1"/>
    </xf>
    <xf numFmtId="0" fontId="12" fillId="5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2" fillId="2" borderId="3" xfId="0" applyNumberFormat="1" applyFont="1" applyFill="1" applyBorder="1" applyAlignment="1" applyProtection="1">
      <alignment horizontal="left" vertical="center"/>
    </xf>
    <xf numFmtId="0" fontId="12" fillId="2" borderId="3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4" fillId="0" borderId="3" xfId="0" applyFont="1" applyFill="1" applyBorder="1" applyAlignment="1">
      <alignment horizontal="center" vertical="center" wrapText="1"/>
    </xf>
    <xf numFmtId="4" fontId="2" fillId="0" borderId="16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4" fontId="12" fillId="0" borderId="0" xfId="0" applyNumberFormat="1" applyFont="1" applyFill="1" applyBorder="1" applyAlignment="1">
      <alignment horizontal="center" vertical="center"/>
    </xf>
    <xf numFmtId="4" fontId="12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wrapText="1"/>
    </xf>
    <xf numFmtId="0" fontId="15" fillId="0" borderId="0" xfId="0" applyFont="1" applyFill="1"/>
    <xf numFmtId="0" fontId="15" fillId="0" borderId="0" xfId="0" applyFont="1" applyFill="1" applyAlignment="1">
      <alignment horizontal="center" vertical="center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12" fillId="0" borderId="9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center" vertical="center"/>
    </xf>
    <xf numFmtId="4" fontId="12" fillId="0" borderId="9" xfId="0" applyNumberFormat="1" applyFont="1" applyFill="1" applyBorder="1" applyAlignment="1">
      <alignment horizontal="center" vertical="center" wrapText="1"/>
    </xf>
    <xf numFmtId="4" fontId="12" fillId="0" borderId="9" xfId="0" applyNumberFormat="1" applyFont="1" applyFill="1" applyBorder="1" applyAlignment="1">
      <alignment horizontal="center" vertical="center"/>
    </xf>
    <xf numFmtId="4" fontId="12" fillId="0" borderId="17" xfId="0" applyNumberFormat="1" applyFont="1" applyFill="1" applyBorder="1" applyAlignment="1">
      <alignment horizontal="center" vertical="center"/>
    </xf>
    <xf numFmtId="4" fontId="12" fillId="0" borderId="18" xfId="0" applyNumberFormat="1" applyFont="1" applyFill="1" applyBorder="1" applyAlignment="1">
      <alignment horizontal="center" vertical="center" wrapText="1"/>
    </xf>
    <xf numFmtId="4" fontId="14" fillId="0" borderId="3" xfId="0" applyNumberFormat="1" applyFont="1" applyFill="1" applyBorder="1" applyAlignment="1">
      <alignment horizontal="center" vertical="center"/>
    </xf>
    <xf numFmtId="4" fontId="21" fillId="0" borderId="9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left" vertical="center"/>
    </xf>
    <xf numFmtId="0" fontId="12" fillId="0" borderId="13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center" vertical="center"/>
    </xf>
    <xf numFmtId="4" fontId="12" fillId="0" borderId="13" xfId="0" applyNumberFormat="1" applyFont="1" applyFill="1" applyBorder="1" applyAlignment="1">
      <alignment horizontal="center" vertical="center" wrapText="1"/>
    </xf>
    <xf numFmtId="4" fontId="12" fillId="0" borderId="19" xfId="0" applyNumberFormat="1" applyFont="1" applyFill="1" applyBorder="1" applyAlignment="1">
      <alignment horizontal="center" vertical="center"/>
    </xf>
    <xf numFmtId="4" fontId="12" fillId="0" borderId="20" xfId="0" applyNumberFormat="1" applyFont="1" applyFill="1" applyBorder="1" applyAlignment="1">
      <alignment horizontal="center" vertical="center"/>
    </xf>
    <xf numFmtId="4" fontId="12" fillId="0" borderId="13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wrapText="1"/>
    </xf>
    <xf numFmtId="0" fontId="15" fillId="0" borderId="0" xfId="0" applyFont="1" applyFill="1" applyBorder="1"/>
    <xf numFmtId="0" fontId="12" fillId="0" borderId="0" xfId="0" applyFont="1" applyFill="1" applyAlignment="1">
      <alignment wrapText="1"/>
    </xf>
    <xf numFmtId="4" fontId="12" fillId="0" borderId="5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top" wrapText="1"/>
    </xf>
    <xf numFmtId="0" fontId="15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center" vertical="center"/>
    </xf>
    <xf numFmtId="4" fontId="14" fillId="0" borderId="5" xfId="0" applyNumberFormat="1" applyFont="1" applyFill="1" applyBorder="1" applyAlignment="1">
      <alignment horizontal="center" vertical="center"/>
    </xf>
    <xf numFmtId="1" fontId="12" fillId="0" borderId="3" xfId="0" applyNumberFormat="1" applyFont="1" applyFill="1" applyBorder="1" applyAlignment="1">
      <alignment horizontal="left" vertical="center" wrapText="1"/>
    </xf>
    <xf numFmtId="4" fontId="12" fillId="0" borderId="16" xfId="0" applyNumberFormat="1" applyFont="1" applyFill="1" applyBorder="1" applyAlignment="1">
      <alignment horizontal="center" vertical="center"/>
    </xf>
    <xf numFmtId="0" fontId="12" fillId="0" borderId="16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left" vertical="center" wrapText="1"/>
    </xf>
    <xf numFmtId="0" fontId="12" fillId="0" borderId="11" xfId="0" applyNumberFormat="1" applyFont="1" applyFill="1" applyBorder="1" applyAlignment="1" applyProtection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left" vertical="center"/>
    </xf>
    <xf numFmtId="0" fontId="25" fillId="0" borderId="4" xfId="0" applyFont="1" applyFill="1" applyBorder="1" applyAlignment="1">
      <alignment horizontal="left" vertical="center" wrapText="1"/>
    </xf>
    <xf numFmtId="0" fontId="12" fillId="0" borderId="21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14" xfId="0" applyFont="1" applyFill="1" applyBorder="1" applyAlignment="1">
      <alignment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left" vertical="center" wrapText="1"/>
    </xf>
    <xf numFmtId="4" fontId="12" fillId="0" borderId="10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center" vertical="center"/>
    </xf>
    <xf numFmtId="1" fontId="12" fillId="0" borderId="7" xfId="0" applyNumberFormat="1" applyFont="1" applyFill="1" applyBorder="1" applyAlignment="1">
      <alignment horizontal="left" vertical="center" wrapText="1"/>
    </xf>
    <xf numFmtId="4" fontId="12" fillId="0" borderId="7" xfId="0" applyNumberFormat="1" applyFont="1" applyFill="1" applyBorder="1" applyAlignment="1">
      <alignment horizontal="center" vertical="center"/>
    </xf>
    <xf numFmtId="4" fontId="12" fillId="0" borderId="12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top" wrapText="1"/>
    </xf>
    <xf numFmtId="0" fontId="2" fillId="0" borderId="2" xfId="0" applyFont="1" applyBorder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15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4" fontId="18" fillId="0" borderId="5" xfId="0" applyNumberFormat="1" applyFont="1" applyFill="1" applyBorder="1" applyAlignment="1">
      <alignment horizontal="center" vertical="center" wrapText="1"/>
    </xf>
    <xf numFmtId="4" fontId="18" fillId="0" borderId="6" xfId="0" applyNumberFormat="1" applyFont="1" applyFill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44"/>
  <sheetViews>
    <sheetView workbookViewId="0">
      <selection activeCell="A8" sqref="A8:I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3" t="s">
        <v>120</v>
      </c>
      <c r="I1" s="42"/>
      <c r="J1" s="1"/>
      <c r="K1" s="1"/>
      <c r="L1" s="1"/>
      <c r="M1" s="1"/>
    </row>
    <row r="2" spans="1:13" ht="15.75" customHeight="1">
      <c r="A2" s="44" t="s">
        <v>79</v>
      </c>
      <c r="J2" s="2"/>
      <c r="K2" s="2"/>
      <c r="L2" s="2"/>
      <c r="M2" s="2"/>
    </row>
    <row r="3" spans="1:13" ht="15.75" customHeight="1">
      <c r="A3" s="253" t="s">
        <v>214</v>
      </c>
      <c r="B3" s="253"/>
      <c r="C3" s="253"/>
      <c r="D3" s="253"/>
      <c r="E3" s="253"/>
      <c r="F3" s="253"/>
      <c r="G3" s="253"/>
      <c r="H3" s="253"/>
      <c r="I3" s="253"/>
      <c r="J3" s="3"/>
      <c r="K3" s="3"/>
      <c r="L3" s="3"/>
    </row>
    <row r="4" spans="1:13" ht="31.5" customHeight="1">
      <c r="A4" s="254" t="s">
        <v>204</v>
      </c>
      <c r="B4" s="254"/>
      <c r="C4" s="254"/>
      <c r="D4" s="254"/>
      <c r="E4" s="254"/>
      <c r="F4" s="254"/>
      <c r="G4" s="254"/>
      <c r="H4" s="254"/>
      <c r="I4" s="254"/>
    </row>
    <row r="5" spans="1:13" ht="15.75">
      <c r="A5" s="253" t="s">
        <v>97</v>
      </c>
      <c r="B5" s="255"/>
      <c r="C5" s="255"/>
      <c r="D5" s="255"/>
      <c r="E5" s="255"/>
      <c r="F5" s="255"/>
      <c r="G5" s="255"/>
      <c r="H5" s="255"/>
      <c r="I5" s="255"/>
      <c r="J5" s="2"/>
      <c r="K5" s="2"/>
      <c r="L5" s="2"/>
      <c r="M5" s="2"/>
    </row>
    <row r="6" spans="1:13" ht="15.75">
      <c r="A6" s="2"/>
      <c r="B6" s="192"/>
      <c r="C6" s="192"/>
      <c r="D6" s="192"/>
      <c r="E6" s="192"/>
      <c r="F6" s="192"/>
      <c r="G6" s="192"/>
      <c r="H6" s="192"/>
      <c r="I6" s="52">
        <v>42400</v>
      </c>
      <c r="J6" s="2"/>
      <c r="K6" s="2"/>
      <c r="L6" s="2"/>
      <c r="M6" s="2"/>
    </row>
    <row r="7" spans="1:13" ht="15.75">
      <c r="B7" s="187"/>
      <c r="C7" s="187"/>
      <c r="D7" s="187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56" t="s">
        <v>283</v>
      </c>
      <c r="B8" s="256"/>
      <c r="C8" s="256"/>
      <c r="D8" s="256"/>
      <c r="E8" s="256"/>
      <c r="F8" s="256"/>
      <c r="G8" s="256"/>
      <c r="H8" s="256"/>
      <c r="I8" s="25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57" t="s">
        <v>205</v>
      </c>
      <c r="B10" s="257"/>
      <c r="C10" s="257"/>
      <c r="D10" s="257"/>
      <c r="E10" s="257"/>
      <c r="F10" s="257"/>
      <c r="G10" s="257"/>
      <c r="H10" s="257"/>
      <c r="I10" s="257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19</v>
      </c>
      <c r="E12" s="6" t="s">
        <v>20</v>
      </c>
      <c r="F12" s="6"/>
      <c r="G12" s="6" t="s">
        <v>24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52" t="s">
        <v>73</v>
      </c>
      <c r="B14" s="252"/>
      <c r="C14" s="252"/>
      <c r="D14" s="252"/>
      <c r="E14" s="252"/>
      <c r="F14" s="252"/>
      <c r="G14" s="252"/>
      <c r="H14" s="252"/>
      <c r="I14" s="252"/>
      <c r="J14" s="8"/>
      <c r="K14" s="8"/>
      <c r="L14" s="8"/>
      <c r="M14" s="8"/>
    </row>
    <row r="15" spans="1:13">
      <c r="A15" s="260" t="s">
        <v>4</v>
      </c>
      <c r="B15" s="260"/>
      <c r="C15" s="260"/>
      <c r="D15" s="260"/>
      <c r="E15" s="260"/>
      <c r="F15" s="260"/>
      <c r="G15" s="260"/>
      <c r="H15" s="260"/>
      <c r="I15" s="260"/>
      <c r="J15" s="8"/>
      <c r="K15" s="8"/>
      <c r="L15" s="8"/>
      <c r="M15" s="8"/>
    </row>
    <row r="16" spans="1:13" s="202" customFormat="1" ht="31.5" customHeight="1">
      <c r="A16" s="48">
        <v>1</v>
      </c>
      <c r="B16" s="205" t="s">
        <v>122</v>
      </c>
      <c r="C16" s="206" t="s">
        <v>158</v>
      </c>
      <c r="D16" s="205" t="s">
        <v>159</v>
      </c>
      <c r="E16" s="207">
        <v>95.04</v>
      </c>
      <c r="F16" s="208">
        <f>SUM(E16*156/100)</f>
        <v>148.26240000000001</v>
      </c>
      <c r="G16" s="208">
        <v>187.48</v>
      </c>
      <c r="H16" s="209">
        <f t="shared" ref="H16:H24" si="0">SUM(F16*G16/1000)</f>
        <v>27.796234752</v>
      </c>
      <c r="I16" s="18">
        <f>F16/12*G16</f>
        <v>2316.3528960000003</v>
      </c>
    </row>
    <row r="17" spans="1:10" s="202" customFormat="1" ht="31.5" customHeight="1">
      <c r="A17" s="48">
        <v>2</v>
      </c>
      <c r="B17" s="205" t="s">
        <v>154</v>
      </c>
      <c r="C17" s="206" t="s">
        <v>158</v>
      </c>
      <c r="D17" s="205" t="s">
        <v>160</v>
      </c>
      <c r="E17" s="207">
        <v>380.16</v>
      </c>
      <c r="F17" s="208">
        <f>SUM(E17*104/100)</f>
        <v>395.3664</v>
      </c>
      <c r="G17" s="208">
        <v>187.48</v>
      </c>
      <c r="H17" s="209">
        <f t="shared" si="0"/>
        <v>74.123292671999991</v>
      </c>
      <c r="I17" s="18">
        <f>F17/12*G17</f>
        <v>6176.9410559999997</v>
      </c>
      <c r="J17" s="203"/>
    </row>
    <row r="18" spans="1:10" s="202" customFormat="1" ht="31.5" customHeight="1">
      <c r="A18" s="48">
        <v>3</v>
      </c>
      <c r="B18" s="205" t="s">
        <v>155</v>
      </c>
      <c r="C18" s="206" t="s">
        <v>158</v>
      </c>
      <c r="D18" s="205" t="s">
        <v>206</v>
      </c>
      <c r="E18" s="207">
        <f>SUM(E16+E17)</f>
        <v>475.20000000000005</v>
      </c>
      <c r="F18" s="208">
        <f>SUM(E18*24/100)</f>
        <v>114.04800000000002</v>
      </c>
      <c r="G18" s="208">
        <v>539.30999999999995</v>
      </c>
      <c r="H18" s="209">
        <f t="shared" si="0"/>
        <v>61.507226880000005</v>
      </c>
      <c r="I18" s="18">
        <f>F18/12*G18</f>
        <v>5125.6022400000002</v>
      </c>
      <c r="J18" s="203"/>
    </row>
    <row r="19" spans="1:10" s="202" customFormat="1" ht="15.75" hidden="1" customHeight="1">
      <c r="A19" s="48"/>
      <c r="B19" s="205" t="s">
        <v>161</v>
      </c>
      <c r="C19" s="206" t="s">
        <v>162</v>
      </c>
      <c r="D19" s="205" t="s">
        <v>163</v>
      </c>
      <c r="E19" s="207">
        <v>93.4</v>
      </c>
      <c r="F19" s="208">
        <f>SUM(E19/10)</f>
        <v>9.34</v>
      </c>
      <c r="G19" s="208">
        <v>181.9</v>
      </c>
      <c r="H19" s="209">
        <f t="shared" si="0"/>
        <v>1.6989460000000001</v>
      </c>
      <c r="I19" s="18">
        <v>0</v>
      </c>
      <c r="J19" s="203"/>
    </row>
    <row r="20" spans="1:10" s="202" customFormat="1" ht="15.75" hidden="1" customHeight="1">
      <c r="A20" s="48"/>
      <c r="B20" s="205" t="s">
        <v>164</v>
      </c>
      <c r="C20" s="206" t="s">
        <v>158</v>
      </c>
      <c r="D20" s="205" t="s">
        <v>53</v>
      </c>
      <c r="E20" s="207">
        <v>43.2</v>
      </c>
      <c r="F20" s="208">
        <f>SUM(E20*2/100)</f>
        <v>0.8640000000000001</v>
      </c>
      <c r="G20" s="208">
        <v>232.91</v>
      </c>
      <c r="H20" s="209">
        <f t="shared" si="0"/>
        <v>0.20123424000000004</v>
      </c>
      <c r="I20" s="18">
        <v>0</v>
      </c>
      <c r="J20" s="203"/>
    </row>
    <row r="21" spans="1:10" s="202" customFormat="1" ht="15.75" hidden="1" customHeight="1">
      <c r="A21" s="48"/>
      <c r="B21" s="205" t="s">
        <v>165</v>
      </c>
      <c r="C21" s="206" t="s">
        <v>158</v>
      </c>
      <c r="D21" s="205" t="s">
        <v>53</v>
      </c>
      <c r="E21" s="207">
        <v>10.08</v>
      </c>
      <c r="F21" s="208">
        <f>SUM(E21*2/100)</f>
        <v>0.2016</v>
      </c>
      <c r="G21" s="208">
        <v>231.03</v>
      </c>
      <c r="H21" s="209">
        <f t="shared" si="0"/>
        <v>4.6575648000000004E-2</v>
      </c>
      <c r="I21" s="18">
        <v>0</v>
      </c>
      <c r="J21" s="203"/>
    </row>
    <row r="22" spans="1:10" s="202" customFormat="1" ht="15.75" hidden="1" customHeight="1">
      <c r="A22" s="48"/>
      <c r="B22" s="205" t="s">
        <v>166</v>
      </c>
      <c r="C22" s="206" t="s">
        <v>65</v>
      </c>
      <c r="D22" s="205" t="s">
        <v>163</v>
      </c>
      <c r="E22" s="207">
        <v>642.6</v>
      </c>
      <c r="F22" s="208">
        <f>SUM(E22/100)</f>
        <v>6.4260000000000002</v>
      </c>
      <c r="G22" s="208">
        <v>287.83999999999997</v>
      </c>
      <c r="H22" s="209">
        <f t="shared" si="0"/>
        <v>1.8496598399999997</v>
      </c>
      <c r="I22" s="18">
        <v>0</v>
      </c>
      <c r="J22" s="203"/>
    </row>
    <row r="23" spans="1:10" s="202" customFormat="1" ht="15.75" hidden="1" customHeight="1">
      <c r="A23" s="48"/>
      <c r="B23" s="205" t="s">
        <v>167</v>
      </c>
      <c r="C23" s="206" t="s">
        <v>65</v>
      </c>
      <c r="D23" s="205" t="s">
        <v>163</v>
      </c>
      <c r="E23" s="210">
        <v>35.28</v>
      </c>
      <c r="F23" s="208">
        <f>SUM(E23/100)</f>
        <v>0.3528</v>
      </c>
      <c r="G23" s="208">
        <v>47.35</v>
      </c>
      <c r="H23" s="209">
        <f t="shared" si="0"/>
        <v>1.6705080000000004E-2</v>
      </c>
      <c r="I23" s="18">
        <v>0</v>
      </c>
      <c r="J23" s="203"/>
    </row>
    <row r="24" spans="1:10" s="202" customFormat="1" ht="15.75" hidden="1" customHeight="1">
      <c r="A24" s="48"/>
      <c r="B24" s="205" t="s">
        <v>168</v>
      </c>
      <c r="C24" s="206" t="s">
        <v>65</v>
      </c>
      <c r="D24" s="205" t="s">
        <v>163</v>
      </c>
      <c r="E24" s="207">
        <v>28.8</v>
      </c>
      <c r="F24" s="208">
        <f>SUM(E24/100)</f>
        <v>0.28800000000000003</v>
      </c>
      <c r="G24" s="208">
        <v>556.74</v>
      </c>
      <c r="H24" s="209">
        <f t="shared" si="0"/>
        <v>0.16034112000000003</v>
      </c>
      <c r="I24" s="18">
        <v>0</v>
      </c>
      <c r="J24" s="203"/>
    </row>
    <row r="25" spans="1:10" s="202" customFormat="1" ht="15.75" customHeight="1">
      <c r="A25" s="48">
        <v>4</v>
      </c>
      <c r="B25" s="205" t="s">
        <v>81</v>
      </c>
      <c r="C25" s="206" t="s">
        <v>38</v>
      </c>
      <c r="D25" s="205" t="s">
        <v>217</v>
      </c>
      <c r="E25" s="207">
        <v>0.1</v>
      </c>
      <c r="F25" s="208">
        <f>SUM(E25*365)</f>
        <v>36.5</v>
      </c>
      <c r="G25" s="208">
        <v>157.18</v>
      </c>
      <c r="H25" s="209">
        <f>SUM(F25*G25/1000)</f>
        <v>5.737070000000001</v>
      </c>
      <c r="I25" s="18">
        <f>F25/12*G25</f>
        <v>478.08916666666664</v>
      </c>
      <c r="J25" s="203"/>
    </row>
    <row r="26" spans="1:10" s="202" customFormat="1" ht="15.75" customHeight="1">
      <c r="A26" s="48">
        <v>5</v>
      </c>
      <c r="B26" s="213" t="s">
        <v>25</v>
      </c>
      <c r="C26" s="206" t="s">
        <v>26</v>
      </c>
      <c r="D26" s="213" t="s">
        <v>218</v>
      </c>
      <c r="E26" s="207">
        <v>3931</v>
      </c>
      <c r="F26" s="208">
        <f>SUM(E26*12)</f>
        <v>47172</v>
      </c>
      <c r="G26" s="208">
        <v>5.33</v>
      </c>
      <c r="H26" s="209">
        <f>SUM(F26*G26/1000)</f>
        <v>251.42676</v>
      </c>
      <c r="I26" s="18">
        <f>F26/12*G26</f>
        <v>20952.23</v>
      </c>
      <c r="J26" s="203"/>
    </row>
    <row r="27" spans="1:10" s="202" customFormat="1" ht="15.75" customHeight="1">
      <c r="A27" s="261" t="s">
        <v>117</v>
      </c>
      <c r="B27" s="262"/>
      <c r="C27" s="262"/>
      <c r="D27" s="262"/>
      <c r="E27" s="262"/>
      <c r="F27" s="262"/>
      <c r="G27" s="262"/>
      <c r="H27" s="262"/>
      <c r="I27" s="263"/>
      <c r="J27" s="203"/>
    </row>
    <row r="28" spans="1:10" s="202" customFormat="1" ht="15.75" hidden="1" customHeight="1">
      <c r="A28" s="48"/>
      <c r="B28" s="238" t="s">
        <v>33</v>
      </c>
      <c r="C28" s="206"/>
      <c r="D28" s="205"/>
      <c r="E28" s="207"/>
      <c r="F28" s="208"/>
      <c r="G28" s="208"/>
      <c r="H28" s="209"/>
      <c r="I28" s="18"/>
      <c r="J28" s="203"/>
    </row>
    <row r="29" spans="1:10" s="202" customFormat="1" ht="31.5" hidden="1" customHeight="1">
      <c r="A29" s="48">
        <v>6</v>
      </c>
      <c r="B29" s="205" t="s">
        <v>169</v>
      </c>
      <c r="C29" s="206" t="s">
        <v>170</v>
      </c>
      <c r="D29" s="205" t="s">
        <v>215</v>
      </c>
      <c r="E29" s="208">
        <v>1116.27</v>
      </c>
      <c r="F29" s="208">
        <f>SUM(E29*52/1000)</f>
        <v>58.046039999999998</v>
      </c>
      <c r="G29" s="208">
        <v>166.65</v>
      </c>
      <c r="H29" s="209">
        <f t="shared" ref="H29:H35" si="1">SUM(F29*G29/1000)</f>
        <v>9.6733725659999994</v>
      </c>
      <c r="I29" s="18">
        <v>0</v>
      </c>
      <c r="J29" s="203"/>
    </row>
    <row r="30" spans="1:10" s="202" customFormat="1" ht="31.5" hidden="1" customHeight="1">
      <c r="A30" s="48">
        <v>7</v>
      </c>
      <c r="B30" s="205" t="s">
        <v>244</v>
      </c>
      <c r="C30" s="206" t="s">
        <v>170</v>
      </c>
      <c r="D30" s="205" t="s">
        <v>216</v>
      </c>
      <c r="E30" s="208">
        <v>89.03</v>
      </c>
      <c r="F30" s="208">
        <f>SUM(E30*78/1000)</f>
        <v>6.9443400000000004</v>
      </c>
      <c r="G30" s="208">
        <v>276.48</v>
      </c>
      <c r="H30" s="209">
        <f t="shared" si="1"/>
        <v>1.9199711232000003</v>
      </c>
      <c r="I30" s="18">
        <v>0</v>
      </c>
      <c r="J30" s="203"/>
    </row>
    <row r="31" spans="1:10" s="202" customFormat="1" ht="15.75" hidden="1" customHeight="1">
      <c r="A31" s="48"/>
      <c r="B31" s="205" t="s">
        <v>32</v>
      </c>
      <c r="C31" s="206" t="s">
        <v>170</v>
      </c>
      <c r="D31" s="205" t="s">
        <v>66</v>
      </c>
      <c r="E31" s="208">
        <v>1116.27</v>
      </c>
      <c r="F31" s="208">
        <f>SUM(E31/1000)</f>
        <v>1.1162699999999999</v>
      </c>
      <c r="G31" s="208">
        <v>3228.73</v>
      </c>
      <c r="H31" s="209">
        <f t="shared" si="1"/>
        <v>3.6041344370999995</v>
      </c>
      <c r="I31" s="18">
        <v>0</v>
      </c>
      <c r="J31" s="203"/>
    </row>
    <row r="32" spans="1:10" s="202" customFormat="1" ht="15.75" hidden="1" customHeight="1">
      <c r="A32" s="48">
        <v>8</v>
      </c>
      <c r="B32" s="205" t="s">
        <v>174</v>
      </c>
      <c r="C32" s="206" t="s">
        <v>49</v>
      </c>
      <c r="D32" s="205" t="s">
        <v>80</v>
      </c>
      <c r="E32" s="208">
        <v>6</v>
      </c>
      <c r="F32" s="208">
        <v>9.3000000000000007</v>
      </c>
      <c r="G32" s="208">
        <v>1391.86</v>
      </c>
      <c r="H32" s="209">
        <f>G32*F32/1000</f>
        <v>12.944298</v>
      </c>
      <c r="I32" s="18">
        <v>0</v>
      </c>
      <c r="J32" s="203"/>
    </row>
    <row r="33" spans="1:14" s="202" customFormat="1" ht="15.75" hidden="1" customHeight="1">
      <c r="A33" s="48">
        <v>9</v>
      </c>
      <c r="B33" s="205" t="s">
        <v>175</v>
      </c>
      <c r="C33" s="206" t="s">
        <v>36</v>
      </c>
      <c r="D33" s="205" t="s">
        <v>80</v>
      </c>
      <c r="E33" s="212">
        <v>0.33333333333333331</v>
      </c>
      <c r="F33" s="208">
        <f>155/3</f>
        <v>51.666666666666664</v>
      </c>
      <c r="G33" s="208">
        <v>60.6</v>
      </c>
      <c r="H33" s="209">
        <f>SUM(G33*155/3/1000)</f>
        <v>3.1309999999999998</v>
      </c>
      <c r="I33" s="18">
        <v>0</v>
      </c>
      <c r="J33" s="203"/>
    </row>
    <row r="34" spans="1:14" s="202" customFormat="1" ht="15.75" hidden="1" customHeight="1">
      <c r="A34" s="48"/>
      <c r="B34" s="205" t="s">
        <v>82</v>
      </c>
      <c r="C34" s="206" t="s">
        <v>38</v>
      </c>
      <c r="D34" s="205" t="s">
        <v>84</v>
      </c>
      <c r="E34" s="207"/>
      <c r="F34" s="208">
        <v>3</v>
      </c>
      <c r="G34" s="208">
        <v>204.52</v>
      </c>
      <c r="H34" s="209">
        <f t="shared" si="1"/>
        <v>0.61356000000000011</v>
      </c>
      <c r="I34" s="18">
        <v>0</v>
      </c>
      <c r="J34" s="203"/>
    </row>
    <row r="35" spans="1:14" s="202" customFormat="1" ht="15.75" hidden="1" customHeight="1">
      <c r="A35" s="48"/>
      <c r="B35" s="205" t="s">
        <v>83</v>
      </c>
      <c r="C35" s="206" t="s">
        <v>37</v>
      </c>
      <c r="D35" s="205" t="s">
        <v>84</v>
      </c>
      <c r="E35" s="207"/>
      <c r="F35" s="208">
        <v>2</v>
      </c>
      <c r="G35" s="208">
        <v>1136.33</v>
      </c>
      <c r="H35" s="209">
        <f t="shared" si="1"/>
        <v>2.2726599999999997</v>
      </c>
      <c r="I35" s="18">
        <v>0</v>
      </c>
      <c r="J35" s="203"/>
    </row>
    <row r="36" spans="1:14" s="202" customFormat="1" ht="15.75" customHeight="1">
      <c r="A36" s="48"/>
      <c r="B36" s="238" t="s">
        <v>5</v>
      </c>
      <c r="C36" s="206"/>
      <c r="D36" s="205"/>
      <c r="E36" s="207"/>
      <c r="F36" s="208"/>
      <c r="G36" s="208"/>
      <c r="H36" s="209" t="s">
        <v>218</v>
      </c>
      <c r="I36" s="18"/>
      <c r="J36" s="203"/>
    </row>
    <row r="37" spans="1:14" s="202" customFormat="1" ht="15.75" customHeight="1">
      <c r="A37" s="48">
        <v>6</v>
      </c>
      <c r="B37" s="205" t="s">
        <v>30</v>
      </c>
      <c r="C37" s="206" t="s">
        <v>37</v>
      </c>
      <c r="D37" s="205"/>
      <c r="E37" s="207"/>
      <c r="F37" s="208">
        <v>8</v>
      </c>
      <c r="G37" s="208">
        <v>1632.6</v>
      </c>
      <c r="H37" s="209">
        <f t="shared" ref="H37:H44" si="2">SUM(F37*G37/1000)</f>
        <v>13.060799999999999</v>
      </c>
      <c r="I37" s="18">
        <f>F37/6*G37</f>
        <v>2176.7999999999997</v>
      </c>
      <c r="J37" s="203"/>
    </row>
    <row r="38" spans="1:14" s="202" customFormat="1" ht="15.75" customHeight="1">
      <c r="A38" s="48">
        <v>7</v>
      </c>
      <c r="B38" s="205" t="s">
        <v>133</v>
      </c>
      <c r="C38" s="206" t="s">
        <v>34</v>
      </c>
      <c r="D38" s="205" t="s">
        <v>176</v>
      </c>
      <c r="E38" s="207">
        <v>461.12</v>
      </c>
      <c r="F38" s="208">
        <f>E38*12/1000</f>
        <v>5.5334400000000006</v>
      </c>
      <c r="G38" s="208">
        <v>2247.8000000000002</v>
      </c>
      <c r="H38" s="209">
        <f>G38*F38/1000</f>
        <v>12.438066432000001</v>
      </c>
      <c r="I38" s="18">
        <f>F38/6*G38</f>
        <v>2073.0110720000002</v>
      </c>
      <c r="J38" s="203"/>
    </row>
    <row r="39" spans="1:14" s="202" customFormat="1" ht="15.75" customHeight="1">
      <c r="A39" s="48">
        <v>8</v>
      </c>
      <c r="B39" s="205" t="s">
        <v>177</v>
      </c>
      <c r="C39" s="206" t="s">
        <v>34</v>
      </c>
      <c r="D39" s="205" t="s">
        <v>178</v>
      </c>
      <c r="E39" s="207">
        <v>89.03</v>
      </c>
      <c r="F39" s="208">
        <f>E39*30/1000</f>
        <v>2.6709000000000001</v>
      </c>
      <c r="G39" s="208">
        <v>2247.8000000000002</v>
      </c>
      <c r="H39" s="209">
        <f>G39*F39/1000</f>
        <v>6.003649020000001</v>
      </c>
      <c r="I39" s="18">
        <f>F39/6*G39</f>
        <v>1000.6081700000001</v>
      </c>
      <c r="J39" s="203"/>
    </row>
    <row r="40" spans="1:14" s="202" customFormat="1" ht="15.75" hidden="1" customHeight="1">
      <c r="A40" s="48"/>
      <c r="B40" s="205" t="s">
        <v>179</v>
      </c>
      <c r="C40" s="206" t="s">
        <v>180</v>
      </c>
      <c r="D40" s="205" t="s">
        <v>84</v>
      </c>
      <c r="E40" s="207"/>
      <c r="F40" s="208">
        <v>135</v>
      </c>
      <c r="G40" s="208">
        <v>213.2</v>
      </c>
      <c r="H40" s="209">
        <f>G40*F40/1000</f>
        <v>28.782</v>
      </c>
      <c r="I40" s="18">
        <v>0</v>
      </c>
      <c r="J40" s="203"/>
      <c r="L40" s="27"/>
      <c r="M40" s="28"/>
      <c r="N40" s="54"/>
    </row>
    <row r="41" spans="1:14" s="202" customFormat="1" ht="15.75" customHeight="1">
      <c r="A41" s="48">
        <v>9</v>
      </c>
      <c r="B41" s="205" t="s">
        <v>85</v>
      </c>
      <c r="C41" s="206" t="s">
        <v>34</v>
      </c>
      <c r="D41" s="205" t="s">
        <v>181</v>
      </c>
      <c r="E41" s="208">
        <v>89.03</v>
      </c>
      <c r="F41" s="208">
        <f>SUM(E41*155/1000)</f>
        <v>13.79965</v>
      </c>
      <c r="G41" s="208">
        <v>374.95</v>
      </c>
      <c r="H41" s="209">
        <f t="shared" si="2"/>
        <v>5.1741787674999999</v>
      </c>
      <c r="I41" s="18">
        <f>F41/6*G41</f>
        <v>862.36312791666671</v>
      </c>
      <c r="J41" s="203"/>
      <c r="L41" s="27"/>
      <c r="M41" s="28"/>
      <c r="N41" s="54"/>
    </row>
    <row r="42" spans="1:14" s="202" customFormat="1" ht="15.75" customHeight="1">
      <c r="A42" s="48">
        <v>10</v>
      </c>
      <c r="B42" s="205" t="s">
        <v>111</v>
      </c>
      <c r="C42" s="206" t="s">
        <v>170</v>
      </c>
      <c r="D42" s="205" t="s">
        <v>182</v>
      </c>
      <c r="E42" s="208">
        <v>89.03</v>
      </c>
      <c r="F42" s="208">
        <f>SUM(E42*24/1000)</f>
        <v>2.1367200000000004</v>
      </c>
      <c r="G42" s="208">
        <v>6203.71</v>
      </c>
      <c r="H42" s="209">
        <f t="shared" si="2"/>
        <v>13.255591231200002</v>
      </c>
      <c r="I42" s="18">
        <f>F42/6*G42</f>
        <v>2209.2652052000003</v>
      </c>
      <c r="J42" s="203"/>
      <c r="L42" s="27"/>
      <c r="M42" s="28"/>
      <c r="N42" s="54"/>
    </row>
    <row r="43" spans="1:14" s="202" customFormat="1" ht="15.75" customHeight="1">
      <c r="A43" s="48">
        <v>11</v>
      </c>
      <c r="B43" s="205" t="s">
        <v>183</v>
      </c>
      <c r="C43" s="206" t="s">
        <v>170</v>
      </c>
      <c r="D43" s="205" t="s">
        <v>86</v>
      </c>
      <c r="E43" s="208">
        <v>89.03</v>
      </c>
      <c r="F43" s="208">
        <f>SUM(E43*45/1000)</f>
        <v>4.0063500000000003</v>
      </c>
      <c r="G43" s="208">
        <v>458.28</v>
      </c>
      <c r="H43" s="209">
        <f t="shared" si="2"/>
        <v>1.8360300780000001</v>
      </c>
      <c r="I43" s="18">
        <f>F43/6*G43</f>
        <v>306.00501299999996</v>
      </c>
      <c r="J43" s="203"/>
      <c r="L43" s="27"/>
      <c r="M43" s="28"/>
      <c r="N43" s="54"/>
    </row>
    <row r="44" spans="1:14" s="202" customFormat="1" ht="15.75" customHeight="1">
      <c r="A44" s="48">
        <v>12</v>
      </c>
      <c r="B44" s="205" t="s">
        <v>87</v>
      </c>
      <c r="C44" s="206" t="s">
        <v>38</v>
      </c>
      <c r="D44" s="205"/>
      <c r="E44" s="207"/>
      <c r="F44" s="208">
        <v>0.9</v>
      </c>
      <c r="G44" s="208">
        <v>798</v>
      </c>
      <c r="H44" s="209">
        <f t="shared" si="2"/>
        <v>0.71820000000000006</v>
      </c>
      <c r="I44" s="18">
        <f>F44/6*G44</f>
        <v>119.69999999999999</v>
      </c>
      <c r="J44" s="203"/>
      <c r="L44" s="27"/>
      <c r="M44" s="28"/>
      <c r="N44" s="54"/>
    </row>
    <row r="45" spans="1:14" s="202" customFormat="1" ht="15.75" customHeight="1">
      <c r="A45" s="261" t="s">
        <v>247</v>
      </c>
      <c r="B45" s="262"/>
      <c r="C45" s="262"/>
      <c r="D45" s="262"/>
      <c r="E45" s="262"/>
      <c r="F45" s="262"/>
      <c r="G45" s="262"/>
      <c r="H45" s="262"/>
      <c r="I45" s="263"/>
      <c r="J45" s="203"/>
      <c r="L45" s="27"/>
      <c r="M45" s="28"/>
      <c r="N45" s="54"/>
    </row>
    <row r="46" spans="1:14" s="202" customFormat="1" ht="15.75" hidden="1" customHeight="1">
      <c r="A46" s="48"/>
      <c r="B46" s="205" t="s">
        <v>184</v>
      </c>
      <c r="C46" s="206" t="s">
        <v>170</v>
      </c>
      <c r="D46" s="205" t="s">
        <v>53</v>
      </c>
      <c r="E46" s="207">
        <v>1032.5</v>
      </c>
      <c r="F46" s="208">
        <f>SUM(E46*2/1000)</f>
        <v>2.0649999999999999</v>
      </c>
      <c r="G46" s="18">
        <v>908.1</v>
      </c>
      <c r="H46" s="209">
        <f t="shared" ref="H46:H55" si="3">SUM(F46*G46/1000)</f>
        <v>1.8752264999999999</v>
      </c>
      <c r="I46" s="18">
        <v>0</v>
      </c>
      <c r="J46" s="203"/>
      <c r="L46" s="27"/>
      <c r="M46" s="28"/>
      <c r="N46" s="54"/>
    </row>
    <row r="47" spans="1:14" s="202" customFormat="1" ht="15.75" hidden="1" customHeight="1">
      <c r="A47" s="48"/>
      <c r="B47" s="205" t="s">
        <v>42</v>
      </c>
      <c r="C47" s="206" t="s">
        <v>170</v>
      </c>
      <c r="D47" s="205" t="s">
        <v>53</v>
      </c>
      <c r="E47" s="207">
        <v>132</v>
      </c>
      <c r="F47" s="208">
        <f>E47*2/1000</f>
        <v>0.26400000000000001</v>
      </c>
      <c r="G47" s="18">
        <v>619.46</v>
      </c>
      <c r="H47" s="209">
        <f t="shared" si="3"/>
        <v>0.16353744000000001</v>
      </c>
      <c r="I47" s="18">
        <v>0</v>
      </c>
      <c r="J47" s="203"/>
      <c r="L47" s="27"/>
      <c r="M47" s="28"/>
      <c r="N47" s="54"/>
    </row>
    <row r="48" spans="1:14" s="202" customFormat="1" ht="15.75" hidden="1" customHeight="1">
      <c r="A48" s="48"/>
      <c r="B48" s="205" t="s">
        <v>43</v>
      </c>
      <c r="C48" s="206" t="s">
        <v>170</v>
      </c>
      <c r="D48" s="205" t="s">
        <v>53</v>
      </c>
      <c r="E48" s="207">
        <v>4248.22</v>
      </c>
      <c r="F48" s="208">
        <f>SUM(E48*2/1000)</f>
        <v>8.4964399999999998</v>
      </c>
      <c r="G48" s="18">
        <v>619.46</v>
      </c>
      <c r="H48" s="209">
        <f t="shared" si="3"/>
        <v>5.2632047223999994</v>
      </c>
      <c r="I48" s="18">
        <v>0</v>
      </c>
      <c r="J48" s="203"/>
      <c r="L48" s="27"/>
      <c r="M48" s="28"/>
      <c r="N48" s="54"/>
    </row>
    <row r="49" spans="1:22" s="202" customFormat="1" ht="15.75" hidden="1" customHeight="1">
      <c r="A49" s="48"/>
      <c r="B49" s="205" t="s">
        <v>44</v>
      </c>
      <c r="C49" s="206" t="s">
        <v>170</v>
      </c>
      <c r="D49" s="205" t="s">
        <v>53</v>
      </c>
      <c r="E49" s="207">
        <v>2163.66</v>
      </c>
      <c r="F49" s="208">
        <f>SUM(E49*2/1000)</f>
        <v>4.3273199999999994</v>
      </c>
      <c r="G49" s="18">
        <v>648.64</v>
      </c>
      <c r="H49" s="209">
        <f t="shared" si="3"/>
        <v>2.8068728447999995</v>
      </c>
      <c r="I49" s="18">
        <v>0</v>
      </c>
      <c r="J49" s="203"/>
      <c r="L49" s="27"/>
      <c r="M49" s="28"/>
      <c r="N49" s="54"/>
    </row>
    <row r="50" spans="1:22" s="202" customFormat="1" ht="31.5" customHeight="1">
      <c r="A50" s="48">
        <v>13</v>
      </c>
      <c r="B50" s="205" t="s">
        <v>70</v>
      </c>
      <c r="C50" s="206" t="s">
        <v>170</v>
      </c>
      <c r="D50" s="205" t="s">
        <v>246</v>
      </c>
      <c r="E50" s="207">
        <v>1017.5</v>
      </c>
      <c r="F50" s="208">
        <f>SUM(E50*5/1000)</f>
        <v>5.0875000000000004</v>
      </c>
      <c r="G50" s="18">
        <v>1297.28</v>
      </c>
      <c r="H50" s="209">
        <f t="shared" si="3"/>
        <v>6.5999120000000007</v>
      </c>
      <c r="I50" s="18">
        <f>F50/5*G50</f>
        <v>1319.9824000000001</v>
      </c>
      <c r="J50" s="203"/>
      <c r="L50" s="27"/>
      <c r="M50" s="28"/>
      <c r="N50" s="54"/>
    </row>
    <row r="51" spans="1:22" s="202" customFormat="1" ht="31.5" hidden="1" customHeight="1">
      <c r="A51" s="48"/>
      <c r="B51" s="205" t="s">
        <v>186</v>
      </c>
      <c r="C51" s="206" t="s">
        <v>170</v>
      </c>
      <c r="D51" s="205" t="s">
        <v>53</v>
      </c>
      <c r="E51" s="207">
        <v>1017.5</v>
      </c>
      <c r="F51" s="208">
        <f>SUM(E51*2/1000)</f>
        <v>2.0350000000000001</v>
      </c>
      <c r="G51" s="18">
        <v>1297.28</v>
      </c>
      <c r="H51" s="209">
        <f t="shared" si="3"/>
        <v>2.6399648</v>
      </c>
      <c r="I51" s="18">
        <v>0</v>
      </c>
      <c r="J51" s="203"/>
      <c r="L51" s="27"/>
      <c r="M51" s="28"/>
      <c r="N51" s="54"/>
    </row>
    <row r="52" spans="1:22" s="202" customFormat="1" ht="31.5" hidden="1" customHeight="1">
      <c r="A52" s="48"/>
      <c r="B52" s="205" t="s">
        <v>187</v>
      </c>
      <c r="C52" s="206" t="s">
        <v>47</v>
      </c>
      <c r="D52" s="205" t="s">
        <v>53</v>
      </c>
      <c r="E52" s="207">
        <v>30</v>
      </c>
      <c r="F52" s="208">
        <f>SUM(E52*2/100)</f>
        <v>0.6</v>
      </c>
      <c r="G52" s="18">
        <v>2918.89</v>
      </c>
      <c r="H52" s="209">
        <f t="shared" si="3"/>
        <v>1.7513339999999997</v>
      </c>
      <c r="I52" s="18">
        <v>0</v>
      </c>
      <c r="J52" s="203"/>
      <c r="L52" s="27"/>
      <c r="M52" s="28"/>
      <c r="N52" s="54"/>
    </row>
    <row r="53" spans="1:22" s="202" customFormat="1" ht="15.75" hidden="1" customHeight="1">
      <c r="A53" s="48"/>
      <c r="B53" s="205" t="s">
        <v>48</v>
      </c>
      <c r="C53" s="206" t="s">
        <v>49</v>
      </c>
      <c r="D53" s="205" t="s">
        <v>53</v>
      </c>
      <c r="E53" s="207">
        <v>1</v>
      </c>
      <c r="F53" s="208">
        <v>0.02</v>
      </c>
      <c r="G53" s="18">
        <v>6042.13</v>
      </c>
      <c r="H53" s="209">
        <f t="shared" si="3"/>
        <v>0.12084260000000001</v>
      </c>
      <c r="I53" s="18">
        <v>0</v>
      </c>
      <c r="J53" s="203"/>
      <c r="L53" s="27"/>
      <c r="M53" s="28"/>
      <c r="N53" s="54"/>
    </row>
    <row r="54" spans="1:22" s="202" customFormat="1" ht="15.75" customHeight="1">
      <c r="A54" s="48">
        <v>14</v>
      </c>
      <c r="B54" s="205" t="s">
        <v>188</v>
      </c>
      <c r="C54" s="206" t="s">
        <v>140</v>
      </c>
      <c r="D54" s="205" t="s">
        <v>88</v>
      </c>
      <c r="E54" s="207">
        <v>90</v>
      </c>
      <c r="F54" s="208">
        <f>E54*4</f>
        <v>360</v>
      </c>
      <c r="G54" s="18">
        <v>150.86000000000001</v>
      </c>
      <c r="H54" s="209">
        <f>F54*G54/1000</f>
        <v>54.309600000000003</v>
      </c>
      <c r="I54" s="18">
        <f>G54*E54</f>
        <v>13577.400000000001</v>
      </c>
      <c r="J54" s="203"/>
      <c r="L54" s="27"/>
      <c r="M54" s="28"/>
      <c r="N54" s="54"/>
    </row>
    <row r="55" spans="1:22" s="202" customFormat="1" ht="15.75" customHeight="1">
      <c r="A55" s="48">
        <v>15</v>
      </c>
      <c r="B55" s="205" t="s">
        <v>52</v>
      </c>
      <c r="C55" s="206" t="s">
        <v>140</v>
      </c>
      <c r="D55" s="205" t="s">
        <v>88</v>
      </c>
      <c r="E55" s="207">
        <v>180</v>
      </c>
      <c r="F55" s="208">
        <f>SUM(E55)*3</f>
        <v>540</v>
      </c>
      <c r="G55" s="18">
        <v>70.2</v>
      </c>
      <c r="H55" s="209">
        <f t="shared" si="3"/>
        <v>37.908000000000001</v>
      </c>
      <c r="I55" s="18">
        <f>G55*E55</f>
        <v>12636</v>
      </c>
      <c r="J55" s="203"/>
      <c r="L55" s="27"/>
      <c r="M55" s="28"/>
      <c r="N55" s="54"/>
    </row>
    <row r="56" spans="1:22" s="202" customFormat="1" ht="15.75" customHeight="1">
      <c r="A56" s="261" t="s">
        <v>248</v>
      </c>
      <c r="B56" s="262"/>
      <c r="C56" s="262"/>
      <c r="D56" s="262"/>
      <c r="E56" s="262"/>
      <c r="F56" s="262"/>
      <c r="G56" s="262"/>
      <c r="H56" s="262"/>
      <c r="I56" s="263"/>
      <c r="J56" s="203"/>
      <c r="L56" s="27"/>
      <c r="M56" s="28"/>
      <c r="N56" s="54"/>
    </row>
    <row r="57" spans="1:22" s="202" customFormat="1" ht="15.75" customHeight="1">
      <c r="A57" s="48"/>
      <c r="B57" s="238" t="s">
        <v>54</v>
      </c>
      <c r="C57" s="206"/>
      <c r="D57" s="205"/>
      <c r="E57" s="207"/>
      <c r="F57" s="208"/>
      <c r="G57" s="208"/>
      <c r="H57" s="209"/>
      <c r="I57" s="18"/>
      <c r="J57" s="203"/>
      <c r="L57" s="27"/>
      <c r="M57" s="28"/>
      <c r="N57" s="54"/>
    </row>
    <row r="58" spans="1:22" s="202" customFormat="1" ht="31.5" customHeight="1">
      <c r="A58" s="48">
        <v>16</v>
      </c>
      <c r="B58" s="205" t="s">
        <v>207</v>
      </c>
      <c r="C58" s="206" t="s">
        <v>158</v>
      </c>
      <c r="D58" s="205" t="s">
        <v>189</v>
      </c>
      <c r="E58" s="207">
        <v>103.25</v>
      </c>
      <c r="F58" s="208">
        <f>SUM(E58*6/100)</f>
        <v>6.1950000000000003</v>
      </c>
      <c r="G58" s="18">
        <v>1654.04</v>
      </c>
      <c r="H58" s="209">
        <f>SUM(F58*G58/1000)</f>
        <v>10.2467778</v>
      </c>
      <c r="I58" s="18">
        <f>F58/6*G58</f>
        <v>1707.7963</v>
      </c>
      <c r="J58" s="203"/>
      <c r="L58" s="27"/>
      <c r="M58" s="28"/>
      <c r="N58" s="54"/>
    </row>
    <row r="59" spans="1:22" s="202" customFormat="1" ht="31.5" customHeight="1">
      <c r="A59" s="48">
        <v>17</v>
      </c>
      <c r="B59" s="205" t="s">
        <v>138</v>
      </c>
      <c r="C59" s="206" t="s">
        <v>158</v>
      </c>
      <c r="D59" s="205" t="s">
        <v>139</v>
      </c>
      <c r="E59" s="207">
        <v>39.700000000000003</v>
      </c>
      <c r="F59" s="208">
        <f>SUM(E59*12/100)</f>
        <v>4.7640000000000002</v>
      </c>
      <c r="G59" s="18">
        <v>1654.04</v>
      </c>
      <c r="H59" s="209">
        <f>SUM(F59*G59/1000)</f>
        <v>7.8798465599999998</v>
      </c>
      <c r="I59" s="18">
        <f>F59/6*G59</f>
        <v>1313.3077600000001</v>
      </c>
      <c r="J59" s="203"/>
      <c r="L59" s="27"/>
      <c r="M59" s="28"/>
      <c r="N59" s="54"/>
    </row>
    <row r="60" spans="1:22" s="202" customFormat="1" ht="15.75" customHeight="1">
      <c r="A60" s="48">
        <v>18</v>
      </c>
      <c r="B60" s="214" t="s">
        <v>190</v>
      </c>
      <c r="C60" s="215" t="s">
        <v>191</v>
      </c>
      <c r="D60" s="214" t="s">
        <v>53</v>
      </c>
      <c r="E60" s="216">
        <v>8</v>
      </c>
      <c r="F60" s="217">
        <v>16</v>
      </c>
      <c r="G60" s="18">
        <v>193.25</v>
      </c>
      <c r="H60" s="218">
        <f>F60*G60/1000</f>
        <v>3.0920000000000001</v>
      </c>
      <c r="I60" s="18">
        <f>F60/2*G60</f>
        <v>1546</v>
      </c>
      <c r="J60" s="203"/>
      <c r="L60" s="27"/>
    </row>
    <row r="61" spans="1:22" s="202" customFormat="1" ht="15.75" customHeight="1">
      <c r="A61" s="48">
        <v>19</v>
      </c>
      <c r="B61" s="205" t="s">
        <v>192</v>
      </c>
      <c r="C61" s="206" t="s">
        <v>158</v>
      </c>
      <c r="D61" s="205" t="s">
        <v>189</v>
      </c>
      <c r="E61" s="207">
        <v>41.73</v>
      </c>
      <c r="F61" s="208">
        <f>SUM(E61*6/100)</f>
        <v>2.5038</v>
      </c>
      <c r="G61" s="18">
        <v>1654.04</v>
      </c>
      <c r="H61" s="209">
        <f>SUM(F61*G61/1000)</f>
        <v>4.1413853520000004</v>
      </c>
      <c r="I61" s="18">
        <f>F61/6*G61</f>
        <v>690.23089200000004</v>
      </c>
      <c r="J61" s="203"/>
      <c r="L61" s="27"/>
    </row>
    <row r="62" spans="1:22" s="202" customFormat="1" ht="15.75" customHeight="1">
      <c r="A62" s="48"/>
      <c r="B62" s="239" t="s">
        <v>55</v>
      </c>
      <c r="C62" s="215"/>
      <c r="D62" s="214"/>
      <c r="E62" s="216"/>
      <c r="F62" s="217"/>
      <c r="G62" s="18"/>
      <c r="H62" s="218"/>
      <c r="I62" s="18"/>
    </row>
    <row r="63" spans="1:22" s="202" customFormat="1" ht="15.75" hidden="1" customHeight="1">
      <c r="A63" s="48"/>
      <c r="B63" s="214" t="s">
        <v>219</v>
      </c>
      <c r="C63" s="215" t="s">
        <v>65</v>
      </c>
      <c r="D63" s="214" t="s">
        <v>66</v>
      </c>
      <c r="E63" s="216">
        <v>1017.5</v>
      </c>
      <c r="F63" s="217">
        <v>10.154</v>
      </c>
      <c r="G63" s="18">
        <v>848.37</v>
      </c>
      <c r="H63" s="218">
        <f>F63*G63/1000</f>
        <v>8.6143489800000008</v>
      </c>
      <c r="I63" s="18">
        <v>0</v>
      </c>
    </row>
    <row r="64" spans="1:22" s="202" customFormat="1" ht="15.75" customHeight="1">
      <c r="A64" s="48">
        <v>20</v>
      </c>
      <c r="B64" s="214" t="s">
        <v>142</v>
      </c>
      <c r="C64" s="215" t="s">
        <v>28</v>
      </c>
      <c r="D64" s="214" t="s">
        <v>35</v>
      </c>
      <c r="E64" s="216">
        <v>203.5</v>
      </c>
      <c r="F64" s="219">
        <f>E64*12</f>
        <v>2442</v>
      </c>
      <c r="G64" s="197">
        <v>2.6</v>
      </c>
      <c r="H64" s="217">
        <f>F64*G64/1000</f>
        <v>6.3491999999999997</v>
      </c>
      <c r="I64" s="18">
        <f>F64/12*G64</f>
        <v>529.1</v>
      </c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1"/>
    </row>
    <row r="65" spans="1:21" s="202" customFormat="1" ht="15.75" hidden="1" customHeight="1">
      <c r="A65" s="48"/>
      <c r="B65" s="239" t="s">
        <v>57</v>
      </c>
      <c r="C65" s="215"/>
      <c r="D65" s="214"/>
      <c r="E65" s="216"/>
      <c r="F65" s="219"/>
      <c r="G65" s="219"/>
      <c r="H65" s="217" t="s">
        <v>218</v>
      </c>
      <c r="I65" s="18"/>
      <c r="J65" s="222"/>
      <c r="K65" s="222"/>
      <c r="L65" s="220"/>
      <c r="M65" s="220"/>
      <c r="N65" s="220"/>
      <c r="O65" s="220"/>
      <c r="P65" s="220"/>
      <c r="Q65" s="220"/>
      <c r="R65" s="220"/>
      <c r="S65" s="220"/>
      <c r="T65" s="220"/>
      <c r="U65" s="220"/>
    </row>
    <row r="66" spans="1:21" s="202" customFormat="1" ht="15.75" hidden="1" customHeight="1">
      <c r="A66" s="48"/>
      <c r="B66" s="20" t="s">
        <v>58</v>
      </c>
      <c r="C66" s="22" t="s">
        <v>140</v>
      </c>
      <c r="D66" s="20" t="s">
        <v>84</v>
      </c>
      <c r="E66" s="25">
        <v>10</v>
      </c>
      <c r="F66" s="208">
        <v>10</v>
      </c>
      <c r="G66" s="18">
        <v>237.75</v>
      </c>
      <c r="H66" s="223">
        <f t="shared" ref="H66:H79" si="4">SUM(F66*G66/1000)</f>
        <v>2.3774999999999999</v>
      </c>
      <c r="I66" s="18">
        <v>0</v>
      </c>
      <c r="J66" s="220"/>
      <c r="K66" s="220"/>
      <c r="L66" s="220"/>
      <c r="M66" s="220"/>
      <c r="N66" s="220"/>
      <c r="O66" s="220"/>
      <c r="P66" s="220"/>
      <c r="Q66" s="220"/>
      <c r="S66" s="220"/>
      <c r="T66" s="220"/>
      <c r="U66" s="220"/>
    </row>
    <row r="67" spans="1:21" s="202" customFormat="1" ht="15.75" hidden="1" customHeight="1">
      <c r="A67" s="48"/>
      <c r="B67" s="20" t="s">
        <v>59</v>
      </c>
      <c r="C67" s="22" t="s">
        <v>140</v>
      </c>
      <c r="D67" s="20" t="s">
        <v>84</v>
      </c>
      <c r="E67" s="25">
        <v>5</v>
      </c>
      <c r="F67" s="208">
        <v>5</v>
      </c>
      <c r="G67" s="18">
        <v>81.510000000000005</v>
      </c>
      <c r="H67" s="223">
        <f t="shared" si="4"/>
        <v>0.40755000000000002</v>
      </c>
      <c r="I67" s="18">
        <v>0</v>
      </c>
      <c r="J67" s="224"/>
      <c r="K67" s="224"/>
      <c r="L67" s="224"/>
      <c r="M67" s="224"/>
      <c r="N67" s="224"/>
      <c r="O67" s="224"/>
      <c r="P67" s="224"/>
      <c r="Q67" s="224"/>
      <c r="R67" s="264"/>
      <c r="S67" s="264"/>
      <c r="T67" s="264"/>
      <c r="U67" s="264"/>
    </row>
    <row r="68" spans="1:21" s="202" customFormat="1" ht="15.75" hidden="1" customHeight="1">
      <c r="A68" s="48"/>
      <c r="B68" s="20" t="s">
        <v>60</v>
      </c>
      <c r="C68" s="22" t="s">
        <v>193</v>
      </c>
      <c r="D68" s="20" t="s">
        <v>66</v>
      </c>
      <c r="E68" s="207">
        <v>14347</v>
      </c>
      <c r="F68" s="18">
        <f>SUM(E68/100)</f>
        <v>143.47</v>
      </c>
      <c r="G68" s="18">
        <v>226.79</v>
      </c>
      <c r="H68" s="223">
        <f t="shared" si="4"/>
        <v>32.5375613</v>
      </c>
      <c r="I68" s="18">
        <v>0</v>
      </c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</row>
    <row r="69" spans="1:21" s="202" customFormat="1" ht="15.75" hidden="1" customHeight="1">
      <c r="A69" s="48"/>
      <c r="B69" s="20" t="s">
        <v>61</v>
      </c>
      <c r="C69" s="22" t="s">
        <v>194</v>
      </c>
      <c r="D69" s="20" t="s">
        <v>66</v>
      </c>
      <c r="E69" s="207">
        <v>14347</v>
      </c>
      <c r="F69" s="18">
        <f>SUM(E69/1000)</f>
        <v>14.347</v>
      </c>
      <c r="G69" s="18">
        <v>176.61</v>
      </c>
      <c r="H69" s="223">
        <f t="shared" si="4"/>
        <v>2.5338236700000003</v>
      </c>
      <c r="I69" s="18">
        <v>0</v>
      </c>
    </row>
    <row r="70" spans="1:21" s="202" customFormat="1" ht="15.75" hidden="1" customHeight="1">
      <c r="A70" s="48"/>
      <c r="B70" s="20" t="s">
        <v>62</v>
      </c>
      <c r="C70" s="22" t="s">
        <v>94</v>
      </c>
      <c r="D70" s="20" t="s">
        <v>66</v>
      </c>
      <c r="E70" s="207">
        <v>2244</v>
      </c>
      <c r="F70" s="18">
        <f>SUM(E70/100)</f>
        <v>22.44</v>
      </c>
      <c r="G70" s="18">
        <v>2217.7800000000002</v>
      </c>
      <c r="H70" s="223">
        <f t="shared" si="4"/>
        <v>49.766983200000013</v>
      </c>
      <c r="I70" s="18">
        <v>0</v>
      </c>
    </row>
    <row r="71" spans="1:21" s="202" customFormat="1" ht="15.75" hidden="1" customHeight="1">
      <c r="A71" s="48"/>
      <c r="B71" s="225" t="s">
        <v>195</v>
      </c>
      <c r="C71" s="22" t="s">
        <v>38</v>
      </c>
      <c r="D71" s="20" t="s">
        <v>66</v>
      </c>
      <c r="E71" s="207">
        <v>12.48</v>
      </c>
      <c r="F71" s="18">
        <f>SUM(E71)</f>
        <v>12.48</v>
      </c>
      <c r="G71" s="18">
        <v>42.67</v>
      </c>
      <c r="H71" s="223">
        <f t="shared" si="4"/>
        <v>0.53252160000000004</v>
      </c>
      <c r="I71" s="18">
        <v>0</v>
      </c>
    </row>
    <row r="72" spans="1:21" s="202" customFormat="1" ht="15.75" hidden="1" customHeight="1">
      <c r="A72" s="48"/>
      <c r="B72" s="225" t="s">
        <v>196</v>
      </c>
      <c r="C72" s="22" t="s">
        <v>38</v>
      </c>
      <c r="D72" s="20" t="s">
        <v>66</v>
      </c>
      <c r="E72" s="207">
        <v>12.48</v>
      </c>
      <c r="F72" s="18">
        <f>SUM(E72)</f>
        <v>12.48</v>
      </c>
      <c r="G72" s="18">
        <v>39.81</v>
      </c>
      <c r="H72" s="223">
        <f t="shared" si="4"/>
        <v>0.49682880000000007</v>
      </c>
      <c r="I72" s="18">
        <v>0</v>
      </c>
    </row>
    <row r="73" spans="1:21" s="202" customFormat="1" ht="15.75" hidden="1" customHeight="1">
      <c r="A73" s="48"/>
      <c r="B73" s="20" t="s">
        <v>71</v>
      </c>
      <c r="C73" s="22" t="s">
        <v>72</v>
      </c>
      <c r="D73" s="20" t="s">
        <v>66</v>
      </c>
      <c r="E73" s="25">
        <v>5</v>
      </c>
      <c r="F73" s="208">
        <v>5</v>
      </c>
      <c r="G73" s="18">
        <v>53.32</v>
      </c>
      <c r="H73" s="223">
        <f t="shared" si="4"/>
        <v>0.2666</v>
      </c>
      <c r="I73" s="18">
        <v>0</v>
      </c>
    </row>
    <row r="74" spans="1:21" s="202" customFormat="1" ht="15.75" customHeight="1">
      <c r="A74" s="48"/>
      <c r="B74" s="193" t="s">
        <v>89</v>
      </c>
      <c r="C74" s="22"/>
      <c r="D74" s="20"/>
      <c r="E74" s="25"/>
      <c r="F74" s="18"/>
      <c r="G74" s="18"/>
      <c r="H74" s="223" t="s">
        <v>218</v>
      </c>
      <c r="I74" s="18"/>
    </row>
    <row r="75" spans="1:21" s="202" customFormat="1" ht="15.75" hidden="1" customHeight="1">
      <c r="A75" s="48"/>
      <c r="B75" s="20" t="s">
        <v>90</v>
      </c>
      <c r="C75" s="22" t="s">
        <v>92</v>
      </c>
      <c r="D75" s="20"/>
      <c r="E75" s="25">
        <v>2</v>
      </c>
      <c r="F75" s="18">
        <v>0.2</v>
      </c>
      <c r="G75" s="18">
        <v>536.23</v>
      </c>
      <c r="H75" s="223">
        <f t="shared" si="4"/>
        <v>0.10724600000000001</v>
      </c>
      <c r="I75" s="18">
        <v>0</v>
      </c>
    </row>
    <row r="76" spans="1:21" s="202" customFormat="1" ht="15.75" customHeight="1">
      <c r="A76" s="48">
        <v>21</v>
      </c>
      <c r="B76" s="20" t="s">
        <v>91</v>
      </c>
      <c r="C76" s="22" t="s">
        <v>36</v>
      </c>
      <c r="D76" s="20"/>
      <c r="E76" s="25">
        <v>1</v>
      </c>
      <c r="F76" s="197">
        <v>1</v>
      </c>
      <c r="G76" s="18">
        <v>911.85</v>
      </c>
      <c r="H76" s="223">
        <f>F76*G76/1000</f>
        <v>0.91185000000000005</v>
      </c>
      <c r="I76" s="18">
        <f>G76</f>
        <v>911.85</v>
      </c>
    </row>
    <row r="77" spans="1:21" s="202" customFormat="1" ht="15.75" hidden="1" customHeight="1">
      <c r="A77" s="48"/>
      <c r="B77" s="20" t="s">
        <v>199</v>
      </c>
      <c r="C77" s="22" t="s">
        <v>36</v>
      </c>
      <c r="D77" s="20"/>
      <c r="E77" s="25">
        <v>1</v>
      </c>
      <c r="F77" s="18">
        <v>1</v>
      </c>
      <c r="G77" s="18">
        <v>383.25</v>
      </c>
      <c r="H77" s="223">
        <f>G77*F77/1000</f>
        <v>0.38324999999999998</v>
      </c>
      <c r="I77" s="18">
        <v>0</v>
      </c>
    </row>
    <row r="78" spans="1:21" s="202" customFormat="1" ht="15.75" hidden="1" customHeight="1">
      <c r="A78" s="48"/>
      <c r="B78" s="227" t="s">
        <v>93</v>
      </c>
      <c r="C78" s="22"/>
      <c r="D78" s="20"/>
      <c r="E78" s="25"/>
      <c r="F78" s="18"/>
      <c r="G78" s="18" t="s">
        <v>218</v>
      </c>
      <c r="H78" s="223" t="s">
        <v>218</v>
      </c>
      <c r="I78" s="18"/>
    </row>
    <row r="79" spans="1:21" s="202" customFormat="1" ht="15.75" hidden="1" customHeight="1">
      <c r="A79" s="48"/>
      <c r="B79" s="86" t="s">
        <v>200</v>
      </c>
      <c r="C79" s="22" t="s">
        <v>94</v>
      </c>
      <c r="D79" s="20"/>
      <c r="E79" s="25"/>
      <c r="F79" s="18">
        <v>1</v>
      </c>
      <c r="G79" s="18">
        <v>2949.84</v>
      </c>
      <c r="H79" s="223">
        <f t="shared" si="4"/>
        <v>2.94984</v>
      </c>
      <c r="I79" s="18">
        <v>0</v>
      </c>
    </row>
    <row r="80" spans="1:21" s="202" customFormat="1" ht="15.75" hidden="1" customHeight="1">
      <c r="A80" s="48"/>
      <c r="B80" s="193" t="s">
        <v>197</v>
      </c>
      <c r="C80" s="227"/>
      <c r="D80" s="53"/>
      <c r="E80" s="58"/>
      <c r="F80" s="211"/>
      <c r="G80" s="211"/>
      <c r="H80" s="228">
        <f>SUM(H58:H79)</f>
        <v>133.59511326200004</v>
      </c>
      <c r="I80" s="211"/>
    </row>
    <row r="81" spans="1:9" s="202" customFormat="1" ht="15.75" hidden="1" customHeight="1">
      <c r="A81" s="48"/>
      <c r="B81" s="205" t="s">
        <v>198</v>
      </c>
      <c r="C81" s="22"/>
      <c r="D81" s="20"/>
      <c r="E81" s="198"/>
      <c r="F81" s="18">
        <v>1</v>
      </c>
      <c r="G81" s="18">
        <v>27922</v>
      </c>
      <c r="H81" s="223">
        <f>G81*F81/1000</f>
        <v>27.922000000000001</v>
      </c>
      <c r="I81" s="18">
        <v>0</v>
      </c>
    </row>
    <row r="82" spans="1:9" s="202" customFormat="1" ht="15.75" customHeight="1">
      <c r="A82" s="261" t="s">
        <v>249</v>
      </c>
      <c r="B82" s="262"/>
      <c r="C82" s="262"/>
      <c r="D82" s="262"/>
      <c r="E82" s="262"/>
      <c r="F82" s="262"/>
      <c r="G82" s="262"/>
      <c r="H82" s="262"/>
      <c r="I82" s="263"/>
    </row>
    <row r="83" spans="1:9" s="202" customFormat="1" ht="15.75" customHeight="1">
      <c r="A83" s="48">
        <v>22</v>
      </c>
      <c r="B83" s="205" t="s">
        <v>201</v>
      </c>
      <c r="C83" s="22" t="s">
        <v>67</v>
      </c>
      <c r="D83" s="229" t="s">
        <v>68</v>
      </c>
      <c r="E83" s="18">
        <v>3931</v>
      </c>
      <c r="F83" s="18">
        <f>SUM(E83*12)</f>
        <v>47172</v>
      </c>
      <c r="G83" s="18">
        <v>2.2400000000000002</v>
      </c>
      <c r="H83" s="223">
        <f>SUM(F83*G83/1000)</f>
        <v>105.66528000000001</v>
      </c>
      <c r="I83" s="18">
        <f>F83/12*G83</f>
        <v>8805.44</v>
      </c>
    </row>
    <row r="84" spans="1:9" s="202" customFormat="1" ht="31.5" customHeight="1">
      <c r="A84" s="48">
        <v>23</v>
      </c>
      <c r="B84" s="20" t="s">
        <v>95</v>
      </c>
      <c r="C84" s="22"/>
      <c r="D84" s="229" t="s">
        <v>68</v>
      </c>
      <c r="E84" s="207">
        <f>E83</f>
        <v>3931</v>
      </c>
      <c r="F84" s="18">
        <f>E84*12</f>
        <v>47172</v>
      </c>
      <c r="G84" s="18">
        <v>1.74</v>
      </c>
      <c r="H84" s="223">
        <f>F84*G84/1000</f>
        <v>82.079279999999997</v>
      </c>
      <c r="I84" s="18">
        <f>F84/12*G84</f>
        <v>6839.94</v>
      </c>
    </row>
    <row r="85" spans="1:9" s="202" customFormat="1" ht="15.75" customHeight="1">
      <c r="A85" s="48"/>
      <c r="B85" s="73" t="s">
        <v>101</v>
      </c>
      <c r="C85" s="227"/>
      <c r="D85" s="226"/>
      <c r="E85" s="211"/>
      <c r="F85" s="211"/>
      <c r="G85" s="211"/>
      <c r="H85" s="228">
        <f>H84</f>
        <v>82.079279999999997</v>
      </c>
      <c r="I85" s="211">
        <f>I16+I17+I18+I25+I26+I37+I38+I39+I41+I42+I43+I44+I50+I54+I55+I58+I59+I60+I61+I64+I76+I83+I84</f>
        <v>93674.015298783357</v>
      </c>
    </row>
    <row r="86" spans="1:9" s="202" customFormat="1" ht="15.75" customHeight="1">
      <c r="A86" s="48"/>
      <c r="B86" s="180" t="s">
        <v>74</v>
      </c>
      <c r="C86" s="22"/>
      <c r="D86" s="86"/>
      <c r="E86" s="18"/>
      <c r="F86" s="18"/>
      <c r="G86" s="18"/>
      <c r="H86" s="18"/>
      <c r="I86" s="18"/>
    </row>
    <row r="87" spans="1:9" s="202" customFormat="1" ht="31.5" customHeight="1">
      <c r="A87" s="48">
        <v>24</v>
      </c>
      <c r="B87" s="232" t="s">
        <v>110</v>
      </c>
      <c r="C87" s="184" t="s">
        <v>47</v>
      </c>
      <c r="D87" s="20"/>
      <c r="E87" s="25"/>
      <c r="F87" s="18">
        <v>0.04</v>
      </c>
      <c r="G87" s="18">
        <v>3397.65</v>
      </c>
      <c r="H87" s="223">
        <f t="shared" ref="H87:H96" si="5">G87*F87/1000</f>
        <v>0.135906</v>
      </c>
      <c r="I87" s="230">
        <f>G87*0.01</f>
        <v>33.976500000000001</v>
      </c>
    </row>
    <row r="88" spans="1:9" s="202" customFormat="1" ht="15.75" hidden="1" customHeight="1">
      <c r="A88" s="48"/>
      <c r="B88" s="232" t="s">
        <v>220</v>
      </c>
      <c r="C88" s="184" t="s">
        <v>103</v>
      </c>
      <c r="D88" s="20"/>
      <c r="E88" s="25"/>
      <c r="F88" s="18">
        <v>10</v>
      </c>
      <c r="G88" s="18">
        <v>2057</v>
      </c>
      <c r="H88" s="223">
        <f t="shared" si="5"/>
        <v>20.57</v>
      </c>
      <c r="I88" s="230">
        <v>0</v>
      </c>
    </row>
    <row r="89" spans="1:9" s="202" customFormat="1" ht="15.75" hidden="1" customHeight="1">
      <c r="A89" s="48"/>
      <c r="B89" s="233" t="s">
        <v>144</v>
      </c>
      <c r="C89" s="231" t="s">
        <v>145</v>
      </c>
      <c r="D89" s="20"/>
      <c r="E89" s="25"/>
      <c r="F89" s="18">
        <f>15/3</f>
        <v>5</v>
      </c>
      <c r="G89" s="18">
        <v>1063.47</v>
      </c>
      <c r="H89" s="223">
        <f t="shared" si="5"/>
        <v>5.3173500000000002</v>
      </c>
      <c r="I89" s="230">
        <v>0</v>
      </c>
    </row>
    <row r="90" spans="1:9" s="202" customFormat="1" ht="15.75" hidden="1" customHeight="1">
      <c r="A90" s="48"/>
      <c r="B90" s="234" t="s">
        <v>113</v>
      </c>
      <c r="C90" s="204" t="s">
        <v>92</v>
      </c>
      <c r="D90" s="20"/>
      <c r="E90" s="25"/>
      <c r="F90" s="18">
        <f>4/10</f>
        <v>0.4</v>
      </c>
      <c r="G90" s="18">
        <v>3800</v>
      </c>
      <c r="H90" s="223">
        <f t="shared" si="5"/>
        <v>1.52</v>
      </c>
      <c r="I90" s="230">
        <v>0</v>
      </c>
    </row>
    <row r="91" spans="1:9" s="202" customFormat="1" ht="15.75" hidden="1" customHeight="1">
      <c r="A91" s="48"/>
      <c r="B91" s="232" t="s">
        <v>106</v>
      </c>
      <c r="C91" s="184" t="s">
        <v>140</v>
      </c>
      <c r="D91" s="20"/>
      <c r="E91" s="25"/>
      <c r="F91" s="18">
        <v>8</v>
      </c>
      <c r="G91" s="18">
        <v>180.15</v>
      </c>
      <c r="H91" s="223">
        <f t="shared" si="5"/>
        <v>1.4412</v>
      </c>
      <c r="I91" s="230">
        <v>0</v>
      </c>
    </row>
    <row r="92" spans="1:9" s="202" customFormat="1" ht="15.75" hidden="1" customHeight="1">
      <c r="A92" s="48"/>
      <c r="B92" s="232" t="s">
        <v>221</v>
      </c>
      <c r="C92" s="184" t="s">
        <v>222</v>
      </c>
      <c r="D92" s="20"/>
      <c r="E92" s="25"/>
      <c r="F92" s="18">
        <v>1</v>
      </c>
      <c r="G92" s="18">
        <v>45448</v>
      </c>
      <c r="H92" s="223">
        <f t="shared" si="5"/>
        <v>45.448</v>
      </c>
      <c r="I92" s="230">
        <v>0</v>
      </c>
    </row>
    <row r="93" spans="1:9" s="202" customFormat="1" ht="15.75" hidden="1" customHeight="1">
      <c r="A93" s="48"/>
      <c r="B93" s="235" t="s">
        <v>223</v>
      </c>
      <c r="C93" s="48" t="s">
        <v>224</v>
      </c>
      <c r="D93" s="20"/>
      <c r="E93" s="25"/>
      <c r="F93" s="18">
        <v>1</v>
      </c>
      <c r="G93" s="18">
        <v>383.01</v>
      </c>
      <c r="H93" s="223">
        <f t="shared" si="5"/>
        <v>0.38301000000000002</v>
      </c>
      <c r="I93" s="230">
        <v>0</v>
      </c>
    </row>
    <row r="94" spans="1:9" s="202" customFormat="1" ht="15.75" hidden="1" customHeight="1">
      <c r="A94" s="48"/>
      <c r="B94" s="232" t="s">
        <v>100</v>
      </c>
      <c r="C94" s="184" t="s">
        <v>140</v>
      </c>
      <c r="D94" s="20"/>
      <c r="E94" s="25"/>
      <c r="F94" s="18">
        <v>8</v>
      </c>
      <c r="G94" s="18">
        <v>79.09</v>
      </c>
      <c r="H94" s="223">
        <f t="shared" si="5"/>
        <v>0.63272000000000006</v>
      </c>
      <c r="I94" s="230">
        <v>0</v>
      </c>
    </row>
    <row r="95" spans="1:9" s="202" customFormat="1" ht="15.75" hidden="1" customHeight="1">
      <c r="A95" s="48"/>
      <c r="B95" s="232" t="s">
        <v>225</v>
      </c>
      <c r="C95" s="184" t="s">
        <v>140</v>
      </c>
      <c r="D95" s="20"/>
      <c r="E95" s="25"/>
      <c r="F95" s="18">
        <v>1</v>
      </c>
      <c r="G95" s="18">
        <v>2179.33</v>
      </c>
      <c r="H95" s="223">
        <f t="shared" si="5"/>
        <v>2.1793299999999998</v>
      </c>
      <c r="I95" s="230">
        <v>0</v>
      </c>
    </row>
    <row r="96" spans="1:9" s="202" customFormat="1" ht="15.75" hidden="1" customHeight="1">
      <c r="A96" s="48"/>
      <c r="B96" s="232" t="s">
        <v>226</v>
      </c>
      <c r="C96" s="184" t="s">
        <v>103</v>
      </c>
      <c r="D96" s="20"/>
      <c r="E96" s="25"/>
      <c r="F96" s="18">
        <v>2.5</v>
      </c>
      <c r="G96" s="18">
        <v>1272</v>
      </c>
      <c r="H96" s="223">
        <f t="shared" si="5"/>
        <v>3.18</v>
      </c>
      <c r="I96" s="230">
        <v>0</v>
      </c>
    </row>
    <row r="97" spans="1:9" s="202" customFormat="1" ht="15.75" hidden="1" customHeight="1">
      <c r="A97" s="48"/>
      <c r="B97" s="232" t="s">
        <v>130</v>
      </c>
      <c r="C97" s="184" t="s">
        <v>227</v>
      </c>
      <c r="D97" s="20"/>
      <c r="E97" s="25"/>
      <c r="F97" s="18">
        <v>1</v>
      </c>
      <c r="G97" s="18">
        <v>559.62</v>
      </c>
      <c r="H97" s="223">
        <f>G97*F97/1000</f>
        <v>0.55962000000000001</v>
      </c>
      <c r="I97" s="230">
        <v>0</v>
      </c>
    </row>
    <row r="98" spans="1:9" s="202" customFormat="1" ht="15.75" hidden="1" customHeight="1">
      <c r="A98" s="48"/>
      <c r="B98" s="232" t="s">
        <v>228</v>
      </c>
      <c r="C98" s="184" t="s">
        <v>229</v>
      </c>
      <c r="D98" s="20"/>
      <c r="E98" s="25"/>
      <c r="F98" s="18">
        <v>3</v>
      </c>
      <c r="G98" s="18">
        <v>195.95</v>
      </c>
      <c r="H98" s="223">
        <f t="shared" ref="H98:H99" si="6">G98*F98/1000</f>
        <v>0.58784999999999987</v>
      </c>
      <c r="I98" s="230">
        <v>0</v>
      </c>
    </row>
    <row r="99" spans="1:9" s="202" customFormat="1" ht="15.75" hidden="1" customHeight="1">
      <c r="A99" s="48"/>
      <c r="B99" s="232" t="s">
        <v>230</v>
      </c>
      <c r="C99" s="184" t="s">
        <v>148</v>
      </c>
      <c r="D99" s="20"/>
      <c r="E99" s="25"/>
      <c r="F99" s="18">
        <f>30/10</f>
        <v>3</v>
      </c>
      <c r="G99" s="18">
        <v>3875.44</v>
      </c>
      <c r="H99" s="223">
        <f t="shared" si="6"/>
        <v>11.62632</v>
      </c>
      <c r="I99" s="230">
        <v>0</v>
      </c>
    </row>
    <row r="100" spans="1:9" s="202" customFormat="1" ht="15.75" hidden="1" customHeight="1">
      <c r="A100" s="48"/>
      <c r="B100" s="236" t="s">
        <v>231</v>
      </c>
      <c r="C100" s="206" t="s">
        <v>140</v>
      </c>
      <c r="D100" s="86"/>
      <c r="E100" s="18"/>
      <c r="F100" s="18">
        <v>2</v>
      </c>
      <c r="G100" s="18">
        <v>81.73</v>
      </c>
      <c r="H100" s="223">
        <f>G100*F100/1000</f>
        <v>0.16345999999999999</v>
      </c>
      <c r="I100" s="230">
        <v>0</v>
      </c>
    </row>
    <row r="101" spans="1:9" s="202" customFormat="1" ht="15.75" hidden="1" customHeight="1">
      <c r="A101" s="48"/>
      <c r="B101" s="236" t="s">
        <v>141</v>
      </c>
      <c r="C101" s="206" t="s">
        <v>140</v>
      </c>
      <c r="D101" s="86"/>
      <c r="E101" s="18"/>
      <c r="F101" s="18">
        <v>2</v>
      </c>
      <c r="G101" s="18">
        <v>175.6</v>
      </c>
      <c r="H101" s="223">
        <f>G101*F101/1000</f>
        <v>0.35120000000000001</v>
      </c>
      <c r="I101" s="230">
        <v>0</v>
      </c>
    </row>
    <row r="102" spans="1:9" s="202" customFormat="1" ht="15.75" hidden="1" customHeight="1">
      <c r="A102" s="48"/>
      <c r="B102" s="234" t="s">
        <v>114</v>
      </c>
      <c r="C102" s="184" t="s">
        <v>140</v>
      </c>
      <c r="D102" s="86"/>
      <c r="E102" s="18"/>
      <c r="F102" s="18">
        <v>2</v>
      </c>
      <c r="G102" s="18">
        <v>179.96</v>
      </c>
      <c r="H102" s="223">
        <f>G102*F102/1000</f>
        <v>0.35992000000000002</v>
      </c>
      <c r="I102" s="230">
        <v>0</v>
      </c>
    </row>
    <row r="103" spans="1:9" s="202" customFormat="1" ht="15.75" hidden="1" customHeight="1">
      <c r="A103" s="48"/>
      <c r="B103" s="232" t="s">
        <v>232</v>
      </c>
      <c r="C103" s="184" t="s">
        <v>103</v>
      </c>
      <c r="D103" s="86"/>
      <c r="E103" s="18"/>
      <c r="F103" s="18">
        <v>2</v>
      </c>
      <c r="G103" s="18">
        <v>778.86</v>
      </c>
      <c r="H103" s="223">
        <f t="shared" ref="H103:H105" si="7">G103*F103/1000</f>
        <v>1.55772</v>
      </c>
      <c r="I103" s="230">
        <v>0</v>
      </c>
    </row>
    <row r="104" spans="1:9" s="202" customFormat="1" ht="15.75" hidden="1" customHeight="1">
      <c r="A104" s="48"/>
      <c r="B104" s="232" t="s">
        <v>233</v>
      </c>
      <c r="C104" s="184" t="s">
        <v>140</v>
      </c>
      <c r="D104" s="86"/>
      <c r="E104" s="18"/>
      <c r="F104" s="18">
        <v>1</v>
      </c>
      <c r="G104" s="18">
        <v>109.73</v>
      </c>
      <c r="H104" s="223">
        <f t="shared" si="7"/>
        <v>0.10973000000000001</v>
      </c>
      <c r="I104" s="230">
        <v>0</v>
      </c>
    </row>
    <row r="105" spans="1:9" s="202" customFormat="1" ht="15.75" hidden="1" customHeight="1">
      <c r="A105" s="48"/>
      <c r="B105" s="232" t="s">
        <v>234</v>
      </c>
      <c r="C105" s="184" t="s">
        <v>140</v>
      </c>
      <c r="D105" s="86"/>
      <c r="E105" s="18"/>
      <c r="F105" s="18">
        <v>1</v>
      </c>
      <c r="G105" s="18">
        <v>78.89</v>
      </c>
      <c r="H105" s="223">
        <f t="shared" si="7"/>
        <v>7.8890000000000002E-2</v>
      </c>
      <c r="I105" s="230">
        <v>0</v>
      </c>
    </row>
    <row r="106" spans="1:9" s="202" customFormat="1" ht="15.75" hidden="1" customHeight="1">
      <c r="A106" s="48"/>
      <c r="B106" s="232" t="s">
        <v>235</v>
      </c>
      <c r="C106" s="204" t="s">
        <v>236</v>
      </c>
      <c r="D106" s="86"/>
      <c r="E106" s="18"/>
      <c r="F106" s="18">
        <v>0.5</v>
      </c>
      <c r="G106" s="18">
        <f>228.27</f>
        <v>228.27</v>
      </c>
      <c r="H106" s="223">
        <f>G106*F106/1000</f>
        <v>0.114135</v>
      </c>
      <c r="I106" s="230">
        <v>0</v>
      </c>
    </row>
    <row r="107" spans="1:9" s="202" customFormat="1" ht="15.75" hidden="1" customHeight="1">
      <c r="A107" s="48"/>
      <c r="B107" s="232" t="s">
        <v>237</v>
      </c>
      <c r="C107" s="184" t="s">
        <v>140</v>
      </c>
      <c r="D107" s="86"/>
      <c r="E107" s="18"/>
      <c r="F107" s="18">
        <v>2</v>
      </c>
      <c r="G107" s="18">
        <v>446.12</v>
      </c>
      <c r="H107" s="223">
        <f>G107*F107/1000</f>
        <v>0.89224000000000003</v>
      </c>
      <c r="I107" s="230">
        <v>0</v>
      </c>
    </row>
    <row r="108" spans="1:9" s="202" customFormat="1" ht="15.75" hidden="1" customHeight="1">
      <c r="A108" s="48"/>
      <c r="B108" s="232" t="s">
        <v>238</v>
      </c>
      <c r="C108" s="184" t="s">
        <v>239</v>
      </c>
      <c r="D108" s="86"/>
      <c r="E108" s="18"/>
      <c r="F108" s="18">
        <v>0.5</v>
      </c>
      <c r="G108" s="18">
        <v>1501</v>
      </c>
      <c r="H108" s="223">
        <f>G108*F108/1000</f>
        <v>0.75049999999999994</v>
      </c>
      <c r="I108" s="230">
        <v>0</v>
      </c>
    </row>
    <row r="109" spans="1:9" s="202" customFormat="1" ht="15.75" hidden="1" customHeight="1">
      <c r="A109" s="48"/>
      <c r="B109" s="232" t="s">
        <v>209</v>
      </c>
      <c r="C109" s="184" t="s">
        <v>210</v>
      </c>
      <c r="D109" s="86"/>
      <c r="E109" s="18"/>
      <c r="F109" s="18">
        <v>2</v>
      </c>
      <c r="G109" s="18">
        <v>51.39</v>
      </c>
      <c r="H109" s="223">
        <f>G109*F109/1000</f>
        <v>0.10278</v>
      </c>
      <c r="I109" s="230">
        <v>0</v>
      </c>
    </row>
    <row r="110" spans="1:9" s="202" customFormat="1" ht="15.75" hidden="1" customHeight="1">
      <c r="A110" s="48"/>
      <c r="B110" s="232" t="s">
        <v>240</v>
      </c>
      <c r="C110" s="184" t="s">
        <v>227</v>
      </c>
      <c r="D110" s="20"/>
      <c r="E110" s="25"/>
      <c r="F110" s="18">
        <v>1</v>
      </c>
      <c r="G110" s="18">
        <v>195.95</v>
      </c>
      <c r="H110" s="223">
        <f t="shared" ref="H110:H120" si="8">G110*F110/1000</f>
        <v>0.19594999999999999</v>
      </c>
      <c r="I110" s="230">
        <v>0</v>
      </c>
    </row>
    <row r="111" spans="1:9" s="202" customFormat="1" ht="15.75" hidden="1" customHeight="1">
      <c r="A111" s="48"/>
      <c r="B111" s="232" t="s">
        <v>242</v>
      </c>
      <c r="C111" s="184" t="s">
        <v>140</v>
      </c>
      <c r="D111" s="20"/>
      <c r="E111" s="25"/>
      <c r="F111" s="18">
        <v>1</v>
      </c>
      <c r="G111" s="18">
        <v>50</v>
      </c>
      <c r="H111" s="223">
        <f t="shared" si="8"/>
        <v>0.05</v>
      </c>
      <c r="I111" s="230">
        <v>0</v>
      </c>
    </row>
    <row r="112" spans="1:9" s="202" customFormat="1" ht="15.75" hidden="1" customHeight="1">
      <c r="A112" s="48"/>
      <c r="B112" s="232" t="s">
        <v>241</v>
      </c>
      <c r="C112" s="184" t="s">
        <v>140</v>
      </c>
      <c r="D112" s="20"/>
      <c r="E112" s="25"/>
      <c r="F112" s="18">
        <v>1</v>
      </c>
      <c r="G112" s="18">
        <v>27.36</v>
      </c>
      <c r="H112" s="223">
        <f t="shared" si="8"/>
        <v>2.7359999999999999E-2</v>
      </c>
      <c r="I112" s="230">
        <v>0</v>
      </c>
    </row>
    <row r="113" spans="1:9" s="202" customFormat="1" ht="15.75" hidden="1" customHeight="1">
      <c r="A113" s="48"/>
      <c r="B113" s="232" t="s">
        <v>243</v>
      </c>
      <c r="C113" s="184" t="s">
        <v>140</v>
      </c>
      <c r="D113" s="20"/>
      <c r="E113" s="25"/>
      <c r="F113" s="18">
        <v>1</v>
      </c>
      <c r="G113" s="18">
        <v>112</v>
      </c>
      <c r="H113" s="223">
        <f t="shared" si="8"/>
        <v>0.112</v>
      </c>
      <c r="I113" s="230">
        <v>0</v>
      </c>
    </row>
    <row r="114" spans="1:9" s="202" customFormat="1" ht="15.75" hidden="1" customHeight="1">
      <c r="A114" s="48"/>
      <c r="B114" s="232" t="s">
        <v>146</v>
      </c>
      <c r="C114" s="184" t="s">
        <v>103</v>
      </c>
      <c r="D114" s="20"/>
      <c r="E114" s="25"/>
      <c r="F114" s="18">
        <v>8</v>
      </c>
      <c r="G114" s="18">
        <v>1206</v>
      </c>
      <c r="H114" s="223">
        <f t="shared" si="8"/>
        <v>9.6479999999999997</v>
      </c>
      <c r="I114" s="230">
        <v>0</v>
      </c>
    </row>
    <row r="115" spans="1:9" s="202" customFormat="1" ht="15.75" hidden="1" customHeight="1">
      <c r="A115" s="48"/>
      <c r="B115" s="232" t="s">
        <v>147</v>
      </c>
      <c r="C115" s="48" t="s">
        <v>148</v>
      </c>
      <c r="D115" s="20"/>
      <c r="E115" s="25"/>
      <c r="F115" s="18">
        <f>0.2/10</f>
        <v>0.02</v>
      </c>
      <c r="G115" s="18">
        <v>19775.830000000002</v>
      </c>
      <c r="H115" s="223">
        <f t="shared" si="8"/>
        <v>0.39551660000000005</v>
      </c>
      <c r="I115" s="230">
        <v>0</v>
      </c>
    </row>
    <row r="116" spans="1:9" s="202" customFormat="1" ht="15.75" hidden="1" customHeight="1">
      <c r="A116" s="48"/>
      <c r="B116" s="232" t="s">
        <v>149</v>
      </c>
      <c r="C116" s="204" t="s">
        <v>150</v>
      </c>
      <c r="D116" s="20"/>
      <c r="E116" s="25"/>
      <c r="F116" s="18">
        <v>1</v>
      </c>
      <c r="G116" s="18">
        <v>2041.36</v>
      </c>
      <c r="H116" s="223">
        <f t="shared" si="8"/>
        <v>2.0413600000000001</v>
      </c>
      <c r="I116" s="230">
        <v>0</v>
      </c>
    </row>
    <row r="117" spans="1:9" s="202" customFormat="1" ht="15.75" hidden="1" customHeight="1">
      <c r="A117" s="48"/>
      <c r="B117" s="234" t="s">
        <v>151</v>
      </c>
      <c r="C117" s="204" t="s">
        <v>140</v>
      </c>
      <c r="D117" s="20"/>
      <c r="E117" s="25"/>
      <c r="F117" s="18">
        <v>2</v>
      </c>
      <c r="G117" s="18">
        <v>154.51</v>
      </c>
      <c r="H117" s="223">
        <f t="shared" si="8"/>
        <v>0.30901999999999996</v>
      </c>
      <c r="I117" s="230">
        <v>0</v>
      </c>
    </row>
    <row r="118" spans="1:9" s="202" customFormat="1" ht="15.75" hidden="1" customHeight="1">
      <c r="A118" s="48"/>
      <c r="B118" s="234" t="s">
        <v>152</v>
      </c>
      <c r="C118" s="204" t="s">
        <v>92</v>
      </c>
      <c r="D118" s="20"/>
      <c r="E118" s="25"/>
      <c r="F118" s="18">
        <f>2/10</f>
        <v>0.2</v>
      </c>
      <c r="G118" s="18">
        <v>3800</v>
      </c>
      <c r="H118" s="223">
        <f t="shared" si="8"/>
        <v>0.76</v>
      </c>
      <c r="I118" s="230">
        <v>0</v>
      </c>
    </row>
    <row r="119" spans="1:9" s="202" customFormat="1" ht="15.75" hidden="1" customHeight="1">
      <c r="A119" s="48"/>
      <c r="B119" s="232" t="s">
        <v>208</v>
      </c>
      <c r="C119" s="184" t="s">
        <v>112</v>
      </c>
      <c r="D119" s="86"/>
      <c r="E119" s="18"/>
      <c r="F119" s="18">
        <v>1</v>
      </c>
      <c r="G119" s="18">
        <v>185.81</v>
      </c>
      <c r="H119" s="223">
        <f t="shared" si="8"/>
        <v>0.18581</v>
      </c>
      <c r="I119" s="230">
        <v>0</v>
      </c>
    </row>
    <row r="120" spans="1:9" s="202" customFormat="1" ht="15.75" hidden="1" customHeight="1">
      <c r="A120" s="48"/>
      <c r="B120" s="236" t="s">
        <v>202</v>
      </c>
      <c r="C120" s="206" t="s">
        <v>158</v>
      </c>
      <c r="D120" s="20"/>
      <c r="E120" s="25"/>
      <c r="F120" s="18">
        <f>(0.1*18)/100</f>
        <v>1.8000000000000002E-2</v>
      </c>
      <c r="G120" s="18">
        <v>1925.33</v>
      </c>
      <c r="H120" s="223">
        <f t="shared" si="8"/>
        <v>3.4655940000000003E-2</v>
      </c>
      <c r="I120" s="230">
        <v>0</v>
      </c>
    </row>
    <row r="121" spans="1:9" ht="15.75" customHeight="1">
      <c r="A121" s="48"/>
      <c r="B121" s="237" t="s">
        <v>63</v>
      </c>
      <c r="C121" s="76"/>
      <c r="D121" s="130"/>
      <c r="E121" s="76">
        <v>1</v>
      </c>
      <c r="F121" s="76"/>
      <c r="G121" s="76"/>
      <c r="H121" s="76"/>
      <c r="I121" s="58">
        <f>SUM(I87:I120)</f>
        <v>33.976500000000001</v>
      </c>
    </row>
    <row r="122" spans="1:9" ht="15.75" customHeight="1">
      <c r="A122" s="48"/>
      <c r="B122" s="86" t="s">
        <v>96</v>
      </c>
      <c r="C122" s="21"/>
      <c r="D122" s="21"/>
      <c r="E122" s="77"/>
      <c r="F122" s="77"/>
      <c r="G122" s="78"/>
      <c r="H122" s="78"/>
      <c r="I122" s="24">
        <v>0</v>
      </c>
    </row>
    <row r="123" spans="1:9" ht="15.75" customHeight="1">
      <c r="A123" s="131"/>
      <c r="B123" s="81" t="s">
        <v>64</v>
      </c>
      <c r="C123" s="64"/>
      <c r="D123" s="64"/>
      <c r="E123" s="64"/>
      <c r="F123" s="64"/>
      <c r="G123" s="64"/>
      <c r="H123" s="64"/>
      <c r="I123" s="79">
        <f>I85+I121</f>
        <v>93707.991798783361</v>
      </c>
    </row>
    <row r="124" spans="1:9" ht="15.75">
      <c r="A124" s="265" t="s">
        <v>250</v>
      </c>
      <c r="B124" s="265"/>
      <c r="C124" s="265"/>
      <c r="D124" s="265"/>
      <c r="E124" s="265"/>
      <c r="F124" s="265"/>
      <c r="G124" s="265"/>
      <c r="H124" s="265"/>
      <c r="I124" s="265"/>
    </row>
    <row r="125" spans="1:9" ht="15.75">
      <c r="A125" s="188"/>
      <c r="B125" s="272" t="s">
        <v>251</v>
      </c>
      <c r="C125" s="272"/>
      <c r="D125" s="272"/>
      <c r="E125" s="272"/>
      <c r="F125" s="272"/>
      <c r="G125" s="272"/>
      <c r="H125" s="201"/>
      <c r="I125" s="3"/>
    </row>
    <row r="126" spans="1:9">
      <c r="A126" s="191"/>
      <c r="B126" s="268" t="s">
        <v>6</v>
      </c>
      <c r="C126" s="268"/>
      <c r="D126" s="268"/>
      <c r="E126" s="268"/>
      <c r="F126" s="268"/>
      <c r="G126" s="268"/>
      <c r="H126" s="38"/>
      <c r="I126" s="5"/>
    </row>
    <row r="127" spans="1:9" ht="7.5" customHeight="1">
      <c r="A127" s="11"/>
      <c r="B127" s="11"/>
      <c r="C127" s="11"/>
      <c r="D127" s="11"/>
      <c r="E127" s="11"/>
      <c r="F127" s="11"/>
      <c r="G127" s="11"/>
      <c r="H127" s="11"/>
      <c r="I127" s="11"/>
    </row>
    <row r="128" spans="1:9" ht="15.75">
      <c r="A128" s="273" t="s">
        <v>7</v>
      </c>
      <c r="B128" s="273"/>
      <c r="C128" s="273"/>
      <c r="D128" s="273"/>
      <c r="E128" s="273"/>
      <c r="F128" s="273"/>
      <c r="G128" s="273"/>
      <c r="H128" s="273"/>
      <c r="I128" s="273"/>
    </row>
    <row r="129" spans="1:9" ht="15.75">
      <c r="A129" s="273" t="s">
        <v>8</v>
      </c>
      <c r="B129" s="273"/>
      <c r="C129" s="273"/>
      <c r="D129" s="273"/>
      <c r="E129" s="273"/>
      <c r="F129" s="273"/>
      <c r="G129" s="273"/>
      <c r="H129" s="273"/>
      <c r="I129" s="273"/>
    </row>
    <row r="130" spans="1:9" ht="15.75">
      <c r="A130" s="258" t="s">
        <v>76</v>
      </c>
      <c r="B130" s="258"/>
      <c r="C130" s="258"/>
      <c r="D130" s="258"/>
      <c r="E130" s="258"/>
      <c r="F130" s="258"/>
      <c r="G130" s="258"/>
      <c r="H130" s="258"/>
      <c r="I130" s="258"/>
    </row>
    <row r="131" spans="1:9" ht="15.75">
      <c r="A131" s="12"/>
    </row>
    <row r="132" spans="1:9" ht="15.75">
      <c r="A132" s="259" t="s">
        <v>10</v>
      </c>
      <c r="B132" s="259"/>
      <c r="C132" s="259"/>
      <c r="D132" s="259"/>
      <c r="E132" s="259"/>
      <c r="F132" s="259"/>
      <c r="G132" s="259"/>
      <c r="H132" s="259"/>
      <c r="I132" s="259"/>
    </row>
    <row r="133" spans="1:9" ht="15.75">
      <c r="A133" s="4"/>
    </row>
    <row r="134" spans="1:9" ht="15.75">
      <c r="B134" s="187" t="s">
        <v>11</v>
      </c>
      <c r="C134" s="267" t="s">
        <v>203</v>
      </c>
      <c r="D134" s="267"/>
      <c r="E134" s="267"/>
      <c r="F134" s="199"/>
      <c r="I134" s="190"/>
    </row>
    <row r="135" spans="1:9">
      <c r="A135" s="191"/>
      <c r="C135" s="268" t="s">
        <v>12</v>
      </c>
      <c r="D135" s="268"/>
      <c r="E135" s="268"/>
      <c r="F135" s="38"/>
      <c r="I135" s="189" t="s">
        <v>13</v>
      </c>
    </row>
    <row r="136" spans="1:9" ht="15.75">
      <c r="A136" s="39"/>
      <c r="C136" s="13"/>
      <c r="D136" s="13"/>
      <c r="G136" s="13"/>
      <c r="H136" s="13"/>
    </row>
    <row r="137" spans="1:9" ht="15.75">
      <c r="B137" s="187" t="s">
        <v>14</v>
      </c>
      <c r="C137" s="269"/>
      <c r="D137" s="269"/>
      <c r="E137" s="269"/>
      <c r="F137" s="200"/>
      <c r="I137" s="190"/>
    </row>
    <row r="138" spans="1:9">
      <c r="A138" s="191"/>
      <c r="C138" s="270" t="s">
        <v>12</v>
      </c>
      <c r="D138" s="270"/>
      <c r="E138" s="270"/>
      <c r="F138" s="191"/>
      <c r="I138" s="189" t="s">
        <v>13</v>
      </c>
    </row>
    <row r="139" spans="1:9" ht="15.75">
      <c r="A139" s="4" t="s">
        <v>15</v>
      </c>
    </row>
    <row r="140" spans="1:9">
      <c r="A140" s="271" t="s">
        <v>16</v>
      </c>
      <c r="B140" s="271"/>
      <c r="C140" s="271"/>
      <c r="D140" s="271"/>
      <c r="E140" s="271"/>
      <c r="F140" s="271"/>
      <c r="G140" s="271"/>
      <c r="H140" s="271"/>
      <c r="I140" s="271"/>
    </row>
    <row r="141" spans="1:9" ht="47.25" customHeight="1">
      <c r="A141" s="266" t="s">
        <v>17</v>
      </c>
      <c r="B141" s="266"/>
      <c r="C141" s="266"/>
      <c r="D141" s="266"/>
      <c r="E141" s="266"/>
      <c r="F141" s="266"/>
      <c r="G141" s="266"/>
      <c r="H141" s="266"/>
      <c r="I141" s="266"/>
    </row>
    <row r="142" spans="1:9" ht="31.5" customHeight="1">
      <c r="A142" s="266" t="s">
        <v>18</v>
      </c>
      <c r="B142" s="266"/>
      <c r="C142" s="266"/>
      <c r="D142" s="266"/>
      <c r="E142" s="266"/>
      <c r="F142" s="266"/>
      <c r="G142" s="266"/>
      <c r="H142" s="266"/>
      <c r="I142" s="266"/>
    </row>
    <row r="143" spans="1:9" ht="31.5" customHeight="1">
      <c r="A143" s="266" t="s">
        <v>23</v>
      </c>
      <c r="B143" s="266"/>
      <c r="C143" s="266"/>
      <c r="D143" s="266"/>
      <c r="E143" s="266"/>
      <c r="F143" s="266"/>
      <c r="G143" s="266"/>
      <c r="H143" s="266"/>
      <c r="I143" s="266"/>
    </row>
    <row r="144" spans="1:9" ht="15.75">
      <c r="A144" s="266" t="s">
        <v>22</v>
      </c>
      <c r="B144" s="266"/>
      <c r="C144" s="266"/>
      <c r="D144" s="266"/>
      <c r="E144" s="266"/>
      <c r="F144" s="266"/>
      <c r="G144" s="266"/>
      <c r="H144" s="266"/>
      <c r="I144" s="266"/>
    </row>
  </sheetData>
  <autoFilter ref="I12:I62"/>
  <mergeCells count="28">
    <mergeCell ref="A142:I142"/>
    <mergeCell ref="A143:I143"/>
    <mergeCell ref="A144:I144"/>
    <mergeCell ref="A45:I45"/>
    <mergeCell ref="A56:I56"/>
    <mergeCell ref="A82:I82"/>
    <mergeCell ref="C134:E134"/>
    <mergeCell ref="C135:E135"/>
    <mergeCell ref="C137:E137"/>
    <mergeCell ref="C138:E138"/>
    <mergeCell ref="A140:I140"/>
    <mergeCell ref="A141:I141"/>
    <mergeCell ref="B125:G125"/>
    <mergeCell ref="B126:G126"/>
    <mergeCell ref="A128:I128"/>
    <mergeCell ref="A129:I129"/>
    <mergeCell ref="A130:I130"/>
    <mergeCell ref="A132:I132"/>
    <mergeCell ref="A15:I15"/>
    <mergeCell ref="A27:I27"/>
    <mergeCell ref="R67:U67"/>
    <mergeCell ref="A124:I124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2"/>
  <sheetViews>
    <sheetView workbookViewId="0">
      <selection activeCell="A8" sqref="A8:I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3" t="s">
        <v>120</v>
      </c>
      <c r="I1" s="42"/>
      <c r="J1" s="1"/>
      <c r="K1" s="1"/>
      <c r="L1" s="1"/>
      <c r="M1" s="1"/>
    </row>
    <row r="2" spans="1:13" ht="15.75" customHeight="1">
      <c r="A2" s="44" t="s">
        <v>79</v>
      </c>
      <c r="J2" s="2"/>
      <c r="K2" s="2"/>
      <c r="L2" s="2"/>
      <c r="M2" s="2"/>
    </row>
    <row r="3" spans="1:13" ht="15.75" customHeight="1">
      <c r="A3" s="253" t="s">
        <v>278</v>
      </c>
      <c r="B3" s="253"/>
      <c r="C3" s="253"/>
      <c r="D3" s="253"/>
      <c r="E3" s="253"/>
      <c r="F3" s="253"/>
      <c r="G3" s="253"/>
      <c r="H3" s="253"/>
      <c r="I3" s="253"/>
      <c r="J3" s="3"/>
      <c r="K3" s="3"/>
      <c r="L3" s="3"/>
    </row>
    <row r="4" spans="1:13" ht="31.5" customHeight="1">
      <c r="A4" s="254" t="s">
        <v>204</v>
      </c>
      <c r="B4" s="254"/>
      <c r="C4" s="254"/>
      <c r="D4" s="254"/>
      <c r="E4" s="254"/>
      <c r="F4" s="254"/>
      <c r="G4" s="254"/>
      <c r="H4" s="254"/>
      <c r="I4" s="254"/>
    </row>
    <row r="5" spans="1:13" ht="15.75">
      <c r="A5" s="253" t="s">
        <v>78</v>
      </c>
      <c r="B5" s="255"/>
      <c r="C5" s="255"/>
      <c r="D5" s="255"/>
      <c r="E5" s="255"/>
      <c r="F5" s="255"/>
      <c r="G5" s="255"/>
      <c r="H5" s="255"/>
      <c r="I5" s="255"/>
      <c r="J5" s="2"/>
      <c r="K5" s="2"/>
      <c r="L5" s="2"/>
      <c r="M5" s="2"/>
    </row>
    <row r="6" spans="1:13" ht="15.75">
      <c r="A6" s="2"/>
      <c r="B6" s="192"/>
      <c r="C6" s="192"/>
      <c r="D6" s="192"/>
      <c r="E6" s="192"/>
      <c r="F6" s="192"/>
      <c r="G6" s="192"/>
      <c r="H6" s="192"/>
      <c r="I6" s="52">
        <v>42674</v>
      </c>
      <c r="J6" s="2"/>
      <c r="K6" s="2"/>
      <c r="L6" s="2"/>
      <c r="M6" s="2"/>
    </row>
    <row r="7" spans="1:13" ht="15.75">
      <c r="B7" s="187"/>
      <c r="C7" s="187"/>
      <c r="D7" s="187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56" t="s">
        <v>283</v>
      </c>
      <c r="B8" s="256"/>
      <c r="C8" s="256"/>
      <c r="D8" s="256"/>
      <c r="E8" s="256"/>
      <c r="F8" s="256"/>
      <c r="G8" s="256"/>
      <c r="H8" s="256"/>
      <c r="I8" s="25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57" t="s">
        <v>205</v>
      </c>
      <c r="B10" s="257"/>
      <c r="C10" s="257"/>
      <c r="D10" s="257"/>
      <c r="E10" s="257"/>
      <c r="F10" s="257"/>
      <c r="G10" s="257"/>
      <c r="H10" s="257"/>
      <c r="I10" s="257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19</v>
      </c>
      <c r="E12" s="6" t="s">
        <v>20</v>
      </c>
      <c r="F12" s="6"/>
      <c r="G12" s="6" t="s">
        <v>24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52" t="s">
        <v>73</v>
      </c>
      <c r="B14" s="252"/>
      <c r="C14" s="252"/>
      <c r="D14" s="252"/>
      <c r="E14" s="252"/>
      <c r="F14" s="252"/>
      <c r="G14" s="252"/>
      <c r="H14" s="252"/>
      <c r="I14" s="252"/>
      <c r="J14" s="8"/>
      <c r="K14" s="8"/>
      <c r="L14" s="8"/>
      <c r="M14" s="8"/>
    </row>
    <row r="15" spans="1:13">
      <c r="A15" s="260" t="s">
        <v>4</v>
      </c>
      <c r="B15" s="260"/>
      <c r="C15" s="260"/>
      <c r="D15" s="260"/>
      <c r="E15" s="260"/>
      <c r="F15" s="260"/>
      <c r="G15" s="260"/>
      <c r="H15" s="260"/>
      <c r="I15" s="260"/>
      <c r="J15" s="8"/>
      <c r="K15" s="8"/>
      <c r="L15" s="8"/>
      <c r="M15" s="8"/>
    </row>
    <row r="16" spans="1:13" s="202" customFormat="1" ht="31.5" customHeight="1">
      <c r="A16" s="48">
        <v>1</v>
      </c>
      <c r="B16" s="205" t="s">
        <v>122</v>
      </c>
      <c r="C16" s="206" t="s">
        <v>158</v>
      </c>
      <c r="D16" s="205" t="s">
        <v>159</v>
      </c>
      <c r="E16" s="207">
        <v>95.04</v>
      </c>
      <c r="F16" s="208">
        <f>SUM(E16*156/100)</f>
        <v>148.26240000000001</v>
      </c>
      <c r="G16" s="208">
        <v>187.48</v>
      </c>
      <c r="H16" s="209">
        <f t="shared" ref="H16:H24" si="0">SUM(F16*G16/1000)</f>
        <v>27.796234752</v>
      </c>
      <c r="I16" s="18">
        <f>F16/12*G16</f>
        <v>2316.3528960000003</v>
      </c>
    </row>
    <row r="17" spans="1:10" s="202" customFormat="1" ht="31.5" customHeight="1">
      <c r="A17" s="48">
        <v>2</v>
      </c>
      <c r="B17" s="205" t="s">
        <v>154</v>
      </c>
      <c r="C17" s="206" t="s">
        <v>158</v>
      </c>
      <c r="D17" s="205" t="s">
        <v>160</v>
      </c>
      <c r="E17" s="207">
        <v>380.16</v>
      </c>
      <c r="F17" s="208">
        <f>SUM(E17*104/100)</f>
        <v>395.3664</v>
      </c>
      <c r="G17" s="208">
        <v>187.48</v>
      </c>
      <c r="H17" s="209">
        <f t="shared" si="0"/>
        <v>74.123292671999991</v>
      </c>
      <c r="I17" s="18">
        <f>F17/12*G17</f>
        <v>6176.9410559999997</v>
      </c>
      <c r="J17" s="203"/>
    </row>
    <row r="18" spans="1:10" s="202" customFormat="1" ht="31.5" customHeight="1">
      <c r="A18" s="48">
        <v>3</v>
      </c>
      <c r="B18" s="205" t="s">
        <v>155</v>
      </c>
      <c r="C18" s="206" t="s">
        <v>158</v>
      </c>
      <c r="D18" s="205" t="s">
        <v>206</v>
      </c>
      <c r="E18" s="207">
        <f>SUM(E16+E17)</f>
        <v>475.20000000000005</v>
      </c>
      <c r="F18" s="208">
        <f>SUM(E18*24/100)</f>
        <v>114.04800000000002</v>
      </c>
      <c r="G18" s="208">
        <v>539.30999999999995</v>
      </c>
      <c r="H18" s="209">
        <f t="shared" si="0"/>
        <v>61.507226880000005</v>
      </c>
      <c r="I18" s="18">
        <f>F18/12*G18</f>
        <v>5125.6022400000002</v>
      </c>
      <c r="J18" s="203"/>
    </row>
    <row r="19" spans="1:10" s="202" customFormat="1" ht="15.75" hidden="1" customHeight="1">
      <c r="A19" s="48"/>
      <c r="B19" s="205" t="s">
        <v>161</v>
      </c>
      <c r="C19" s="206" t="s">
        <v>162</v>
      </c>
      <c r="D19" s="205" t="s">
        <v>163</v>
      </c>
      <c r="E19" s="207">
        <v>93.4</v>
      </c>
      <c r="F19" s="208">
        <f>SUM(E19/10)</f>
        <v>9.34</v>
      </c>
      <c r="G19" s="208">
        <v>181.9</v>
      </c>
      <c r="H19" s="209">
        <f t="shared" si="0"/>
        <v>1.6989460000000001</v>
      </c>
      <c r="I19" s="18">
        <v>0</v>
      </c>
      <c r="J19" s="203"/>
    </row>
    <row r="20" spans="1:10" s="202" customFormat="1" ht="15.75" hidden="1" customHeight="1">
      <c r="A20" s="48"/>
      <c r="B20" s="205" t="s">
        <v>164</v>
      </c>
      <c r="C20" s="206" t="s">
        <v>158</v>
      </c>
      <c r="D20" s="205" t="s">
        <v>53</v>
      </c>
      <c r="E20" s="207">
        <v>43.2</v>
      </c>
      <c r="F20" s="208">
        <f>SUM(E20*2/100)</f>
        <v>0.8640000000000001</v>
      </c>
      <c r="G20" s="208">
        <v>232.91</v>
      </c>
      <c r="H20" s="209">
        <f t="shared" si="0"/>
        <v>0.20123424000000004</v>
      </c>
      <c r="I20" s="18">
        <v>0</v>
      </c>
      <c r="J20" s="203"/>
    </row>
    <row r="21" spans="1:10" s="202" customFormat="1" ht="15.75" hidden="1" customHeight="1">
      <c r="A21" s="48"/>
      <c r="B21" s="205" t="s">
        <v>165</v>
      </c>
      <c r="C21" s="206" t="s">
        <v>158</v>
      </c>
      <c r="D21" s="205" t="s">
        <v>53</v>
      </c>
      <c r="E21" s="207">
        <v>10.08</v>
      </c>
      <c r="F21" s="208">
        <f>SUM(E21*2/100)</f>
        <v>0.2016</v>
      </c>
      <c r="G21" s="208">
        <v>231.03</v>
      </c>
      <c r="H21" s="209">
        <f t="shared" si="0"/>
        <v>4.6575648000000004E-2</v>
      </c>
      <c r="I21" s="18">
        <v>0</v>
      </c>
      <c r="J21" s="203"/>
    </row>
    <row r="22" spans="1:10" s="202" customFormat="1" ht="15.75" hidden="1" customHeight="1">
      <c r="A22" s="48"/>
      <c r="B22" s="205" t="s">
        <v>166</v>
      </c>
      <c r="C22" s="206" t="s">
        <v>65</v>
      </c>
      <c r="D22" s="205" t="s">
        <v>163</v>
      </c>
      <c r="E22" s="207">
        <v>642.6</v>
      </c>
      <c r="F22" s="208">
        <f>SUM(E22/100)</f>
        <v>6.4260000000000002</v>
      </c>
      <c r="G22" s="208">
        <v>287.83999999999997</v>
      </c>
      <c r="H22" s="209">
        <f t="shared" si="0"/>
        <v>1.8496598399999997</v>
      </c>
      <c r="I22" s="18">
        <v>0</v>
      </c>
      <c r="J22" s="203"/>
    </row>
    <row r="23" spans="1:10" s="202" customFormat="1" ht="15.75" hidden="1" customHeight="1">
      <c r="A23" s="48"/>
      <c r="B23" s="205" t="s">
        <v>167</v>
      </c>
      <c r="C23" s="206" t="s">
        <v>65</v>
      </c>
      <c r="D23" s="205" t="s">
        <v>163</v>
      </c>
      <c r="E23" s="210">
        <v>35.28</v>
      </c>
      <c r="F23" s="208">
        <f>SUM(E23/100)</f>
        <v>0.3528</v>
      </c>
      <c r="G23" s="208">
        <v>47.35</v>
      </c>
      <c r="H23" s="209">
        <f t="shared" si="0"/>
        <v>1.6705080000000004E-2</v>
      </c>
      <c r="I23" s="18">
        <v>0</v>
      </c>
      <c r="J23" s="203"/>
    </row>
    <row r="24" spans="1:10" s="202" customFormat="1" ht="15.75" hidden="1" customHeight="1">
      <c r="A24" s="48"/>
      <c r="B24" s="205" t="s">
        <v>168</v>
      </c>
      <c r="C24" s="206" t="s">
        <v>65</v>
      </c>
      <c r="D24" s="205" t="s">
        <v>163</v>
      </c>
      <c r="E24" s="207">
        <v>28.8</v>
      </c>
      <c r="F24" s="208">
        <f>SUM(E24/100)</f>
        <v>0.28800000000000003</v>
      </c>
      <c r="G24" s="208">
        <v>556.74</v>
      </c>
      <c r="H24" s="209">
        <f t="shared" si="0"/>
        <v>0.16034112000000003</v>
      </c>
      <c r="I24" s="18">
        <v>0</v>
      </c>
      <c r="J24" s="203"/>
    </row>
    <row r="25" spans="1:10" s="202" customFormat="1" ht="15.75" customHeight="1">
      <c r="A25" s="48">
        <v>4</v>
      </c>
      <c r="B25" s="205" t="s">
        <v>81</v>
      </c>
      <c r="C25" s="206" t="s">
        <v>38</v>
      </c>
      <c r="D25" s="205" t="s">
        <v>217</v>
      </c>
      <c r="E25" s="207">
        <v>0.1</v>
      </c>
      <c r="F25" s="208">
        <f>SUM(E25*365)</f>
        <v>36.5</v>
      </c>
      <c r="G25" s="208">
        <v>157.18</v>
      </c>
      <c r="H25" s="209">
        <f>SUM(F25*G25/1000)</f>
        <v>5.737070000000001</v>
      </c>
      <c r="I25" s="18">
        <f>F25/12*G25</f>
        <v>478.08916666666664</v>
      </c>
      <c r="J25" s="203"/>
    </row>
    <row r="26" spans="1:10" s="202" customFormat="1" ht="15.75" customHeight="1">
      <c r="A26" s="48">
        <v>5</v>
      </c>
      <c r="B26" s="213" t="s">
        <v>25</v>
      </c>
      <c r="C26" s="206" t="s">
        <v>26</v>
      </c>
      <c r="D26" s="213" t="s">
        <v>218</v>
      </c>
      <c r="E26" s="207">
        <v>3931</v>
      </c>
      <c r="F26" s="208">
        <f>SUM(E26*12)</f>
        <v>47172</v>
      </c>
      <c r="G26" s="208">
        <v>5.33</v>
      </c>
      <c r="H26" s="209">
        <f>SUM(F26*G26/1000)</f>
        <v>251.42676</v>
      </c>
      <c r="I26" s="18">
        <f>F26/12*G26</f>
        <v>20952.23</v>
      </c>
      <c r="J26" s="203"/>
    </row>
    <row r="27" spans="1:10" s="202" customFormat="1" ht="15.75" customHeight="1">
      <c r="A27" s="261" t="s">
        <v>117</v>
      </c>
      <c r="B27" s="262"/>
      <c r="C27" s="262"/>
      <c r="D27" s="262"/>
      <c r="E27" s="262"/>
      <c r="F27" s="262"/>
      <c r="G27" s="262"/>
      <c r="H27" s="262"/>
      <c r="I27" s="263"/>
      <c r="J27" s="203"/>
    </row>
    <row r="28" spans="1:10" s="202" customFormat="1" ht="15.75" customHeight="1">
      <c r="A28" s="48"/>
      <c r="B28" s="238" t="s">
        <v>33</v>
      </c>
      <c r="C28" s="206"/>
      <c r="D28" s="205"/>
      <c r="E28" s="207"/>
      <c r="F28" s="208"/>
      <c r="G28" s="208"/>
      <c r="H28" s="209"/>
      <c r="I28" s="18"/>
      <c r="J28" s="203"/>
    </row>
    <row r="29" spans="1:10" s="202" customFormat="1" ht="31.5" customHeight="1">
      <c r="A29" s="48">
        <v>6</v>
      </c>
      <c r="B29" s="205" t="s">
        <v>169</v>
      </c>
      <c r="C29" s="206" t="s">
        <v>170</v>
      </c>
      <c r="D29" s="205" t="s">
        <v>215</v>
      </c>
      <c r="E29" s="208">
        <v>1116.27</v>
      </c>
      <c r="F29" s="208">
        <f>SUM(E29*52/1000)</f>
        <v>58.046039999999998</v>
      </c>
      <c r="G29" s="208">
        <v>166.65</v>
      </c>
      <c r="H29" s="209">
        <f t="shared" ref="H29:H35" si="1">SUM(F29*G29/1000)</f>
        <v>9.6733725659999994</v>
      </c>
      <c r="I29" s="18">
        <f>F29/6*G29</f>
        <v>1612.2287609999998</v>
      </c>
      <c r="J29" s="203"/>
    </row>
    <row r="30" spans="1:10" s="202" customFormat="1" ht="31.5" customHeight="1">
      <c r="A30" s="48">
        <v>7</v>
      </c>
      <c r="B30" s="205" t="s">
        <v>244</v>
      </c>
      <c r="C30" s="206" t="s">
        <v>170</v>
      </c>
      <c r="D30" s="205" t="s">
        <v>216</v>
      </c>
      <c r="E30" s="208">
        <v>89.03</v>
      </c>
      <c r="F30" s="208">
        <f>SUM(E30*78/1000)</f>
        <v>6.9443400000000004</v>
      </c>
      <c r="G30" s="208">
        <v>276.48</v>
      </c>
      <c r="H30" s="209">
        <f t="shared" si="1"/>
        <v>1.9199711232000003</v>
      </c>
      <c r="I30" s="18">
        <f t="shared" ref="I30:I33" si="2">F30/6*G30</f>
        <v>319.99518720000003</v>
      </c>
      <c r="J30" s="203"/>
    </row>
    <row r="31" spans="1:10" s="202" customFormat="1" ht="15.75" hidden="1" customHeight="1">
      <c r="A31" s="48"/>
      <c r="B31" s="205" t="s">
        <v>32</v>
      </c>
      <c r="C31" s="206" t="s">
        <v>170</v>
      </c>
      <c r="D31" s="205" t="s">
        <v>66</v>
      </c>
      <c r="E31" s="208">
        <v>1116.27</v>
      </c>
      <c r="F31" s="208">
        <f>SUM(E31/1000)</f>
        <v>1.1162699999999999</v>
      </c>
      <c r="G31" s="208">
        <v>3228.73</v>
      </c>
      <c r="H31" s="209">
        <f t="shared" si="1"/>
        <v>3.6041344370999995</v>
      </c>
      <c r="I31" s="18">
        <f t="shared" si="2"/>
        <v>600.68907285</v>
      </c>
      <c r="J31" s="203"/>
    </row>
    <row r="32" spans="1:10" s="202" customFormat="1" ht="15.75" customHeight="1">
      <c r="A32" s="48">
        <v>8</v>
      </c>
      <c r="B32" s="205" t="s">
        <v>174</v>
      </c>
      <c r="C32" s="206" t="s">
        <v>49</v>
      </c>
      <c r="D32" s="205" t="s">
        <v>80</v>
      </c>
      <c r="E32" s="208">
        <v>6</v>
      </c>
      <c r="F32" s="208">
        <v>9.3000000000000007</v>
      </c>
      <c r="G32" s="208">
        <v>1391.86</v>
      </c>
      <c r="H32" s="209">
        <f>G32*F32/1000</f>
        <v>12.944298</v>
      </c>
      <c r="I32" s="18">
        <f t="shared" si="2"/>
        <v>2157.3829999999998</v>
      </c>
      <c r="J32" s="203"/>
    </row>
    <row r="33" spans="1:14" s="202" customFormat="1" ht="15.75" customHeight="1">
      <c r="A33" s="48">
        <v>9</v>
      </c>
      <c r="B33" s="205" t="s">
        <v>175</v>
      </c>
      <c r="C33" s="206" t="s">
        <v>36</v>
      </c>
      <c r="D33" s="205" t="s">
        <v>80</v>
      </c>
      <c r="E33" s="212">
        <v>0.33333333333333331</v>
      </c>
      <c r="F33" s="208">
        <f>155/3</f>
        <v>51.666666666666664</v>
      </c>
      <c r="G33" s="208">
        <v>60.6</v>
      </c>
      <c r="H33" s="209">
        <f>SUM(G33*155/3/1000)</f>
        <v>3.1309999999999998</v>
      </c>
      <c r="I33" s="18">
        <f t="shared" si="2"/>
        <v>521.83333333333337</v>
      </c>
      <c r="J33" s="203"/>
    </row>
    <row r="34" spans="1:14" s="202" customFormat="1" ht="15.75" hidden="1" customHeight="1">
      <c r="A34" s="48"/>
      <c r="B34" s="205" t="s">
        <v>82</v>
      </c>
      <c r="C34" s="206" t="s">
        <v>38</v>
      </c>
      <c r="D34" s="205" t="s">
        <v>84</v>
      </c>
      <c r="E34" s="207"/>
      <c r="F34" s="208">
        <v>3</v>
      </c>
      <c r="G34" s="208">
        <v>204.52</v>
      </c>
      <c r="H34" s="209">
        <f t="shared" si="1"/>
        <v>0.61356000000000011</v>
      </c>
      <c r="I34" s="18">
        <v>0</v>
      </c>
      <c r="J34" s="203"/>
    </row>
    <row r="35" spans="1:14" s="202" customFormat="1" ht="15.75" hidden="1" customHeight="1">
      <c r="A35" s="48"/>
      <c r="B35" s="205" t="s">
        <v>83</v>
      </c>
      <c r="C35" s="206" t="s">
        <v>37</v>
      </c>
      <c r="D35" s="205" t="s">
        <v>84</v>
      </c>
      <c r="E35" s="207"/>
      <c r="F35" s="208">
        <v>2</v>
      </c>
      <c r="G35" s="208">
        <v>1136.33</v>
      </c>
      <c r="H35" s="209">
        <f t="shared" si="1"/>
        <v>2.2726599999999997</v>
      </c>
      <c r="I35" s="18">
        <v>0</v>
      </c>
      <c r="J35" s="203"/>
    </row>
    <row r="36" spans="1:14" s="202" customFormat="1" ht="15.75" hidden="1" customHeight="1">
      <c r="A36" s="48"/>
      <c r="B36" s="238" t="s">
        <v>5</v>
      </c>
      <c r="C36" s="206"/>
      <c r="D36" s="205"/>
      <c r="E36" s="207"/>
      <c r="F36" s="208"/>
      <c r="G36" s="208"/>
      <c r="H36" s="209" t="s">
        <v>218</v>
      </c>
      <c r="I36" s="18"/>
      <c r="J36" s="203"/>
    </row>
    <row r="37" spans="1:14" s="202" customFormat="1" ht="15.75" hidden="1" customHeight="1">
      <c r="A37" s="48">
        <v>6</v>
      </c>
      <c r="B37" s="205" t="s">
        <v>30</v>
      </c>
      <c r="C37" s="206" t="s">
        <v>37</v>
      </c>
      <c r="D37" s="205"/>
      <c r="E37" s="207"/>
      <c r="F37" s="208">
        <v>8</v>
      </c>
      <c r="G37" s="208">
        <v>1632.6</v>
      </c>
      <c r="H37" s="209">
        <f t="shared" ref="H37:H44" si="3">SUM(F37*G37/1000)</f>
        <v>13.060799999999999</v>
      </c>
      <c r="I37" s="18">
        <f>F37/6*G37</f>
        <v>2176.7999999999997</v>
      </c>
      <c r="J37" s="203"/>
    </row>
    <row r="38" spans="1:14" s="202" customFormat="1" ht="15.75" hidden="1" customHeight="1">
      <c r="A38" s="48">
        <v>7</v>
      </c>
      <c r="B38" s="205" t="s">
        <v>133</v>
      </c>
      <c r="C38" s="206" t="s">
        <v>34</v>
      </c>
      <c r="D38" s="205" t="s">
        <v>176</v>
      </c>
      <c r="E38" s="207">
        <v>461.12</v>
      </c>
      <c r="F38" s="208">
        <f>E38*12/1000</f>
        <v>5.5334400000000006</v>
      </c>
      <c r="G38" s="208">
        <v>2247.8000000000002</v>
      </c>
      <c r="H38" s="209">
        <f>G38*F38/1000</f>
        <v>12.438066432000001</v>
      </c>
      <c r="I38" s="18">
        <f>F38/6*G38</f>
        <v>2073.0110720000002</v>
      </c>
      <c r="J38" s="203"/>
    </row>
    <row r="39" spans="1:14" s="202" customFormat="1" ht="15.75" hidden="1" customHeight="1">
      <c r="A39" s="48">
        <v>8</v>
      </c>
      <c r="B39" s="205" t="s">
        <v>177</v>
      </c>
      <c r="C39" s="206" t="s">
        <v>34</v>
      </c>
      <c r="D39" s="205" t="s">
        <v>178</v>
      </c>
      <c r="E39" s="207">
        <v>89.03</v>
      </c>
      <c r="F39" s="208">
        <f>E39*30/1000</f>
        <v>2.6709000000000001</v>
      </c>
      <c r="G39" s="208">
        <v>2247.8000000000002</v>
      </c>
      <c r="H39" s="209">
        <f>G39*F39/1000</f>
        <v>6.003649020000001</v>
      </c>
      <c r="I39" s="18">
        <f>F39/6*G39</f>
        <v>1000.6081700000001</v>
      </c>
      <c r="J39" s="203"/>
    </row>
    <row r="40" spans="1:14" s="202" customFormat="1" ht="15.75" hidden="1" customHeight="1">
      <c r="A40" s="48"/>
      <c r="B40" s="205" t="s">
        <v>179</v>
      </c>
      <c r="C40" s="206" t="s">
        <v>180</v>
      </c>
      <c r="D40" s="205" t="s">
        <v>84</v>
      </c>
      <c r="E40" s="207"/>
      <c r="F40" s="208">
        <v>135</v>
      </c>
      <c r="G40" s="208">
        <v>213.2</v>
      </c>
      <c r="H40" s="209">
        <f>G40*F40/1000</f>
        <v>28.782</v>
      </c>
      <c r="I40" s="18">
        <v>0</v>
      </c>
      <c r="J40" s="203"/>
      <c r="L40" s="27"/>
      <c r="M40" s="28"/>
      <c r="N40" s="54"/>
    </row>
    <row r="41" spans="1:14" s="202" customFormat="1" ht="15.75" hidden="1" customHeight="1">
      <c r="A41" s="48">
        <v>9</v>
      </c>
      <c r="B41" s="205" t="s">
        <v>85</v>
      </c>
      <c r="C41" s="206" t="s">
        <v>34</v>
      </c>
      <c r="D41" s="205" t="s">
        <v>181</v>
      </c>
      <c r="E41" s="208">
        <v>89.03</v>
      </c>
      <c r="F41" s="208">
        <f>SUM(E41*155/1000)</f>
        <v>13.79965</v>
      </c>
      <c r="G41" s="208">
        <v>374.95</v>
      </c>
      <c r="H41" s="209">
        <f t="shared" si="3"/>
        <v>5.1741787674999999</v>
      </c>
      <c r="I41" s="18">
        <f>F41/6*G41</f>
        <v>862.36312791666671</v>
      </c>
      <c r="J41" s="203"/>
      <c r="L41" s="27"/>
      <c r="M41" s="28"/>
      <c r="N41" s="54"/>
    </row>
    <row r="42" spans="1:14" s="202" customFormat="1" ht="15.75" hidden="1" customHeight="1">
      <c r="A42" s="48">
        <v>10</v>
      </c>
      <c r="B42" s="205" t="s">
        <v>111</v>
      </c>
      <c r="C42" s="206" t="s">
        <v>170</v>
      </c>
      <c r="D42" s="205" t="s">
        <v>182</v>
      </c>
      <c r="E42" s="208">
        <v>89.03</v>
      </c>
      <c r="F42" s="208">
        <f>SUM(E42*24/1000)</f>
        <v>2.1367200000000004</v>
      </c>
      <c r="G42" s="208">
        <v>6203.71</v>
      </c>
      <c r="H42" s="209">
        <f t="shared" si="3"/>
        <v>13.255591231200002</v>
      </c>
      <c r="I42" s="18">
        <f>F42/6*G42</f>
        <v>2209.2652052000003</v>
      </c>
      <c r="J42" s="203"/>
      <c r="L42" s="27"/>
      <c r="M42" s="28"/>
      <c r="N42" s="54"/>
    </row>
    <row r="43" spans="1:14" s="202" customFormat="1" ht="15.75" hidden="1" customHeight="1">
      <c r="A43" s="48">
        <v>11</v>
      </c>
      <c r="B43" s="205" t="s">
        <v>183</v>
      </c>
      <c r="C43" s="206" t="s">
        <v>170</v>
      </c>
      <c r="D43" s="205" t="s">
        <v>86</v>
      </c>
      <c r="E43" s="208">
        <v>89.03</v>
      </c>
      <c r="F43" s="208">
        <f>SUM(E43*45/1000)</f>
        <v>4.0063500000000003</v>
      </c>
      <c r="G43" s="208">
        <v>458.28</v>
      </c>
      <c r="H43" s="209">
        <f t="shared" si="3"/>
        <v>1.8360300780000001</v>
      </c>
      <c r="I43" s="18">
        <f>F43/6*G43</f>
        <v>306.00501299999996</v>
      </c>
      <c r="J43" s="203"/>
      <c r="L43" s="27"/>
      <c r="M43" s="28"/>
      <c r="N43" s="54"/>
    </row>
    <row r="44" spans="1:14" s="202" customFormat="1" ht="15.75" hidden="1" customHeight="1">
      <c r="A44" s="48">
        <v>12</v>
      </c>
      <c r="B44" s="205" t="s">
        <v>87</v>
      </c>
      <c r="C44" s="206" t="s">
        <v>38</v>
      </c>
      <c r="D44" s="205"/>
      <c r="E44" s="207"/>
      <c r="F44" s="208">
        <v>0.9</v>
      </c>
      <c r="G44" s="208">
        <v>798</v>
      </c>
      <c r="H44" s="209">
        <f t="shared" si="3"/>
        <v>0.71820000000000006</v>
      </c>
      <c r="I44" s="18">
        <f>F44/6*G44</f>
        <v>119.69999999999999</v>
      </c>
      <c r="J44" s="203"/>
      <c r="L44" s="27"/>
      <c r="M44" s="28"/>
      <c r="N44" s="54"/>
    </row>
    <row r="45" spans="1:14" s="202" customFormat="1" ht="15.75" hidden="1" customHeight="1">
      <c r="A45" s="261" t="s">
        <v>247</v>
      </c>
      <c r="B45" s="262"/>
      <c r="C45" s="262"/>
      <c r="D45" s="262"/>
      <c r="E45" s="262"/>
      <c r="F45" s="262"/>
      <c r="G45" s="262"/>
      <c r="H45" s="262"/>
      <c r="I45" s="263"/>
      <c r="J45" s="203"/>
      <c r="L45" s="27"/>
      <c r="M45" s="28"/>
      <c r="N45" s="54"/>
    </row>
    <row r="46" spans="1:14" s="202" customFormat="1" ht="15.75" hidden="1" customHeight="1">
      <c r="A46" s="48"/>
      <c r="B46" s="205" t="s">
        <v>184</v>
      </c>
      <c r="C46" s="206" t="s">
        <v>170</v>
      </c>
      <c r="D46" s="205" t="s">
        <v>53</v>
      </c>
      <c r="E46" s="207">
        <v>1032.5</v>
      </c>
      <c r="F46" s="208">
        <f>SUM(E46*2/1000)</f>
        <v>2.0649999999999999</v>
      </c>
      <c r="G46" s="18">
        <v>908.1</v>
      </c>
      <c r="H46" s="209">
        <f t="shared" ref="H46:H55" si="4">SUM(F46*G46/1000)</f>
        <v>1.8752264999999999</v>
      </c>
      <c r="I46" s="18">
        <v>0</v>
      </c>
      <c r="J46" s="203"/>
      <c r="L46" s="27"/>
      <c r="M46" s="28"/>
      <c r="N46" s="54"/>
    </row>
    <row r="47" spans="1:14" s="202" customFormat="1" ht="15.75" hidden="1" customHeight="1">
      <c r="A47" s="48"/>
      <c r="B47" s="205" t="s">
        <v>42</v>
      </c>
      <c r="C47" s="206" t="s">
        <v>170</v>
      </c>
      <c r="D47" s="205" t="s">
        <v>53</v>
      </c>
      <c r="E47" s="207">
        <v>132</v>
      </c>
      <c r="F47" s="208">
        <f>E47*2/1000</f>
        <v>0.26400000000000001</v>
      </c>
      <c r="G47" s="18">
        <v>619.46</v>
      </c>
      <c r="H47" s="209">
        <f t="shared" si="4"/>
        <v>0.16353744000000001</v>
      </c>
      <c r="I47" s="18">
        <v>0</v>
      </c>
      <c r="J47" s="203"/>
      <c r="L47" s="27"/>
      <c r="M47" s="28"/>
      <c r="N47" s="54"/>
    </row>
    <row r="48" spans="1:14" s="202" customFormat="1" ht="15.75" hidden="1" customHeight="1">
      <c r="A48" s="48"/>
      <c r="B48" s="205" t="s">
        <v>43</v>
      </c>
      <c r="C48" s="206" t="s">
        <v>170</v>
      </c>
      <c r="D48" s="205" t="s">
        <v>53</v>
      </c>
      <c r="E48" s="207">
        <v>4248.22</v>
      </c>
      <c r="F48" s="208">
        <f>SUM(E48*2/1000)</f>
        <v>8.4964399999999998</v>
      </c>
      <c r="G48" s="18">
        <v>619.46</v>
      </c>
      <c r="H48" s="209">
        <f t="shared" si="4"/>
        <v>5.2632047223999994</v>
      </c>
      <c r="I48" s="18">
        <v>0</v>
      </c>
      <c r="J48" s="203"/>
      <c r="L48" s="27"/>
      <c r="M48" s="28"/>
      <c r="N48" s="54"/>
    </row>
    <row r="49" spans="1:22" s="202" customFormat="1" ht="15.75" hidden="1" customHeight="1">
      <c r="A49" s="48"/>
      <c r="B49" s="205" t="s">
        <v>44</v>
      </c>
      <c r="C49" s="206" t="s">
        <v>170</v>
      </c>
      <c r="D49" s="205" t="s">
        <v>53</v>
      </c>
      <c r="E49" s="207">
        <v>2163.66</v>
      </c>
      <c r="F49" s="208">
        <f>SUM(E49*2/1000)</f>
        <v>4.3273199999999994</v>
      </c>
      <c r="G49" s="18">
        <v>648.64</v>
      </c>
      <c r="H49" s="209">
        <f t="shared" si="4"/>
        <v>2.8068728447999995</v>
      </c>
      <c r="I49" s="18">
        <v>0</v>
      </c>
      <c r="J49" s="203"/>
      <c r="L49" s="27"/>
      <c r="M49" s="28"/>
      <c r="N49" s="54"/>
    </row>
    <row r="50" spans="1:22" s="202" customFormat="1" ht="31.5" hidden="1" customHeight="1">
      <c r="A50" s="48">
        <v>13</v>
      </c>
      <c r="B50" s="205" t="s">
        <v>70</v>
      </c>
      <c r="C50" s="206" t="s">
        <v>170</v>
      </c>
      <c r="D50" s="205" t="s">
        <v>246</v>
      </c>
      <c r="E50" s="207">
        <v>1017.5</v>
      </c>
      <c r="F50" s="208">
        <f>SUM(E50*5/1000)</f>
        <v>5.0875000000000004</v>
      </c>
      <c r="G50" s="18">
        <v>1297.28</v>
      </c>
      <c r="H50" s="209">
        <f t="shared" si="4"/>
        <v>6.5999120000000007</v>
      </c>
      <c r="I50" s="18">
        <f>F50/5*G50</f>
        <v>1319.9824000000001</v>
      </c>
      <c r="J50" s="203"/>
      <c r="L50" s="27"/>
      <c r="M50" s="28"/>
      <c r="N50" s="54"/>
    </row>
    <row r="51" spans="1:22" s="202" customFormat="1" ht="31.5" hidden="1" customHeight="1">
      <c r="A51" s="48"/>
      <c r="B51" s="205" t="s">
        <v>186</v>
      </c>
      <c r="C51" s="206" t="s">
        <v>170</v>
      </c>
      <c r="D51" s="205" t="s">
        <v>53</v>
      </c>
      <c r="E51" s="207">
        <v>1017.5</v>
      </c>
      <c r="F51" s="208">
        <f>SUM(E51*2/1000)</f>
        <v>2.0350000000000001</v>
      </c>
      <c r="G51" s="18">
        <v>1297.28</v>
      </c>
      <c r="H51" s="209">
        <f t="shared" si="4"/>
        <v>2.6399648</v>
      </c>
      <c r="I51" s="18">
        <v>0</v>
      </c>
      <c r="J51" s="203"/>
      <c r="L51" s="27"/>
      <c r="M51" s="28"/>
      <c r="N51" s="54"/>
    </row>
    <row r="52" spans="1:22" s="202" customFormat="1" ht="31.5" hidden="1" customHeight="1">
      <c r="A52" s="48"/>
      <c r="B52" s="205" t="s">
        <v>187</v>
      </c>
      <c r="C52" s="206" t="s">
        <v>47</v>
      </c>
      <c r="D52" s="205" t="s">
        <v>53</v>
      </c>
      <c r="E52" s="207">
        <v>30</v>
      </c>
      <c r="F52" s="208">
        <f>SUM(E52*2/100)</f>
        <v>0.6</v>
      </c>
      <c r="G52" s="18">
        <v>2918.89</v>
      </c>
      <c r="H52" s="209">
        <f t="shared" si="4"/>
        <v>1.7513339999999997</v>
      </c>
      <c r="I52" s="18">
        <v>0</v>
      </c>
      <c r="J52" s="203"/>
      <c r="L52" s="27"/>
      <c r="M52" s="28"/>
      <c r="N52" s="54"/>
    </row>
    <row r="53" spans="1:22" s="202" customFormat="1" ht="15.75" hidden="1" customHeight="1">
      <c r="A53" s="48"/>
      <c r="B53" s="205" t="s">
        <v>48</v>
      </c>
      <c r="C53" s="206" t="s">
        <v>49</v>
      </c>
      <c r="D53" s="205" t="s">
        <v>53</v>
      </c>
      <c r="E53" s="207">
        <v>1</v>
      </c>
      <c r="F53" s="208">
        <v>0.02</v>
      </c>
      <c r="G53" s="18">
        <v>6042.13</v>
      </c>
      <c r="H53" s="209">
        <f t="shared" si="4"/>
        <v>0.12084260000000001</v>
      </c>
      <c r="I53" s="18">
        <v>0</v>
      </c>
      <c r="J53" s="203"/>
      <c r="L53" s="27"/>
      <c r="M53" s="28"/>
      <c r="N53" s="54"/>
    </row>
    <row r="54" spans="1:22" s="202" customFormat="1" ht="15.75" hidden="1" customHeight="1">
      <c r="A54" s="48">
        <v>14</v>
      </c>
      <c r="B54" s="205" t="s">
        <v>188</v>
      </c>
      <c r="C54" s="206" t="s">
        <v>140</v>
      </c>
      <c r="D54" s="205" t="s">
        <v>88</v>
      </c>
      <c r="E54" s="207">
        <v>90</v>
      </c>
      <c r="F54" s="208">
        <f>E54*4</f>
        <v>360</v>
      </c>
      <c r="G54" s="18">
        <v>150.86000000000001</v>
      </c>
      <c r="H54" s="209">
        <f>F54*G54/1000</f>
        <v>54.309600000000003</v>
      </c>
      <c r="I54" s="18">
        <f>G54*E54</f>
        <v>13577.400000000001</v>
      </c>
      <c r="J54" s="203"/>
      <c r="L54" s="27"/>
      <c r="M54" s="28"/>
      <c r="N54" s="54"/>
    </row>
    <row r="55" spans="1:22" s="202" customFormat="1" ht="15.75" hidden="1" customHeight="1">
      <c r="A55" s="48">
        <v>15</v>
      </c>
      <c r="B55" s="205" t="s">
        <v>52</v>
      </c>
      <c r="C55" s="206" t="s">
        <v>140</v>
      </c>
      <c r="D55" s="205" t="s">
        <v>88</v>
      </c>
      <c r="E55" s="207">
        <v>180</v>
      </c>
      <c r="F55" s="208">
        <f>SUM(E55)*3</f>
        <v>540</v>
      </c>
      <c r="G55" s="18">
        <v>70.2</v>
      </c>
      <c r="H55" s="209">
        <f t="shared" si="4"/>
        <v>37.908000000000001</v>
      </c>
      <c r="I55" s="18">
        <f>G55*E55</f>
        <v>12636</v>
      </c>
      <c r="J55" s="203"/>
      <c r="L55" s="27"/>
      <c r="M55" s="28"/>
      <c r="N55" s="54"/>
    </row>
    <row r="56" spans="1:22" s="202" customFormat="1" ht="15.75" customHeight="1">
      <c r="A56" s="261" t="s">
        <v>265</v>
      </c>
      <c r="B56" s="262"/>
      <c r="C56" s="262"/>
      <c r="D56" s="262"/>
      <c r="E56" s="262"/>
      <c r="F56" s="262"/>
      <c r="G56" s="262"/>
      <c r="H56" s="262"/>
      <c r="I56" s="263"/>
      <c r="J56" s="203"/>
      <c r="L56" s="27"/>
      <c r="M56" s="28"/>
      <c r="N56" s="54"/>
    </row>
    <row r="57" spans="1:22" s="202" customFormat="1" ht="15.75" hidden="1" customHeight="1">
      <c r="A57" s="48"/>
      <c r="B57" s="238" t="s">
        <v>54</v>
      </c>
      <c r="C57" s="206"/>
      <c r="D57" s="205"/>
      <c r="E57" s="207"/>
      <c r="F57" s="208"/>
      <c r="G57" s="208"/>
      <c r="H57" s="209"/>
      <c r="I57" s="18"/>
      <c r="J57" s="203"/>
      <c r="L57" s="27"/>
      <c r="M57" s="28"/>
      <c r="N57" s="54"/>
    </row>
    <row r="58" spans="1:22" s="202" customFormat="1" ht="31.5" hidden="1" customHeight="1">
      <c r="A58" s="48">
        <v>16</v>
      </c>
      <c r="B58" s="205" t="s">
        <v>207</v>
      </c>
      <c r="C58" s="206" t="s">
        <v>158</v>
      </c>
      <c r="D58" s="205" t="s">
        <v>189</v>
      </c>
      <c r="E58" s="207">
        <v>103.25</v>
      </c>
      <c r="F58" s="208">
        <f>SUM(E58*6/100)</f>
        <v>6.1950000000000003</v>
      </c>
      <c r="G58" s="18">
        <v>1654.04</v>
      </c>
      <c r="H58" s="209">
        <f>SUM(F58*G58/1000)</f>
        <v>10.2467778</v>
      </c>
      <c r="I58" s="18">
        <f>F58/6*G58</f>
        <v>1707.7963</v>
      </c>
      <c r="J58" s="203"/>
      <c r="L58" s="27"/>
      <c r="M58" s="28"/>
      <c r="N58" s="54"/>
    </row>
    <row r="59" spans="1:22" s="202" customFormat="1" ht="31.5" hidden="1" customHeight="1">
      <c r="A59" s="48">
        <v>17</v>
      </c>
      <c r="B59" s="205" t="s">
        <v>138</v>
      </c>
      <c r="C59" s="206" t="s">
        <v>158</v>
      </c>
      <c r="D59" s="205" t="s">
        <v>139</v>
      </c>
      <c r="E59" s="207">
        <v>39.700000000000003</v>
      </c>
      <c r="F59" s="208">
        <f>SUM(E59*12/100)</f>
        <v>4.7640000000000002</v>
      </c>
      <c r="G59" s="18">
        <v>1654.04</v>
      </c>
      <c r="H59" s="209">
        <f>SUM(F59*G59/1000)</f>
        <v>7.8798465599999998</v>
      </c>
      <c r="I59" s="18">
        <f>F59/6*G59</f>
        <v>1313.3077600000001</v>
      </c>
      <c r="J59" s="203"/>
      <c r="L59" s="27"/>
      <c r="M59" s="28"/>
      <c r="N59" s="54"/>
    </row>
    <row r="60" spans="1:22" s="202" customFormat="1" ht="15.75" hidden="1" customHeight="1">
      <c r="A60" s="48">
        <v>18</v>
      </c>
      <c r="B60" s="214" t="s">
        <v>190</v>
      </c>
      <c r="C60" s="215" t="s">
        <v>191</v>
      </c>
      <c r="D60" s="214" t="s">
        <v>53</v>
      </c>
      <c r="E60" s="216">
        <v>8</v>
      </c>
      <c r="F60" s="217">
        <v>16</v>
      </c>
      <c r="G60" s="18">
        <v>193.25</v>
      </c>
      <c r="H60" s="218">
        <f>F60*G60/1000</f>
        <v>3.0920000000000001</v>
      </c>
      <c r="I60" s="18">
        <f>F60/2*G60</f>
        <v>1546</v>
      </c>
      <c r="J60" s="203"/>
      <c r="L60" s="27"/>
    </row>
    <row r="61" spans="1:22" s="202" customFormat="1" ht="15.75" hidden="1" customHeight="1">
      <c r="A61" s="48">
        <v>19</v>
      </c>
      <c r="B61" s="205" t="s">
        <v>192</v>
      </c>
      <c r="C61" s="206" t="s">
        <v>158</v>
      </c>
      <c r="D61" s="205" t="s">
        <v>189</v>
      </c>
      <c r="E61" s="207">
        <v>41.73</v>
      </c>
      <c r="F61" s="208">
        <f>SUM(E61*6/100)</f>
        <v>2.5038</v>
      </c>
      <c r="G61" s="18">
        <v>1654.04</v>
      </c>
      <c r="H61" s="209">
        <f>SUM(F61*G61/1000)</f>
        <v>4.1413853520000004</v>
      </c>
      <c r="I61" s="18">
        <f>F61/6*G61</f>
        <v>690.23089200000004</v>
      </c>
      <c r="J61" s="203"/>
      <c r="L61" s="27"/>
    </row>
    <row r="62" spans="1:22" s="202" customFormat="1" ht="15.75" customHeight="1">
      <c r="A62" s="48"/>
      <c r="B62" s="239" t="s">
        <v>55</v>
      </c>
      <c r="C62" s="215"/>
      <c r="D62" s="214"/>
      <c r="E62" s="216"/>
      <c r="F62" s="217"/>
      <c r="G62" s="18"/>
      <c r="H62" s="218"/>
      <c r="I62" s="18"/>
    </row>
    <row r="63" spans="1:22" s="202" customFormat="1" ht="15.75" hidden="1" customHeight="1">
      <c r="A63" s="48"/>
      <c r="B63" s="214" t="s">
        <v>219</v>
      </c>
      <c r="C63" s="215" t="s">
        <v>65</v>
      </c>
      <c r="D63" s="214" t="s">
        <v>66</v>
      </c>
      <c r="E63" s="216">
        <v>1017.5</v>
      </c>
      <c r="F63" s="217">
        <v>10.154</v>
      </c>
      <c r="G63" s="18">
        <v>848.37</v>
      </c>
      <c r="H63" s="218">
        <f>F63*G63/1000</f>
        <v>8.6143489800000008</v>
      </c>
      <c r="I63" s="18">
        <v>0</v>
      </c>
    </row>
    <row r="64" spans="1:22" s="202" customFormat="1" ht="15.75" customHeight="1">
      <c r="A64" s="48">
        <v>10</v>
      </c>
      <c r="B64" s="214" t="s">
        <v>142</v>
      </c>
      <c r="C64" s="215" t="s">
        <v>28</v>
      </c>
      <c r="D64" s="214" t="s">
        <v>35</v>
      </c>
      <c r="E64" s="216">
        <v>203.5</v>
      </c>
      <c r="F64" s="219">
        <f>E64*12</f>
        <v>2442</v>
      </c>
      <c r="G64" s="197">
        <v>2.6</v>
      </c>
      <c r="H64" s="217">
        <f>F64*G64/1000</f>
        <v>6.3491999999999997</v>
      </c>
      <c r="I64" s="18">
        <f>F64/12*G64</f>
        <v>529.1</v>
      </c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1"/>
    </row>
    <row r="65" spans="1:21" s="202" customFormat="1" ht="15.75" customHeight="1">
      <c r="A65" s="48"/>
      <c r="B65" s="239" t="s">
        <v>57</v>
      </c>
      <c r="C65" s="215"/>
      <c r="D65" s="214"/>
      <c r="E65" s="216"/>
      <c r="F65" s="219"/>
      <c r="G65" s="219"/>
      <c r="H65" s="217" t="s">
        <v>218</v>
      </c>
      <c r="I65" s="18"/>
      <c r="J65" s="222"/>
      <c r="K65" s="222"/>
      <c r="L65" s="220"/>
      <c r="M65" s="220"/>
      <c r="N65" s="220"/>
      <c r="O65" s="220"/>
      <c r="P65" s="220"/>
      <c r="Q65" s="220"/>
      <c r="R65" s="220"/>
      <c r="S65" s="220"/>
      <c r="T65" s="220"/>
      <c r="U65" s="220"/>
    </row>
    <row r="66" spans="1:21" s="202" customFormat="1" ht="15.75" customHeight="1">
      <c r="A66" s="48">
        <v>11</v>
      </c>
      <c r="B66" s="20" t="s">
        <v>58</v>
      </c>
      <c r="C66" s="22" t="s">
        <v>140</v>
      </c>
      <c r="D66" s="20" t="s">
        <v>84</v>
      </c>
      <c r="E66" s="25">
        <v>10</v>
      </c>
      <c r="F66" s="208">
        <v>10</v>
      </c>
      <c r="G66" s="18">
        <v>237.75</v>
      </c>
      <c r="H66" s="223">
        <f t="shared" ref="H66:H79" si="5">SUM(F66*G66/1000)</f>
        <v>2.3774999999999999</v>
      </c>
      <c r="I66" s="18">
        <f>G66</f>
        <v>237.75</v>
      </c>
      <c r="J66" s="220"/>
      <c r="K66" s="220"/>
      <c r="L66" s="220"/>
      <c r="M66" s="220"/>
      <c r="N66" s="220"/>
      <c r="O66" s="220"/>
      <c r="P66" s="220"/>
      <c r="Q66" s="220"/>
      <c r="S66" s="220"/>
      <c r="T66" s="220"/>
      <c r="U66" s="220"/>
    </row>
    <row r="67" spans="1:21" s="202" customFormat="1" ht="15.75" hidden="1" customHeight="1">
      <c r="A67" s="48"/>
      <c r="B67" s="20" t="s">
        <v>59</v>
      </c>
      <c r="C67" s="22" t="s">
        <v>140</v>
      </c>
      <c r="D67" s="20" t="s">
        <v>84</v>
      </c>
      <c r="E67" s="25">
        <v>5</v>
      </c>
      <c r="F67" s="208">
        <v>5</v>
      </c>
      <c r="G67" s="18">
        <v>81.510000000000005</v>
      </c>
      <c r="H67" s="223">
        <f t="shared" si="5"/>
        <v>0.40755000000000002</v>
      </c>
      <c r="I67" s="18">
        <v>0</v>
      </c>
      <c r="J67" s="224"/>
      <c r="K67" s="224"/>
      <c r="L67" s="224"/>
      <c r="M67" s="224"/>
      <c r="N67" s="224"/>
      <c r="O67" s="224"/>
      <c r="P67" s="224"/>
      <c r="Q67" s="224"/>
      <c r="R67" s="264"/>
      <c r="S67" s="264"/>
      <c r="T67" s="264"/>
      <c r="U67" s="264"/>
    </row>
    <row r="68" spans="1:21" s="202" customFormat="1" ht="15.75" hidden="1" customHeight="1">
      <c r="A68" s="48"/>
      <c r="B68" s="20" t="s">
        <v>60</v>
      </c>
      <c r="C68" s="22" t="s">
        <v>193</v>
      </c>
      <c r="D68" s="20" t="s">
        <v>66</v>
      </c>
      <c r="E68" s="207">
        <v>14347</v>
      </c>
      <c r="F68" s="18">
        <f>SUM(E68/100)</f>
        <v>143.47</v>
      </c>
      <c r="G68" s="18">
        <v>226.79</v>
      </c>
      <c r="H68" s="223">
        <f t="shared" si="5"/>
        <v>32.5375613</v>
      </c>
      <c r="I68" s="18">
        <v>0</v>
      </c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</row>
    <row r="69" spans="1:21" s="202" customFormat="1" ht="15.75" hidden="1" customHeight="1">
      <c r="A69" s="48"/>
      <c r="B69" s="20" t="s">
        <v>61</v>
      </c>
      <c r="C69" s="22" t="s">
        <v>194</v>
      </c>
      <c r="D69" s="20" t="s">
        <v>66</v>
      </c>
      <c r="E69" s="207">
        <v>14347</v>
      </c>
      <c r="F69" s="18">
        <f>SUM(E69/1000)</f>
        <v>14.347</v>
      </c>
      <c r="G69" s="18">
        <v>176.61</v>
      </c>
      <c r="H69" s="223">
        <f t="shared" si="5"/>
        <v>2.5338236700000003</v>
      </c>
      <c r="I69" s="18">
        <v>0</v>
      </c>
    </row>
    <row r="70" spans="1:21" s="202" customFormat="1" ht="15.75" hidden="1" customHeight="1">
      <c r="A70" s="48"/>
      <c r="B70" s="20" t="s">
        <v>62</v>
      </c>
      <c r="C70" s="22" t="s">
        <v>94</v>
      </c>
      <c r="D70" s="20" t="s">
        <v>66</v>
      </c>
      <c r="E70" s="207">
        <v>2244</v>
      </c>
      <c r="F70" s="18">
        <f>SUM(E70/100)</f>
        <v>22.44</v>
      </c>
      <c r="G70" s="18">
        <v>2217.7800000000002</v>
      </c>
      <c r="H70" s="223">
        <f t="shared" si="5"/>
        <v>49.766983200000013</v>
      </c>
      <c r="I70" s="18">
        <v>0</v>
      </c>
    </row>
    <row r="71" spans="1:21" s="202" customFormat="1" ht="15.75" hidden="1" customHeight="1">
      <c r="A71" s="48"/>
      <c r="B71" s="225" t="s">
        <v>195</v>
      </c>
      <c r="C71" s="22" t="s">
        <v>38</v>
      </c>
      <c r="D71" s="20" t="s">
        <v>66</v>
      </c>
      <c r="E71" s="207">
        <v>12.48</v>
      </c>
      <c r="F71" s="18">
        <f>SUM(E71)</f>
        <v>12.48</v>
      </c>
      <c r="G71" s="18">
        <v>42.67</v>
      </c>
      <c r="H71" s="223">
        <f t="shared" si="5"/>
        <v>0.53252160000000004</v>
      </c>
      <c r="I71" s="18">
        <v>0</v>
      </c>
    </row>
    <row r="72" spans="1:21" s="202" customFormat="1" ht="15.75" hidden="1" customHeight="1">
      <c r="A72" s="48"/>
      <c r="B72" s="225" t="s">
        <v>196</v>
      </c>
      <c r="C72" s="22" t="s">
        <v>38</v>
      </c>
      <c r="D72" s="20" t="s">
        <v>66</v>
      </c>
      <c r="E72" s="207">
        <v>12.48</v>
      </c>
      <c r="F72" s="18">
        <f>SUM(E72)</f>
        <v>12.48</v>
      </c>
      <c r="G72" s="18">
        <v>39.81</v>
      </c>
      <c r="H72" s="223">
        <f t="shared" si="5"/>
        <v>0.49682880000000007</v>
      </c>
      <c r="I72" s="18">
        <v>0</v>
      </c>
    </row>
    <row r="73" spans="1:21" s="202" customFormat="1" ht="15.75" hidden="1" customHeight="1">
      <c r="A73" s="48"/>
      <c r="B73" s="20" t="s">
        <v>71</v>
      </c>
      <c r="C73" s="22" t="s">
        <v>72</v>
      </c>
      <c r="D73" s="20" t="s">
        <v>66</v>
      </c>
      <c r="E73" s="25">
        <v>5</v>
      </c>
      <c r="F73" s="208">
        <v>5</v>
      </c>
      <c r="G73" s="18">
        <v>53.32</v>
      </c>
      <c r="H73" s="223">
        <f t="shared" si="5"/>
        <v>0.2666</v>
      </c>
      <c r="I73" s="18">
        <v>0</v>
      </c>
    </row>
    <row r="74" spans="1:21" s="202" customFormat="1" ht="15.75" hidden="1" customHeight="1">
      <c r="A74" s="48"/>
      <c r="B74" s="193" t="s">
        <v>89</v>
      </c>
      <c r="C74" s="22"/>
      <c r="D74" s="20"/>
      <c r="E74" s="25"/>
      <c r="F74" s="18"/>
      <c r="G74" s="18"/>
      <c r="H74" s="223" t="s">
        <v>218</v>
      </c>
      <c r="I74" s="18"/>
    </row>
    <row r="75" spans="1:21" s="202" customFormat="1" ht="15.75" hidden="1" customHeight="1">
      <c r="A75" s="48"/>
      <c r="B75" s="20" t="s">
        <v>90</v>
      </c>
      <c r="C75" s="22" t="s">
        <v>92</v>
      </c>
      <c r="D75" s="20"/>
      <c r="E75" s="25">
        <v>2</v>
      </c>
      <c r="F75" s="18">
        <v>0.2</v>
      </c>
      <c r="G75" s="18">
        <v>536.23</v>
      </c>
      <c r="H75" s="223">
        <f t="shared" si="5"/>
        <v>0.10724600000000001</v>
      </c>
      <c r="I75" s="18">
        <v>0</v>
      </c>
    </row>
    <row r="76" spans="1:21" s="202" customFormat="1" ht="15.75" hidden="1" customHeight="1">
      <c r="A76" s="48">
        <v>21</v>
      </c>
      <c r="B76" s="20" t="s">
        <v>91</v>
      </c>
      <c r="C76" s="22" t="s">
        <v>36</v>
      </c>
      <c r="D76" s="20"/>
      <c r="E76" s="25">
        <v>1</v>
      </c>
      <c r="F76" s="197">
        <v>1</v>
      </c>
      <c r="G76" s="18">
        <v>911.85</v>
      </c>
      <c r="H76" s="223">
        <f>F76*G76/1000</f>
        <v>0.91185000000000005</v>
      </c>
      <c r="I76" s="18">
        <f>G76</f>
        <v>911.85</v>
      </c>
    </row>
    <row r="77" spans="1:21" s="202" customFormat="1" ht="15.75" hidden="1" customHeight="1">
      <c r="A77" s="48"/>
      <c r="B77" s="20" t="s">
        <v>199</v>
      </c>
      <c r="C77" s="22" t="s">
        <v>36</v>
      </c>
      <c r="D77" s="20"/>
      <c r="E77" s="25">
        <v>1</v>
      </c>
      <c r="F77" s="18">
        <v>1</v>
      </c>
      <c r="G77" s="18">
        <v>383.25</v>
      </c>
      <c r="H77" s="223">
        <f>G77*F77/1000</f>
        <v>0.38324999999999998</v>
      </c>
      <c r="I77" s="18">
        <v>0</v>
      </c>
    </row>
    <row r="78" spans="1:21" s="202" customFormat="1" ht="15.75" hidden="1" customHeight="1">
      <c r="A78" s="48"/>
      <c r="B78" s="227" t="s">
        <v>93</v>
      </c>
      <c r="C78" s="22"/>
      <c r="D78" s="20"/>
      <c r="E78" s="25"/>
      <c r="F78" s="18"/>
      <c r="G78" s="18" t="s">
        <v>218</v>
      </c>
      <c r="H78" s="223" t="s">
        <v>218</v>
      </c>
      <c r="I78" s="18"/>
    </row>
    <row r="79" spans="1:21" s="202" customFormat="1" ht="15.75" hidden="1" customHeight="1">
      <c r="A79" s="48"/>
      <c r="B79" s="86" t="s">
        <v>200</v>
      </c>
      <c r="C79" s="22" t="s">
        <v>94</v>
      </c>
      <c r="D79" s="20"/>
      <c r="E79" s="25"/>
      <c r="F79" s="18">
        <v>1</v>
      </c>
      <c r="G79" s="18">
        <v>2949.84</v>
      </c>
      <c r="H79" s="223">
        <f t="shared" si="5"/>
        <v>2.94984</v>
      </c>
      <c r="I79" s="18">
        <v>0</v>
      </c>
    </row>
    <row r="80" spans="1:21" s="202" customFormat="1" ht="15.75" hidden="1" customHeight="1">
      <c r="A80" s="48"/>
      <c r="B80" s="193" t="s">
        <v>197</v>
      </c>
      <c r="C80" s="227"/>
      <c r="D80" s="53"/>
      <c r="E80" s="58"/>
      <c r="F80" s="211"/>
      <c r="G80" s="211"/>
      <c r="H80" s="228">
        <f>SUM(H58:H79)</f>
        <v>133.59511326200004</v>
      </c>
      <c r="I80" s="211"/>
    </row>
    <row r="81" spans="1:9" s="202" customFormat="1" ht="15.75" hidden="1" customHeight="1">
      <c r="A81" s="48"/>
      <c r="B81" s="205" t="s">
        <v>198</v>
      </c>
      <c r="C81" s="22"/>
      <c r="D81" s="20"/>
      <c r="E81" s="198"/>
      <c r="F81" s="18">
        <v>1</v>
      </c>
      <c r="G81" s="18">
        <v>27922</v>
      </c>
      <c r="H81" s="223">
        <f>G81*F81/1000</f>
        <v>27.922000000000001</v>
      </c>
      <c r="I81" s="18">
        <v>0</v>
      </c>
    </row>
    <row r="82" spans="1:9" s="202" customFormat="1" ht="15.75" customHeight="1">
      <c r="A82" s="274" t="s">
        <v>266</v>
      </c>
      <c r="B82" s="275"/>
      <c r="C82" s="275"/>
      <c r="D82" s="275"/>
      <c r="E82" s="275"/>
      <c r="F82" s="275"/>
      <c r="G82" s="275"/>
      <c r="H82" s="275"/>
      <c r="I82" s="276"/>
    </row>
    <row r="83" spans="1:9" s="202" customFormat="1" ht="15.75" customHeight="1">
      <c r="A83" s="48">
        <v>12</v>
      </c>
      <c r="B83" s="205" t="s">
        <v>201</v>
      </c>
      <c r="C83" s="22" t="s">
        <v>67</v>
      </c>
      <c r="D83" s="229" t="s">
        <v>68</v>
      </c>
      <c r="E83" s="18">
        <v>3931</v>
      </c>
      <c r="F83" s="18">
        <f>SUM(E83*12)</f>
        <v>47172</v>
      </c>
      <c r="G83" s="18">
        <v>2.2400000000000002</v>
      </c>
      <c r="H83" s="223">
        <f>SUM(F83*G83/1000)</f>
        <v>105.66528000000001</v>
      </c>
      <c r="I83" s="18">
        <f>F83/12*G83</f>
        <v>8805.44</v>
      </c>
    </row>
    <row r="84" spans="1:9" s="202" customFormat="1" ht="31.5" customHeight="1">
      <c r="A84" s="48">
        <v>13</v>
      </c>
      <c r="B84" s="20" t="s">
        <v>95</v>
      </c>
      <c r="C84" s="22"/>
      <c r="D84" s="229" t="s">
        <v>68</v>
      </c>
      <c r="E84" s="207">
        <f>E83</f>
        <v>3931</v>
      </c>
      <c r="F84" s="18">
        <f>E84*12</f>
        <v>47172</v>
      </c>
      <c r="G84" s="18">
        <v>1.74</v>
      </c>
      <c r="H84" s="223">
        <f>F84*G84/1000</f>
        <v>82.079279999999997</v>
      </c>
      <c r="I84" s="18">
        <f>F84/12*G84</f>
        <v>6839.94</v>
      </c>
    </row>
    <row r="85" spans="1:9" s="202" customFormat="1" ht="15.75" customHeight="1">
      <c r="A85" s="48"/>
      <c r="B85" s="73" t="s">
        <v>101</v>
      </c>
      <c r="C85" s="227"/>
      <c r="D85" s="226"/>
      <c r="E85" s="211"/>
      <c r="F85" s="211"/>
      <c r="G85" s="211"/>
      <c r="H85" s="228">
        <f>H84</f>
        <v>82.079279999999997</v>
      </c>
      <c r="I85" s="211">
        <f>I16+I17+I18+I25+I26+I29+I30+I32+I33+I64+I66+I83+I84</f>
        <v>56072.885640200009</v>
      </c>
    </row>
    <row r="86" spans="1:9" s="202" customFormat="1" ht="15.75" customHeight="1">
      <c r="A86" s="48"/>
      <c r="B86" s="180" t="s">
        <v>74</v>
      </c>
      <c r="C86" s="22"/>
      <c r="D86" s="86"/>
      <c r="E86" s="18"/>
      <c r="F86" s="18"/>
      <c r="G86" s="18"/>
      <c r="H86" s="18"/>
      <c r="I86" s="18"/>
    </row>
    <row r="87" spans="1:9" s="202" customFormat="1" ht="31.5" customHeight="1">
      <c r="A87" s="48">
        <v>14</v>
      </c>
      <c r="B87" s="232" t="s">
        <v>110</v>
      </c>
      <c r="C87" s="184" t="s">
        <v>47</v>
      </c>
      <c r="D87" s="20"/>
      <c r="E87" s="25"/>
      <c r="F87" s="18">
        <v>0.04</v>
      </c>
      <c r="G87" s="18">
        <v>3397.65</v>
      </c>
      <c r="H87" s="223">
        <f t="shared" ref="H87:H88" si="6">G87*F87/1000</f>
        <v>0.135906</v>
      </c>
      <c r="I87" s="230">
        <f>G87*0.01</f>
        <v>33.976500000000001</v>
      </c>
    </row>
    <row r="88" spans="1:9" s="202" customFormat="1" ht="31.5" customHeight="1">
      <c r="A88" s="48">
        <v>15</v>
      </c>
      <c r="B88" s="232" t="s">
        <v>100</v>
      </c>
      <c r="C88" s="184" t="s">
        <v>140</v>
      </c>
      <c r="D88" s="20"/>
      <c r="E88" s="25"/>
      <c r="F88" s="18">
        <v>8</v>
      </c>
      <c r="G88" s="18">
        <v>79.09</v>
      </c>
      <c r="H88" s="223">
        <f t="shared" si="6"/>
        <v>0.63272000000000006</v>
      </c>
      <c r="I88" s="230">
        <f>G88</f>
        <v>79.09</v>
      </c>
    </row>
    <row r="89" spans="1:9" ht="15.75" customHeight="1">
      <c r="A89" s="48"/>
      <c r="B89" s="237" t="s">
        <v>63</v>
      </c>
      <c r="C89" s="76"/>
      <c r="D89" s="130"/>
      <c r="E89" s="76">
        <v>1</v>
      </c>
      <c r="F89" s="76"/>
      <c r="G89" s="76"/>
      <c r="H89" s="76"/>
      <c r="I89" s="58">
        <f>SUM(I87:I88)</f>
        <v>113.0665</v>
      </c>
    </row>
    <row r="90" spans="1:9" ht="15.75" customHeight="1">
      <c r="A90" s="48"/>
      <c r="B90" s="86" t="s">
        <v>96</v>
      </c>
      <c r="C90" s="21"/>
      <c r="D90" s="21"/>
      <c r="E90" s="77"/>
      <c r="F90" s="77"/>
      <c r="G90" s="78"/>
      <c r="H90" s="78"/>
      <c r="I90" s="24">
        <v>0</v>
      </c>
    </row>
    <row r="91" spans="1:9" ht="15.75" customHeight="1">
      <c r="A91" s="131"/>
      <c r="B91" s="81" t="s">
        <v>64</v>
      </c>
      <c r="C91" s="64"/>
      <c r="D91" s="64"/>
      <c r="E91" s="64"/>
      <c r="F91" s="64"/>
      <c r="G91" s="64"/>
      <c r="H91" s="64"/>
      <c r="I91" s="79">
        <f>I85+I89</f>
        <v>56185.95214020001</v>
      </c>
    </row>
    <row r="92" spans="1:9" ht="15.75">
      <c r="A92" s="265" t="s">
        <v>279</v>
      </c>
      <c r="B92" s="265"/>
      <c r="C92" s="265"/>
      <c r="D92" s="265"/>
      <c r="E92" s="265"/>
      <c r="F92" s="265"/>
      <c r="G92" s="265"/>
      <c r="H92" s="265"/>
      <c r="I92" s="265"/>
    </row>
    <row r="93" spans="1:9" ht="15.75">
      <c r="A93" s="188"/>
      <c r="B93" s="272" t="s">
        <v>280</v>
      </c>
      <c r="C93" s="272"/>
      <c r="D93" s="272"/>
      <c r="E93" s="272"/>
      <c r="F93" s="272"/>
      <c r="G93" s="272"/>
      <c r="H93" s="201"/>
      <c r="I93" s="3"/>
    </row>
    <row r="94" spans="1:9">
      <c r="A94" s="191"/>
      <c r="B94" s="268" t="s">
        <v>6</v>
      </c>
      <c r="C94" s="268"/>
      <c r="D94" s="268"/>
      <c r="E94" s="268"/>
      <c r="F94" s="268"/>
      <c r="G94" s="268"/>
      <c r="H94" s="38"/>
      <c r="I94" s="5"/>
    </row>
    <row r="95" spans="1:9" ht="7.5" customHeight="1">
      <c r="A95" s="11"/>
      <c r="B95" s="11"/>
      <c r="C95" s="11"/>
      <c r="D95" s="11"/>
      <c r="E95" s="11"/>
      <c r="F95" s="11"/>
      <c r="G95" s="11"/>
      <c r="H95" s="11"/>
      <c r="I95" s="11"/>
    </row>
    <row r="96" spans="1:9" ht="15.75">
      <c r="A96" s="273" t="s">
        <v>7</v>
      </c>
      <c r="B96" s="273"/>
      <c r="C96" s="273"/>
      <c r="D96" s="273"/>
      <c r="E96" s="273"/>
      <c r="F96" s="273"/>
      <c r="G96" s="273"/>
      <c r="H96" s="273"/>
      <c r="I96" s="273"/>
    </row>
    <row r="97" spans="1:9" ht="15.75">
      <c r="A97" s="273" t="s">
        <v>8</v>
      </c>
      <c r="B97" s="273"/>
      <c r="C97" s="273"/>
      <c r="D97" s="273"/>
      <c r="E97" s="273"/>
      <c r="F97" s="273"/>
      <c r="G97" s="273"/>
      <c r="H97" s="273"/>
      <c r="I97" s="273"/>
    </row>
    <row r="98" spans="1:9" ht="15.75">
      <c r="A98" s="258" t="s">
        <v>76</v>
      </c>
      <c r="B98" s="258"/>
      <c r="C98" s="258"/>
      <c r="D98" s="258"/>
      <c r="E98" s="258"/>
      <c r="F98" s="258"/>
      <c r="G98" s="258"/>
      <c r="H98" s="258"/>
      <c r="I98" s="258"/>
    </row>
    <row r="99" spans="1:9" ht="15.75">
      <c r="A99" s="12"/>
    </row>
    <row r="100" spans="1:9" ht="15.75">
      <c r="A100" s="259" t="s">
        <v>10</v>
      </c>
      <c r="B100" s="259"/>
      <c r="C100" s="259"/>
      <c r="D100" s="259"/>
      <c r="E100" s="259"/>
      <c r="F100" s="259"/>
      <c r="G100" s="259"/>
      <c r="H100" s="259"/>
      <c r="I100" s="259"/>
    </row>
    <row r="101" spans="1:9" ht="15.75">
      <c r="A101" s="4"/>
    </row>
    <row r="102" spans="1:9" ht="15.75">
      <c r="B102" s="187" t="s">
        <v>11</v>
      </c>
      <c r="C102" s="267" t="s">
        <v>203</v>
      </c>
      <c r="D102" s="267"/>
      <c r="E102" s="267"/>
      <c r="F102" s="199"/>
      <c r="I102" s="190"/>
    </row>
    <row r="103" spans="1:9">
      <c r="A103" s="191"/>
      <c r="C103" s="268" t="s">
        <v>12</v>
      </c>
      <c r="D103" s="268"/>
      <c r="E103" s="268"/>
      <c r="F103" s="38"/>
      <c r="I103" s="189" t="s">
        <v>13</v>
      </c>
    </row>
    <row r="104" spans="1:9" ht="15.75">
      <c r="A104" s="39"/>
      <c r="C104" s="13"/>
      <c r="D104" s="13"/>
      <c r="G104" s="13"/>
      <c r="H104" s="13"/>
    </row>
    <row r="105" spans="1:9" ht="15.75">
      <c r="B105" s="187" t="s">
        <v>14</v>
      </c>
      <c r="C105" s="269"/>
      <c r="D105" s="269"/>
      <c r="E105" s="269"/>
      <c r="F105" s="200"/>
      <c r="I105" s="190"/>
    </row>
    <row r="106" spans="1:9">
      <c r="A106" s="191"/>
      <c r="C106" s="270" t="s">
        <v>12</v>
      </c>
      <c r="D106" s="270"/>
      <c r="E106" s="270"/>
      <c r="F106" s="191"/>
      <c r="I106" s="189" t="s">
        <v>13</v>
      </c>
    </row>
    <row r="107" spans="1:9" ht="15.75">
      <c r="A107" s="4" t="s">
        <v>15</v>
      </c>
    </row>
    <row r="108" spans="1:9">
      <c r="A108" s="271" t="s">
        <v>16</v>
      </c>
      <c r="B108" s="271"/>
      <c r="C108" s="271"/>
      <c r="D108" s="271"/>
      <c r="E108" s="271"/>
      <c r="F108" s="271"/>
      <c r="G108" s="271"/>
      <c r="H108" s="271"/>
      <c r="I108" s="271"/>
    </row>
    <row r="109" spans="1:9" ht="47.25" customHeight="1">
      <c r="A109" s="266" t="s">
        <v>17</v>
      </c>
      <c r="B109" s="266"/>
      <c r="C109" s="266"/>
      <c r="D109" s="266"/>
      <c r="E109" s="266"/>
      <c r="F109" s="266"/>
      <c r="G109" s="266"/>
      <c r="H109" s="266"/>
      <c r="I109" s="266"/>
    </row>
    <row r="110" spans="1:9" ht="31.5" customHeight="1">
      <c r="A110" s="266" t="s">
        <v>18</v>
      </c>
      <c r="B110" s="266"/>
      <c r="C110" s="266"/>
      <c r="D110" s="266"/>
      <c r="E110" s="266"/>
      <c r="F110" s="266"/>
      <c r="G110" s="266"/>
      <c r="H110" s="266"/>
      <c r="I110" s="266"/>
    </row>
    <row r="111" spans="1:9" ht="31.5" customHeight="1">
      <c r="A111" s="266" t="s">
        <v>23</v>
      </c>
      <c r="B111" s="266"/>
      <c r="C111" s="266"/>
      <c r="D111" s="266"/>
      <c r="E111" s="266"/>
      <c r="F111" s="266"/>
      <c r="G111" s="266"/>
      <c r="H111" s="266"/>
      <c r="I111" s="266"/>
    </row>
    <row r="112" spans="1:9" ht="15.75">
      <c r="A112" s="266" t="s">
        <v>22</v>
      </c>
      <c r="B112" s="266"/>
      <c r="C112" s="266"/>
      <c r="D112" s="266"/>
      <c r="E112" s="266"/>
      <c r="F112" s="266"/>
      <c r="G112" s="266"/>
      <c r="H112" s="266"/>
      <c r="I112" s="266"/>
    </row>
  </sheetData>
  <autoFilter ref="I12:I62"/>
  <mergeCells count="28">
    <mergeCell ref="A109:I109"/>
    <mergeCell ref="A110:I110"/>
    <mergeCell ref="A111:I111"/>
    <mergeCell ref="A112:I112"/>
    <mergeCell ref="A100:I100"/>
    <mergeCell ref="C102:E102"/>
    <mergeCell ref="C103:E103"/>
    <mergeCell ref="C105:E105"/>
    <mergeCell ref="C106:E106"/>
    <mergeCell ref="A108:I108"/>
    <mergeCell ref="A98:I98"/>
    <mergeCell ref="A15:I15"/>
    <mergeCell ref="A27:I27"/>
    <mergeCell ref="A45:I45"/>
    <mergeCell ref="A56:I56"/>
    <mergeCell ref="A92:I92"/>
    <mergeCell ref="B93:G93"/>
    <mergeCell ref="B94:G94"/>
    <mergeCell ref="A96:I96"/>
    <mergeCell ref="A97:I97"/>
    <mergeCell ref="R67:U67"/>
    <mergeCell ref="A82:I82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T98"/>
  <sheetViews>
    <sheetView tabSelected="1" view="pageLayout" zoomScale="77" zoomScaleNormal="77" zoomScalePageLayoutView="77" workbookViewId="0">
      <selection activeCell="A9" sqref="A9:G9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85546875" customWidth="1"/>
    <col min="5" max="5" width="18.85546875" hidden="1" customWidth="1"/>
    <col min="6" max="7" width="21" customWidth="1"/>
    <col min="8" max="8" width="11.140625" customWidth="1"/>
    <col min="9" max="9" width="14.5703125" customWidth="1"/>
    <col min="10" max="10" width="12.5703125" customWidth="1"/>
  </cols>
  <sheetData>
    <row r="1" spans="1:11" ht="14.25" customHeight="1">
      <c r="B1" s="56" t="s">
        <v>120</v>
      </c>
      <c r="G1" s="55"/>
      <c r="H1" s="1"/>
      <c r="I1" s="1"/>
      <c r="J1" s="1"/>
      <c r="K1" s="1"/>
    </row>
    <row r="2" spans="1:11" ht="15.75">
      <c r="B2" s="44" t="s">
        <v>79</v>
      </c>
      <c r="H2" s="2"/>
      <c r="I2" s="2"/>
      <c r="J2" s="2"/>
      <c r="K2" s="2"/>
    </row>
    <row r="3" spans="1:11" ht="15.75">
      <c r="B3" s="44"/>
      <c r="H3" s="2"/>
      <c r="I3" s="2"/>
      <c r="J3" s="2"/>
      <c r="K3" s="2"/>
    </row>
    <row r="4" spans="1:11" ht="15.75" customHeight="1">
      <c r="A4" s="277" t="s">
        <v>213</v>
      </c>
      <c r="B4" s="277"/>
      <c r="C4" s="277"/>
      <c r="D4" s="277"/>
      <c r="E4" s="277"/>
      <c r="F4" s="277"/>
      <c r="G4" s="277"/>
      <c r="H4" s="3"/>
      <c r="I4" s="3"/>
      <c r="J4" s="3"/>
    </row>
    <row r="5" spans="1:11" ht="33.75" customHeight="1">
      <c r="A5" s="254" t="s">
        <v>143</v>
      </c>
      <c r="B5" s="254"/>
      <c r="C5" s="254"/>
      <c r="D5" s="254"/>
      <c r="E5" s="254"/>
      <c r="F5" s="254"/>
      <c r="G5" s="254"/>
    </row>
    <row r="6" spans="1:11" ht="15.75">
      <c r="A6" s="2"/>
      <c r="B6" s="253" t="s">
        <v>121</v>
      </c>
      <c r="C6" s="253"/>
      <c r="D6" s="253"/>
      <c r="E6" s="253"/>
      <c r="F6" s="253"/>
      <c r="H6" s="2"/>
      <c r="I6" s="2"/>
      <c r="J6" s="2"/>
      <c r="K6" s="2"/>
    </row>
    <row r="7" spans="1:11" ht="15" customHeight="1">
      <c r="A7" s="2"/>
      <c r="B7" s="35"/>
      <c r="C7" s="35"/>
      <c r="D7" s="35"/>
      <c r="E7" s="35"/>
      <c r="F7" s="35"/>
      <c r="G7" s="57">
        <v>42704</v>
      </c>
      <c r="H7" s="2"/>
      <c r="I7" s="2"/>
      <c r="J7" s="2"/>
      <c r="K7" s="2"/>
    </row>
    <row r="8" spans="1:11" ht="14.25" customHeight="1">
      <c r="B8" s="40"/>
      <c r="C8" s="40"/>
      <c r="D8" s="40"/>
      <c r="E8" s="3"/>
      <c r="F8" s="3"/>
      <c r="H8" s="3"/>
      <c r="I8" s="3"/>
      <c r="J8" s="3"/>
      <c r="K8" s="3"/>
    </row>
    <row r="9" spans="1:11" ht="89.25" customHeight="1">
      <c r="A9" s="256" t="s">
        <v>284</v>
      </c>
      <c r="B9" s="256"/>
      <c r="C9" s="256"/>
      <c r="D9" s="256"/>
      <c r="E9" s="256"/>
      <c r="F9" s="256"/>
      <c r="G9" s="256"/>
      <c r="H9" s="5"/>
      <c r="I9" s="5"/>
      <c r="J9" s="5"/>
      <c r="K9" s="5"/>
    </row>
    <row r="10" spans="1:11" ht="15.75">
      <c r="A10" s="142"/>
      <c r="B10" s="143"/>
      <c r="C10" s="143"/>
      <c r="D10" s="143"/>
      <c r="E10" s="143"/>
      <c r="F10" s="143"/>
      <c r="G10" s="143"/>
      <c r="H10" s="2"/>
      <c r="I10" s="2"/>
      <c r="J10" s="2"/>
      <c r="K10" s="2"/>
    </row>
    <row r="11" spans="1:11" ht="53.25" customHeight="1">
      <c r="A11" s="257" t="s">
        <v>153</v>
      </c>
      <c r="B11" s="257"/>
      <c r="C11" s="257"/>
      <c r="D11" s="257"/>
      <c r="E11" s="257"/>
      <c r="F11" s="257"/>
      <c r="G11" s="257"/>
      <c r="H11" s="2"/>
      <c r="I11" s="2"/>
      <c r="J11" s="2"/>
      <c r="K11" s="2"/>
    </row>
    <row r="12" spans="1:11" ht="16.5" customHeight="1">
      <c r="A12" s="4"/>
    </row>
    <row r="13" spans="1:11" ht="78" customHeight="1">
      <c r="A13" s="93" t="s">
        <v>0</v>
      </c>
      <c r="B13" s="93" t="s">
        <v>119</v>
      </c>
      <c r="C13" s="93" t="s">
        <v>2</v>
      </c>
      <c r="D13" s="93" t="s">
        <v>19</v>
      </c>
      <c r="E13" s="93" t="s">
        <v>20</v>
      </c>
      <c r="F13" s="93" t="s">
        <v>24</v>
      </c>
      <c r="G13" s="93" t="s">
        <v>3</v>
      </c>
    </row>
    <row r="14" spans="1:11" ht="15.75">
      <c r="A14" s="133">
        <v>1</v>
      </c>
      <c r="B14" s="133">
        <v>2</v>
      </c>
      <c r="C14" s="133">
        <v>3</v>
      </c>
      <c r="D14" s="144">
        <v>4</v>
      </c>
      <c r="E14" s="133">
        <v>5</v>
      </c>
      <c r="F14" s="133">
        <v>6</v>
      </c>
      <c r="G14" s="133">
        <v>7</v>
      </c>
      <c r="H14" s="8"/>
      <c r="I14" s="8"/>
      <c r="J14" s="8"/>
      <c r="K14" s="8"/>
    </row>
    <row r="15" spans="1:11" ht="20.25" customHeight="1">
      <c r="A15" s="281" t="s">
        <v>4</v>
      </c>
      <c r="B15" s="282"/>
      <c r="C15" s="282"/>
      <c r="D15" s="282"/>
      <c r="E15" s="282"/>
      <c r="F15" s="282"/>
      <c r="G15" s="283"/>
      <c r="H15" s="8"/>
      <c r="I15" s="8"/>
      <c r="J15" s="8"/>
      <c r="K15" s="8"/>
    </row>
    <row r="16" spans="1:11" ht="33" customHeight="1">
      <c r="A16" s="89">
        <v>1</v>
      </c>
      <c r="B16" s="98" t="s">
        <v>122</v>
      </c>
      <c r="C16" s="89" t="s">
        <v>65</v>
      </c>
      <c r="D16" s="89" t="s">
        <v>123</v>
      </c>
      <c r="E16" s="89"/>
      <c r="F16" s="89">
        <v>187.48</v>
      </c>
      <c r="G16" s="89">
        <v>2316.35</v>
      </c>
      <c r="H16" s="8"/>
      <c r="I16" s="8"/>
      <c r="J16" s="8"/>
      <c r="K16" s="8"/>
    </row>
    <row r="17" spans="1:11" ht="32.25" customHeight="1">
      <c r="A17" s="89">
        <v>2</v>
      </c>
      <c r="B17" s="98" t="s">
        <v>154</v>
      </c>
      <c r="C17" s="89" t="s">
        <v>65</v>
      </c>
      <c r="D17" s="89" t="s">
        <v>124</v>
      </c>
      <c r="E17" s="89"/>
      <c r="F17" s="89">
        <v>187.46</v>
      </c>
      <c r="G17" s="114">
        <v>6176.94</v>
      </c>
      <c r="H17" s="8"/>
      <c r="I17" s="8"/>
      <c r="J17" s="8"/>
      <c r="K17" s="8"/>
    </row>
    <row r="18" spans="1:11" ht="32.25" customHeight="1">
      <c r="A18" s="89">
        <v>3</v>
      </c>
      <c r="B18" s="98" t="s">
        <v>155</v>
      </c>
      <c r="C18" s="89" t="s">
        <v>65</v>
      </c>
      <c r="D18" s="89" t="s">
        <v>98</v>
      </c>
      <c r="E18" s="89"/>
      <c r="F18" s="114">
        <v>539.30999999999995</v>
      </c>
      <c r="G18" s="114">
        <v>5125.6000000000004</v>
      </c>
      <c r="H18" s="8"/>
      <c r="I18" s="8"/>
      <c r="J18" s="8"/>
      <c r="K18" s="8"/>
    </row>
    <row r="19" spans="1:11" ht="19.5" customHeight="1">
      <c r="A19" s="89">
        <v>4</v>
      </c>
      <c r="B19" s="123" t="s">
        <v>25</v>
      </c>
      <c r="C19" s="88" t="s">
        <v>26</v>
      </c>
      <c r="D19" s="89" t="s">
        <v>27</v>
      </c>
      <c r="E19" s="108" t="e">
        <f>#REF!+#REF!+#REF!+#REF!+#REF!+#REF!+'12.16'!E11+#REF!+#REF!+#REF!+#REF!+#REF!</f>
        <v>#REF!</v>
      </c>
      <c r="F19" s="97">
        <v>5.33</v>
      </c>
      <c r="G19" s="91">
        <v>20952.23</v>
      </c>
      <c r="H19" s="8"/>
      <c r="I19" s="8"/>
      <c r="J19" s="8"/>
      <c r="K19" s="8"/>
    </row>
    <row r="20" spans="1:11" ht="21.75" customHeight="1">
      <c r="A20" s="89">
        <v>5</v>
      </c>
      <c r="B20" s="98" t="s">
        <v>81</v>
      </c>
      <c r="C20" s="99" t="s">
        <v>38</v>
      </c>
      <c r="D20" s="100" t="s">
        <v>116</v>
      </c>
      <c r="E20" s="97">
        <v>0</v>
      </c>
      <c r="F20" s="90">
        <v>157.18</v>
      </c>
      <c r="G20" s="97">
        <v>478.09</v>
      </c>
      <c r="H20" s="8"/>
      <c r="I20" s="8"/>
      <c r="J20" s="8"/>
      <c r="K20" s="8"/>
    </row>
    <row r="21" spans="1:11" ht="19.5" customHeight="1">
      <c r="A21" s="281" t="s">
        <v>117</v>
      </c>
      <c r="B21" s="282"/>
      <c r="C21" s="282"/>
      <c r="D21" s="282"/>
      <c r="E21" s="282"/>
      <c r="F21" s="282"/>
      <c r="G21" s="283"/>
      <c r="H21" s="49"/>
      <c r="I21" s="8"/>
      <c r="J21" s="8"/>
      <c r="K21" s="8"/>
    </row>
    <row r="22" spans="1:11" ht="16.5" customHeight="1">
      <c r="A22" s="87"/>
      <c r="B22" s="101" t="s">
        <v>5</v>
      </c>
      <c r="C22" s="87"/>
      <c r="D22" s="87"/>
      <c r="E22" s="108"/>
      <c r="F22" s="96"/>
      <c r="G22" s="135"/>
      <c r="H22" s="33"/>
      <c r="I22" s="8"/>
      <c r="J22" s="8"/>
      <c r="K22" s="8"/>
    </row>
    <row r="23" spans="1:11" ht="33.75" customHeight="1">
      <c r="A23" s="102">
        <v>6</v>
      </c>
      <c r="B23" s="140" t="s">
        <v>30</v>
      </c>
      <c r="C23" s="95" t="s">
        <v>37</v>
      </c>
      <c r="D23" s="89" t="s">
        <v>29</v>
      </c>
      <c r="E23" s="108" t="e">
        <f>#REF!+#REF!+#REF!+#REF!+#REF!+#REF!+'12.16'!E26+#REF!+#REF!+#REF!+#REF!+#REF!</f>
        <v>#REF!</v>
      </c>
      <c r="F23" s="104">
        <v>1632.6</v>
      </c>
      <c r="G23" s="91">
        <v>2176.8000000000002</v>
      </c>
      <c r="H23" s="33"/>
      <c r="I23" s="8"/>
      <c r="J23" s="8"/>
      <c r="K23" s="8"/>
    </row>
    <row r="24" spans="1:11" ht="16.5" customHeight="1">
      <c r="A24" s="102">
        <v>7</v>
      </c>
      <c r="B24" s="140" t="s">
        <v>133</v>
      </c>
      <c r="C24" s="95" t="s">
        <v>34</v>
      </c>
      <c r="D24" s="89" t="s">
        <v>98</v>
      </c>
      <c r="E24" s="108" t="e">
        <f>#REF!+#REF!+#REF!+#REF!+#REF!+#REF!+'12.16'!E27+#REF!+#REF!+#REF!+#REF!+#REF!</f>
        <v>#REF!</v>
      </c>
      <c r="F24" s="104">
        <v>2247.8000000000002</v>
      </c>
      <c r="G24" s="91">
        <v>2073.0100000000002</v>
      </c>
      <c r="H24" s="33"/>
      <c r="I24" s="46"/>
      <c r="J24" s="8"/>
      <c r="K24" s="8"/>
    </row>
    <row r="25" spans="1:11" ht="30.75" customHeight="1">
      <c r="A25" s="102">
        <v>8</v>
      </c>
      <c r="B25" s="140" t="s">
        <v>134</v>
      </c>
      <c r="C25" s="95" t="s">
        <v>34</v>
      </c>
      <c r="D25" s="89" t="s">
        <v>135</v>
      </c>
      <c r="E25" s="108"/>
      <c r="F25" s="104">
        <v>2247.8000000000002</v>
      </c>
      <c r="G25" s="91">
        <v>1000.61</v>
      </c>
      <c r="H25" s="33"/>
      <c r="I25" s="46"/>
      <c r="J25" s="8"/>
      <c r="K25" s="8"/>
    </row>
    <row r="26" spans="1:11" ht="50.25" customHeight="1">
      <c r="A26" s="102">
        <v>9</v>
      </c>
      <c r="B26" s="98" t="s">
        <v>111</v>
      </c>
      <c r="C26" s="95" t="s">
        <v>34</v>
      </c>
      <c r="D26" s="89" t="s">
        <v>137</v>
      </c>
      <c r="E26" s="108" t="e">
        <f>#REF!+#REF!+#REF!+#REF!+#REF!+#REF!+'12.16'!E28+#REF!+#REF!+#REF!+#REF!+#REF!</f>
        <v>#REF!</v>
      </c>
      <c r="F26" s="104">
        <v>6203.71</v>
      </c>
      <c r="G26" s="91">
        <v>2209.27</v>
      </c>
      <c r="H26" s="33"/>
      <c r="I26" s="8"/>
      <c r="J26" s="8"/>
      <c r="K26" s="8"/>
    </row>
    <row r="27" spans="1:11" ht="31.5">
      <c r="A27" s="102">
        <v>10</v>
      </c>
      <c r="B27" s="140" t="s">
        <v>136</v>
      </c>
      <c r="C27" s="95" t="s">
        <v>34</v>
      </c>
      <c r="D27" s="89" t="s">
        <v>118</v>
      </c>
      <c r="E27" s="108" t="e">
        <f>#REF!+#REF!+#REF!+#REF!+#REF!+#REF!+'12.16'!E29+#REF!+#REF!+#REF!+#REF!+#REF!</f>
        <v>#REF!</v>
      </c>
      <c r="F27" s="104">
        <v>374.95</v>
      </c>
      <c r="G27" s="91">
        <v>862.36</v>
      </c>
      <c r="H27" s="33"/>
      <c r="I27" s="47"/>
      <c r="J27" s="8"/>
      <c r="K27" s="8"/>
    </row>
    <row r="28" spans="1:11" ht="18.75" customHeight="1">
      <c r="A28" s="102">
        <v>11</v>
      </c>
      <c r="B28" s="140" t="s">
        <v>128</v>
      </c>
      <c r="C28" s="95" t="s">
        <v>34</v>
      </c>
      <c r="D28" s="89" t="s">
        <v>115</v>
      </c>
      <c r="E28" s="91" t="e">
        <f>#REF!+#REF!+#REF!+#REF!+#REF!+#REF!+'12.16'!E30+#REF!+#REF!+#REF!+#REF!+#REF!</f>
        <v>#REF!</v>
      </c>
      <c r="F28" s="104">
        <v>458.28</v>
      </c>
      <c r="G28" s="91">
        <v>306.01</v>
      </c>
      <c r="H28" s="33"/>
      <c r="I28" s="8"/>
      <c r="J28" s="8"/>
      <c r="K28" s="8"/>
    </row>
    <row r="29" spans="1:11" ht="16.5" customHeight="1">
      <c r="A29" s="102">
        <v>12</v>
      </c>
      <c r="B29" s="140" t="s">
        <v>31</v>
      </c>
      <c r="C29" s="88" t="s">
        <v>38</v>
      </c>
      <c r="D29" s="94"/>
      <c r="E29" s="108" t="e">
        <f>#REF!+#REF!+#REF!+#REF!+#REF!+#REF!+'12.16'!E31+#REF!+#REF!+#REF!+#REF!+#REF!</f>
        <v>#REF!</v>
      </c>
      <c r="F29" s="104">
        <v>798</v>
      </c>
      <c r="G29" s="91">
        <v>119.7</v>
      </c>
      <c r="H29" s="33"/>
      <c r="I29" s="8"/>
      <c r="J29" s="8"/>
      <c r="K29" s="8"/>
    </row>
    <row r="30" spans="1:11" ht="15" hidden="1" customHeight="1">
      <c r="A30" s="141"/>
      <c r="B30" s="281" t="s">
        <v>125</v>
      </c>
      <c r="C30" s="282"/>
      <c r="D30" s="282"/>
      <c r="E30" s="282"/>
      <c r="F30" s="282"/>
      <c r="G30" s="283"/>
      <c r="H30" s="50"/>
      <c r="I30" s="8"/>
    </row>
    <row r="31" spans="1:11" ht="22.5" hidden="1" customHeight="1">
      <c r="A31" s="87">
        <v>16</v>
      </c>
      <c r="B31" s="140" t="s">
        <v>39</v>
      </c>
      <c r="C31" s="95" t="s">
        <v>34</v>
      </c>
      <c r="D31" s="89" t="s">
        <v>75</v>
      </c>
      <c r="E31" s="91" t="e">
        <f>#REF!+#REF!+#REF!+#REF!+#REF!+#REF!+'12.16'!E35+#REF!+#REF!+#REF!+#REF!+#REF!</f>
        <v>#REF!</v>
      </c>
      <c r="F31" s="104">
        <v>1098.72</v>
      </c>
      <c r="G31" s="135" t="e">
        <f>#REF!+#REF!+#REF!+#REF!+#REF!+#REF!+'12.16'!G35+#REF!+#REF!+#REF!+#REF!+#REF!</f>
        <v>#REF!</v>
      </c>
      <c r="H31" s="34"/>
    </row>
    <row r="32" spans="1:11" ht="24" hidden="1" customHeight="1">
      <c r="A32" s="87">
        <v>17</v>
      </c>
      <c r="B32" s="140" t="s">
        <v>40</v>
      </c>
      <c r="C32" s="95" t="s">
        <v>41</v>
      </c>
      <c r="D32" s="89" t="s">
        <v>75</v>
      </c>
      <c r="E32" s="91" t="e">
        <f>#REF!+#REF!+#REF!+#REF!+#REF!+#REF!+'12.16'!E36+#REF!+#REF!+#REF!+#REF!+#REF!</f>
        <v>#REF!</v>
      </c>
      <c r="F32" s="104">
        <v>94.18</v>
      </c>
      <c r="G32" s="135" t="e">
        <f>#REF!+#REF!+#REF!+#REF!+#REF!+#REF!+'12.16'!G35+#REF!+#REF!+#REF!+#REF!+#REF!</f>
        <v>#REF!</v>
      </c>
      <c r="H32" s="34"/>
    </row>
    <row r="33" spans="1:12" ht="24" hidden="1" customHeight="1">
      <c r="A33" s="87">
        <v>18</v>
      </c>
      <c r="B33" s="140" t="s">
        <v>42</v>
      </c>
      <c r="C33" s="95" t="s">
        <v>34</v>
      </c>
      <c r="D33" s="89" t="s">
        <v>75</v>
      </c>
      <c r="E33" s="91" t="e">
        <f>#REF!+#REF!+#REF!+#REF!+#REF!+#REF!+'12.16'!E37+#REF!+#REF!+#REF!+#REF!+#REF!</f>
        <v>#REF!</v>
      </c>
      <c r="F33" s="104">
        <v>749.49</v>
      </c>
      <c r="G33" s="135" t="e">
        <f>#REF!+#REF!+#REF!+#REF!+#REF!+#REF!+'12.16'!G36+#REF!+#REF!+#REF!+#REF!+#REF!</f>
        <v>#REF!</v>
      </c>
      <c r="H33" s="34"/>
    </row>
    <row r="34" spans="1:12" ht="24" hidden="1" customHeight="1">
      <c r="A34" s="87">
        <v>19</v>
      </c>
      <c r="B34" s="140" t="s">
        <v>43</v>
      </c>
      <c r="C34" s="95" t="s">
        <v>34</v>
      </c>
      <c r="D34" s="89" t="s">
        <v>75</v>
      </c>
      <c r="E34" s="91" t="e">
        <f>#REF!+#REF!+#REF!+#REF!+#REF!+#REF!+'12.16'!E38+#REF!+#REF!+#REF!+#REF!+#REF!</f>
        <v>#REF!</v>
      </c>
      <c r="F34" s="104">
        <v>749.49</v>
      </c>
      <c r="G34" s="135" t="e">
        <f>#REF!+#REF!+#REF!+#REF!+#REF!+#REF!+'12.16'!G38+#REF!+#REF!+#REF!+#REF!+#REF!</f>
        <v>#REF!</v>
      </c>
      <c r="H34" s="34"/>
    </row>
    <row r="35" spans="1:12" ht="23.25" hidden="1" customHeight="1">
      <c r="A35" s="87">
        <v>20</v>
      </c>
      <c r="B35" s="140" t="s">
        <v>44</v>
      </c>
      <c r="C35" s="95" t="s">
        <v>34</v>
      </c>
      <c r="D35" s="89" t="s">
        <v>75</v>
      </c>
      <c r="E35" s="91" t="e">
        <f>#REF!+#REF!+#REF!+#REF!+#REF!+#REF!+'12.16'!E39+#REF!+#REF!+#REF!+#REF!+#REF!</f>
        <v>#REF!</v>
      </c>
      <c r="F35" s="104">
        <v>784.8</v>
      </c>
      <c r="G35" s="135" t="e">
        <f>#REF!+#REF!+#REF!+#REF!+#REF!+#REF!+'12.16'!G39+#REF!+#REF!+#REF!+#REF!+#REF!</f>
        <v>#REF!</v>
      </c>
      <c r="H35" s="34"/>
    </row>
    <row r="36" spans="1:12" ht="23.25" hidden="1" customHeight="1">
      <c r="A36" s="87">
        <v>21</v>
      </c>
      <c r="B36" s="140" t="s">
        <v>70</v>
      </c>
      <c r="C36" s="95" t="s">
        <v>34</v>
      </c>
      <c r="D36" s="89" t="s">
        <v>75</v>
      </c>
      <c r="E36" s="91" t="e">
        <f>#REF!+#REF!+#REF!+#REF!+#REF!+#REF!+'12.16'!E40+#REF!+#REF!+#REF!+#REF!+#REF!</f>
        <v>#REF!</v>
      </c>
      <c r="F36" s="104">
        <v>1599.61</v>
      </c>
      <c r="G36" s="135" t="e">
        <f>#REF!+#REF!+#REF!+#REF!+#REF!+#REF!+'12.16'!G40+#REF!+#REF!+#REF!+#REF!+#REF!</f>
        <v>#REF!</v>
      </c>
      <c r="H36" s="34"/>
    </row>
    <row r="37" spans="1:12" ht="30.75" hidden="1" customHeight="1">
      <c r="A37" s="87">
        <v>22</v>
      </c>
      <c r="B37" s="140" t="s">
        <v>45</v>
      </c>
      <c r="C37" s="95" t="s">
        <v>34</v>
      </c>
      <c r="D37" s="89" t="s">
        <v>75</v>
      </c>
      <c r="E37" s="91" t="e">
        <f>#REF!+#REF!+#REF!+#REF!+#REF!+#REF!+'12.16'!E41+#REF!+#REF!+#REF!+#REF!+#REF!</f>
        <v>#REF!</v>
      </c>
      <c r="F37" s="104">
        <v>1599.61</v>
      </c>
      <c r="G37" s="135" t="e">
        <f>#REF!+#REF!+#REF!+#REF!+#REF!+#REF!+'12.16'!G41+#REF!+#REF!+#REF!+#REF!+#REF!</f>
        <v>#REF!</v>
      </c>
      <c r="H37" s="34"/>
    </row>
    <row r="38" spans="1:12" ht="30.75" hidden="1" customHeight="1">
      <c r="A38" s="87">
        <v>23</v>
      </c>
      <c r="B38" s="140" t="s">
        <v>46</v>
      </c>
      <c r="C38" s="95" t="s">
        <v>47</v>
      </c>
      <c r="D38" s="89" t="s">
        <v>75</v>
      </c>
      <c r="E38" s="91" t="e">
        <f>#REF!+#REF!+#REF!+#REF!+#REF!+#REF!+'12.16'!E42+#REF!+#REF!+#REF!+#REF!+#REF!</f>
        <v>#REF!</v>
      </c>
      <c r="F38" s="104">
        <v>3599.1</v>
      </c>
      <c r="G38" s="135" t="e">
        <f>#REF!+#REF!+#REF!+#REF!+#REF!+#REF!+'12.16'!G42+#REF!+#REF!+#REF!+#REF!+#REF!</f>
        <v>#REF!</v>
      </c>
      <c r="H38" s="34"/>
      <c r="J38" s="27"/>
      <c r="K38" s="28"/>
      <c r="L38" s="29"/>
    </row>
    <row r="39" spans="1:12" ht="25.5" hidden="1" customHeight="1">
      <c r="A39" s="87">
        <v>24</v>
      </c>
      <c r="B39" s="140" t="s">
        <v>48</v>
      </c>
      <c r="C39" s="95" t="s">
        <v>49</v>
      </c>
      <c r="D39" s="89" t="s">
        <v>75</v>
      </c>
      <c r="E39" s="91" t="e">
        <f>#REF!+#REF!+#REF!+#REF!+#REF!+#REF!+'12.16'!E43+#REF!+#REF!+#REF!+#REF!+#REF!</f>
        <v>#REF!</v>
      </c>
      <c r="F39" s="104">
        <v>7450.14</v>
      </c>
      <c r="G39" s="135" t="e">
        <f>#REF!+#REF!+#REF!+#REF!+#REF!+#REF!+'12.16'!G43+#REF!+#REF!+#REF!+#REF!+#REF!</f>
        <v>#REF!</v>
      </c>
      <c r="H39" s="34"/>
      <c r="J39" s="27"/>
      <c r="K39" s="28"/>
      <c r="L39" s="29"/>
    </row>
    <row r="40" spans="1:12" ht="25.5" hidden="1" customHeight="1">
      <c r="A40" s="87">
        <v>25</v>
      </c>
      <c r="B40" s="136" t="s">
        <v>50</v>
      </c>
      <c r="C40" s="125" t="s">
        <v>36</v>
      </c>
      <c r="D40" s="126" t="s">
        <v>51</v>
      </c>
      <c r="E40" s="91">
        <v>32</v>
      </c>
      <c r="F40" s="104">
        <v>158.66</v>
      </c>
      <c r="G40" s="135">
        <f>E40*F40</f>
        <v>5077.12</v>
      </c>
      <c r="H40" s="34"/>
      <c r="J40" s="27"/>
      <c r="K40" s="28"/>
      <c r="L40" s="29"/>
    </row>
    <row r="41" spans="1:12" ht="16.5" hidden="1" customHeight="1">
      <c r="A41" s="87">
        <v>26</v>
      </c>
      <c r="B41" s="140" t="s">
        <v>52</v>
      </c>
      <c r="C41" s="125" t="s">
        <v>36</v>
      </c>
      <c r="D41" s="89" t="s">
        <v>53</v>
      </c>
      <c r="E41" s="91">
        <v>32</v>
      </c>
      <c r="F41" s="104">
        <v>73.84</v>
      </c>
      <c r="G41" s="135">
        <f>E41*F41</f>
        <v>2362.88</v>
      </c>
      <c r="H41" s="34"/>
      <c r="J41" s="27"/>
      <c r="K41" s="28"/>
      <c r="L41" s="29"/>
    </row>
    <row r="42" spans="1:12" ht="19.5" customHeight="1">
      <c r="A42" s="92"/>
      <c r="B42" s="281" t="s">
        <v>126</v>
      </c>
      <c r="C42" s="282"/>
      <c r="D42" s="282"/>
      <c r="E42" s="282"/>
      <c r="F42" s="282"/>
      <c r="G42" s="283"/>
      <c r="H42" s="51"/>
      <c r="J42" s="27"/>
      <c r="K42" s="28"/>
      <c r="L42" s="29"/>
    </row>
    <row r="43" spans="1:12" ht="18" customHeight="1">
      <c r="A43" s="141"/>
      <c r="B43" s="105" t="s">
        <v>54</v>
      </c>
      <c r="C43" s="95"/>
      <c r="D43" s="137"/>
      <c r="E43" s="91"/>
      <c r="F43" s="106"/>
      <c r="G43" s="135"/>
      <c r="H43" s="34"/>
      <c r="J43" s="27"/>
      <c r="K43" s="28"/>
      <c r="L43" s="29"/>
    </row>
    <row r="44" spans="1:12" ht="54.75" customHeight="1">
      <c r="A44" s="87">
        <v>13</v>
      </c>
      <c r="B44" s="140" t="s">
        <v>129</v>
      </c>
      <c r="C44" s="95" t="s">
        <v>65</v>
      </c>
      <c r="D44" s="93" t="s">
        <v>35</v>
      </c>
      <c r="E44" s="91" t="e">
        <f>#REF!+#REF!+#REF!+#REF!+#REF!+#REF!+'12.16'!E49+#REF!+#REF!+#REF!+#REF!+#REF!</f>
        <v>#REF!</v>
      </c>
      <c r="F44" s="104">
        <v>1654.04</v>
      </c>
      <c r="G44" s="91">
        <v>1707.8</v>
      </c>
      <c r="H44" s="34"/>
      <c r="J44" s="27"/>
      <c r="K44" s="28"/>
      <c r="L44" s="29"/>
    </row>
    <row r="45" spans="1:12" ht="33.75" customHeight="1">
      <c r="A45" s="138">
        <v>14</v>
      </c>
      <c r="B45" s="98" t="s">
        <v>138</v>
      </c>
      <c r="C45" s="99" t="s">
        <v>65</v>
      </c>
      <c r="D45" s="100" t="s">
        <v>139</v>
      </c>
      <c r="E45" s="134"/>
      <c r="F45" s="89">
        <v>1654.04</v>
      </c>
      <c r="G45" s="154">
        <v>1313.31</v>
      </c>
      <c r="H45" s="34"/>
      <c r="J45" s="27"/>
      <c r="K45" s="28"/>
      <c r="L45" s="29"/>
    </row>
    <row r="46" spans="1:12" ht="16.5" customHeight="1">
      <c r="A46" s="138">
        <v>15</v>
      </c>
      <c r="B46" s="98" t="s">
        <v>192</v>
      </c>
      <c r="C46" s="99" t="s">
        <v>158</v>
      </c>
      <c r="D46" s="100" t="s">
        <v>189</v>
      </c>
      <c r="E46" s="134"/>
      <c r="F46" s="103">
        <v>1654.04</v>
      </c>
      <c r="G46" s="154">
        <v>690.23</v>
      </c>
      <c r="H46" s="34"/>
      <c r="J46" s="27"/>
      <c r="K46" s="28"/>
      <c r="L46" s="29"/>
    </row>
    <row r="47" spans="1:12" ht="20.25" customHeight="1">
      <c r="A47" s="87"/>
      <c r="B47" s="105" t="s">
        <v>55</v>
      </c>
      <c r="C47" s="145"/>
      <c r="D47" s="145"/>
      <c r="E47" s="91"/>
      <c r="F47" s="146"/>
      <c r="G47" s="135"/>
      <c r="H47" s="34"/>
      <c r="J47" s="27"/>
      <c r="K47" s="28"/>
      <c r="L47" s="29"/>
    </row>
    <row r="48" spans="1:12" ht="19.5" customHeight="1">
      <c r="A48" s="87">
        <v>16</v>
      </c>
      <c r="B48" s="150" t="s">
        <v>142</v>
      </c>
      <c r="C48" s="97" t="s">
        <v>67</v>
      </c>
      <c r="D48" s="91" t="s">
        <v>35</v>
      </c>
      <c r="E48" s="91" t="e">
        <f>#REF!+#REF!+#REF!+#REF!+#REF!+#REF!+'12.16'!E51+#REF!+#REF!+#REF!+#REF!+#REF!</f>
        <v>#REF!</v>
      </c>
      <c r="F48" s="91">
        <v>2.6</v>
      </c>
      <c r="G48" s="91">
        <v>529.1</v>
      </c>
      <c r="H48" s="34"/>
      <c r="J48" s="27"/>
      <c r="K48" s="28"/>
      <c r="L48" s="29"/>
    </row>
    <row r="49" spans="1:12" ht="20.25" customHeight="1">
      <c r="A49" s="141"/>
      <c r="B49" s="153" t="s">
        <v>89</v>
      </c>
      <c r="C49" s="112"/>
      <c r="D49" s="112"/>
      <c r="E49" s="91"/>
      <c r="F49" s="91"/>
      <c r="G49" s="91"/>
      <c r="H49" s="34"/>
      <c r="J49" s="27"/>
      <c r="K49" s="28"/>
      <c r="L49" s="29"/>
    </row>
    <row r="50" spans="1:12" ht="21.75" customHeight="1">
      <c r="A50" s="138">
        <v>17</v>
      </c>
      <c r="B50" s="110" t="s">
        <v>90</v>
      </c>
      <c r="C50" s="109" t="s">
        <v>92</v>
      </c>
      <c r="D50" s="150"/>
      <c r="E50" s="150" t="e">
        <f>#REF!+#REF!+#REF!+#REF!+#REF!+#REF!+'12.16'!E60+#REF!+#REF!+#REF!+#REF!+#REF!</f>
        <v>#REF!</v>
      </c>
      <c r="F50" s="91">
        <v>536.23</v>
      </c>
      <c r="G50" s="91">
        <v>160.87</v>
      </c>
      <c r="H50" s="34"/>
      <c r="J50" s="27"/>
      <c r="K50" s="28"/>
      <c r="L50" s="29"/>
    </row>
    <row r="51" spans="1:12" ht="20.25" customHeight="1">
      <c r="A51" s="138"/>
      <c r="B51" s="284" t="s">
        <v>127</v>
      </c>
      <c r="C51" s="285"/>
      <c r="D51" s="285"/>
      <c r="E51" s="285"/>
      <c r="F51" s="285"/>
      <c r="G51" s="286"/>
      <c r="H51" s="34"/>
      <c r="J51" s="27"/>
      <c r="K51" s="28"/>
      <c r="L51" s="29"/>
    </row>
    <row r="52" spans="1:12" ht="18.75" customHeight="1">
      <c r="A52" s="138">
        <v>18</v>
      </c>
      <c r="B52" s="151" t="s">
        <v>99</v>
      </c>
      <c r="C52" s="97" t="s">
        <v>67</v>
      </c>
      <c r="D52" s="152" t="s">
        <v>68</v>
      </c>
      <c r="E52" s="150" t="e">
        <f>#REF!+#REF!+#REF!+#REF!+#REF!+#REF!+'12.16'!E64+#REF!+#REF!+#REF!+#REF!+#REF!</f>
        <v>#REF!</v>
      </c>
      <c r="F52" s="152">
        <v>2.2400000000000002</v>
      </c>
      <c r="G52" s="91">
        <v>8805.44</v>
      </c>
      <c r="H52" s="31">
        <f>G50+G52</f>
        <v>8966.3100000000013</v>
      </c>
      <c r="J52" s="27">
        <f>6846.6/3934.8/12</f>
        <v>0.14500101657009251</v>
      </c>
      <c r="K52" s="28"/>
      <c r="L52" s="29"/>
    </row>
    <row r="53" spans="1:12" ht="47.25">
      <c r="A53" s="89">
        <v>19</v>
      </c>
      <c r="B53" s="110" t="s">
        <v>95</v>
      </c>
      <c r="C53" s="95" t="s">
        <v>67</v>
      </c>
      <c r="D53" s="89" t="s">
        <v>68</v>
      </c>
      <c r="E53" s="93"/>
      <c r="F53" s="103">
        <v>1.74</v>
      </c>
      <c r="G53" s="97">
        <v>6839.94</v>
      </c>
      <c r="H53" s="32">
        <f>H21+H30+H42+H52</f>
        <v>8966.3100000000013</v>
      </c>
      <c r="J53" s="45"/>
    </row>
    <row r="54" spans="1:12" ht="15.75">
      <c r="A54" s="92"/>
      <c r="B54" s="111" t="s">
        <v>101</v>
      </c>
      <c r="C54" s="87"/>
      <c r="D54" s="93"/>
      <c r="E54" s="93"/>
      <c r="F54" s="91"/>
      <c r="G54" s="112">
        <f>SUM(G16+G17+G18+G19+G20+G23+G24+G25+G26+G27+G28+G29+G44+G45+G46+G48+G50+G52+G53)</f>
        <v>63843.66</v>
      </c>
    </row>
    <row r="55" spans="1:12" ht="29.25" customHeight="1">
      <c r="A55" s="138"/>
      <c r="B55" s="139" t="s">
        <v>74</v>
      </c>
      <c r="C55" s="139"/>
      <c r="D55" s="139"/>
      <c r="E55" s="93"/>
      <c r="F55" s="91"/>
      <c r="G55" s="91"/>
    </row>
    <row r="56" spans="1:12" ht="31.5" hidden="1">
      <c r="A56" s="138"/>
      <c r="B56" s="113" t="s">
        <v>106</v>
      </c>
      <c r="C56" s="89" t="s">
        <v>36</v>
      </c>
      <c r="D56" s="139"/>
      <c r="E56" s="93"/>
      <c r="F56" s="91">
        <v>180.15</v>
      </c>
      <c r="G56" s="91">
        <v>180.15</v>
      </c>
    </row>
    <row r="57" spans="1:12" ht="31.5" hidden="1">
      <c r="A57" s="138"/>
      <c r="B57" s="113" t="s">
        <v>130</v>
      </c>
      <c r="C57" s="89" t="s">
        <v>36</v>
      </c>
      <c r="D57" s="139"/>
      <c r="E57" s="93"/>
      <c r="F57" s="91">
        <v>559.62</v>
      </c>
      <c r="G57" s="91">
        <v>559.62</v>
      </c>
    </row>
    <row r="58" spans="1:12" ht="47.25" hidden="1">
      <c r="A58" s="138"/>
      <c r="B58" s="113" t="s">
        <v>131</v>
      </c>
      <c r="C58" s="89" t="s">
        <v>103</v>
      </c>
      <c r="D58" s="139"/>
      <c r="E58" s="93"/>
      <c r="F58" s="91">
        <v>1146</v>
      </c>
      <c r="G58" s="91">
        <v>802.2</v>
      </c>
    </row>
    <row r="59" spans="1:12" ht="31.5" hidden="1">
      <c r="A59" s="138"/>
      <c r="B59" s="113" t="s">
        <v>100</v>
      </c>
      <c r="C59" s="89" t="s">
        <v>36</v>
      </c>
      <c r="D59" s="139"/>
      <c r="E59" s="93"/>
      <c r="F59" s="91">
        <v>79.09</v>
      </c>
      <c r="G59" s="91">
        <v>79.09</v>
      </c>
    </row>
    <row r="60" spans="1:12" ht="15.75">
      <c r="A60" s="138">
        <v>20</v>
      </c>
      <c r="B60" s="155" t="s">
        <v>144</v>
      </c>
      <c r="C60" s="156" t="s">
        <v>145</v>
      </c>
      <c r="D60" s="139"/>
      <c r="E60" s="93"/>
      <c r="F60" s="103">
        <v>1063.47</v>
      </c>
      <c r="G60" s="91">
        <v>1063.47</v>
      </c>
    </row>
    <row r="61" spans="1:12" ht="15.75">
      <c r="A61" s="138">
        <v>21</v>
      </c>
      <c r="B61" s="124" t="s">
        <v>113</v>
      </c>
      <c r="C61" s="157" t="s">
        <v>92</v>
      </c>
      <c r="D61" s="139"/>
      <c r="E61" s="93"/>
      <c r="F61" s="103">
        <v>3800</v>
      </c>
      <c r="G61" s="91">
        <v>760</v>
      </c>
    </row>
    <row r="62" spans="1:12" ht="31.5">
      <c r="A62" s="138">
        <v>22</v>
      </c>
      <c r="B62" s="113" t="s">
        <v>106</v>
      </c>
      <c r="C62" s="158" t="s">
        <v>140</v>
      </c>
      <c r="D62" s="139"/>
      <c r="E62" s="93"/>
      <c r="F62" s="103">
        <v>180.15</v>
      </c>
      <c r="G62" s="91">
        <v>540.45000000000005</v>
      </c>
    </row>
    <row r="63" spans="1:12" ht="15.75">
      <c r="A63" s="138">
        <v>23</v>
      </c>
      <c r="B63" s="98" t="s">
        <v>141</v>
      </c>
      <c r="C63" s="99" t="s">
        <v>140</v>
      </c>
      <c r="D63" s="139"/>
      <c r="E63" s="93"/>
      <c r="F63" s="97">
        <v>175.6</v>
      </c>
      <c r="G63" s="194">
        <v>175.6</v>
      </c>
    </row>
    <row r="64" spans="1:12" ht="15.75">
      <c r="A64" s="138">
        <v>24</v>
      </c>
      <c r="B64" s="132" t="s">
        <v>114</v>
      </c>
      <c r="C64" s="148" t="s">
        <v>140</v>
      </c>
      <c r="D64" s="139"/>
      <c r="E64" s="93"/>
      <c r="F64" s="103">
        <v>179.96</v>
      </c>
      <c r="G64" s="194">
        <v>179.96</v>
      </c>
    </row>
    <row r="65" spans="1:20" ht="16.5" customHeight="1">
      <c r="A65" s="138">
        <v>25</v>
      </c>
      <c r="B65" s="113" t="s">
        <v>242</v>
      </c>
      <c r="C65" s="149" t="s">
        <v>140</v>
      </c>
      <c r="D65" s="139"/>
      <c r="E65" s="93"/>
      <c r="F65" s="103">
        <v>50</v>
      </c>
      <c r="G65" s="103">
        <v>50</v>
      </c>
    </row>
    <row r="66" spans="1:20" ht="15.75">
      <c r="A66" s="138">
        <v>26</v>
      </c>
      <c r="B66" s="115" t="s">
        <v>241</v>
      </c>
      <c r="C66" s="149" t="s">
        <v>140</v>
      </c>
      <c r="D66" s="139"/>
      <c r="E66" s="93"/>
      <c r="F66" s="103">
        <v>27.36</v>
      </c>
      <c r="G66" s="103">
        <v>27.36</v>
      </c>
    </row>
    <row r="67" spans="1:20" ht="15.75">
      <c r="A67" s="138">
        <v>27</v>
      </c>
      <c r="B67" s="113" t="s">
        <v>243</v>
      </c>
      <c r="C67" s="149" t="s">
        <v>140</v>
      </c>
      <c r="D67" s="139"/>
      <c r="E67" s="93"/>
      <c r="F67" s="103">
        <v>112</v>
      </c>
      <c r="G67" s="103">
        <v>112</v>
      </c>
    </row>
    <row r="68" spans="1:20" ht="36.75" customHeight="1">
      <c r="A68" s="138">
        <v>28</v>
      </c>
      <c r="B68" s="113" t="s">
        <v>146</v>
      </c>
      <c r="C68" s="148" t="s">
        <v>103</v>
      </c>
      <c r="D68" s="139"/>
      <c r="E68" s="93"/>
      <c r="F68" s="103">
        <v>1206</v>
      </c>
      <c r="G68" s="91">
        <v>9648</v>
      </c>
    </row>
    <row r="69" spans="1:20" ht="17.25" customHeight="1">
      <c r="A69" s="138">
        <v>29</v>
      </c>
      <c r="B69" s="115" t="s">
        <v>147</v>
      </c>
      <c r="C69" s="87" t="s">
        <v>148</v>
      </c>
      <c r="D69" s="139"/>
      <c r="E69" s="93"/>
      <c r="F69" s="103">
        <v>19775.830000000002</v>
      </c>
      <c r="G69" s="91">
        <v>395.52</v>
      </c>
    </row>
    <row r="70" spans="1:20" ht="0.75" customHeight="1">
      <c r="A70" s="138">
        <v>27</v>
      </c>
      <c r="B70" s="113" t="s">
        <v>149</v>
      </c>
      <c r="C70" s="159" t="s">
        <v>150</v>
      </c>
      <c r="D70" s="139"/>
      <c r="E70" s="93"/>
      <c r="F70" s="103">
        <v>2041.36</v>
      </c>
      <c r="G70" s="91">
        <v>2041.36</v>
      </c>
    </row>
    <row r="71" spans="1:20" ht="21.75" hidden="1" customHeight="1">
      <c r="A71" s="138">
        <v>28</v>
      </c>
      <c r="B71" s="132" t="s">
        <v>151</v>
      </c>
      <c r="C71" s="159" t="s">
        <v>140</v>
      </c>
      <c r="D71" s="139"/>
      <c r="E71" s="93"/>
      <c r="F71" s="103">
        <v>154.51</v>
      </c>
      <c r="G71" s="91">
        <v>309.02</v>
      </c>
    </row>
    <row r="72" spans="1:20" ht="20.25" hidden="1" customHeight="1">
      <c r="A72" s="195">
        <v>29</v>
      </c>
      <c r="B72" s="124" t="s">
        <v>152</v>
      </c>
      <c r="C72" s="157" t="s">
        <v>92</v>
      </c>
      <c r="D72" s="139"/>
      <c r="E72" s="93"/>
      <c r="F72" s="103">
        <v>3800</v>
      </c>
      <c r="G72" s="91">
        <v>760</v>
      </c>
    </row>
    <row r="73" spans="1:20" ht="18" customHeight="1">
      <c r="A73" s="89"/>
      <c r="B73" s="147" t="s">
        <v>63</v>
      </c>
      <c r="C73" s="116"/>
      <c r="D73" s="117"/>
      <c r="E73" s="116">
        <v>1</v>
      </c>
      <c r="F73" s="116"/>
      <c r="G73" s="112">
        <f>SUM(G60:G72)</f>
        <v>16062.740000000002</v>
      </c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9"/>
    </row>
    <row r="74" spans="1:20" ht="15.75" customHeight="1">
      <c r="A74" s="89"/>
      <c r="B74" s="123" t="s">
        <v>96</v>
      </c>
      <c r="C74" s="93"/>
      <c r="D74" s="93"/>
      <c r="E74" s="118"/>
      <c r="F74" s="119"/>
      <c r="G74" s="120">
        <v>0</v>
      </c>
      <c r="H74" s="39"/>
      <c r="I74" s="39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1:20" ht="15.75">
      <c r="A75" s="30"/>
      <c r="B75" s="121" t="s">
        <v>64</v>
      </c>
      <c r="C75" s="107"/>
      <c r="D75" s="107"/>
      <c r="E75" s="107"/>
      <c r="F75" s="107"/>
      <c r="G75" s="122">
        <f>G54+G73</f>
        <v>79906.400000000009</v>
      </c>
      <c r="H75" s="5"/>
      <c r="I75" s="5"/>
      <c r="J75" s="5"/>
      <c r="K75" s="5"/>
      <c r="L75" s="5"/>
      <c r="M75" s="5"/>
      <c r="N75" s="5"/>
      <c r="O75" s="5"/>
      <c r="P75" s="270"/>
      <c r="Q75" s="270"/>
      <c r="R75" s="270"/>
      <c r="S75" s="270"/>
    </row>
    <row r="76" spans="1:20" ht="15.75">
      <c r="A76" s="258" t="s">
        <v>281</v>
      </c>
      <c r="B76" s="258"/>
      <c r="C76" s="258"/>
      <c r="D76" s="258"/>
      <c r="E76" s="258"/>
      <c r="F76" s="258"/>
      <c r="G76" s="258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</row>
    <row r="77" spans="1:20" ht="15.75">
      <c r="A77" s="10"/>
      <c r="B77" s="278" t="s">
        <v>282</v>
      </c>
      <c r="C77" s="278"/>
      <c r="D77" s="278"/>
      <c r="E77" s="278"/>
      <c r="F77" s="278"/>
      <c r="G77" s="3"/>
    </row>
    <row r="78" spans="1:20" ht="15.75">
      <c r="A78" s="41"/>
      <c r="B78" s="279" t="s">
        <v>6</v>
      </c>
      <c r="C78" s="279"/>
      <c r="D78" s="279"/>
      <c r="E78" s="279"/>
      <c r="F78" s="279"/>
      <c r="G78" s="5"/>
    </row>
    <row r="79" spans="1:20">
      <c r="A79" s="11"/>
      <c r="B79" s="11"/>
      <c r="C79" s="11"/>
      <c r="D79" s="11"/>
      <c r="E79" s="11"/>
      <c r="F79" s="11"/>
      <c r="G79" s="11"/>
    </row>
    <row r="80" spans="1:20" ht="14.25" customHeight="1">
      <c r="A80" s="273" t="s">
        <v>7</v>
      </c>
      <c r="B80" s="273"/>
      <c r="C80" s="273"/>
      <c r="D80" s="273"/>
      <c r="E80" s="273"/>
      <c r="F80" s="273"/>
      <c r="G80" s="273"/>
    </row>
    <row r="81" spans="1:7" ht="15.75">
      <c r="A81" s="273" t="s">
        <v>8</v>
      </c>
      <c r="B81" s="273"/>
      <c r="C81" s="273"/>
      <c r="D81" s="273"/>
      <c r="E81" s="273"/>
      <c r="F81" s="273"/>
      <c r="G81" s="273"/>
    </row>
    <row r="82" spans="1:7" ht="15.75">
      <c r="A82" s="258" t="s">
        <v>9</v>
      </c>
      <c r="B82" s="258"/>
      <c r="C82" s="258"/>
      <c r="D82" s="258"/>
      <c r="E82" s="258"/>
      <c r="F82" s="258"/>
      <c r="G82" s="258"/>
    </row>
    <row r="83" spans="1:7" ht="15.75">
      <c r="A83" s="12"/>
    </row>
    <row r="84" spans="1:7" ht="15.75">
      <c r="A84" s="259" t="s">
        <v>10</v>
      </c>
      <c r="B84" s="259"/>
      <c r="C84" s="259"/>
      <c r="D84" s="259"/>
      <c r="E84" s="259"/>
      <c r="F84" s="259"/>
      <c r="G84" s="259"/>
    </row>
    <row r="85" spans="1:7" ht="15.75">
      <c r="A85" s="4"/>
    </row>
    <row r="86" spans="1:7" ht="15.75">
      <c r="A86" s="258" t="s">
        <v>11</v>
      </c>
      <c r="B86" s="258"/>
      <c r="C86" s="280" t="s">
        <v>132</v>
      </c>
      <c r="D86" s="280"/>
      <c r="E86" s="280"/>
      <c r="G86" s="36"/>
    </row>
    <row r="87" spans="1:7">
      <c r="A87" s="41"/>
      <c r="C87" s="268" t="s">
        <v>12</v>
      </c>
      <c r="D87" s="268"/>
      <c r="E87" s="268"/>
      <c r="G87" s="37" t="s">
        <v>13</v>
      </c>
    </row>
    <row r="88" spans="1:7" ht="15.75">
      <c r="A88" s="39"/>
      <c r="C88" s="13"/>
      <c r="D88" s="13"/>
      <c r="F88" s="13"/>
    </row>
    <row r="89" spans="1:7" ht="15.75">
      <c r="A89" s="258" t="s">
        <v>14</v>
      </c>
      <c r="B89" s="258"/>
      <c r="C89" s="269"/>
      <c r="D89" s="269"/>
      <c r="E89" s="269"/>
      <c r="G89" s="36"/>
    </row>
    <row r="90" spans="1:7" ht="45" customHeight="1">
      <c r="A90" s="41"/>
      <c r="C90" s="270" t="s">
        <v>12</v>
      </c>
      <c r="D90" s="270"/>
      <c r="E90" s="270"/>
      <c r="G90" s="37" t="s">
        <v>13</v>
      </c>
    </row>
    <row r="91" spans="1:7" ht="28.5" customHeight="1">
      <c r="A91" s="4" t="s">
        <v>15</v>
      </c>
    </row>
    <row r="92" spans="1:7" ht="27" customHeight="1">
      <c r="A92" s="271" t="s">
        <v>16</v>
      </c>
      <c r="B92" s="271"/>
      <c r="C92" s="271"/>
      <c r="D92" s="271"/>
      <c r="E92" s="271"/>
      <c r="F92" s="271"/>
      <c r="G92" s="271"/>
    </row>
    <row r="93" spans="1:7" ht="15" customHeight="1">
      <c r="A93" s="266" t="s">
        <v>17</v>
      </c>
      <c r="B93" s="266"/>
      <c r="C93" s="266"/>
      <c r="D93" s="266"/>
      <c r="E93" s="266"/>
      <c r="F93" s="266"/>
      <c r="G93" s="266"/>
    </row>
    <row r="94" spans="1:7" ht="15.75">
      <c r="A94" s="266" t="s">
        <v>18</v>
      </c>
      <c r="B94" s="266"/>
      <c r="C94" s="266"/>
      <c r="D94" s="266"/>
      <c r="E94" s="266"/>
      <c r="F94" s="266"/>
      <c r="G94" s="266"/>
    </row>
    <row r="95" spans="1:7" ht="27.75" customHeight="1">
      <c r="A95" s="266" t="s">
        <v>23</v>
      </c>
      <c r="B95" s="266"/>
      <c r="C95" s="266"/>
      <c r="D95" s="266"/>
      <c r="E95" s="266"/>
      <c r="F95" s="266"/>
      <c r="G95" s="266"/>
    </row>
    <row r="96" spans="1:7" ht="15.75">
      <c r="A96" s="266" t="s">
        <v>22</v>
      </c>
      <c r="B96" s="266"/>
      <c r="C96" s="266"/>
      <c r="D96" s="266"/>
      <c r="E96" s="266"/>
      <c r="F96" s="266"/>
      <c r="G96" s="266"/>
    </row>
    <row r="98" spans="1:6">
      <c r="A98" s="14" t="s">
        <v>21</v>
      </c>
      <c r="B98" s="14"/>
      <c r="C98" s="14"/>
      <c r="D98" s="14"/>
      <c r="E98" s="14"/>
      <c r="F98" s="14"/>
    </row>
  </sheetData>
  <autoFilter ref="G13:G74"/>
  <mergeCells count="29">
    <mergeCell ref="A92:G92"/>
    <mergeCell ref="A93:G93"/>
    <mergeCell ref="A94:G94"/>
    <mergeCell ref="A95:G95"/>
    <mergeCell ref="A96:G96"/>
    <mergeCell ref="A15:G15"/>
    <mergeCell ref="A21:G21"/>
    <mergeCell ref="B30:G30"/>
    <mergeCell ref="B42:G42"/>
    <mergeCell ref="B51:G51"/>
    <mergeCell ref="C87:E87"/>
    <mergeCell ref="A89:B89"/>
    <mergeCell ref="C89:E89"/>
    <mergeCell ref="C90:E90"/>
    <mergeCell ref="B78:F78"/>
    <mergeCell ref="A86:B86"/>
    <mergeCell ref="C86:E86"/>
    <mergeCell ref="P75:S75"/>
    <mergeCell ref="A80:G80"/>
    <mergeCell ref="A81:G81"/>
    <mergeCell ref="A82:G82"/>
    <mergeCell ref="A84:G84"/>
    <mergeCell ref="B77:F77"/>
    <mergeCell ref="A76:G76"/>
    <mergeCell ref="A4:G4"/>
    <mergeCell ref="A5:G5"/>
    <mergeCell ref="B6:F6"/>
    <mergeCell ref="A9:G9"/>
    <mergeCell ref="A11:G11"/>
  </mergeCells>
  <pageMargins left="0.70866141732283472" right="0.23622047244094491" top="0.27559055118110237" bottom="0.27559055118110237" header="0.31496062992125984" footer="0.31496062992125984"/>
  <pageSetup paperSize="9" scale="72" orientation="portrait" r:id="rId1"/>
  <colBreaks count="1" manualBreakCount="1">
    <brk id="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T115"/>
  <sheetViews>
    <sheetView workbookViewId="0">
      <selection activeCell="A8" sqref="A8:G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7" width="22.5703125" customWidth="1"/>
    <col min="8" max="8" width="11.140625" customWidth="1"/>
  </cols>
  <sheetData>
    <row r="1" spans="1:11" ht="15.75" customHeight="1">
      <c r="A1" s="43" t="s">
        <v>120</v>
      </c>
      <c r="G1" s="42"/>
      <c r="H1" s="1"/>
      <c r="I1" s="1"/>
      <c r="J1" s="1"/>
      <c r="K1" s="1"/>
    </row>
    <row r="2" spans="1:11" ht="15.75" customHeight="1">
      <c r="A2" s="44" t="s">
        <v>79</v>
      </c>
      <c r="H2" s="2"/>
      <c r="I2" s="2"/>
      <c r="J2" s="2"/>
      <c r="K2" s="2"/>
    </row>
    <row r="3" spans="1:11" ht="15.75" customHeight="1">
      <c r="A3" s="253" t="s">
        <v>156</v>
      </c>
      <c r="B3" s="253"/>
      <c r="C3" s="253"/>
      <c r="D3" s="253"/>
      <c r="E3" s="253"/>
      <c r="F3" s="253"/>
      <c r="G3" s="253"/>
      <c r="H3" s="3"/>
      <c r="I3" s="3"/>
      <c r="J3" s="3"/>
    </row>
    <row r="4" spans="1:11" ht="31.5" customHeight="1">
      <c r="A4" s="254" t="s">
        <v>204</v>
      </c>
      <c r="B4" s="254"/>
      <c r="C4" s="254"/>
      <c r="D4" s="254"/>
      <c r="E4" s="254"/>
      <c r="F4" s="254"/>
      <c r="G4" s="254"/>
    </row>
    <row r="5" spans="1:11" ht="15.75">
      <c r="A5" s="253" t="s">
        <v>157</v>
      </c>
      <c r="B5" s="255"/>
      <c r="C5" s="255"/>
      <c r="D5" s="255"/>
      <c r="E5" s="255"/>
      <c r="F5" s="255"/>
      <c r="G5" s="255"/>
      <c r="H5" s="2"/>
      <c r="I5" s="2"/>
      <c r="J5" s="2"/>
      <c r="K5" s="2"/>
    </row>
    <row r="6" spans="1:11" ht="15.75">
      <c r="A6" s="2"/>
      <c r="B6" s="164"/>
      <c r="C6" s="164"/>
      <c r="D6" s="164"/>
      <c r="E6" s="164"/>
      <c r="F6" s="164"/>
      <c r="G6" s="52">
        <v>42735</v>
      </c>
      <c r="H6" s="2"/>
      <c r="I6" s="2"/>
      <c r="J6" s="2"/>
      <c r="K6" s="2"/>
    </row>
    <row r="7" spans="1:11" ht="15.75">
      <c r="B7" s="161"/>
      <c r="C7" s="161"/>
      <c r="D7" s="161"/>
      <c r="E7" s="3"/>
      <c r="F7" s="3"/>
      <c r="H7" s="3"/>
      <c r="I7" s="3"/>
      <c r="J7" s="3"/>
      <c r="K7" s="3"/>
    </row>
    <row r="8" spans="1:11" ht="78.75" customHeight="1">
      <c r="A8" s="256" t="s">
        <v>283</v>
      </c>
      <c r="B8" s="256"/>
      <c r="C8" s="256"/>
      <c r="D8" s="256"/>
      <c r="E8" s="256"/>
      <c r="F8" s="256"/>
      <c r="G8" s="256"/>
      <c r="H8" s="294"/>
      <c r="I8" s="294"/>
      <c r="J8" s="5"/>
      <c r="K8" s="5"/>
    </row>
    <row r="9" spans="1:11" ht="15.75">
      <c r="A9" s="4"/>
      <c r="H9" s="2"/>
      <c r="I9" s="2"/>
      <c r="J9" s="2"/>
      <c r="K9" s="2"/>
    </row>
    <row r="10" spans="1:11" ht="47.25" customHeight="1">
      <c r="A10" s="257" t="s">
        <v>205</v>
      </c>
      <c r="B10" s="257"/>
      <c r="C10" s="257"/>
      <c r="D10" s="257"/>
      <c r="E10" s="257"/>
      <c r="F10" s="257"/>
      <c r="G10" s="257"/>
      <c r="H10" s="2"/>
      <c r="I10" s="2"/>
      <c r="J10" s="2"/>
      <c r="K10" s="2"/>
    </row>
    <row r="11" spans="1:11" ht="15.75">
      <c r="A11" s="4"/>
    </row>
    <row r="12" spans="1:11" ht="51">
      <c r="A12" s="6" t="s">
        <v>0</v>
      </c>
      <c r="B12" s="6" t="s">
        <v>1</v>
      </c>
      <c r="C12" s="6" t="s">
        <v>2</v>
      </c>
      <c r="D12" s="6" t="s">
        <v>19</v>
      </c>
      <c r="E12" s="6" t="s">
        <v>20</v>
      </c>
      <c r="F12" s="6" t="s">
        <v>24</v>
      </c>
      <c r="G12" s="6" t="s">
        <v>3</v>
      </c>
    </row>
    <row r="13" spans="1:1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>
        <v>5</v>
      </c>
      <c r="G13" s="7">
        <v>6</v>
      </c>
      <c r="H13" s="8"/>
      <c r="I13" s="8"/>
      <c r="J13" s="8"/>
      <c r="K13" s="8"/>
    </row>
    <row r="14" spans="1:11" ht="15" customHeight="1">
      <c r="A14" s="252" t="s">
        <v>73</v>
      </c>
      <c r="B14" s="252"/>
      <c r="C14" s="252"/>
      <c r="D14" s="252"/>
      <c r="E14" s="252"/>
      <c r="F14" s="252"/>
      <c r="G14" s="252"/>
      <c r="H14" s="8"/>
      <c r="I14" s="8"/>
      <c r="J14" s="8"/>
      <c r="K14" s="8"/>
    </row>
    <row r="15" spans="1:11">
      <c r="A15" s="252" t="s">
        <v>4</v>
      </c>
      <c r="B15" s="252"/>
      <c r="C15" s="252"/>
      <c r="D15" s="252"/>
      <c r="E15" s="252"/>
      <c r="F15" s="252"/>
      <c r="G15" s="252"/>
      <c r="H15" s="8"/>
      <c r="I15" s="8"/>
      <c r="J15" s="8"/>
      <c r="K15" s="8"/>
    </row>
    <row r="16" spans="1:11" ht="31.5" customHeight="1">
      <c r="A16" s="48">
        <v>1</v>
      </c>
      <c r="B16" s="60" t="s">
        <v>122</v>
      </c>
      <c r="C16" s="74" t="s">
        <v>158</v>
      </c>
      <c r="D16" s="60" t="s">
        <v>159</v>
      </c>
      <c r="E16" s="166"/>
      <c r="F16" s="59">
        <v>187.48</v>
      </c>
      <c r="G16" s="167">
        <v>2316.35</v>
      </c>
      <c r="H16" s="8"/>
      <c r="I16" s="8"/>
      <c r="J16" s="8"/>
      <c r="K16" s="8"/>
    </row>
    <row r="17" spans="1:11" ht="31.5" customHeight="1">
      <c r="A17" s="48">
        <v>2</v>
      </c>
      <c r="B17" s="60" t="s">
        <v>154</v>
      </c>
      <c r="C17" s="74" t="s">
        <v>158</v>
      </c>
      <c r="D17" s="60" t="s">
        <v>160</v>
      </c>
      <c r="E17" s="166"/>
      <c r="F17" s="59">
        <v>187.48</v>
      </c>
      <c r="G17" s="167">
        <v>6176.94</v>
      </c>
      <c r="H17" s="33"/>
      <c r="I17" s="8"/>
      <c r="J17" s="8"/>
      <c r="K17" s="8"/>
    </row>
    <row r="18" spans="1:11" ht="31.5" customHeight="1">
      <c r="A18" s="48">
        <v>3</v>
      </c>
      <c r="B18" s="60" t="s">
        <v>155</v>
      </c>
      <c r="C18" s="74" t="s">
        <v>158</v>
      </c>
      <c r="D18" s="60" t="s">
        <v>206</v>
      </c>
      <c r="E18" s="166"/>
      <c r="F18" s="59">
        <v>539.30999999999995</v>
      </c>
      <c r="G18" s="167">
        <v>5125.6000000000004</v>
      </c>
      <c r="H18" s="33"/>
      <c r="I18" s="8"/>
      <c r="J18" s="8"/>
      <c r="K18" s="8"/>
    </row>
    <row r="19" spans="1:11" ht="15.75" hidden="1" customHeight="1">
      <c r="A19" s="48"/>
      <c r="B19" s="60" t="s">
        <v>161</v>
      </c>
      <c r="C19" s="74" t="s">
        <v>162</v>
      </c>
      <c r="D19" s="60" t="s">
        <v>163</v>
      </c>
      <c r="E19" s="166"/>
      <c r="F19" s="59">
        <v>181.9</v>
      </c>
      <c r="G19" s="167">
        <v>0</v>
      </c>
      <c r="H19" s="33"/>
      <c r="I19" s="8"/>
      <c r="J19" s="8"/>
      <c r="K19" s="8"/>
    </row>
    <row r="20" spans="1:11" ht="15.75" hidden="1" customHeight="1">
      <c r="A20" s="48">
        <v>4</v>
      </c>
      <c r="B20" s="60" t="s">
        <v>164</v>
      </c>
      <c r="C20" s="74" t="s">
        <v>158</v>
      </c>
      <c r="D20" s="60" t="s">
        <v>53</v>
      </c>
      <c r="E20" s="166"/>
      <c r="F20" s="59">
        <v>232.91</v>
      </c>
      <c r="G20" s="167">
        <v>0</v>
      </c>
      <c r="H20" s="33"/>
      <c r="I20" s="8"/>
      <c r="J20" s="8"/>
      <c r="K20" s="8"/>
    </row>
    <row r="21" spans="1:11" ht="15.75" hidden="1" customHeight="1">
      <c r="A21" s="48">
        <v>5</v>
      </c>
      <c r="B21" s="60" t="s">
        <v>165</v>
      </c>
      <c r="C21" s="74" t="s">
        <v>158</v>
      </c>
      <c r="D21" s="60" t="s">
        <v>53</v>
      </c>
      <c r="E21" s="166"/>
      <c r="F21" s="59">
        <v>231.03</v>
      </c>
      <c r="G21" s="167">
        <v>0</v>
      </c>
      <c r="H21" s="33"/>
      <c r="I21" s="8"/>
      <c r="J21" s="8"/>
      <c r="K21" s="8"/>
    </row>
    <row r="22" spans="1:11" ht="15.75" hidden="1" customHeight="1">
      <c r="A22" s="48"/>
      <c r="B22" s="60" t="s">
        <v>166</v>
      </c>
      <c r="C22" s="74" t="s">
        <v>65</v>
      </c>
      <c r="D22" s="60" t="s">
        <v>163</v>
      </c>
      <c r="E22" s="166"/>
      <c r="F22" s="59">
        <v>287.83999999999997</v>
      </c>
      <c r="G22" s="167">
        <v>0</v>
      </c>
      <c r="H22" s="33"/>
      <c r="I22" s="8"/>
      <c r="J22" s="8"/>
      <c r="K22" s="8"/>
    </row>
    <row r="23" spans="1:11" ht="15.75" hidden="1" customHeight="1">
      <c r="A23" s="48"/>
      <c r="B23" s="60" t="s">
        <v>167</v>
      </c>
      <c r="C23" s="74" t="s">
        <v>65</v>
      </c>
      <c r="D23" s="60" t="s">
        <v>163</v>
      </c>
      <c r="E23" s="166"/>
      <c r="F23" s="59">
        <v>47.35</v>
      </c>
      <c r="G23" s="167">
        <v>0</v>
      </c>
      <c r="H23" s="33"/>
      <c r="I23" s="8"/>
      <c r="J23" s="8"/>
      <c r="K23" s="8"/>
    </row>
    <row r="24" spans="1:11" ht="15.75" hidden="1" customHeight="1">
      <c r="A24" s="48"/>
      <c r="B24" s="60" t="s">
        <v>168</v>
      </c>
      <c r="C24" s="74" t="s">
        <v>65</v>
      </c>
      <c r="D24" s="60" t="s">
        <v>163</v>
      </c>
      <c r="E24" s="166"/>
      <c r="F24" s="59">
        <v>556.74</v>
      </c>
      <c r="G24" s="167">
        <v>0</v>
      </c>
      <c r="H24" s="33"/>
      <c r="I24" s="8"/>
      <c r="J24" s="8"/>
      <c r="K24" s="8"/>
    </row>
    <row r="25" spans="1:11" ht="15.75" customHeight="1">
      <c r="A25" s="75">
        <v>4</v>
      </c>
      <c r="B25" s="60" t="s">
        <v>81</v>
      </c>
      <c r="C25" s="74" t="s">
        <v>38</v>
      </c>
      <c r="D25" s="60" t="s">
        <v>116</v>
      </c>
      <c r="E25" s="24"/>
      <c r="F25" s="59">
        <v>157.18</v>
      </c>
      <c r="G25" s="25">
        <v>478.09</v>
      </c>
      <c r="H25" s="33"/>
      <c r="I25" s="8"/>
      <c r="J25" s="8"/>
      <c r="K25" s="8"/>
    </row>
    <row r="26" spans="1:11" ht="15.75" customHeight="1">
      <c r="A26" s="75">
        <v>5</v>
      </c>
      <c r="B26" s="15" t="s">
        <v>25</v>
      </c>
      <c r="C26" s="16" t="s">
        <v>26</v>
      </c>
      <c r="D26" s="48"/>
      <c r="E26" s="24">
        <v>506.1</v>
      </c>
      <c r="F26" s="59">
        <v>5.33</v>
      </c>
      <c r="G26" s="25">
        <v>20952.23</v>
      </c>
      <c r="H26" s="33"/>
      <c r="I26" s="8"/>
      <c r="J26" s="8"/>
      <c r="K26" s="8"/>
    </row>
    <row r="27" spans="1:11" ht="16.5" customHeight="1">
      <c r="A27" s="252" t="s">
        <v>117</v>
      </c>
      <c r="B27" s="252"/>
      <c r="C27" s="252"/>
      <c r="D27" s="252"/>
      <c r="E27" s="252"/>
      <c r="F27" s="252"/>
      <c r="G27" s="252"/>
      <c r="H27" s="33"/>
      <c r="I27" s="8"/>
      <c r="J27" s="8"/>
      <c r="K27" s="8"/>
    </row>
    <row r="28" spans="1:11" ht="16.5" hidden="1" customHeight="1">
      <c r="A28" s="75"/>
      <c r="B28" s="85" t="s">
        <v>33</v>
      </c>
      <c r="C28" s="85"/>
      <c r="D28" s="85"/>
      <c r="E28" s="85"/>
      <c r="F28" s="85"/>
      <c r="G28" s="25"/>
      <c r="H28" s="33"/>
      <c r="I28" s="8"/>
      <c r="J28" s="8"/>
      <c r="K28" s="8"/>
    </row>
    <row r="29" spans="1:11" hidden="1">
      <c r="A29" s="75">
        <v>2</v>
      </c>
      <c r="B29" s="60" t="s">
        <v>169</v>
      </c>
      <c r="C29" s="74" t="s">
        <v>170</v>
      </c>
      <c r="D29" s="60" t="s">
        <v>171</v>
      </c>
      <c r="E29" s="19">
        <v>2.31</v>
      </c>
      <c r="F29" s="59">
        <v>166.65</v>
      </c>
      <c r="G29" s="18">
        <v>0</v>
      </c>
      <c r="H29" s="33"/>
      <c r="I29" s="8"/>
      <c r="J29" s="8"/>
      <c r="K29" s="8"/>
    </row>
    <row r="30" spans="1:11" ht="31.5" hidden="1" customHeight="1">
      <c r="A30" s="75">
        <v>3</v>
      </c>
      <c r="B30" s="60" t="s">
        <v>172</v>
      </c>
      <c r="C30" s="74" t="s">
        <v>170</v>
      </c>
      <c r="D30" s="60" t="s">
        <v>173</v>
      </c>
      <c r="E30" s="18">
        <f>0.0024*3*4.5</f>
        <v>3.2399999999999998E-2</v>
      </c>
      <c r="F30" s="59">
        <v>276.48</v>
      </c>
      <c r="G30" s="25">
        <v>0</v>
      </c>
      <c r="H30" s="33"/>
      <c r="I30" s="8"/>
      <c r="J30" s="8"/>
      <c r="K30" s="8"/>
    </row>
    <row r="31" spans="1:11" ht="15.75" hidden="1" customHeight="1">
      <c r="A31" s="75">
        <v>4</v>
      </c>
      <c r="B31" s="60" t="s">
        <v>32</v>
      </c>
      <c r="C31" s="74" t="s">
        <v>170</v>
      </c>
      <c r="D31" s="60" t="s">
        <v>66</v>
      </c>
      <c r="E31" s="23">
        <v>0</v>
      </c>
      <c r="F31" s="59">
        <v>3228.73</v>
      </c>
      <c r="G31" s="25">
        <v>0</v>
      </c>
      <c r="H31" s="33"/>
      <c r="I31" s="8"/>
      <c r="J31" s="8"/>
      <c r="K31" s="8"/>
    </row>
    <row r="32" spans="1:11" ht="15.75" hidden="1" customHeight="1">
      <c r="A32" s="75"/>
      <c r="B32" s="60" t="s">
        <v>174</v>
      </c>
      <c r="C32" s="74" t="s">
        <v>49</v>
      </c>
      <c r="D32" s="60" t="s">
        <v>80</v>
      </c>
      <c r="E32" s="23"/>
      <c r="F32" s="59">
        <v>1391.86</v>
      </c>
      <c r="G32" s="25">
        <v>0</v>
      </c>
      <c r="H32" s="33"/>
      <c r="I32" s="8"/>
      <c r="J32" s="8"/>
      <c r="K32" s="8"/>
    </row>
    <row r="33" spans="1:12" ht="15.75" hidden="1" customHeight="1">
      <c r="A33" s="75">
        <v>5</v>
      </c>
      <c r="B33" s="60" t="s">
        <v>175</v>
      </c>
      <c r="C33" s="74" t="s">
        <v>36</v>
      </c>
      <c r="D33" s="60" t="s">
        <v>80</v>
      </c>
      <c r="E33" s="23">
        <v>0</v>
      </c>
      <c r="F33" s="59">
        <v>60.6</v>
      </c>
      <c r="G33" s="25">
        <v>0</v>
      </c>
      <c r="H33" s="33"/>
      <c r="I33" s="8"/>
      <c r="J33" s="8"/>
      <c r="K33" s="8"/>
    </row>
    <row r="34" spans="1:12" ht="15.75" hidden="1" customHeight="1">
      <c r="A34" s="75">
        <v>4</v>
      </c>
      <c r="B34" s="60" t="s">
        <v>82</v>
      </c>
      <c r="C34" s="74" t="s">
        <v>38</v>
      </c>
      <c r="D34" s="60" t="s">
        <v>84</v>
      </c>
      <c r="E34" s="18">
        <v>3.75</v>
      </c>
      <c r="F34" s="59">
        <v>204.52</v>
      </c>
      <c r="G34" s="18">
        <v>0</v>
      </c>
      <c r="H34" s="33"/>
      <c r="I34" s="8"/>
    </row>
    <row r="35" spans="1:12" ht="15.75" hidden="1" customHeight="1">
      <c r="A35" s="48">
        <v>8</v>
      </c>
      <c r="B35" s="60" t="s">
        <v>83</v>
      </c>
      <c r="C35" s="74" t="s">
        <v>37</v>
      </c>
      <c r="D35" s="60" t="s">
        <v>84</v>
      </c>
      <c r="E35" s="18"/>
      <c r="F35" s="59">
        <v>1136.33</v>
      </c>
      <c r="G35" s="18">
        <v>0</v>
      </c>
      <c r="H35" s="34"/>
    </row>
    <row r="36" spans="1:12" ht="15.75" customHeight="1">
      <c r="A36" s="75"/>
      <c r="B36" s="83" t="s">
        <v>5</v>
      </c>
      <c r="C36" s="83"/>
      <c r="D36" s="83"/>
      <c r="E36" s="18"/>
      <c r="F36" s="19"/>
      <c r="G36" s="25"/>
      <c r="H36" s="34"/>
    </row>
    <row r="37" spans="1:12" ht="15.75" customHeight="1">
      <c r="A37" s="61">
        <v>6</v>
      </c>
      <c r="B37" s="62" t="s">
        <v>30</v>
      </c>
      <c r="C37" s="74" t="s">
        <v>37</v>
      </c>
      <c r="D37" s="60"/>
      <c r="E37" s="18">
        <v>0</v>
      </c>
      <c r="F37" s="59">
        <v>1632.6</v>
      </c>
      <c r="G37" s="18">
        <v>2176.8000000000002</v>
      </c>
      <c r="H37" s="34"/>
    </row>
    <row r="38" spans="1:12" ht="15.75" customHeight="1">
      <c r="A38" s="61">
        <v>7</v>
      </c>
      <c r="B38" s="62" t="s">
        <v>133</v>
      </c>
      <c r="C38" s="168" t="s">
        <v>34</v>
      </c>
      <c r="D38" s="60" t="s">
        <v>176</v>
      </c>
      <c r="E38" s="18">
        <v>0</v>
      </c>
      <c r="F38" s="59">
        <v>2247.8000000000002</v>
      </c>
      <c r="G38" s="18">
        <v>2073.0100000000002</v>
      </c>
      <c r="H38" s="34"/>
    </row>
    <row r="39" spans="1:12" ht="15.75" customHeight="1">
      <c r="A39" s="61">
        <v>8</v>
      </c>
      <c r="B39" s="62" t="s">
        <v>177</v>
      </c>
      <c r="C39" s="168" t="s">
        <v>34</v>
      </c>
      <c r="D39" s="60" t="s">
        <v>178</v>
      </c>
      <c r="E39" s="18">
        <v>0</v>
      </c>
      <c r="F39" s="59">
        <v>2247.8000000000002</v>
      </c>
      <c r="G39" s="18">
        <v>1000.61</v>
      </c>
      <c r="H39" s="34"/>
    </row>
    <row r="40" spans="1:12" ht="15.75" hidden="1" customHeight="1">
      <c r="A40" s="61">
        <v>11</v>
      </c>
      <c r="B40" s="60" t="s">
        <v>179</v>
      </c>
      <c r="C40" s="74" t="s">
        <v>180</v>
      </c>
      <c r="D40" s="60" t="s">
        <v>84</v>
      </c>
      <c r="E40" s="18">
        <v>0</v>
      </c>
      <c r="F40" s="59">
        <v>213.2</v>
      </c>
      <c r="G40" s="18">
        <v>0</v>
      </c>
      <c r="H40" s="34"/>
    </row>
    <row r="41" spans="1:12" ht="15.75" customHeight="1">
      <c r="A41" s="61">
        <v>9</v>
      </c>
      <c r="B41" s="60" t="s">
        <v>85</v>
      </c>
      <c r="C41" s="74" t="s">
        <v>34</v>
      </c>
      <c r="D41" s="60" t="s">
        <v>181</v>
      </c>
      <c r="E41" s="18"/>
      <c r="F41" s="59">
        <v>374.95</v>
      </c>
      <c r="G41" s="18">
        <v>862.36</v>
      </c>
      <c r="H41" s="34"/>
    </row>
    <row r="42" spans="1:12" ht="47.25" customHeight="1">
      <c r="A42" s="61">
        <v>10</v>
      </c>
      <c r="B42" s="60" t="s">
        <v>111</v>
      </c>
      <c r="C42" s="74" t="s">
        <v>170</v>
      </c>
      <c r="D42" s="60" t="s">
        <v>182</v>
      </c>
      <c r="E42" s="18"/>
      <c r="F42" s="59">
        <v>6203.71</v>
      </c>
      <c r="G42" s="18">
        <v>2209.27</v>
      </c>
      <c r="H42" s="34"/>
      <c r="J42" s="27"/>
      <c r="K42" s="28"/>
      <c r="L42" s="29"/>
    </row>
    <row r="43" spans="1:12" ht="15.75" customHeight="1">
      <c r="A43" s="61">
        <v>11</v>
      </c>
      <c r="B43" s="60" t="s">
        <v>183</v>
      </c>
      <c r="C43" s="74" t="s">
        <v>170</v>
      </c>
      <c r="D43" s="60" t="s">
        <v>86</v>
      </c>
      <c r="E43" s="18"/>
      <c r="F43" s="59">
        <v>458.28</v>
      </c>
      <c r="G43" s="18">
        <v>306.01</v>
      </c>
      <c r="H43" s="34"/>
      <c r="J43" s="27"/>
      <c r="K43" s="28"/>
      <c r="L43" s="29"/>
    </row>
    <row r="44" spans="1:12" ht="15.75" customHeight="1">
      <c r="A44" s="61">
        <v>12</v>
      </c>
      <c r="B44" s="62" t="s">
        <v>87</v>
      </c>
      <c r="C44" s="168" t="s">
        <v>38</v>
      </c>
      <c r="D44" s="62"/>
      <c r="E44" s="18">
        <v>0</v>
      </c>
      <c r="F44" s="63">
        <v>798</v>
      </c>
      <c r="G44" s="18">
        <v>119.7</v>
      </c>
      <c r="H44" s="34"/>
      <c r="J44" s="27"/>
      <c r="K44" s="28"/>
      <c r="L44" s="29"/>
    </row>
    <row r="45" spans="1:12" ht="16.5" customHeight="1">
      <c r="A45" s="291" t="s">
        <v>245</v>
      </c>
      <c r="B45" s="292"/>
      <c r="C45" s="292"/>
      <c r="D45" s="292"/>
      <c r="E45" s="292"/>
      <c r="F45" s="292"/>
      <c r="G45" s="293"/>
      <c r="H45" s="34"/>
      <c r="J45" s="27"/>
      <c r="K45" s="28"/>
      <c r="L45" s="29"/>
    </row>
    <row r="46" spans="1:12" ht="15.75" hidden="1" customHeight="1">
      <c r="A46" s="75">
        <v>15</v>
      </c>
      <c r="B46" s="60" t="s">
        <v>184</v>
      </c>
      <c r="C46" s="74" t="s">
        <v>170</v>
      </c>
      <c r="D46" s="60" t="s">
        <v>53</v>
      </c>
      <c r="E46" s="25">
        <v>0.42</v>
      </c>
      <c r="F46" s="66">
        <v>908.1</v>
      </c>
      <c r="G46" s="26">
        <v>0</v>
      </c>
      <c r="H46" s="34"/>
      <c r="J46" s="27"/>
      <c r="K46" s="28"/>
      <c r="L46" s="29"/>
    </row>
    <row r="47" spans="1:12" ht="15.75" hidden="1" customHeight="1">
      <c r="A47" s="75">
        <v>16</v>
      </c>
      <c r="B47" s="60" t="s">
        <v>42</v>
      </c>
      <c r="C47" s="74" t="s">
        <v>170</v>
      </c>
      <c r="D47" s="60" t="s">
        <v>53</v>
      </c>
      <c r="E47" s="25">
        <v>1.35</v>
      </c>
      <c r="F47" s="66">
        <v>619.46</v>
      </c>
      <c r="G47" s="26">
        <v>0</v>
      </c>
      <c r="H47" s="34"/>
      <c r="J47" s="27"/>
      <c r="K47" s="28"/>
      <c r="L47" s="29"/>
    </row>
    <row r="48" spans="1:12" ht="15.75" hidden="1" customHeight="1">
      <c r="A48" s="75">
        <v>17</v>
      </c>
      <c r="B48" s="60" t="s">
        <v>43</v>
      </c>
      <c r="C48" s="74" t="s">
        <v>170</v>
      </c>
      <c r="D48" s="60" t="s">
        <v>53</v>
      </c>
      <c r="E48" s="25">
        <v>0.03</v>
      </c>
      <c r="F48" s="66">
        <v>619.46</v>
      </c>
      <c r="G48" s="26">
        <v>0</v>
      </c>
      <c r="H48" s="34"/>
      <c r="J48" s="27"/>
      <c r="K48" s="28"/>
      <c r="L48" s="29"/>
    </row>
    <row r="49" spans="1:12" ht="15.75" hidden="1" customHeight="1">
      <c r="A49" s="75">
        <v>18</v>
      </c>
      <c r="B49" s="60" t="s">
        <v>44</v>
      </c>
      <c r="C49" s="74" t="s">
        <v>170</v>
      </c>
      <c r="D49" s="60" t="s">
        <v>53</v>
      </c>
      <c r="E49" s="25">
        <v>0.33</v>
      </c>
      <c r="F49" s="66">
        <v>648.64</v>
      </c>
      <c r="G49" s="26">
        <v>0</v>
      </c>
      <c r="H49" s="34"/>
      <c r="J49" s="27"/>
      <c r="K49" s="28"/>
      <c r="L49" s="29"/>
    </row>
    <row r="50" spans="1:12" ht="15.75" customHeight="1">
      <c r="A50" s="75">
        <v>13</v>
      </c>
      <c r="B50" s="60" t="s">
        <v>70</v>
      </c>
      <c r="C50" s="74" t="s">
        <v>170</v>
      </c>
      <c r="D50" s="60" t="s">
        <v>185</v>
      </c>
      <c r="E50" s="25">
        <v>0.22</v>
      </c>
      <c r="F50" s="66">
        <v>1297.28</v>
      </c>
      <c r="G50" s="18">
        <v>1319.98</v>
      </c>
      <c r="H50" s="34"/>
      <c r="J50" s="27"/>
      <c r="K50" s="28"/>
      <c r="L50" s="29"/>
    </row>
    <row r="51" spans="1:12" ht="31.5" hidden="1" customHeight="1">
      <c r="A51" s="75">
        <v>13</v>
      </c>
      <c r="B51" s="60" t="s">
        <v>186</v>
      </c>
      <c r="C51" s="74" t="s">
        <v>170</v>
      </c>
      <c r="D51" s="60" t="s">
        <v>53</v>
      </c>
      <c r="E51" s="25">
        <v>0.22</v>
      </c>
      <c r="F51" s="66">
        <v>1297.28</v>
      </c>
      <c r="G51" s="26">
        <v>0</v>
      </c>
      <c r="H51" s="34"/>
      <c r="J51" s="27"/>
      <c r="K51" s="28"/>
      <c r="L51" s="29"/>
    </row>
    <row r="52" spans="1:12" ht="31.5" hidden="1" customHeight="1">
      <c r="A52" s="75">
        <v>14</v>
      </c>
      <c r="B52" s="60" t="s">
        <v>187</v>
      </c>
      <c r="C52" s="74" t="s">
        <v>47</v>
      </c>
      <c r="D52" s="60" t="s">
        <v>53</v>
      </c>
      <c r="E52" s="25">
        <v>0.02</v>
      </c>
      <c r="F52" s="66">
        <v>2918.89</v>
      </c>
      <c r="G52" s="26">
        <v>0</v>
      </c>
      <c r="H52" s="34"/>
      <c r="J52" s="27"/>
      <c r="K52" s="28"/>
      <c r="L52" s="29"/>
    </row>
    <row r="53" spans="1:12" ht="15.75" hidden="1" customHeight="1">
      <c r="A53" s="75">
        <v>15</v>
      </c>
      <c r="B53" s="60" t="s">
        <v>48</v>
      </c>
      <c r="C53" s="74" t="s">
        <v>49</v>
      </c>
      <c r="D53" s="60" t="s">
        <v>53</v>
      </c>
      <c r="E53" s="25">
        <v>0.01</v>
      </c>
      <c r="F53" s="66">
        <v>6042.13</v>
      </c>
      <c r="G53" s="26">
        <v>0</v>
      </c>
      <c r="H53" s="34"/>
      <c r="J53" s="27"/>
      <c r="K53" s="28"/>
      <c r="L53" s="29"/>
    </row>
    <row r="54" spans="1:12" ht="15.75" hidden="1" customHeight="1">
      <c r="A54" s="75"/>
      <c r="B54" s="60" t="s">
        <v>188</v>
      </c>
      <c r="C54" s="74" t="s">
        <v>140</v>
      </c>
      <c r="D54" s="60" t="s">
        <v>88</v>
      </c>
      <c r="E54" s="25"/>
      <c r="F54" s="66">
        <v>150.86000000000001</v>
      </c>
      <c r="G54" s="26"/>
      <c r="H54" s="34"/>
      <c r="J54" s="27"/>
      <c r="K54" s="28"/>
      <c r="L54" s="29"/>
    </row>
    <row r="55" spans="1:12" ht="15.75" hidden="1" customHeight="1">
      <c r="A55" s="75">
        <v>23</v>
      </c>
      <c r="B55" s="60" t="s">
        <v>52</v>
      </c>
      <c r="C55" s="74" t="s">
        <v>140</v>
      </c>
      <c r="D55" s="60" t="s">
        <v>88</v>
      </c>
      <c r="E55" s="25">
        <v>8</v>
      </c>
      <c r="F55" s="67">
        <v>70.2</v>
      </c>
      <c r="G55" s="18">
        <v>0</v>
      </c>
      <c r="H55" s="34"/>
      <c r="J55" s="27"/>
      <c r="K55" s="28"/>
      <c r="L55" s="29"/>
    </row>
    <row r="56" spans="1:12" ht="15.75" customHeight="1">
      <c r="A56" s="287" t="s">
        <v>248</v>
      </c>
      <c r="B56" s="288"/>
      <c r="C56" s="288"/>
      <c r="D56" s="288"/>
      <c r="E56" s="288"/>
      <c r="F56" s="288"/>
      <c r="G56" s="288"/>
      <c r="H56" s="240"/>
      <c r="I56" s="241"/>
      <c r="J56" s="27"/>
      <c r="K56" s="28"/>
      <c r="L56" s="29"/>
    </row>
    <row r="57" spans="1:12" ht="15.75" customHeight="1">
      <c r="A57" s="128"/>
      <c r="B57" s="82" t="s">
        <v>54</v>
      </c>
      <c r="C57" s="22"/>
      <c r="D57" s="21"/>
      <c r="E57" s="21"/>
      <c r="F57" s="48"/>
      <c r="G57" s="25"/>
      <c r="H57" s="34"/>
      <c r="J57" s="27"/>
      <c r="K57" s="28"/>
      <c r="L57" s="29"/>
    </row>
    <row r="58" spans="1:12" ht="31.5" customHeight="1">
      <c r="A58" s="75">
        <v>14</v>
      </c>
      <c r="B58" s="60" t="s">
        <v>207</v>
      </c>
      <c r="C58" s="74" t="s">
        <v>158</v>
      </c>
      <c r="D58" s="60" t="s">
        <v>189</v>
      </c>
      <c r="E58" s="25">
        <v>0</v>
      </c>
      <c r="F58" s="66">
        <v>1654.04</v>
      </c>
      <c r="G58" s="26">
        <v>1707.8</v>
      </c>
      <c r="H58" s="34"/>
      <c r="J58" s="27"/>
      <c r="K58" s="28"/>
      <c r="L58" s="29"/>
    </row>
    <row r="59" spans="1:12" ht="31.5" customHeight="1">
      <c r="A59" s="75">
        <v>15</v>
      </c>
      <c r="B59" s="60" t="s">
        <v>138</v>
      </c>
      <c r="C59" s="74" t="s">
        <v>158</v>
      </c>
      <c r="D59" s="60" t="s">
        <v>139</v>
      </c>
      <c r="E59" s="25"/>
      <c r="F59" s="66">
        <v>1654.04</v>
      </c>
      <c r="G59" s="26">
        <v>1313.31</v>
      </c>
      <c r="H59" s="34"/>
      <c r="J59" s="27"/>
      <c r="K59" s="28"/>
      <c r="L59" s="29"/>
    </row>
    <row r="60" spans="1:12" ht="15.75" hidden="1" customHeight="1">
      <c r="A60" s="75"/>
      <c r="B60" s="169" t="s">
        <v>190</v>
      </c>
      <c r="C60" s="127" t="s">
        <v>191</v>
      </c>
      <c r="D60" s="169" t="s">
        <v>53</v>
      </c>
      <c r="E60" s="25"/>
      <c r="F60" s="66">
        <v>193.25</v>
      </c>
      <c r="G60" s="26">
        <v>0</v>
      </c>
      <c r="H60" s="34"/>
      <c r="J60" s="27"/>
      <c r="K60" s="28"/>
      <c r="L60" s="29"/>
    </row>
    <row r="61" spans="1:12" ht="15.75" customHeight="1">
      <c r="A61" s="75">
        <v>16</v>
      </c>
      <c r="B61" s="60" t="s">
        <v>192</v>
      </c>
      <c r="C61" s="74" t="s">
        <v>158</v>
      </c>
      <c r="D61" s="60" t="s">
        <v>189</v>
      </c>
      <c r="E61" s="25"/>
      <c r="F61" s="66">
        <v>1654.04</v>
      </c>
      <c r="G61" s="26">
        <v>690.23</v>
      </c>
      <c r="H61" s="34"/>
      <c r="J61" s="27"/>
      <c r="K61" s="28"/>
      <c r="L61" s="29"/>
    </row>
    <row r="62" spans="1:12" ht="15.75" customHeight="1">
      <c r="A62" s="75"/>
      <c r="B62" s="166" t="s">
        <v>55</v>
      </c>
      <c r="C62" s="166"/>
      <c r="D62" s="166"/>
      <c r="E62" s="166"/>
      <c r="F62" s="166"/>
      <c r="G62" s="65"/>
      <c r="H62" s="34"/>
      <c r="J62" s="27"/>
      <c r="K62" s="28"/>
      <c r="L62" s="29"/>
    </row>
    <row r="63" spans="1:12" ht="15.75" hidden="1" customHeight="1">
      <c r="A63" s="75">
        <v>27</v>
      </c>
      <c r="B63" s="170" t="s">
        <v>56</v>
      </c>
      <c r="C63" s="74" t="s">
        <v>158</v>
      </c>
      <c r="D63" s="60" t="s">
        <v>66</v>
      </c>
      <c r="E63" s="171">
        <v>0</v>
      </c>
      <c r="F63" s="66">
        <v>848.37</v>
      </c>
      <c r="G63" s="26">
        <f>E63/2</f>
        <v>0</v>
      </c>
      <c r="H63" s="34"/>
      <c r="J63" s="27"/>
      <c r="K63" s="28"/>
      <c r="L63" s="29"/>
    </row>
    <row r="64" spans="1:12" ht="15.75" customHeight="1">
      <c r="A64" s="75">
        <v>17</v>
      </c>
      <c r="B64" s="169" t="s">
        <v>142</v>
      </c>
      <c r="C64" s="127" t="s">
        <v>28</v>
      </c>
      <c r="D64" s="169" t="s">
        <v>35</v>
      </c>
      <c r="E64" s="171"/>
      <c r="F64" s="172">
        <v>2.6</v>
      </c>
      <c r="G64" s="26">
        <v>529.1</v>
      </c>
      <c r="H64" s="34"/>
      <c r="J64" s="27"/>
      <c r="K64" s="28"/>
      <c r="L64" s="29"/>
    </row>
    <row r="65" spans="1:20" ht="15.75" hidden="1" customHeight="1">
      <c r="A65" s="75"/>
      <c r="B65" s="166" t="s">
        <v>57</v>
      </c>
      <c r="C65" s="22"/>
      <c r="D65" s="21"/>
      <c r="E65" s="21"/>
      <c r="F65" s="48"/>
      <c r="G65" s="25"/>
      <c r="H65" s="34"/>
      <c r="J65" s="27"/>
    </row>
    <row r="66" spans="1:20" ht="15.75" hidden="1" customHeight="1">
      <c r="A66" s="75">
        <v>17</v>
      </c>
      <c r="B66" s="173" t="s">
        <v>58</v>
      </c>
      <c r="C66" s="70" t="s">
        <v>140</v>
      </c>
      <c r="D66" s="69" t="s">
        <v>84</v>
      </c>
      <c r="E66" s="25">
        <v>0</v>
      </c>
      <c r="F66" s="66">
        <v>237.75</v>
      </c>
      <c r="G66" s="26">
        <v>0</v>
      </c>
      <c r="H66" s="34"/>
      <c r="J66" s="27"/>
    </row>
    <row r="67" spans="1:20" ht="15.75" hidden="1" customHeight="1">
      <c r="A67" s="48">
        <v>29</v>
      </c>
      <c r="B67" s="173" t="s">
        <v>59</v>
      </c>
      <c r="C67" s="70" t="s">
        <v>140</v>
      </c>
      <c r="D67" s="69" t="s">
        <v>84</v>
      </c>
      <c r="E67" s="25">
        <v>0</v>
      </c>
      <c r="F67" s="66">
        <v>81.510000000000005</v>
      </c>
      <c r="G67" s="26">
        <v>0</v>
      </c>
    </row>
    <row r="68" spans="1:20" ht="15.75" hidden="1" customHeight="1">
      <c r="A68" s="48">
        <v>8</v>
      </c>
      <c r="B68" s="173" t="s">
        <v>60</v>
      </c>
      <c r="C68" s="72" t="s">
        <v>193</v>
      </c>
      <c r="D68" s="69" t="s">
        <v>66</v>
      </c>
      <c r="E68" s="25">
        <v>13.47</v>
      </c>
      <c r="F68" s="66">
        <v>226.79</v>
      </c>
      <c r="G68" s="25">
        <v>0</v>
      </c>
    </row>
    <row r="69" spans="1:20" ht="15.75" hidden="1" customHeight="1">
      <c r="A69" s="48">
        <v>9</v>
      </c>
      <c r="B69" s="173" t="s">
        <v>61</v>
      </c>
      <c r="C69" s="70" t="s">
        <v>194</v>
      </c>
      <c r="D69" s="69"/>
      <c r="E69" s="25">
        <v>1.35</v>
      </c>
      <c r="F69" s="66">
        <v>176.61</v>
      </c>
      <c r="G69" s="25">
        <v>0</v>
      </c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9"/>
    </row>
    <row r="70" spans="1:20" ht="15.75" hidden="1" customHeight="1">
      <c r="A70" s="48">
        <v>10</v>
      </c>
      <c r="B70" s="173" t="s">
        <v>62</v>
      </c>
      <c r="C70" s="70" t="s">
        <v>94</v>
      </c>
      <c r="D70" s="69" t="s">
        <v>66</v>
      </c>
      <c r="E70" s="25">
        <v>0</v>
      </c>
      <c r="F70" s="66">
        <v>2217.7800000000002</v>
      </c>
      <c r="G70" s="25">
        <v>0</v>
      </c>
      <c r="H70" s="39"/>
      <c r="I70" s="39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1:20" ht="15.75" hidden="1" customHeight="1">
      <c r="A71" s="48">
        <v>11</v>
      </c>
      <c r="B71" s="129" t="s">
        <v>195</v>
      </c>
      <c r="C71" s="70" t="s">
        <v>38</v>
      </c>
      <c r="D71" s="69"/>
      <c r="E71" s="17">
        <v>0</v>
      </c>
      <c r="F71" s="66">
        <v>42.67</v>
      </c>
      <c r="G71" s="25">
        <v>0</v>
      </c>
      <c r="H71" s="3"/>
      <c r="I71" s="3"/>
      <c r="J71" s="3"/>
      <c r="K71" s="3"/>
      <c r="L71" s="3"/>
      <c r="M71" s="3"/>
      <c r="N71" s="3"/>
      <c r="O71" s="3"/>
      <c r="Q71" s="3"/>
      <c r="R71" s="3"/>
      <c r="S71" s="3"/>
    </row>
    <row r="72" spans="1:20" ht="15.75" hidden="1" customHeight="1">
      <c r="A72" s="48">
        <v>12</v>
      </c>
      <c r="B72" s="129" t="s">
        <v>196</v>
      </c>
      <c r="C72" s="70" t="s">
        <v>38</v>
      </c>
      <c r="D72" s="69"/>
      <c r="E72" s="17"/>
      <c r="F72" s="66">
        <v>39.81</v>
      </c>
      <c r="G72" s="25">
        <v>0</v>
      </c>
      <c r="H72" s="5"/>
      <c r="I72" s="5"/>
      <c r="J72" s="5"/>
      <c r="K72" s="5"/>
      <c r="L72" s="5"/>
      <c r="M72" s="5"/>
      <c r="N72" s="5"/>
      <c r="O72" s="5"/>
      <c r="P72" s="270"/>
      <c r="Q72" s="270"/>
      <c r="R72" s="270"/>
      <c r="S72" s="270"/>
    </row>
    <row r="73" spans="1:20" ht="15.75" hidden="1" customHeight="1">
      <c r="A73" s="48">
        <v>13</v>
      </c>
      <c r="B73" s="69" t="s">
        <v>71</v>
      </c>
      <c r="C73" s="70" t="s">
        <v>72</v>
      </c>
      <c r="D73" s="69" t="s">
        <v>66</v>
      </c>
      <c r="E73" s="17"/>
      <c r="F73" s="66">
        <v>53.32</v>
      </c>
      <c r="G73" s="25">
        <v>0</v>
      </c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</row>
    <row r="74" spans="1:20" ht="15.75" hidden="1" customHeight="1">
      <c r="A74" s="128"/>
      <c r="B74" s="166" t="s">
        <v>197</v>
      </c>
      <c r="C74" s="166"/>
      <c r="D74" s="166"/>
      <c r="E74" s="166"/>
      <c r="F74" s="166"/>
      <c r="G74" s="25"/>
    </row>
    <row r="75" spans="1:20" ht="15.75" hidden="1" customHeight="1">
      <c r="A75" s="48">
        <v>36</v>
      </c>
      <c r="B75" s="170" t="s">
        <v>198</v>
      </c>
      <c r="C75" s="174"/>
      <c r="D75" s="175" t="s">
        <v>66</v>
      </c>
      <c r="E75" s="171">
        <v>0</v>
      </c>
      <c r="F75" s="68">
        <v>27922</v>
      </c>
      <c r="G75" s="25">
        <v>0</v>
      </c>
    </row>
    <row r="76" spans="1:20" ht="15.75" hidden="1" customHeight="1">
      <c r="A76" s="48"/>
      <c r="B76" s="83" t="s">
        <v>89</v>
      </c>
      <c r="C76" s="83"/>
      <c r="D76" s="83"/>
      <c r="E76" s="25"/>
      <c r="F76" s="48"/>
      <c r="G76" s="25"/>
    </row>
    <row r="77" spans="1:20" ht="15.75" hidden="1" customHeight="1">
      <c r="A77" s="48"/>
      <c r="B77" s="69" t="s">
        <v>90</v>
      </c>
      <c r="C77" s="70" t="s">
        <v>92</v>
      </c>
      <c r="D77" s="69" t="s">
        <v>84</v>
      </c>
      <c r="E77" s="25"/>
      <c r="F77" s="66">
        <v>536.23</v>
      </c>
      <c r="G77" s="25">
        <v>0</v>
      </c>
    </row>
    <row r="78" spans="1:20" ht="15.75" hidden="1" customHeight="1">
      <c r="A78" s="48"/>
      <c r="B78" s="69" t="s">
        <v>91</v>
      </c>
      <c r="C78" s="70" t="s">
        <v>36</v>
      </c>
      <c r="D78" s="69" t="s">
        <v>84</v>
      </c>
      <c r="E78" s="25"/>
      <c r="F78" s="66">
        <v>911.85</v>
      </c>
      <c r="G78" s="25">
        <v>0</v>
      </c>
    </row>
    <row r="79" spans="1:20" ht="15.75" hidden="1" customHeight="1">
      <c r="A79" s="48"/>
      <c r="B79" s="69" t="s">
        <v>199</v>
      </c>
      <c r="C79" s="70" t="s">
        <v>36</v>
      </c>
      <c r="D79" s="69" t="s">
        <v>84</v>
      </c>
      <c r="E79" s="25"/>
      <c r="F79" s="66">
        <v>383.25</v>
      </c>
      <c r="G79" s="25">
        <v>0</v>
      </c>
    </row>
    <row r="80" spans="1:20" ht="15.75" hidden="1" customHeight="1">
      <c r="A80" s="48"/>
      <c r="B80" s="84" t="s">
        <v>93</v>
      </c>
      <c r="C80" s="70"/>
      <c r="D80" s="48"/>
      <c r="E80" s="25"/>
      <c r="F80" s="66"/>
      <c r="G80" s="25"/>
    </row>
    <row r="81" spans="1:9" ht="15.75" hidden="1" customHeight="1">
      <c r="A81" s="48">
        <v>39</v>
      </c>
      <c r="B81" s="71" t="s">
        <v>200</v>
      </c>
      <c r="C81" s="72" t="s">
        <v>94</v>
      </c>
      <c r="D81" s="173"/>
      <c r="E81" s="25"/>
      <c r="F81" s="67">
        <v>2757.42</v>
      </c>
      <c r="G81" s="25">
        <v>0</v>
      </c>
    </row>
    <row r="82" spans="1:9" ht="15.75" customHeight="1">
      <c r="A82" s="289" t="s">
        <v>249</v>
      </c>
      <c r="B82" s="290"/>
      <c r="C82" s="290"/>
      <c r="D82" s="290"/>
      <c r="E82" s="290"/>
      <c r="F82" s="290"/>
      <c r="G82" s="290"/>
      <c r="H82" s="240"/>
      <c r="I82" s="241"/>
    </row>
    <row r="83" spans="1:9" ht="15.75" customHeight="1">
      <c r="A83" s="48">
        <v>18</v>
      </c>
      <c r="B83" s="176" t="s">
        <v>201</v>
      </c>
      <c r="C83" s="70" t="s">
        <v>67</v>
      </c>
      <c r="D83" s="177"/>
      <c r="E83" s="21">
        <v>327.9</v>
      </c>
      <c r="F83" s="178">
        <v>2.2400000000000002</v>
      </c>
      <c r="G83" s="18">
        <v>8805.44</v>
      </c>
    </row>
    <row r="84" spans="1:9" ht="33.75" customHeight="1">
      <c r="A84" s="48">
        <v>19</v>
      </c>
      <c r="B84" s="69" t="s">
        <v>95</v>
      </c>
      <c r="C84" s="70"/>
      <c r="D84" s="179"/>
      <c r="E84" s="21"/>
      <c r="F84" s="66">
        <v>1.74</v>
      </c>
      <c r="G84" s="18">
        <v>6839.94</v>
      </c>
    </row>
    <row r="85" spans="1:9" ht="15.75" customHeight="1">
      <c r="A85" s="128"/>
      <c r="B85" s="73" t="s">
        <v>101</v>
      </c>
      <c r="C85" s="75"/>
      <c r="D85" s="21"/>
      <c r="E85" s="21"/>
      <c r="F85" s="25"/>
      <c r="G85" s="58">
        <f>SUM(G16+G17+G18+G25+G26+G37+G38+G39+G41+G42+G43+G44+G50+G58+G59+G61+G64+G83+G84)</f>
        <v>65002.770000000011</v>
      </c>
    </row>
    <row r="86" spans="1:9" ht="15.75" customHeight="1">
      <c r="A86" s="128"/>
      <c r="B86" s="180" t="s">
        <v>74</v>
      </c>
      <c r="C86" s="180"/>
      <c r="D86" s="180"/>
      <c r="E86" s="180"/>
      <c r="F86" s="180"/>
      <c r="G86" s="180"/>
    </row>
    <row r="87" spans="1:9" ht="15.75" customHeight="1">
      <c r="A87" s="48">
        <v>20</v>
      </c>
      <c r="B87" s="182" t="s">
        <v>208</v>
      </c>
      <c r="C87" s="183" t="s">
        <v>112</v>
      </c>
      <c r="D87" s="181">
        <v>1</v>
      </c>
      <c r="E87" s="21"/>
      <c r="F87" s="66">
        <v>185.81</v>
      </c>
      <c r="G87" s="18">
        <v>185.81</v>
      </c>
    </row>
    <row r="88" spans="1:9" ht="31.5" customHeight="1">
      <c r="A88" s="48">
        <v>21</v>
      </c>
      <c r="B88" s="182" t="s">
        <v>209</v>
      </c>
      <c r="C88" s="184" t="s">
        <v>210</v>
      </c>
      <c r="D88" s="181">
        <v>1</v>
      </c>
      <c r="E88" s="21"/>
      <c r="F88" s="66">
        <v>51.39</v>
      </c>
      <c r="G88" s="18">
        <v>51.39</v>
      </c>
    </row>
    <row r="89" spans="1:9" ht="15.75" customHeight="1">
      <c r="A89" s="48">
        <v>22</v>
      </c>
      <c r="B89" s="182" t="s">
        <v>106</v>
      </c>
      <c r="C89" s="184" t="s">
        <v>140</v>
      </c>
      <c r="D89" s="181">
        <v>1</v>
      </c>
      <c r="E89" s="21"/>
      <c r="F89" s="66">
        <v>180.15</v>
      </c>
      <c r="G89" s="18">
        <v>180.15</v>
      </c>
    </row>
    <row r="90" spans="1:9" ht="15.75" customHeight="1">
      <c r="A90" s="48">
        <v>23</v>
      </c>
      <c r="B90" s="60" t="s">
        <v>202</v>
      </c>
      <c r="C90" s="74" t="s">
        <v>158</v>
      </c>
      <c r="D90" s="66">
        <v>0.02</v>
      </c>
      <c r="E90" s="21"/>
      <c r="F90" s="66">
        <v>1925.33</v>
      </c>
      <c r="G90" s="18">
        <v>34.659999999999997</v>
      </c>
    </row>
    <row r="91" spans="1:9" ht="15.75" customHeight="1">
      <c r="A91" s="196">
        <v>24</v>
      </c>
      <c r="B91" s="185" t="s">
        <v>113</v>
      </c>
      <c r="C91" s="186" t="s">
        <v>92</v>
      </c>
      <c r="D91" s="66">
        <v>0.01</v>
      </c>
      <c r="E91" s="21"/>
      <c r="F91" s="66">
        <v>3800</v>
      </c>
      <c r="G91" s="18">
        <v>380</v>
      </c>
    </row>
    <row r="92" spans="1:9" ht="15.75" customHeight="1">
      <c r="A92" s="48"/>
      <c r="B92" s="80" t="s">
        <v>63</v>
      </c>
      <c r="C92" s="76"/>
      <c r="D92" s="130"/>
      <c r="E92" s="76">
        <v>1</v>
      </c>
      <c r="F92" s="76"/>
      <c r="G92" s="58">
        <f>SUM(G87:G91)</f>
        <v>832.01</v>
      </c>
    </row>
    <row r="93" spans="1:9" ht="15.75" customHeight="1">
      <c r="A93" s="48"/>
      <c r="B93" s="86" t="s">
        <v>96</v>
      </c>
      <c r="C93" s="21"/>
      <c r="D93" s="21"/>
      <c r="E93" s="77"/>
      <c r="F93" s="78"/>
      <c r="G93" s="24">
        <v>0</v>
      </c>
    </row>
    <row r="94" spans="1:9" ht="15.75" customHeight="1">
      <c r="A94" s="131"/>
      <c r="B94" s="81" t="s">
        <v>64</v>
      </c>
      <c r="C94" s="64"/>
      <c r="D94" s="64"/>
      <c r="E94" s="64"/>
      <c r="F94" s="64"/>
      <c r="G94" s="79">
        <f>G85+G92</f>
        <v>65834.780000000013</v>
      </c>
    </row>
    <row r="95" spans="1:9" ht="15.75">
      <c r="A95" s="265" t="s">
        <v>211</v>
      </c>
      <c r="B95" s="265"/>
      <c r="C95" s="265"/>
      <c r="D95" s="265"/>
      <c r="E95" s="265"/>
      <c r="F95" s="265"/>
      <c r="G95" s="265"/>
    </row>
    <row r="96" spans="1:9" ht="15.75">
      <c r="A96" s="165"/>
      <c r="B96" s="272" t="s">
        <v>212</v>
      </c>
      <c r="C96" s="272"/>
      <c r="D96" s="272"/>
      <c r="E96" s="272"/>
      <c r="F96" s="272"/>
      <c r="G96" s="3"/>
    </row>
    <row r="97" spans="1:7">
      <c r="A97" s="160"/>
      <c r="B97" s="268" t="s">
        <v>6</v>
      </c>
      <c r="C97" s="268"/>
      <c r="D97" s="268"/>
      <c r="E97" s="268"/>
      <c r="F97" s="268"/>
      <c r="G97" s="5"/>
    </row>
    <row r="98" spans="1:7" ht="7.5" customHeight="1">
      <c r="A98" s="11"/>
      <c r="B98" s="11"/>
      <c r="C98" s="11"/>
      <c r="D98" s="11"/>
      <c r="E98" s="11"/>
      <c r="F98" s="11"/>
      <c r="G98" s="11"/>
    </row>
    <row r="99" spans="1:7" ht="15.75">
      <c r="A99" s="273" t="s">
        <v>7</v>
      </c>
      <c r="B99" s="273"/>
      <c r="C99" s="273"/>
      <c r="D99" s="273"/>
      <c r="E99" s="273"/>
      <c r="F99" s="273"/>
      <c r="G99" s="273"/>
    </row>
    <row r="100" spans="1:7" ht="15.75">
      <c r="A100" s="273" t="s">
        <v>8</v>
      </c>
      <c r="B100" s="273"/>
      <c r="C100" s="273"/>
      <c r="D100" s="273"/>
      <c r="E100" s="273"/>
      <c r="F100" s="273"/>
      <c r="G100" s="273"/>
    </row>
    <row r="101" spans="1:7" ht="15.75">
      <c r="A101" s="258" t="s">
        <v>76</v>
      </c>
      <c r="B101" s="258"/>
      <c r="C101" s="258"/>
      <c r="D101" s="258"/>
      <c r="E101" s="258"/>
      <c r="F101" s="258"/>
      <c r="G101" s="258"/>
    </row>
    <row r="102" spans="1:7" ht="7.5" customHeight="1">
      <c r="A102" s="12"/>
    </row>
    <row r="103" spans="1:7" ht="15.75">
      <c r="A103" s="259" t="s">
        <v>10</v>
      </c>
      <c r="B103" s="259"/>
      <c r="C103" s="259"/>
      <c r="D103" s="259"/>
      <c r="E103" s="259"/>
      <c r="F103" s="259"/>
      <c r="G103" s="259"/>
    </row>
    <row r="104" spans="1:7" ht="15.75">
      <c r="A104" s="4"/>
    </row>
    <row r="105" spans="1:7" ht="15.75">
      <c r="B105" s="161" t="s">
        <v>11</v>
      </c>
      <c r="C105" s="267" t="s">
        <v>203</v>
      </c>
      <c r="D105" s="267"/>
      <c r="E105" s="267"/>
      <c r="G105" s="163"/>
    </row>
    <row r="106" spans="1:7">
      <c r="A106" s="160"/>
      <c r="C106" s="268" t="s">
        <v>12</v>
      </c>
      <c r="D106" s="268"/>
      <c r="E106" s="268"/>
      <c r="G106" s="162" t="s">
        <v>13</v>
      </c>
    </row>
    <row r="107" spans="1:7" ht="15.75">
      <c r="A107" s="39"/>
      <c r="C107" s="13"/>
      <c r="D107" s="13"/>
      <c r="F107" s="13"/>
    </row>
    <row r="108" spans="1:7" ht="15.75">
      <c r="B108" s="161" t="s">
        <v>14</v>
      </c>
      <c r="C108" s="269"/>
      <c r="D108" s="269"/>
      <c r="E108" s="269"/>
      <c r="G108" s="163"/>
    </row>
    <row r="109" spans="1:7">
      <c r="A109" s="160"/>
      <c r="C109" s="270" t="s">
        <v>12</v>
      </c>
      <c r="D109" s="270"/>
      <c r="E109" s="270"/>
      <c r="G109" s="162" t="s">
        <v>13</v>
      </c>
    </row>
    <row r="110" spans="1:7" ht="15.75">
      <c r="A110" s="4" t="s">
        <v>15</v>
      </c>
    </row>
    <row r="111" spans="1:7">
      <c r="A111" s="271" t="s">
        <v>16</v>
      </c>
      <c r="B111" s="271"/>
      <c r="C111" s="271"/>
      <c r="D111" s="271"/>
      <c r="E111" s="271"/>
      <c r="F111" s="271"/>
      <c r="G111" s="271"/>
    </row>
    <row r="112" spans="1:7" ht="47.25" customHeight="1">
      <c r="A112" s="266" t="s">
        <v>17</v>
      </c>
      <c r="B112" s="266"/>
      <c r="C112" s="266"/>
      <c r="D112" s="266"/>
      <c r="E112" s="266"/>
      <c r="F112" s="266"/>
      <c r="G112" s="266"/>
    </row>
    <row r="113" spans="1:7" ht="31.5" customHeight="1">
      <c r="A113" s="266" t="s">
        <v>18</v>
      </c>
      <c r="B113" s="266"/>
      <c r="C113" s="266"/>
      <c r="D113" s="266"/>
      <c r="E113" s="266"/>
      <c r="F113" s="266"/>
      <c r="G113" s="266"/>
    </row>
    <row r="114" spans="1:7" ht="31.5" customHeight="1">
      <c r="A114" s="266" t="s">
        <v>23</v>
      </c>
      <c r="B114" s="266"/>
      <c r="C114" s="266"/>
      <c r="D114" s="266"/>
      <c r="E114" s="266"/>
      <c r="F114" s="266"/>
      <c r="G114" s="266"/>
    </row>
    <row r="115" spans="1:7" ht="15.75">
      <c r="A115" s="266" t="s">
        <v>22</v>
      </c>
      <c r="B115" s="266"/>
      <c r="C115" s="266"/>
      <c r="D115" s="266"/>
      <c r="E115" s="266"/>
      <c r="F115" s="266"/>
      <c r="G115" s="266"/>
    </row>
  </sheetData>
  <autoFilter ref="G12:G67"/>
  <mergeCells count="28">
    <mergeCell ref="A82:G82"/>
    <mergeCell ref="A14:G14"/>
    <mergeCell ref="A15:G15"/>
    <mergeCell ref="A27:G27"/>
    <mergeCell ref="A45:G45"/>
    <mergeCell ref="P72:S72"/>
    <mergeCell ref="A56:G56"/>
    <mergeCell ref="A3:G3"/>
    <mergeCell ref="A4:G4"/>
    <mergeCell ref="A8:G8"/>
    <mergeCell ref="A10:G10"/>
    <mergeCell ref="A5:G5"/>
    <mergeCell ref="A95:G95"/>
    <mergeCell ref="B96:F96"/>
    <mergeCell ref="B97:F97"/>
    <mergeCell ref="A99:G99"/>
    <mergeCell ref="A100:G100"/>
    <mergeCell ref="A101:G101"/>
    <mergeCell ref="A103:G103"/>
    <mergeCell ref="C105:E105"/>
    <mergeCell ref="C106:E106"/>
    <mergeCell ref="A114:G114"/>
    <mergeCell ref="A115:G115"/>
    <mergeCell ref="C108:E108"/>
    <mergeCell ref="C109:E109"/>
    <mergeCell ref="A111:G111"/>
    <mergeCell ref="A112:G112"/>
    <mergeCell ref="A113:G113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V112"/>
  <sheetViews>
    <sheetView workbookViewId="0">
      <selection activeCell="A8" sqref="A8:I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3" t="s">
        <v>120</v>
      </c>
      <c r="I1" s="42"/>
      <c r="J1" s="1"/>
      <c r="K1" s="1"/>
      <c r="L1" s="1"/>
      <c r="M1" s="1"/>
    </row>
    <row r="2" spans="1:13" ht="15.75" customHeight="1">
      <c r="A2" s="44" t="s">
        <v>79</v>
      </c>
      <c r="J2" s="2"/>
      <c r="K2" s="2"/>
      <c r="L2" s="2"/>
      <c r="M2" s="2"/>
    </row>
    <row r="3" spans="1:13" ht="15.75" customHeight="1">
      <c r="A3" s="253" t="s">
        <v>252</v>
      </c>
      <c r="B3" s="253"/>
      <c r="C3" s="253"/>
      <c r="D3" s="253"/>
      <c r="E3" s="253"/>
      <c r="F3" s="253"/>
      <c r="G3" s="253"/>
      <c r="H3" s="253"/>
      <c r="I3" s="253"/>
      <c r="J3" s="3"/>
      <c r="K3" s="3"/>
      <c r="L3" s="3"/>
    </row>
    <row r="4" spans="1:13" ht="31.5" customHeight="1">
      <c r="A4" s="254" t="s">
        <v>204</v>
      </c>
      <c r="B4" s="254"/>
      <c r="C4" s="254"/>
      <c r="D4" s="254"/>
      <c r="E4" s="254"/>
      <c r="F4" s="254"/>
      <c r="G4" s="254"/>
      <c r="H4" s="254"/>
      <c r="I4" s="254"/>
    </row>
    <row r="5" spans="1:13" ht="15.75">
      <c r="A5" s="253" t="s">
        <v>102</v>
      </c>
      <c r="B5" s="255"/>
      <c r="C5" s="255"/>
      <c r="D5" s="255"/>
      <c r="E5" s="255"/>
      <c r="F5" s="255"/>
      <c r="G5" s="255"/>
      <c r="H5" s="255"/>
      <c r="I5" s="255"/>
      <c r="J5" s="2"/>
      <c r="K5" s="2"/>
      <c r="L5" s="2"/>
      <c r="M5" s="2"/>
    </row>
    <row r="6" spans="1:13" ht="15.75">
      <c r="A6" s="2"/>
      <c r="B6" s="192"/>
      <c r="C6" s="192"/>
      <c r="D6" s="192"/>
      <c r="E6" s="192"/>
      <c r="F6" s="192"/>
      <c r="G6" s="192"/>
      <c r="H6" s="192"/>
      <c r="I6" s="52">
        <v>42429</v>
      </c>
      <c r="J6" s="2"/>
      <c r="K6" s="2"/>
      <c r="L6" s="2"/>
      <c r="M6" s="2"/>
    </row>
    <row r="7" spans="1:13" ht="15.75">
      <c r="B7" s="187"/>
      <c r="C7" s="187"/>
      <c r="D7" s="187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56" t="s">
        <v>283</v>
      </c>
      <c r="B8" s="256"/>
      <c r="C8" s="256"/>
      <c r="D8" s="256"/>
      <c r="E8" s="256"/>
      <c r="F8" s="256"/>
      <c r="G8" s="256"/>
      <c r="H8" s="256"/>
      <c r="I8" s="25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57" t="s">
        <v>205</v>
      </c>
      <c r="B10" s="257"/>
      <c r="C10" s="257"/>
      <c r="D10" s="257"/>
      <c r="E10" s="257"/>
      <c r="F10" s="257"/>
      <c r="G10" s="257"/>
      <c r="H10" s="257"/>
      <c r="I10" s="257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19</v>
      </c>
      <c r="E12" s="6" t="s">
        <v>20</v>
      </c>
      <c r="F12" s="6"/>
      <c r="G12" s="6" t="s">
        <v>24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52" t="s">
        <v>73</v>
      </c>
      <c r="B14" s="252"/>
      <c r="C14" s="252"/>
      <c r="D14" s="252"/>
      <c r="E14" s="252"/>
      <c r="F14" s="252"/>
      <c r="G14" s="252"/>
      <c r="H14" s="252"/>
      <c r="I14" s="252"/>
      <c r="J14" s="8"/>
      <c r="K14" s="8"/>
      <c r="L14" s="8"/>
      <c r="M14" s="8"/>
    </row>
    <row r="15" spans="1:13">
      <c r="A15" s="260" t="s">
        <v>4</v>
      </c>
      <c r="B15" s="260"/>
      <c r="C15" s="260"/>
      <c r="D15" s="260"/>
      <c r="E15" s="260"/>
      <c r="F15" s="260"/>
      <c r="G15" s="260"/>
      <c r="H15" s="260"/>
      <c r="I15" s="260"/>
      <c r="J15" s="8"/>
      <c r="K15" s="8"/>
      <c r="L15" s="8"/>
      <c r="M15" s="8"/>
    </row>
    <row r="16" spans="1:13" s="202" customFormat="1" ht="31.5" customHeight="1">
      <c r="A16" s="48">
        <v>1</v>
      </c>
      <c r="B16" s="205" t="s">
        <v>122</v>
      </c>
      <c r="C16" s="206" t="s">
        <v>158</v>
      </c>
      <c r="D16" s="205" t="s">
        <v>159</v>
      </c>
      <c r="E16" s="207">
        <v>95.04</v>
      </c>
      <c r="F16" s="208">
        <f>SUM(E16*156/100)</f>
        <v>148.26240000000001</v>
      </c>
      <c r="G16" s="208">
        <v>187.48</v>
      </c>
      <c r="H16" s="209">
        <f t="shared" ref="H16:H24" si="0">SUM(F16*G16/1000)</f>
        <v>27.796234752</v>
      </c>
      <c r="I16" s="18">
        <f>F16/12*G16</f>
        <v>2316.3528960000003</v>
      </c>
    </row>
    <row r="17" spans="1:10" s="202" customFormat="1" ht="31.5" customHeight="1">
      <c r="A17" s="48">
        <v>2</v>
      </c>
      <c r="B17" s="205" t="s">
        <v>154</v>
      </c>
      <c r="C17" s="206" t="s">
        <v>158</v>
      </c>
      <c r="D17" s="205" t="s">
        <v>160</v>
      </c>
      <c r="E17" s="207">
        <v>380.16</v>
      </c>
      <c r="F17" s="208">
        <f>SUM(E17*104/100)</f>
        <v>395.3664</v>
      </c>
      <c r="G17" s="208">
        <v>187.48</v>
      </c>
      <c r="H17" s="209">
        <f t="shared" si="0"/>
        <v>74.123292671999991</v>
      </c>
      <c r="I17" s="18">
        <f>F17/12*G17</f>
        <v>6176.9410559999997</v>
      </c>
      <c r="J17" s="203"/>
    </row>
    <row r="18" spans="1:10" s="202" customFormat="1" ht="31.5" customHeight="1">
      <c r="A18" s="48">
        <v>3</v>
      </c>
      <c r="B18" s="205" t="s">
        <v>155</v>
      </c>
      <c r="C18" s="206" t="s">
        <v>158</v>
      </c>
      <c r="D18" s="205" t="s">
        <v>206</v>
      </c>
      <c r="E18" s="207">
        <f>SUM(E16+E17)</f>
        <v>475.20000000000005</v>
      </c>
      <c r="F18" s="208">
        <f>SUM(E18*24/100)</f>
        <v>114.04800000000002</v>
      </c>
      <c r="G18" s="208">
        <v>539.30999999999995</v>
      </c>
      <c r="H18" s="209">
        <f t="shared" si="0"/>
        <v>61.507226880000005</v>
      </c>
      <c r="I18" s="18">
        <f>F18/12*G18</f>
        <v>5125.6022400000002</v>
      </c>
      <c r="J18" s="203"/>
    </row>
    <row r="19" spans="1:10" s="202" customFormat="1" ht="15.75" hidden="1" customHeight="1">
      <c r="A19" s="48"/>
      <c r="B19" s="205" t="s">
        <v>161</v>
      </c>
      <c r="C19" s="206" t="s">
        <v>162</v>
      </c>
      <c r="D19" s="205" t="s">
        <v>163</v>
      </c>
      <c r="E19" s="207">
        <v>93.4</v>
      </c>
      <c r="F19" s="208">
        <f>SUM(E19/10)</f>
        <v>9.34</v>
      </c>
      <c r="G19" s="208">
        <v>181.9</v>
      </c>
      <c r="H19" s="209">
        <f t="shared" si="0"/>
        <v>1.6989460000000001</v>
      </c>
      <c r="I19" s="18">
        <v>0</v>
      </c>
      <c r="J19" s="203"/>
    </row>
    <row r="20" spans="1:10" s="202" customFormat="1" ht="15.75" hidden="1" customHeight="1">
      <c r="A20" s="48"/>
      <c r="B20" s="205" t="s">
        <v>164</v>
      </c>
      <c r="C20" s="206" t="s">
        <v>158</v>
      </c>
      <c r="D20" s="205" t="s">
        <v>53</v>
      </c>
      <c r="E20" s="207">
        <v>43.2</v>
      </c>
      <c r="F20" s="208">
        <f>SUM(E20*2/100)</f>
        <v>0.8640000000000001</v>
      </c>
      <c r="G20" s="208">
        <v>232.91</v>
      </c>
      <c r="H20" s="209">
        <f t="shared" si="0"/>
        <v>0.20123424000000004</v>
      </c>
      <c r="I20" s="18">
        <v>0</v>
      </c>
      <c r="J20" s="203"/>
    </row>
    <row r="21" spans="1:10" s="202" customFormat="1" ht="15.75" hidden="1" customHeight="1">
      <c r="A21" s="48"/>
      <c r="B21" s="205" t="s">
        <v>165</v>
      </c>
      <c r="C21" s="206" t="s">
        <v>158</v>
      </c>
      <c r="D21" s="205" t="s">
        <v>53</v>
      </c>
      <c r="E21" s="207">
        <v>10.08</v>
      </c>
      <c r="F21" s="208">
        <f>SUM(E21*2/100)</f>
        <v>0.2016</v>
      </c>
      <c r="G21" s="208">
        <v>231.03</v>
      </c>
      <c r="H21" s="209">
        <f t="shared" si="0"/>
        <v>4.6575648000000004E-2</v>
      </c>
      <c r="I21" s="18">
        <v>0</v>
      </c>
      <c r="J21" s="203"/>
    </row>
    <row r="22" spans="1:10" s="202" customFormat="1" ht="15.75" hidden="1" customHeight="1">
      <c r="A22" s="48"/>
      <c r="B22" s="205" t="s">
        <v>166</v>
      </c>
      <c r="C22" s="206" t="s">
        <v>65</v>
      </c>
      <c r="D22" s="205" t="s">
        <v>163</v>
      </c>
      <c r="E22" s="207">
        <v>642.6</v>
      </c>
      <c r="F22" s="208">
        <f>SUM(E22/100)</f>
        <v>6.4260000000000002</v>
      </c>
      <c r="G22" s="208">
        <v>287.83999999999997</v>
      </c>
      <c r="H22" s="209">
        <f t="shared" si="0"/>
        <v>1.8496598399999997</v>
      </c>
      <c r="I22" s="18">
        <v>0</v>
      </c>
      <c r="J22" s="203"/>
    </row>
    <row r="23" spans="1:10" s="202" customFormat="1" ht="15.75" hidden="1" customHeight="1">
      <c r="A23" s="48"/>
      <c r="B23" s="205" t="s">
        <v>167</v>
      </c>
      <c r="C23" s="206" t="s">
        <v>65</v>
      </c>
      <c r="D23" s="205" t="s">
        <v>163</v>
      </c>
      <c r="E23" s="210">
        <v>35.28</v>
      </c>
      <c r="F23" s="208">
        <f>SUM(E23/100)</f>
        <v>0.3528</v>
      </c>
      <c r="G23" s="208">
        <v>47.35</v>
      </c>
      <c r="H23" s="209">
        <f t="shared" si="0"/>
        <v>1.6705080000000004E-2</v>
      </c>
      <c r="I23" s="18">
        <v>0</v>
      </c>
      <c r="J23" s="203"/>
    </row>
    <row r="24" spans="1:10" s="202" customFormat="1" ht="15.75" hidden="1" customHeight="1">
      <c r="A24" s="48"/>
      <c r="B24" s="205" t="s">
        <v>168</v>
      </c>
      <c r="C24" s="206" t="s">
        <v>65</v>
      </c>
      <c r="D24" s="205" t="s">
        <v>163</v>
      </c>
      <c r="E24" s="207">
        <v>28.8</v>
      </c>
      <c r="F24" s="208">
        <f>SUM(E24/100)</f>
        <v>0.28800000000000003</v>
      </c>
      <c r="G24" s="208">
        <v>556.74</v>
      </c>
      <c r="H24" s="209">
        <f t="shared" si="0"/>
        <v>0.16034112000000003</v>
      </c>
      <c r="I24" s="18">
        <v>0</v>
      </c>
      <c r="J24" s="203"/>
    </row>
    <row r="25" spans="1:10" s="202" customFormat="1" ht="15.75" customHeight="1">
      <c r="A25" s="48">
        <v>4</v>
      </c>
      <c r="B25" s="205" t="s">
        <v>81</v>
      </c>
      <c r="C25" s="206" t="s">
        <v>38</v>
      </c>
      <c r="D25" s="205" t="s">
        <v>217</v>
      </c>
      <c r="E25" s="207">
        <v>0.1</v>
      </c>
      <c r="F25" s="208">
        <f>SUM(E25*365)</f>
        <v>36.5</v>
      </c>
      <c r="G25" s="208">
        <v>157.18</v>
      </c>
      <c r="H25" s="209">
        <f>SUM(F25*G25/1000)</f>
        <v>5.737070000000001</v>
      </c>
      <c r="I25" s="18">
        <f>F25/12*G25</f>
        <v>478.08916666666664</v>
      </c>
      <c r="J25" s="203"/>
    </row>
    <row r="26" spans="1:10" s="202" customFormat="1" ht="15.75" customHeight="1">
      <c r="A26" s="48">
        <v>5</v>
      </c>
      <c r="B26" s="213" t="s">
        <v>25</v>
      </c>
      <c r="C26" s="206" t="s">
        <v>26</v>
      </c>
      <c r="D26" s="213" t="s">
        <v>218</v>
      </c>
      <c r="E26" s="207">
        <v>3931</v>
      </c>
      <c r="F26" s="208">
        <f>SUM(E26*12)</f>
        <v>47172</v>
      </c>
      <c r="G26" s="208">
        <v>5.33</v>
      </c>
      <c r="H26" s="209">
        <f>SUM(F26*G26/1000)</f>
        <v>251.42676</v>
      </c>
      <c r="I26" s="18">
        <f>F26/12*G26</f>
        <v>20952.23</v>
      </c>
      <c r="J26" s="203"/>
    </row>
    <row r="27" spans="1:10" s="202" customFormat="1" ht="15.75" customHeight="1">
      <c r="A27" s="261" t="s">
        <v>117</v>
      </c>
      <c r="B27" s="262"/>
      <c r="C27" s="262"/>
      <c r="D27" s="262"/>
      <c r="E27" s="262"/>
      <c r="F27" s="262"/>
      <c r="G27" s="262"/>
      <c r="H27" s="262"/>
      <c r="I27" s="263"/>
      <c r="J27" s="203"/>
    </row>
    <row r="28" spans="1:10" s="202" customFormat="1" ht="15.75" hidden="1" customHeight="1">
      <c r="A28" s="48"/>
      <c r="B28" s="238" t="s">
        <v>33</v>
      </c>
      <c r="C28" s="206"/>
      <c r="D28" s="205"/>
      <c r="E28" s="207"/>
      <c r="F28" s="208"/>
      <c r="G28" s="208"/>
      <c r="H28" s="209"/>
      <c r="I28" s="18"/>
      <c r="J28" s="203"/>
    </row>
    <row r="29" spans="1:10" s="202" customFormat="1" ht="31.5" hidden="1" customHeight="1">
      <c r="A29" s="48">
        <v>6</v>
      </c>
      <c r="B29" s="205" t="s">
        <v>169</v>
      </c>
      <c r="C29" s="206" t="s">
        <v>170</v>
      </c>
      <c r="D29" s="205" t="s">
        <v>215</v>
      </c>
      <c r="E29" s="208">
        <v>1116.27</v>
      </c>
      <c r="F29" s="208">
        <f>SUM(E29*52/1000)</f>
        <v>58.046039999999998</v>
      </c>
      <c r="G29" s="208">
        <v>166.65</v>
      </c>
      <c r="H29" s="209">
        <f t="shared" ref="H29:H35" si="1">SUM(F29*G29/1000)</f>
        <v>9.6733725659999994</v>
      </c>
      <c r="I29" s="18">
        <v>0</v>
      </c>
      <c r="J29" s="203"/>
    </row>
    <row r="30" spans="1:10" s="202" customFormat="1" ht="31.5" hidden="1" customHeight="1">
      <c r="A30" s="48">
        <v>7</v>
      </c>
      <c r="B30" s="205" t="s">
        <v>244</v>
      </c>
      <c r="C30" s="206" t="s">
        <v>170</v>
      </c>
      <c r="D30" s="205" t="s">
        <v>216</v>
      </c>
      <c r="E30" s="208">
        <v>89.03</v>
      </c>
      <c r="F30" s="208">
        <f>SUM(E30*78/1000)</f>
        <v>6.9443400000000004</v>
      </c>
      <c r="G30" s="208">
        <v>276.48</v>
      </c>
      <c r="H30" s="209">
        <f t="shared" si="1"/>
        <v>1.9199711232000003</v>
      </c>
      <c r="I30" s="18">
        <v>0</v>
      </c>
      <c r="J30" s="203"/>
    </row>
    <row r="31" spans="1:10" s="202" customFormat="1" ht="15.75" hidden="1" customHeight="1">
      <c r="A31" s="48"/>
      <c r="B31" s="205" t="s">
        <v>32</v>
      </c>
      <c r="C31" s="206" t="s">
        <v>170</v>
      </c>
      <c r="D31" s="205" t="s">
        <v>66</v>
      </c>
      <c r="E31" s="208">
        <v>1116.27</v>
      </c>
      <c r="F31" s="208">
        <f>SUM(E31/1000)</f>
        <v>1.1162699999999999</v>
      </c>
      <c r="G31" s="208">
        <v>3228.73</v>
      </c>
      <c r="H31" s="209">
        <f t="shared" si="1"/>
        <v>3.6041344370999995</v>
      </c>
      <c r="I31" s="18">
        <v>0</v>
      </c>
      <c r="J31" s="203"/>
    </row>
    <row r="32" spans="1:10" s="202" customFormat="1" ht="15.75" hidden="1" customHeight="1">
      <c r="A32" s="48">
        <v>8</v>
      </c>
      <c r="B32" s="205" t="s">
        <v>174</v>
      </c>
      <c r="C32" s="206" t="s">
        <v>49</v>
      </c>
      <c r="D32" s="205" t="s">
        <v>80</v>
      </c>
      <c r="E32" s="208">
        <v>6</v>
      </c>
      <c r="F32" s="208">
        <v>9.3000000000000007</v>
      </c>
      <c r="G32" s="208">
        <v>1391.86</v>
      </c>
      <c r="H32" s="209">
        <f>G32*F32/1000</f>
        <v>12.944298</v>
      </c>
      <c r="I32" s="18">
        <v>0</v>
      </c>
      <c r="J32" s="203"/>
    </row>
    <row r="33" spans="1:14" s="202" customFormat="1" ht="15.75" hidden="1" customHeight="1">
      <c r="A33" s="48">
        <v>9</v>
      </c>
      <c r="B33" s="205" t="s">
        <v>175</v>
      </c>
      <c r="C33" s="206" t="s">
        <v>36</v>
      </c>
      <c r="D33" s="205" t="s">
        <v>80</v>
      </c>
      <c r="E33" s="212">
        <v>0.33333333333333331</v>
      </c>
      <c r="F33" s="208">
        <f>155/3</f>
        <v>51.666666666666664</v>
      </c>
      <c r="G33" s="208">
        <v>60.6</v>
      </c>
      <c r="H33" s="209">
        <f>SUM(G33*155/3/1000)</f>
        <v>3.1309999999999998</v>
      </c>
      <c r="I33" s="18">
        <v>0</v>
      </c>
      <c r="J33" s="203"/>
    </row>
    <row r="34" spans="1:14" s="202" customFormat="1" ht="15.75" hidden="1" customHeight="1">
      <c r="A34" s="48"/>
      <c r="B34" s="205" t="s">
        <v>82</v>
      </c>
      <c r="C34" s="206" t="s">
        <v>38</v>
      </c>
      <c r="D34" s="205" t="s">
        <v>84</v>
      </c>
      <c r="E34" s="207"/>
      <c r="F34" s="208">
        <v>3</v>
      </c>
      <c r="G34" s="208">
        <v>204.52</v>
      </c>
      <c r="H34" s="209">
        <f t="shared" si="1"/>
        <v>0.61356000000000011</v>
      </c>
      <c r="I34" s="18">
        <v>0</v>
      </c>
      <c r="J34" s="203"/>
    </row>
    <row r="35" spans="1:14" s="202" customFormat="1" ht="15.75" hidden="1" customHeight="1">
      <c r="A35" s="48"/>
      <c r="B35" s="205" t="s">
        <v>83</v>
      </c>
      <c r="C35" s="206" t="s">
        <v>37</v>
      </c>
      <c r="D35" s="205" t="s">
        <v>84</v>
      </c>
      <c r="E35" s="207"/>
      <c r="F35" s="208">
        <v>2</v>
      </c>
      <c r="G35" s="208">
        <v>1136.33</v>
      </c>
      <c r="H35" s="209">
        <f t="shared" si="1"/>
        <v>2.2726599999999997</v>
      </c>
      <c r="I35" s="18">
        <v>0</v>
      </c>
      <c r="J35" s="203"/>
    </row>
    <row r="36" spans="1:14" s="202" customFormat="1" ht="15.75" customHeight="1">
      <c r="A36" s="48"/>
      <c r="B36" s="238" t="s">
        <v>5</v>
      </c>
      <c r="C36" s="206"/>
      <c r="D36" s="205"/>
      <c r="E36" s="207"/>
      <c r="F36" s="208"/>
      <c r="G36" s="208"/>
      <c r="H36" s="209" t="s">
        <v>218</v>
      </c>
      <c r="I36" s="18"/>
      <c r="J36" s="203"/>
    </row>
    <row r="37" spans="1:14" s="202" customFormat="1" ht="15.75" customHeight="1">
      <c r="A37" s="48">
        <v>6</v>
      </c>
      <c r="B37" s="205" t="s">
        <v>30</v>
      </c>
      <c r="C37" s="206" t="s">
        <v>37</v>
      </c>
      <c r="D37" s="205"/>
      <c r="E37" s="207"/>
      <c r="F37" s="208">
        <v>8</v>
      </c>
      <c r="G37" s="208">
        <v>1632.6</v>
      </c>
      <c r="H37" s="209">
        <f t="shared" ref="H37:H44" si="2">SUM(F37*G37/1000)</f>
        <v>13.060799999999999</v>
      </c>
      <c r="I37" s="18">
        <f>F37/6*G37</f>
        <v>2176.7999999999997</v>
      </c>
      <c r="J37" s="203"/>
    </row>
    <row r="38" spans="1:14" s="202" customFormat="1" ht="15.75" customHeight="1">
      <c r="A38" s="48">
        <v>7</v>
      </c>
      <c r="B38" s="205" t="s">
        <v>133</v>
      </c>
      <c r="C38" s="206" t="s">
        <v>34</v>
      </c>
      <c r="D38" s="205" t="s">
        <v>176</v>
      </c>
      <c r="E38" s="207">
        <v>461.12</v>
      </c>
      <c r="F38" s="208">
        <f>E38*12/1000</f>
        <v>5.5334400000000006</v>
      </c>
      <c r="G38" s="208">
        <v>2247.8000000000002</v>
      </c>
      <c r="H38" s="209">
        <f>G38*F38/1000</f>
        <v>12.438066432000001</v>
      </c>
      <c r="I38" s="18">
        <f>F38/6*G38</f>
        <v>2073.0110720000002</v>
      </c>
      <c r="J38" s="203"/>
    </row>
    <row r="39" spans="1:14" s="202" customFormat="1" ht="15.75" customHeight="1">
      <c r="A39" s="48">
        <v>8</v>
      </c>
      <c r="B39" s="205" t="s">
        <v>177</v>
      </c>
      <c r="C39" s="206" t="s">
        <v>34</v>
      </c>
      <c r="D39" s="205" t="s">
        <v>178</v>
      </c>
      <c r="E39" s="207">
        <v>89.03</v>
      </c>
      <c r="F39" s="208">
        <f>E39*30/1000</f>
        <v>2.6709000000000001</v>
      </c>
      <c r="G39" s="208">
        <v>2247.8000000000002</v>
      </c>
      <c r="H39" s="209">
        <f>G39*F39/1000</f>
        <v>6.003649020000001</v>
      </c>
      <c r="I39" s="18">
        <f>F39/6*G39</f>
        <v>1000.6081700000001</v>
      </c>
      <c r="J39" s="203"/>
    </row>
    <row r="40" spans="1:14" s="202" customFormat="1" ht="15.75" hidden="1" customHeight="1">
      <c r="A40" s="48"/>
      <c r="B40" s="205" t="s">
        <v>179</v>
      </c>
      <c r="C40" s="206" t="s">
        <v>180</v>
      </c>
      <c r="D40" s="205" t="s">
        <v>84</v>
      </c>
      <c r="E40" s="207"/>
      <c r="F40" s="208">
        <v>135</v>
      </c>
      <c r="G40" s="208">
        <v>213.2</v>
      </c>
      <c r="H40" s="209">
        <f>G40*F40/1000</f>
        <v>28.782</v>
      </c>
      <c r="I40" s="18">
        <v>0</v>
      </c>
      <c r="J40" s="203"/>
      <c r="L40" s="27"/>
      <c r="M40" s="28"/>
      <c r="N40" s="54"/>
    </row>
    <row r="41" spans="1:14" s="202" customFormat="1" ht="15.75" customHeight="1">
      <c r="A41" s="48">
        <v>9</v>
      </c>
      <c r="B41" s="205" t="s">
        <v>85</v>
      </c>
      <c r="C41" s="206" t="s">
        <v>34</v>
      </c>
      <c r="D41" s="205" t="s">
        <v>181</v>
      </c>
      <c r="E41" s="208">
        <v>89.03</v>
      </c>
      <c r="F41" s="208">
        <f>SUM(E41*155/1000)</f>
        <v>13.79965</v>
      </c>
      <c r="G41" s="208">
        <v>374.95</v>
      </c>
      <c r="H41" s="209">
        <f t="shared" si="2"/>
        <v>5.1741787674999999</v>
      </c>
      <c r="I41" s="18">
        <f>F41/6*G41</f>
        <v>862.36312791666671</v>
      </c>
      <c r="J41" s="203"/>
      <c r="L41" s="27"/>
      <c r="M41" s="28"/>
      <c r="N41" s="54"/>
    </row>
    <row r="42" spans="1:14" s="202" customFormat="1" ht="15.75" customHeight="1">
      <c r="A42" s="48">
        <v>10</v>
      </c>
      <c r="B42" s="205" t="s">
        <v>111</v>
      </c>
      <c r="C42" s="206" t="s">
        <v>170</v>
      </c>
      <c r="D42" s="205" t="s">
        <v>182</v>
      </c>
      <c r="E42" s="208">
        <v>89.03</v>
      </c>
      <c r="F42" s="208">
        <f>SUM(E42*24/1000)</f>
        <v>2.1367200000000004</v>
      </c>
      <c r="G42" s="208">
        <v>6203.71</v>
      </c>
      <c r="H42" s="209">
        <f t="shared" si="2"/>
        <v>13.255591231200002</v>
      </c>
      <c r="I42" s="18">
        <f>F42/6*G42</f>
        <v>2209.2652052000003</v>
      </c>
      <c r="J42" s="203"/>
      <c r="L42" s="27"/>
      <c r="M42" s="28"/>
      <c r="N42" s="54"/>
    </row>
    <row r="43" spans="1:14" s="202" customFormat="1" ht="15.75" customHeight="1">
      <c r="A43" s="48">
        <v>11</v>
      </c>
      <c r="B43" s="205" t="s">
        <v>183</v>
      </c>
      <c r="C43" s="206" t="s">
        <v>170</v>
      </c>
      <c r="D43" s="205" t="s">
        <v>86</v>
      </c>
      <c r="E43" s="208">
        <v>89.03</v>
      </c>
      <c r="F43" s="208">
        <f>SUM(E43*45/1000)</f>
        <v>4.0063500000000003</v>
      </c>
      <c r="G43" s="208">
        <v>458.28</v>
      </c>
      <c r="H43" s="209">
        <f t="shared" si="2"/>
        <v>1.8360300780000001</v>
      </c>
      <c r="I43" s="18">
        <f>F43/6*G43</f>
        <v>306.00501299999996</v>
      </c>
      <c r="J43" s="203"/>
      <c r="L43" s="27"/>
      <c r="M43" s="28"/>
      <c r="N43" s="54"/>
    </row>
    <row r="44" spans="1:14" s="202" customFormat="1" ht="15.75" customHeight="1">
      <c r="A44" s="48">
        <v>12</v>
      </c>
      <c r="B44" s="205" t="s">
        <v>87</v>
      </c>
      <c r="C44" s="206" t="s">
        <v>38</v>
      </c>
      <c r="D44" s="205"/>
      <c r="E44" s="207"/>
      <c r="F44" s="208">
        <v>0.9</v>
      </c>
      <c r="G44" s="208">
        <v>798</v>
      </c>
      <c r="H44" s="209">
        <f t="shared" si="2"/>
        <v>0.71820000000000006</v>
      </c>
      <c r="I44" s="18">
        <f>F44/6*G44</f>
        <v>119.69999999999999</v>
      </c>
      <c r="J44" s="203"/>
      <c r="L44" s="27"/>
      <c r="M44" s="28"/>
      <c r="N44" s="54"/>
    </row>
    <row r="45" spans="1:14" s="202" customFormat="1" ht="15.75" customHeight="1">
      <c r="A45" s="261" t="s">
        <v>247</v>
      </c>
      <c r="B45" s="262"/>
      <c r="C45" s="262"/>
      <c r="D45" s="262"/>
      <c r="E45" s="262"/>
      <c r="F45" s="262"/>
      <c r="G45" s="262"/>
      <c r="H45" s="262"/>
      <c r="I45" s="263"/>
      <c r="J45" s="203"/>
      <c r="L45" s="27"/>
      <c r="M45" s="28"/>
      <c r="N45" s="54"/>
    </row>
    <row r="46" spans="1:14" s="202" customFormat="1" ht="15.75" hidden="1" customHeight="1">
      <c r="A46" s="48"/>
      <c r="B46" s="205" t="s">
        <v>184</v>
      </c>
      <c r="C46" s="206" t="s">
        <v>170</v>
      </c>
      <c r="D46" s="205" t="s">
        <v>53</v>
      </c>
      <c r="E46" s="207">
        <v>1032.5</v>
      </c>
      <c r="F46" s="208">
        <f>SUM(E46*2/1000)</f>
        <v>2.0649999999999999</v>
      </c>
      <c r="G46" s="18">
        <v>908.1</v>
      </c>
      <c r="H46" s="209">
        <f t="shared" ref="H46:H55" si="3">SUM(F46*G46/1000)</f>
        <v>1.8752264999999999</v>
      </c>
      <c r="I46" s="18">
        <v>0</v>
      </c>
      <c r="J46" s="203"/>
      <c r="L46" s="27"/>
      <c r="M46" s="28"/>
      <c r="N46" s="54"/>
    </row>
    <row r="47" spans="1:14" s="202" customFormat="1" ht="15.75" hidden="1" customHeight="1">
      <c r="A47" s="48"/>
      <c r="B47" s="205" t="s">
        <v>42</v>
      </c>
      <c r="C47" s="206" t="s">
        <v>170</v>
      </c>
      <c r="D47" s="205" t="s">
        <v>53</v>
      </c>
      <c r="E47" s="207">
        <v>132</v>
      </c>
      <c r="F47" s="208">
        <f>E47*2/1000</f>
        <v>0.26400000000000001</v>
      </c>
      <c r="G47" s="18">
        <v>619.46</v>
      </c>
      <c r="H47" s="209">
        <f t="shared" si="3"/>
        <v>0.16353744000000001</v>
      </c>
      <c r="I47" s="18">
        <v>0</v>
      </c>
      <c r="J47" s="203"/>
      <c r="L47" s="27"/>
      <c r="M47" s="28"/>
      <c r="N47" s="54"/>
    </row>
    <row r="48" spans="1:14" s="202" customFormat="1" ht="15.75" hidden="1" customHeight="1">
      <c r="A48" s="48"/>
      <c r="B48" s="205" t="s">
        <v>43</v>
      </c>
      <c r="C48" s="206" t="s">
        <v>170</v>
      </c>
      <c r="D48" s="205" t="s">
        <v>53</v>
      </c>
      <c r="E48" s="207">
        <v>4248.22</v>
      </c>
      <c r="F48" s="208">
        <f>SUM(E48*2/1000)</f>
        <v>8.4964399999999998</v>
      </c>
      <c r="G48" s="18">
        <v>619.46</v>
      </c>
      <c r="H48" s="209">
        <f t="shared" si="3"/>
        <v>5.2632047223999994</v>
      </c>
      <c r="I48" s="18">
        <v>0</v>
      </c>
      <c r="J48" s="203"/>
      <c r="L48" s="27"/>
      <c r="M48" s="28"/>
      <c r="N48" s="54"/>
    </row>
    <row r="49" spans="1:22" s="202" customFormat="1" ht="15.75" hidden="1" customHeight="1">
      <c r="A49" s="48"/>
      <c r="B49" s="205" t="s">
        <v>44</v>
      </c>
      <c r="C49" s="206" t="s">
        <v>170</v>
      </c>
      <c r="D49" s="205" t="s">
        <v>53</v>
      </c>
      <c r="E49" s="207">
        <v>2163.66</v>
      </c>
      <c r="F49" s="208">
        <f>SUM(E49*2/1000)</f>
        <v>4.3273199999999994</v>
      </c>
      <c r="G49" s="18">
        <v>648.64</v>
      </c>
      <c r="H49" s="209">
        <f t="shared" si="3"/>
        <v>2.8068728447999995</v>
      </c>
      <c r="I49" s="18">
        <v>0</v>
      </c>
      <c r="J49" s="203"/>
      <c r="L49" s="27"/>
      <c r="M49" s="28"/>
      <c r="N49" s="54"/>
    </row>
    <row r="50" spans="1:22" s="202" customFormat="1" ht="31.5" customHeight="1">
      <c r="A50" s="48">
        <v>13</v>
      </c>
      <c r="B50" s="205" t="s">
        <v>70</v>
      </c>
      <c r="C50" s="206" t="s">
        <v>170</v>
      </c>
      <c r="D50" s="205" t="s">
        <v>246</v>
      </c>
      <c r="E50" s="207">
        <v>1017.5</v>
      </c>
      <c r="F50" s="208">
        <f>SUM(E50*5/1000)</f>
        <v>5.0875000000000004</v>
      </c>
      <c r="G50" s="18">
        <v>1297.28</v>
      </c>
      <c r="H50" s="209">
        <f t="shared" si="3"/>
        <v>6.5999120000000007</v>
      </c>
      <c r="I50" s="18">
        <f>F50/5*G50</f>
        <v>1319.9824000000001</v>
      </c>
      <c r="J50" s="203"/>
      <c r="L50" s="27"/>
      <c r="M50" s="28"/>
      <c r="N50" s="54"/>
    </row>
    <row r="51" spans="1:22" s="202" customFormat="1" ht="31.5" hidden="1" customHeight="1">
      <c r="A51" s="48"/>
      <c r="B51" s="205" t="s">
        <v>186</v>
      </c>
      <c r="C51" s="206" t="s">
        <v>170</v>
      </c>
      <c r="D51" s="205" t="s">
        <v>53</v>
      </c>
      <c r="E51" s="207">
        <v>1017.5</v>
      </c>
      <c r="F51" s="208">
        <f>SUM(E51*2/1000)</f>
        <v>2.0350000000000001</v>
      </c>
      <c r="G51" s="18">
        <v>1297.28</v>
      </c>
      <c r="H51" s="209">
        <f t="shared" si="3"/>
        <v>2.6399648</v>
      </c>
      <c r="I51" s="18">
        <v>0</v>
      </c>
      <c r="J51" s="203"/>
      <c r="L51" s="27"/>
      <c r="M51" s="28"/>
      <c r="N51" s="54"/>
    </row>
    <row r="52" spans="1:22" s="202" customFormat="1" ht="31.5" hidden="1" customHeight="1">
      <c r="A52" s="48"/>
      <c r="B52" s="205" t="s">
        <v>187</v>
      </c>
      <c r="C52" s="206" t="s">
        <v>47</v>
      </c>
      <c r="D52" s="205" t="s">
        <v>53</v>
      </c>
      <c r="E52" s="207">
        <v>30</v>
      </c>
      <c r="F52" s="208">
        <f>SUM(E52*2/100)</f>
        <v>0.6</v>
      </c>
      <c r="G52" s="18">
        <v>2918.89</v>
      </c>
      <c r="H52" s="209">
        <f t="shared" si="3"/>
        <v>1.7513339999999997</v>
      </c>
      <c r="I52" s="18">
        <v>0</v>
      </c>
      <c r="J52" s="203"/>
      <c r="L52" s="27"/>
      <c r="M52" s="28"/>
      <c r="N52" s="54"/>
    </row>
    <row r="53" spans="1:22" s="202" customFormat="1" ht="15.75" hidden="1" customHeight="1">
      <c r="A53" s="48"/>
      <c r="B53" s="205" t="s">
        <v>48</v>
      </c>
      <c r="C53" s="206" t="s">
        <v>49</v>
      </c>
      <c r="D53" s="205" t="s">
        <v>53</v>
      </c>
      <c r="E53" s="207">
        <v>1</v>
      </c>
      <c r="F53" s="208">
        <v>0.02</v>
      </c>
      <c r="G53" s="18">
        <v>6042.13</v>
      </c>
      <c r="H53" s="209">
        <f t="shared" si="3"/>
        <v>0.12084260000000001</v>
      </c>
      <c r="I53" s="18">
        <v>0</v>
      </c>
      <c r="J53" s="203"/>
      <c r="L53" s="27"/>
      <c r="M53" s="28"/>
      <c r="N53" s="54"/>
    </row>
    <row r="54" spans="1:22" s="202" customFormat="1" ht="15.75" hidden="1" customHeight="1">
      <c r="A54" s="48">
        <v>14</v>
      </c>
      <c r="B54" s="205" t="s">
        <v>188</v>
      </c>
      <c r="C54" s="206" t="s">
        <v>140</v>
      </c>
      <c r="D54" s="205" t="s">
        <v>88</v>
      </c>
      <c r="E54" s="207">
        <v>90</v>
      </c>
      <c r="F54" s="208">
        <f>E54*4</f>
        <v>360</v>
      </c>
      <c r="G54" s="18">
        <v>150.86000000000001</v>
      </c>
      <c r="H54" s="209">
        <f>F54*G54/1000</f>
        <v>54.309600000000003</v>
      </c>
      <c r="I54" s="18">
        <f>G54*E54</f>
        <v>13577.400000000001</v>
      </c>
      <c r="J54" s="203"/>
      <c r="L54" s="27"/>
      <c r="M54" s="28"/>
      <c r="N54" s="54"/>
    </row>
    <row r="55" spans="1:22" s="202" customFormat="1" ht="15.75" hidden="1" customHeight="1">
      <c r="A55" s="48">
        <v>15</v>
      </c>
      <c r="B55" s="205" t="s">
        <v>52</v>
      </c>
      <c r="C55" s="206" t="s">
        <v>140</v>
      </c>
      <c r="D55" s="205" t="s">
        <v>88</v>
      </c>
      <c r="E55" s="207">
        <v>180</v>
      </c>
      <c r="F55" s="208">
        <f>SUM(E55)*3</f>
        <v>540</v>
      </c>
      <c r="G55" s="18">
        <v>70.2</v>
      </c>
      <c r="H55" s="209">
        <f t="shared" si="3"/>
        <v>37.908000000000001</v>
      </c>
      <c r="I55" s="18">
        <f>G55*E55</f>
        <v>12636</v>
      </c>
      <c r="J55" s="203"/>
      <c r="L55" s="27"/>
      <c r="M55" s="28"/>
      <c r="N55" s="54"/>
    </row>
    <row r="56" spans="1:22" s="202" customFormat="1" ht="15.75" customHeight="1">
      <c r="A56" s="261" t="s">
        <v>248</v>
      </c>
      <c r="B56" s="262"/>
      <c r="C56" s="262"/>
      <c r="D56" s="262"/>
      <c r="E56" s="262"/>
      <c r="F56" s="262"/>
      <c r="G56" s="262"/>
      <c r="H56" s="262"/>
      <c r="I56" s="263"/>
      <c r="J56" s="203"/>
      <c r="L56" s="27"/>
      <c r="M56" s="28"/>
      <c r="N56" s="54"/>
    </row>
    <row r="57" spans="1:22" s="202" customFormat="1" ht="15.75" customHeight="1">
      <c r="A57" s="48"/>
      <c r="B57" s="238" t="s">
        <v>54</v>
      </c>
      <c r="C57" s="206"/>
      <c r="D57" s="205"/>
      <c r="E57" s="207"/>
      <c r="F57" s="208"/>
      <c r="G57" s="208"/>
      <c r="H57" s="209"/>
      <c r="I57" s="18"/>
      <c r="J57" s="203"/>
      <c r="L57" s="27"/>
      <c r="M57" s="28"/>
      <c r="N57" s="54"/>
    </row>
    <row r="58" spans="1:22" s="202" customFormat="1" ht="31.5" customHeight="1">
      <c r="A58" s="48">
        <v>14</v>
      </c>
      <c r="B58" s="205" t="s">
        <v>207</v>
      </c>
      <c r="C58" s="206" t="s">
        <v>158</v>
      </c>
      <c r="D58" s="205" t="s">
        <v>189</v>
      </c>
      <c r="E58" s="207">
        <v>103.25</v>
      </c>
      <c r="F58" s="208">
        <f>SUM(E58*6/100)</f>
        <v>6.1950000000000003</v>
      </c>
      <c r="G58" s="18">
        <v>1654.04</v>
      </c>
      <c r="H58" s="209">
        <f>SUM(F58*G58/1000)</f>
        <v>10.2467778</v>
      </c>
      <c r="I58" s="18">
        <f>F58/6*G58</f>
        <v>1707.7963</v>
      </c>
      <c r="J58" s="203"/>
      <c r="L58" s="27"/>
      <c r="M58" s="28"/>
      <c r="N58" s="54"/>
    </row>
    <row r="59" spans="1:22" s="202" customFormat="1" ht="31.5" customHeight="1">
      <c r="A59" s="48">
        <v>15</v>
      </c>
      <c r="B59" s="205" t="s">
        <v>138</v>
      </c>
      <c r="C59" s="206" t="s">
        <v>158</v>
      </c>
      <c r="D59" s="205" t="s">
        <v>139</v>
      </c>
      <c r="E59" s="207">
        <v>39.700000000000003</v>
      </c>
      <c r="F59" s="208">
        <f>SUM(E59*12/100)</f>
        <v>4.7640000000000002</v>
      </c>
      <c r="G59" s="18">
        <v>1654.04</v>
      </c>
      <c r="H59" s="209">
        <f>SUM(F59*G59/1000)</f>
        <v>7.8798465599999998</v>
      </c>
      <c r="I59" s="18">
        <f>F59/6*G59</f>
        <v>1313.3077600000001</v>
      </c>
      <c r="J59" s="203"/>
      <c r="L59" s="27"/>
      <c r="M59" s="28"/>
      <c r="N59" s="54"/>
    </row>
    <row r="60" spans="1:22" s="202" customFormat="1" ht="15.75" hidden="1" customHeight="1">
      <c r="A60" s="48">
        <v>18</v>
      </c>
      <c r="B60" s="214" t="s">
        <v>190</v>
      </c>
      <c r="C60" s="215" t="s">
        <v>191</v>
      </c>
      <c r="D60" s="214" t="s">
        <v>53</v>
      </c>
      <c r="E60" s="216">
        <v>8</v>
      </c>
      <c r="F60" s="217">
        <v>16</v>
      </c>
      <c r="G60" s="18">
        <v>193.25</v>
      </c>
      <c r="H60" s="218">
        <f>F60*G60/1000</f>
        <v>3.0920000000000001</v>
      </c>
      <c r="I60" s="18">
        <f>F60/2*G60</f>
        <v>1546</v>
      </c>
      <c r="J60" s="203"/>
      <c r="L60" s="27"/>
    </row>
    <row r="61" spans="1:22" s="202" customFormat="1" ht="15.75" customHeight="1">
      <c r="A61" s="48">
        <v>16</v>
      </c>
      <c r="B61" s="205" t="s">
        <v>192</v>
      </c>
      <c r="C61" s="206" t="s">
        <v>158</v>
      </c>
      <c r="D61" s="205" t="s">
        <v>189</v>
      </c>
      <c r="E61" s="207">
        <v>41.73</v>
      </c>
      <c r="F61" s="208">
        <f>SUM(E61*6/100)</f>
        <v>2.5038</v>
      </c>
      <c r="G61" s="18">
        <v>1654.04</v>
      </c>
      <c r="H61" s="209">
        <f>SUM(F61*G61/1000)</f>
        <v>4.1413853520000004</v>
      </c>
      <c r="I61" s="18">
        <f>F61/6*G61</f>
        <v>690.23089200000004</v>
      </c>
      <c r="J61" s="203"/>
      <c r="L61" s="27"/>
    </row>
    <row r="62" spans="1:22" s="202" customFormat="1" ht="15.75" customHeight="1">
      <c r="A62" s="48"/>
      <c r="B62" s="239" t="s">
        <v>55</v>
      </c>
      <c r="C62" s="215"/>
      <c r="D62" s="214"/>
      <c r="E62" s="216"/>
      <c r="F62" s="217"/>
      <c r="G62" s="18"/>
      <c r="H62" s="218"/>
      <c r="I62" s="18"/>
    </row>
    <row r="63" spans="1:22" s="202" customFormat="1" ht="15.75" hidden="1" customHeight="1">
      <c r="A63" s="48"/>
      <c r="B63" s="214" t="s">
        <v>219</v>
      </c>
      <c r="C63" s="215" t="s">
        <v>65</v>
      </c>
      <c r="D63" s="214" t="s">
        <v>66</v>
      </c>
      <c r="E63" s="216">
        <v>1017.5</v>
      </c>
      <c r="F63" s="217">
        <v>10.154</v>
      </c>
      <c r="G63" s="18">
        <v>848.37</v>
      </c>
      <c r="H63" s="218">
        <f>F63*G63/1000</f>
        <v>8.6143489800000008</v>
      </c>
      <c r="I63" s="18">
        <v>0</v>
      </c>
    </row>
    <row r="64" spans="1:22" s="202" customFormat="1" ht="15.75" customHeight="1">
      <c r="A64" s="48">
        <v>17</v>
      </c>
      <c r="B64" s="214" t="s">
        <v>142</v>
      </c>
      <c r="C64" s="215" t="s">
        <v>28</v>
      </c>
      <c r="D64" s="214" t="s">
        <v>35</v>
      </c>
      <c r="E64" s="216">
        <v>203.5</v>
      </c>
      <c r="F64" s="219">
        <f>E64*12</f>
        <v>2442</v>
      </c>
      <c r="G64" s="197">
        <v>2.6</v>
      </c>
      <c r="H64" s="217">
        <f>F64*G64/1000</f>
        <v>6.3491999999999997</v>
      </c>
      <c r="I64" s="18">
        <f>F64/12*G64</f>
        <v>529.1</v>
      </c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1"/>
    </row>
    <row r="65" spans="1:21" s="202" customFormat="1" ht="15.75" hidden="1" customHeight="1">
      <c r="A65" s="48"/>
      <c r="B65" s="239" t="s">
        <v>57</v>
      </c>
      <c r="C65" s="215"/>
      <c r="D65" s="214"/>
      <c r="E65" s="216"/>
      <c r="F65" s="219"/>
      <c r="G65" s="219"/>
      <c r="H65" s="217" t="s">
        <v>218</v>
      </c>
      <c r="I65" s="18"/>
      <c r="J65" s="222"/>
      <c r="K65" s="222"/>
      <c r="L65" s="220"/>
      <c r="M65" s="220"/>
      <c r="N65" s="220"/>
      <c r="O65" s="220"/>
      <c r="P65" s="220"/>
      <c r="Q65" s="220"/>
      <c r="R65" s="220"/>
      <c r="S65" s="220"/>
      <c r="T65" s="220"/>
      <c r="U65" s="220"/>
    </row>
    <row r="66" spans="1:21" s="202" customFormat="1" ht="15.75" hidden="1" customHeight="1">
      <c r="A66" s="48"/>
      <c r="B66" s="20" t="s">
        <v>58</v>
      </c>
      <c r="C66" s="22" t="s">
        <v>140</v>
      </c>
      <c r="D66" s="20" t="s">
        <v>84</v>
      </c>
      <c r="E66" s="25">
        <v>10</v>
      </c>
      <c r="F66" s="208">
        <v>10</v>
      </c>
      <c r="G66" s="18">
        <v>237.75</v>
      </c>
      <c r="H66" s="223">
        <f t="shared" ref="H66:H79" si="4">SUM(F66*G66/1000)</f>
        <v>2.3774999999999999</v>
      </c>
      <c r="I66" s="18">
        <v>0</v>
      </c>
      <c r="J66" s="220"/>
      <c r="K66" s="220"/>
      <c r="L66" s="220"/>
      <c r="M66" s="220"/>
      <c r="N66" s="220"/>
      <c r="O66" s="220"/>
      <c r="P66" s="220"/>
      <c r="Q66" s="220"/>
      <c r="S66" s="220"/>
      <c r="T66" s="220"/>
      <c r="U66" s="220"/>
    </row>
    <row r="67" spans="1:21" s="202" customFormat="1" ht="15.75" hidden="1" customHeight="1">
      <c r="A67" s="48"/>
      <c r="B67" s="20" t="s">
        <v>59</v>
      </c>
      <c r="C67" s="22" t="s">
        <v>140</v>
      </c>
      <c r="D67" s="20" t="s">
        <v>84</v>
      </c>
      <c r="E67" s="25">
        <v>5</v>
      </c>
      <c r="F67" s="208">
        <v>5</v>
      </c>
      <c r="G67" s="18">
        <v>81.510000000000005</v>
      </c>
      <c r="H67" s="223">
        <f t="shared" si="4"/>
        <v>0.40755000000000002</v>
      </c>
      <c r="I67" s="18">
        <v>0</v>
      </c>
      <c r="J67" s="224"/>
      <c r="K67" s="224"/>
      <c r="L67" s="224"/>
      <c r="M67" s="224"/>
      <c r="N67" s="224"/>
      <c r="O67" s="224"/>
      <c r="P67" s="224"/>
      <c r="Q67" s="224"/>
      <c r="R67" s="264"/>
      <c r="S67" s="264"/>
      <c r="T67" s="264"/>
      <c r="U67" s="264"/>
    </row>
    <row r="68" spans="1:21" s="202" customFormat="1" ht="15.75" hidden="1" customHeight="1">
      <c r="A68" s="48"/>
      <c r="B68" s="20" t="s">
        <v>60</v>
      </c>
      <c r="C68" s="22" t="s">
        <v>193</v>
      </c>
      <c r="D68" s="20" t="s">
        <v>66</v>
      </c>
      <c r="E68" s="207">
        <v>14347</v>
      </c>
      <c r="F68" s="18">
        <f>SUM(E68/100)</f>
        <v>143.47</v>
      </c>
      <c r="G68" s="18">
        <v>226.79</v>
      </c>
      <c r="H68" s="223">
        <f t="shared" si="4"/>
        <v>32.5375613</v>
      </c>
      <c r="I68" s="18">
        <v>0</v>
      </c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</row>
    <row r="69" spans="1:21" s="202" customFormat="1" ht="15.75" hidden="1" customHeight="1">
      <c r="A69" s="48"/>
      <c r="B69" s="20" t="s">
        <v>61</v>
      </c>
      <c r="C69" s="22" t="s">
        <v>194</v>
      </c>
      <c r="D69" s="20" t="s">
        <v>66</v>
      </c>
      <c r="E69" s="207">
        <v>14347</v>
      </c>
      <c r="F69" s="18">
        <f>SUM(E69/1000)</f>
        <v>14.347</v>
      </c>
      <c r="G69" s="18">
        <v>176.61</v>
      </c>
      <c r="H69" s="223">
        <f t="shared" si="4"/>
        <v>2.5338236700000003</v>
      </c>
      <c r="I69" s="18">
        <v>0</v>
      </c>
    </row>
    <row r="70" spans="1:21" s="202" customFormat="1" ht="15.75" hidden="1" customHeight="1">
      <c r="A70" s="48"/>
      <c r="B70" s="20" t="s">
        <v>62</v>
      </c>
      <c r="C70" s="22" t="s">
        <v>94</v>
      </c>
      <c r="D70" s="20" t="s">
        <v>66</v>
      </c>
      <c r="E70" s="207">
        <v>2244</v>
      </c>
      <c r="F70" s="18">
        <f>SUM(E70/100)</f>
        <v>22.44</v>
      </c>
      <c r="G70" s="18">
        <v>2217.7800000000002</v>
      </c>
      <c r="H70" s="223">
        <f t="shared" si="4"/>
        <v>49.766983200000013</v>
      </c>
      <c r="I70" s="18">
        <v>0</v>
      </c>
    </row>
    <row r="71" spans="1:21" s="202" customFormat="1" ht="15.75" hidden="1" customHeight="1">
      <c r="A71" s="48"/>
      <c r="B71" s="225" t="s">
        <v>195</v>
      </c>
      <c r="C71" s="22" t="s">
        <v>38</v>
      </c>
      <c r="D71" s="20" t="s">
        <v>66</v>
      </c>
      <c r="E71" s="207">
        <v>12.48</v>
      </c>
      <c r="F71" s="18">
        <f>SUM(E71)</f>
        <v>12.48</v>
      </c>
      <c r="G71" s="18">
        <v>42.67</v>
      </c>
      <c r="H71" s="223">
        <f t="shared" si="4"/>
        <v>0.53252160000000004</v>
      </c>
      <c r="I71" s="18">
        <v>0</v>
      </c>
    </row>
    <row r="72" spans="1:21" s="202" customFormat="1" ht="15.75" hidden="1" customHeight="1">
      <c r="A72" s="48"/>
      <c r="B72" s="225" t="s">
        <v>196</v>
      </c>
      <c r="C72" s="22" t="s">
        <v>38</v>
      </c>
      <c r="D72" s="20" t="s">
        <v>66</v>
      </c>
      <c r="E72" s="207">
        <v>12.48</v>
      </c>
      <c r="F72" s="18">
        <f>SUM(E72)</f>
        <v>12.48</v>
      </c>
      <c r="G72" s="18">
        <v>39.81</v>
      </c>
      <c r="H72" s="223">
        <f t="shared" si="4"/>
        <v>0.49682880000000007</v>
      </c>
      <c r="I72" s="18">
        <v>0</v>
      </c>
    </row>
    <row r="73" spans="1:21" s="202" customFormat="1" ht="15.75" hidden="1" customHeight="1">
      <c r="A73" s="48"/>
      <c r="B73" s="20" t="s">
        <v>71</v>
      </c>
      <c r="C73" s="22" t="s">
        <v>72</v>
      </c>
      <c r="D73" s="20" t="s">
        <v>66</v>
      </c>
      <c r="E73" s="25">
        <v>5</v>
      </c>
      <c r="F73" s="208">
        <v>5</v>
      </c>
      <c r="G73" s="18">
        <v>53.32</v>
      </c>
      <c r="H73" s="223">
        <f t="shared" si="4"/>
        <v>0.2666</v>
      </c>
      <c r="I73" s="18">
        <v>0</v>
      </c>
    </row>
    <row r="74" spans="1:21" s="202" customFormat="1" ht="15.75" customHeight="1">
      <c r="A74" s="48"/>
      <c r="B74" s="193" t="s">
        <v>89</v>
      </c>
      <c r="C74" s="22"/>
      <c r="D74" s="20"/>
      <c r="E74" s="25"/>
      <c r="F74" s="18"/>
      <c r="G74" s="18"/>
      <c r="H74" s="223" t="s">
        <v>218</v>
      </c>
      <c r="I74" s="18"/>
    </row>
    <row r="75" spans="1:21" s="202" customFormat="1" ht="15.75" hidden="1" customHeight="1">
      <c r="A75" s="48"/>
      <c r="B75" s="20" t="s">
        <v>90</v>
      </c>
      <c r="C75" s="22" t="s">
        <v>92</v>
      </c>
      <c r="D75" s="20"/>
      <c r="E75" s="25">
        <v>2</v>
      </c>
      <c r="F75" s="18">
        <v>0.2</v>
      </c>
      <c r="G75" s="18">
        <v>536.23</v>
      </c>
      <c r="H75" s="223">
        <f t="shared" si="4"/>
        <v>0.10724600000000001</v>
      </c>
      <c r="I75" s="18">
        <v>0</v>
      </c>
    </row>
    <row r="76" spans="1:21" s="202" customFormat="1" ht="15.75" customHeight="1">
      <c r="A76" s="48">
        <v>18</v>
      </c>
      <c r="B76" s="20" t="s">
        <v>91</v>
      </c>
      <c r="C76" s="22" t="s">
        <v>36</v>
      </c>
      <c r="D76" s="20"/>
      <c r="E76" s="25">
        <v>1</v>
      </c>
      <c r="F76" s="197">
        <v>1</v>
      </c>
      <c r="G76" s="18">
        <v>911.85</v>
      </c>
      <c r="H76" s="223">
        <f>F76*G76/1000</f>
        <v>0.91185000000000005</v>
      </c>
      <c r="I76" s="18">
        <f>G76</f>
        <v>911.85</v>
      </c>
    </row>
    <row r="77" spans="1:21" s="202" customFormat="1" ht="15.75" hidden="1" customHeight="1">
      <c r="A77" s="48"/>
      <c r="B77" s="20" t="s">
        <v>199</v>
      </c>
      <c r="C77" s="22" t="s">
        <v>36</v>
      </c>
      <c r="D77" s="20"/>
      <c r="E77" s="25">
        <v>1</v>
      </c>
      <c r="F77" s="18">
        <v>1</v>
      </c>
      <c r="G77" s="18">
        <v>383.25</v>
      </c>
      <c r="H77" s="223">
        <f>G77*F77/1000</f>
        <v>0.38324999999999998</v>
      </c>
      <c r="I77" s="18">
        <v>0</v>
      </c>
    </row>
    <row r="78" spans="1:21" s="202" customFormat="1" ht="15.75" hidden="1" customHeight="1">
      <c r="A78" s="48"/>
      <c r="B78" s="227" t="s">
        <v>93</v>
      </c>
      <c r="C78" s="22"/>
      <c r="D78" s="20"/>
      <c r="E78" s="25"/>
      <c r="F78" s="18"/>
      <c r="G78" s="18" t="s">
        <v>218</v>
      </c>
      <c r="H78" s="223" t="s">
        <v>218</v>
      </c>
      <c r="I78" s="18"/>
    </row>
    <row r="79" spans="1:21" s="202" customFormat="1" ht="15.75" hidden="1" customHeight="1">
      <c r="A79" s="48"/>
      <c r="B79" s="86" t="s">
        <v>200</v>
      </c>
      <c r="C79" s="22" t="s">
        <v>94</v>
      </c>
      <c r="D79" s="20"/>
      <c r="E79" s="25"/>
      <c r="F79" s="18">
        <v>1</v>
      </c>
      <c r="G79" s="18">
        <v>2949.84</v>
      </c>
      <c r="H79" s="223">
        <f t="shared" si="4"/>
        <v>2.94984</v>
      </c>
      <c r="I79" s="18">
        <v>0</v>
      </c>
    </row>
    <row r="80" spans="1:21" s="202" customFormat="1" ht="15.75" hidden="1" customHeight="1">
      <c r="A80" s="48"/>
      <c r="B80" s="193" t="s">
        <v>197</v>
      </c>
      <c r="C80" s="227"/>
      <c r="D80" s="53"/>
      <c r="E80" s="58"/>
      <c r="F80" s="211"/>
      <c r="G80" s="211"/>
      <c r="H80" s="228">
        <f>SUM(H58:H79)</f>
        <v>133.59511326200004</v>
      </c>
      <c r="I80" s="211"/>
    </row>
    <row r="81" spans="1:9" s="202" customFormat="1" ht="15.75" hidden="1" customHeight="1">
      <c r="A81" s="48"/>
      <c r="B81" s="205" t="s">
        <v>198</v>
      </c>
      <c r="C81" s="22"/>
      <c r="D81" s="20"/>
      <c r="E81" s="198"/>
      <c r="F81" s="18">
        <v>1</v>
      </c>
      <c r="G81" s="18">
        <v>27922</v>
      </c>
      <c r="H81" s="223">
        <f>G81*F81/1000</f>
        <v>27.922000000000001</v>
      </c>
      <c r="I81" s="18">
        <v>0</v>
      </c>
    </row>
    <row r="82" spans="1:9" s="202" customFormat="1" ht="15.75" customHeight="1">
      <c r="A82" s="261" t="s">
        <v>249</v>
      </c>
      <c r="B82" s="262"/>
      <c r="C82" s="262"/>
      <c r="D82" s="262"/>
      <c r="E82" s="262"/>
      <c r="F82" s="262"/>
      <c r="G82" s="262"/>
      <c r="H82" s="262"/>
      <c r="I82" s="263"/>
    </row>
    <row r="83" spans="1:9" s="202" customFormat="1" ht="15.75" customHeight="1">
      <c r="A83" s="48">
        <v>19</v>
      </c>
      <c r="B83" s="205" t="s">
        <v>201</v>
      </c>
      <c r="C83" s="22" t="s">
        <v>67</v>
      </c>
      <c r="D83" s="229" t="s">
        <v>68</v>
      </c>
      <c r="E83" s="18">
        <v>3931</v>
      </c>
      <c r="F83" s="18">
        <f>SUM(E83*12)</f>
        <v>47172</v>
      </c>
      <c r="G83" s="18">
        <v>2.2400000000000002</v>
      </c>
      <c r="H83" s="223">
        <f>SUM(F83*G83/1000)</f>
        <v>105.66528000000001</v>
      </c>
      <c r="I83" s="18">
        <f>F83/12*G83</f>
        <v>8805.44</v>
      </c>
    </row>
    <row r="84" spans="1:9" s="202" customFormat="1" ht="31.5" customHeight="1">
      <c r="A84" s="48">
        <v>20</v>
      </c>
      <c r="B84" s="20" t="s">
        <v>95</v>
      </c>
      <c r="C84" s="22"/>
      <c r="D84" s="229" t="s">
        <v>68</v>
      </c>
      <c r="E84" s="207">
        <f>E83</f>
        <v>3931</v>
      </c>
      <c r="F84" s="18">
        <f>E84*12</f>
        <v>47172</v>
      </c>
      <c r="G84" s="18">
        <v>1.74</v>
      </c>
      <c r="H84" s="223">
        <f>F84*G84/1000</f>
        <v>82.079279999999997</v>
      </c>
      <c r="I84" s="18">
        <f>F84/12*G84</f>
        <v>6839.94</v>
      </c>
    </row>
    <row r="85" spans="1:9" s="202" customFormat="1" ht="15.75" customHeight="1">
      <c r="A85" s="48"/>
      <c r="B85" s="73" t="s">
        <v>101</v>
      </c>
      <c r="C85" s="227"/>
      <c r="D85" s="226"/>
      <c r="E85" s="211"/>
      <c r="F85" s="211"/>
      <c r="G85" s="211"/>
      <c r="H85" s="228">
        <f>H84</f>
        <v>82.079279999999997</v>
      </c>
      <c r="I85" s="211">
        <f>I16+I17+I18+I25+I26+I37+I38+I39+I41+I42+I43+I44+I50+I58+I59+I61+I64+I76+I83+I84</f>
        <v>65914.615298783334</v>
      </c>
    </row>
    <row r="86" spans="1:9" s="202" customFormat="1" ht="15.75" customHeight="1">
      <c r="A86" s="48"/>
      <c r="B86" s="180" t="s">
        <v>74</v>
      </c>
      <c r="C86" s="22"/>
      <c r="D86" s="86"/>
      <c r="E86" s="18"/>
      <c r="F86" s="18"/>
      <c r="G86" s="18"/>
      <c r="H86" s="18"/>
      <c r="I86" s="18"/>
    </row>
    <row r="87" spans="1:9" s="202" customFormat="1" ht="15.75" customHeight="1">
      <c r="A87" s="48">
        <v>21</v>
      </c>
      <c r="B87" s="232" t="s">
        <v>220</v>
      </c>
      <c r="C87" s="184" t="s">
        <v>103</v>
      </c>
      <c r="D87" s="20"/>
      <c r="E87" s="25"/>
      <c r="F87" s="18">
        <v>10</v>
      </c>
      <c r="G87" s="18">
        <v>2057</v>
      </c>
      <c r="H87" s="223">
        <f t="shared" ref="H87:H88" si="5">G87*F87/1000</f>
        <v>20.57</v>
      </c>
      <c r="I87" s="230">
        <f>G87*10</f>
        <v>20570</v>
      </c>
    </row>
    <row r="88" spans="1:9" s="202" customFormat="1" ht="15.75" customHeight="1">
      <c r="A88" s="48">
        <v>22</v>
      </c>
      <c r="B88" s="233" t="s">
        <v>144</v>
      </c>
      <c r="C88" s="231" t="s">
        <v>145</v>
      </c>
      <c r="D88" s="20"/>
      <c r="E88" s="25"/>
      <c r="F88" s="18">
        <f>15/3</f>
        <v>5</v>
      </c>
      <c r="G88" s="18">
        <v>1063.47</v>
      </c>
      <c r="H88" s="223">
        <f t="shared" si="5"/>
        <v>5.3173500000000002</v>
      </c>
      <c r="I88" s="230">
        <f>G88</f>
        <v>1063.47</v>
      </c>
    </row>
    <row r="89" spans="1:9" ht="15.75" customHeight="1">
      <c r="A89" s="48"/>
      <c r="B89" s="237" t="s">
        <v>63</v>
      </c>
      <c r="C89" s="76"/>
      <c r="D89" s="130"/>
      <c r="E89" s="76">
        <v>1</v>
      </c>
      <c r="F89" s="76"/>
      <c r="G89" s="76"/>
      <c r="H89" s="76"/>
      <c r="I89" s="58">
        <f>SUM(I87:I88)</f>
        <v>21633.47</v>
      </c>
    </row>
    <row r="90" spans="1:9" ht="15.75" customHeight="1">
      <c r="A90" s="48"/>
      <c r="B90" s="86" t="s">
        <v>96</v>
      </c>
      <c r="C90" s="21"/>
      <c r="D90" s="21"/>
      <c r="E90" s="77"/>
      <c r="F90" s="77"/>
      <c r="G90" s="78"/>
      <c r="H90" s="78"/>
      <c r="I90" s="24">
        <v>0</v>
      </c>
    </row>
    <row r="91" spans="1:9" ht="15.75" customHeight="1">
      <c r="A91" s="131"/>
      <c r="B91" s="81" t="s">
        <v>64</v>
      </c>
      <c r="C91" s="64"/>
      <c r="D91" s="64"/>
      <c r="E91" s="64"/>
      <c r="F91" s="64"/>
      <c r="G91" s="64"/>
      <c r="H91" s="64"/>
      <c r="I91" s="79">
        <f>I85+I89</f>
        <v>87548.085298783335</v>
      </c>
    </row>
    <row r="92" spans="1:9" ht="15.75">
      <c r="A92" s="265" t="s">
        <v>253</v>
      </c>
      <c r="B92" s="265"/>
      <c r="C92" s="265"/>
      <c r="D92" s="265"/>
      <c r="E92" s="265"/>
      <c r="F92" s="265"/>
      <c r="G92" s="265"/>
      <c r="H92" s="265"/>
      <c r="I92" s="265"/>
    </row>
    <row r="93" spans="1:9" ht="15.75">
      <c r="A93" s="188"/>
      <c r="B93" s="272" t="s">
        <v>254</v>
      </c>
      <c r="C93" s="272"/>
      <c r="D93" s="272"/>
      <c r="E93" s="272"/>
      <c r="F93" s="272"/>
      <c r="G93" s="272"/>
      <c r="H93" s="201"/>
      <c r="I93" s="3"/>
    </row>
    <row r="94" spans="1:9">
      <c r="A94" s="191"/>
      <c r="B94" s="268" t="s">
        <v>6</v>
      </c>
      <c r="C94" s="268"/>
      <c r="D94" s="268"/>
      <c r="E94" s="268"/>
      <c r="F94" s="268"/>
      <c r="G94" s="268"/>
      <c r="H94" s="38"/>
      <c r="I94" s="5"/>
    </row>
    <row r="95" spans="1:9" ht="7.5" customHeight="1">
      <c r="A95" s="11"/>
      <c r="B95" s="11"/>
      <c r="C95" s="11"/>
      <c r="D95" s="11"/>
      <c r="E95" s="11"/>
      <c r="F95" s="11"/>
      <c r="G95" s="11"/>
      <c r="H95" s="11"/>
      <c r="I95" s="11"/>
    </row>
    <row r="96" spans="1:9" ht="15.75">
      <c r="A96" s="273" t="s">
        <v>7</v>
      </c>
      <c r="B96" s="273"/>
      <c r="C96" s="273"/>
      <c r="D96" s="273"/>
      <c r="E96" s="273"/>
      <c r="F96" s="273"/>
      <c r="G96" s="273"/>
      <c r="H96" s="273"/>
      <c r="I96" s="273"/>
    </row>
    <row r="97" spans="1:9" ht="15.75">
      <c r="A97" s="273" t="s">
        <v>8</v>
      </c>
      <c r="B97" s="273"/>
      <c r="C97" s="273"/>
      <c r="D97" s="273"/>
      <c r="E97" s="273"/>
      <c r="F97" s="273"/>
      <c r="G97" s="273"/>
      <c r="H97" s="273"/>
      <c r="I97" s="273"/>
    </row>
    <row r="98" spans="1:9" ht="15.75">
      <c r="A98" s="258" t="s">
        <v>76</v>
      </c>
      <c r="B98" s="258"/>
      <c r="C98" s="258"/>
      <c r="D98" s="258"/>
      <c r="E98" s="258"/>
      <c r="F98" s="258"/>
      <c r="G98" s="258"/>
      <c r="H98" s="258"/>
      <c r="I98" s="258"/>
    </row>
    <row r="99" spans="1:9" ht="15.75">
      <c r="A99" s="12"/>
    </row>
    <row r="100" spans="1:9" ht="15.75">
      <c r="A100" s="259" t="s">
        <v>10</v>
      </c>
      <c r="B100" s="259"/>
      <c r="C100" s="259"/>
      <c r="D100" s="259"/>
      <c r="E100" s="259"/>
      <c r="F100" s="259"/>
      <c r="G100" s="259"/>
      <c r="H100" s="259"/>
      <c r="I100" s="259"/>
    </row>
    <row r="101" spans="1:9" ht="15.75">
      <c r="A101" s="4"/>
    </row>
    <row r="102" spans="1:9" ht="15.75">
      <c r="B102" s="187" t="s">
        <v>11</v>
      </c>
      <c r="C102" s="267" t="s">
        <v>203</v>
      </c>
      <c r="D102" s="267"/>
      <c r="E102" s="267"/>
      <c r="F102" s="199"/>
      <c r="I102" s="190"/>
    </row>
    <row r="103" spans="1:9">
      <c r="A103" s="191"/>
      <c r="C103" s="268" t="s">
        <v>12</v>
      </c>
      <c r="D103" s="268"/>
      <c r="E103" s="268"/>
      <c r="F103" s="38"/>
      <c r="I103" s="189" t="s">
        <v>13</v>
      </c>
    </row>
    <row r="104" spans="1:9" ht="15.75">
      <c r="A104" s="39"/>
      <c r="C104" s="13"/>
      <c r="D104" s="13"/>
      <c r="G104" s="13"/>
      <c r="H104" s="13"/>
    </row>
    <row r="105" spans="1:9" ht="15.75">
      <c r="B105" s="187" t="s">
        <v>14</v>
      </c>
      <c r="C105" s="269"/>
      <c r="D105" s="269"/>
      <c r="E105" s="269"/>
      <c r="F105" s="200"/>
      <c r="I105" s="190"/>
    </row>
    <row r="106" spans="1:9">
      <c r="A106" s="191"/>
      <c r="C106" s="270" t="s">
        <v>12</v>
      </c>
      <c r="D106" s="270"/>
      <c r="E106" s="270"/>
      <c r="F106" s="191"/>
      <c r="I106" s="189" t="s">
        <v>13</v>
      </c>
    </row>
    <row r="107" spans="1:9" ht="15.75">
      <c r="A107" s="4" t="s">
        <v>15</v>
      </c>
    </row>
    <row r="108" spans="1:9">
      <c r="A108" s="271" t="s">
        <v>16</v>
      </c>
      <c r="B108" s="271"/>
      <c r="C108" s="271"/>
      <c r="D108" s="271"/>
      <c r="E108" s="271"/>
      <c r="F108" s="271"/>
      <c r="G108" s="271"/>
      <c r="H108" s="271"/>
      <c r="I108" s="271"/>
    </row>
    <row r="109" spans="1:9" ht="47.25" customHeight="1">
      <c r="A109" s="266" t="s">
        <v>17</v>
      </c>
      <c r="B109" s="266"/>
      <c r="C109" s="266"/>
      <c r="D109" s="266"/>
      <c r="E109" s="266"/>
      <c r="F109" s="266"/>
      <c r="G109" s="266"/>
      <c r="H109" s="266"/>
      <c r="I109" s="266"/>
    </row>
    <row r="110" spans="1:9" ht="31.5" customHeight="1">
      <c r="A110" s="266" t="s">
        <v>18</v>
      </c>
      <c r="B110" s="266"/>
      <c r="C110" s="266"/>
      <c r="D110" s="266"/>
      <c r="E110" s="266"/>
      <c r="F110" s="266"/>
      <c r="G110" s="266"/>
      <c r="H110" s="266"/>
      <c r="I110" s="266"/>
    </row>
    <row r="111" spans="1:9" ht="31.5" customHeight="1">
      <c r="A111" s="266" t="s">
        <v>23</v>
      </c>
      <c r="B111" s="266"/>
      <c r="C111" s="266"/>
      <c r="D111" s="266"/>
      <c r="E111" s="266"/>
      <c r="F111" s="266"/>
      <c r="G111" s="266"/>
      <c r="H111" s="266"/>
      <c r="I111" s="266"/>
    </row>
    <row r="112" spans="1:9" ht="15.75">
      <c r="A112" s="266" t="s">
        <v>22</v>
      </c>
      <c r="B112" s="266"/>
      <c r="C112" s="266"/>
      <c r="D112" s="266"/>
      <c r="E112" s="266"/>
      <c r="F112" s="266"/>
      <c r="G112" s="266"/>
      <c r="H112" s="266"/>
      <c r="I112" s="266"/>
    </row>
  </sheetData>
  <autoFilter ref="I12:I62"/>
  <mergeCells count="28">
    <mergeCell ref="A109:I109"/>
    <mergeCell ref="A110:I110"/>
    <mergeCell ref="A111:I111"/>
    <mergeCell ref="A112:I112"/>
    <mergeCell ref="A100:I100"/>
    <mergeCell ref="C102:E102"/>
    <mergeCell ref="C103:E103"/>
    <mergeCell ref="C105:E105"/>
    <mergeCell ref="C106:E106"/>
    <mergeCell ref="A108:I108"/>
    <mergeCell ref="A98:I98"/>
    <mergeCell ref="A15:I15"/>
    <mergeCell ref="A27:I27"/>
    <mergeCell ref="A45:I45"/>
    <mergeCell ref="A56:I56"/>
    <mergeCell ref="A92:I92"/>
    <mergeCell ref="B93:G93"/>
    <mergeCell ref="B94:G94"/>
    <mergeCell ref="A96:I96"/>
    <mergeCell ref="A97:I97"/>
    <mergeCell ref="R67:U67"/>
    <mergeCell ref="A82:I82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44"/>
  <sheetViews>
    <sheetView workbookViewId="0">
      <selection activeCell="A8" sqref="A8:I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3" t="s">
        <v>120</v>
      </c>
      <c r="I1" s="42"/>
      <c r="J1" s="1"/>
      <c r="K1" s="1"/>
      <c r="L1" s="1"/>
      <c r="M1" s="1"/>
    </row>
    <row r="2" spans="1:13" ht="15.75" customHeight="1">
      <c r="A2" s="44" t="s">
        <v>79</v>
      </c>
      <c r="J2" s="2"/>
      <c r="K2" s="2"/>
      <c r="L2" s="2"/>
      <c r="M2" s="2"/>
    </row>
    <row r="3" spans="1:13" ht="15.75" customHeight="1">
      <c r="A3" s="253" t="s">
        <v>255</v>
      </c>
      <c r="B3" s="253"/>
      <c r="C3" s="253"/>
      <c r="D3" s="253"/>
      <c r="E3" s="253"/>
      <c r="F3" s="253"/>
      <c r="G3" s="253"/>
      <c r="H3" s="253"/>
      <c r="I3" s="253"/>
      <c r="J3" s="3"/>
      <c r="K3" s="3"/>
      <c r="L3" s="3"/>
    </row>
    <row r="4" spans="1:13" ht="31.5" customHeight="1">
      <c r="A4" s="254" t="s">
        <v>204</v>
      </c>
      <c r="B4" s="254"/>
      <c r="C4" s="254"/>
      <c r="D4" s="254"/>
      <c r="E4" s="254"/>
      <c r="F4" s="254"/>
      <c r="G4" s="254"/>
      <c r="H4" s="254"/>
      <c r="I4" s="254"/>
    </row>
    <row r="5" spans="1:13" ht="15.75">
      <c r="A5" s="253" t="s">
        <v>104</v>
      </c>
      <c r="B5" s="255"/>
      <c r="C5" s="255"/>
      <c r="D5" s="255"/>
      <c r="E5" s="255"/>
      <c r="F5" s="255"/>
      <c r="G5" s="255"/>
      <c r="H5" s="255"/>
      <c r="I5" s="255"/>
      <c r="J5" s="2"/>
      <c r="K5" s="2"/>
      <c r="L5" s="2"/>
      <c r="M5" s="2"/>
    </row>
    <row r="6" spans="1:13" ht="15.75">
      <c r="A6" s="2"/>
      <c r="B6" s="192"/>
      <c r="C6" s="192"/>
      <c r="D6" s="192"/>
      <c r="E6" s="192"/>
      <c r="F6" s="192"/>
      <c r="G6" s="192"/>
      <c r="H6" s="192"/>
      <c r="I6" s="52">
        <v>42460</v>
      </c>
      <c r="J6" s="2"/>
      <c r="K6" s="2"/>
      <c r="L6" s="2"/>
      <c r="M6" s="2"/>
    </row>
    <row r="7" spans="1:13" ht="15.75">
      <c r="B7" s="187"/>
      <c r="C7" s="187"/>
      <c r="D7" s="187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56" t="s">
        <v>283</v>
      </c>
      <c r="B8" s="256"/>
      <c r="C8" s="256"/>
      <c r="D8" s="256"/>
      <c r="E8" s="256"/>
      <c r="F8" s="256"/>
      <c r="G8" s="256"/>
      <c r="H8" s="256"/>
      <c r="I8" s="25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57" t="s">
        <v>205</v>
      </c>
      <c r="B10" s="257"/>
      <c r="C10" s="257"/>
      <c r="D10" s="257"/>
      <c r="E10" s="257"/>
      <c r="F10" s="257"/>
      <c r="G10" s="257"/>
      <c r="H10" s="257"/>
      <c r="I10" s="257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19</v>
      </c>
      <c r="E12" s="6" t="s">
        <v>20</v>
      </c>
      <c r="F12" s="6"/>
      <c r="G12" s="6" t="s">
        <v>24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52" t="s">
        <v>73</v>
      </c>
      <c r="B14" s="252"/>
      <c r="C14" s="252"/>
      <c r="D14" s="252"/>
      <c r="E14" s="252"/>
      <c r="F14" s="252"/>
      <c r="G14" s="252"/>
      <c r="H14" s="252"/>
      <c r="I14" s="252"/>
      <c r="J14" s="8"/>
      <c r="K14" s="8"/>
      <c r="L14" s="8"/>
      <c r="M14" s="8"/>
    </row>
    <row r="15" spans="1:13">
      <c r="A15" s="260" t="s">
        <v>4</v>
      </c>
      <c r="B15" s="260"/>
      <c r="C15" s="260"/>
      <c r="D15" s="260"/>
      <c r="E15" s="260"/>
      <c r="F15" s="260"/>
      <c r="G15" s="260"/>
      <c r="H15" s="260"/>
      <c r="I15" s="260"/>
      <c r="J15" s="8"/>
      <c r="K15" s="8"/>
      <c r="L15" s="8"/>
      <c r="M15" s="8"/>
    </row>
    <row r="16" spans="1:13" s="202" customFormat="1" ht="31.5" customHeight="1">
      <c r="A16" s="48">
        <v>1</v>
      </c>
      <c r="B16" s="205" t="s">
        <v>122</v>
      </c>
      <c r="C16" s="206" t="s">
        <v>158</v>
      </c>
      <c r="D16" s="205" t="s">
        <v>159</v>
      </c>
      <c r="E16" s="207">
        <v>95.04</v>
      </c>
      <c r="F16" s="208">
        <f>SUM(E16*156/100)</f>
        <v>148.26240000000001</v>
      </c>
      <c r="G16" s="208">
        <v>187.48</v>
      </c>
      <c r="H16" s="209">
        <f t="shared" ref="H16:H24" si="0">SUM(F16*G16/1000)</f>
        <v>27.796234752</v>
      </c>
      <c r="I16" s="18">
        <f>F16/12*G16</f>
        <v>2316.3528960000003</v>
      </c>
    </row>
    <row r="17" spans="1:10" s="202" customFormat="1" ht="31.5" customHeight="1">
      <c r="A17" s="48">
        <v>2</v>
      </c>
      <c r="B17" s="205" t="s">
        <v>154</v>
      </c>
      <c r="C17" s="206" t="s">
        <v>158</v>
      </c>
      <c r="D17" s="205" t="s">
        <v>160</v>
      </c>
      <c r="E17" s="207">
        <v>380.16</v>
      </c>
      <c r="F17" s="208">
        <f>SUM(E17*104/100)</f>
        <v>395.3664</v>
      </c>
      <c r="G17" s="208">
        <v>187.48</v>
      </c>
      <c r="H17" s="209">
        <f t="shared" si="0"/>
        <v>74.123292671999991</v>
      </c>
      <c r="I17" s="18">
        <f>F17/12*G17</f>
        <v>6176.9410559999997</v>
      </c>
      <c r="J17" s="203"/>
    </row>
    <row r="18" spans="1:10" s="202" customFormat="1" ht="31.5" customHeight="1">
      <c r="A18" s="48">
        <v>3</v>
      </c>
      <c r="B18" s="205" t="s">
        <v>155</v>
      </c>
      <c r="C18" s="206" t="s">
        <v>158</v>
      </c>
      <c r="D18" s="205" t="s">
        <v>206</v>
      </c>
      <c r="E18" s="207">
        <f>SUM(E16+E17)</f>
        <v>475.20000000000005</v>
      </c>
      <c r="F18" s="208">
        <f>SUM(E18*24/100)</f>
        <v>114.04800000000002</v>
      </c>
      <c r="G18" s="208">
        <v>539.30999999999995</v>
      </c>
      <c r="H18" s="209">
        <f t="shared" si="0"/>
        <v>61.507226880000005</v>
      </c>
      <c r="I18" s="18">
        <f>F18/12*G18</f>
        <v>5125.6022400000002</v>
      </c>
      <c r="J18" s="203"/>
    </row>
    <row r="19" spans="1:10" s="202" customFormat="1" ht="15.75" hidden="1" customHeight="1">
      <c r="A19" s="48"/>
      <c r="B19" s="205" t="s">
        <v>161</v>
      </c>
      <c r="C19" s="206" t="s">
        <v>162</v>
      </c>
      <c r="D19" s="205" t="s">
        <v>163</v>
      </c>
      <c r="E19" s="207">
        <v>93.4</v>
      </c>
      <c r="F19" s="208">
        <f>SUM(E19/10)</f>
        <v>9.34</v>
      </c>
      <c r="G19" s="208">
        <v>181.9</v>
      </c>
      <c r="H19" s="209">
        <f t="shared" si="0"/>
        <v>1.6989460000000001</v>
      </c>
      <c r="I19" s="18">
        <v>0</v>
      </c>
      <c r="J19" s="203"/>
    </row>
    <row r="20" spans="1:10" s="202" customFormat="1" ht="15.75" hidden="1" customHeight="1">
      <c r="A20" s="48"/>
      <c r="B20" s="205" t="s">
        <v>164</v>
      </c>
      <c r="C20" s="206" t="s">
        <v>158</v>
      </c>
      <c r="D20" s="205" t="s">
        <v>53</v>
      </c>
      <c r="E20" s="207">
        <v>43.2</v>
      </c>
      <c r="F20" s="208">
        <f>SUM(E20*2/100)</f>
        <v>0.8640000000000001</v>
      </c>
      <c r="G20" s="208">
        <v>232.91</v>
      </c>
      <c r="H20" s="209">
        <f t="shared" si="0"/>
        <v>0.20123424000000004</v>
      </c>
      <c r="I20" s="18">
        <v>0</v>
      </c>
      <c r="J20" s="203"/>
    </row>
    <row r="21" spans="1:10" s="202" customFormat="1" ht="15.75" hidden="1" customHeight="1">
      <c r="A21" s="48"/>
      <c r="B21" s="205" t="s">
        <v>165</v>
      </c>
      <c r="C21" s="206" t="s">
        <v>158</v>
      </c>
      <c r="D21" s="205" t="s">
        <v>53</v>
      </c>
      <c r="E21" s="207">
        <v>10.08</v>
      </c>
      <c r="F21" s="208">
        <f>SUM(E21*2/100)</f>
        <v>0.2016</v>
      </c>
      <c r="G21" s="208">
        <v>231.03</v>
      </c>
      <c r="H21" s="209">
        <f t="shared" si="0"/>
        <v>4.6575648000000004E-2</v>
      </c>
      <c r="I21" s="18">
        <v>0</v>
      </c>
      <c r="J21" s="203"/>
    </row>
    <row r="22" spans="1:10" s="202" customFormat="1" ht="15.75" hidden="1" customHeight="1">
      <c r="A22" s="48"/>
      <c r="B22" s="205" t="s">
        <v>166</v>
      </c>
      <c r="C22" s="206" t="s">
        <v>65</v>
      </c>
      <c r="D22" s="205" t="s">
        <v>163</v>
      </c>
      <c r="E22" s="207">
        <v>642.6</v>
      </c>
      <c r="F22" s="208">
        <f>SUM(E22/100)</f>
        <v>6.4260000000000002</v>
      </c>
      <c r="G22" s="208">
        <v>287.83999999999997</v>
      </c>
      <c r="H22" s="209">
        <f t="shared" si="0"/>
        <v>1.8496598399999997</v>
      </c>
      <c r="I22" s="18">
        <v>0</v>
      </c>
      <c r="J22" s="203"/>
    </row>
    <row r="23" spans="1:10" s="202" customFormat="1" ht="15.75" hidden="1" customHeight="1">
      <c r="A23" s="48"/>
      <c r="B23" s="205" t="s">
        <v>167</v>
      </c>
      <c r="C23" s="206" t="s">
        <v>65</v>
      </c>
      <c r="D23" s="205" t="s">
        <v>163</v>
      </c>
      <c r="E23" s="210">
        <v>35.28</v>
      </c>
      <c r="F23" s="208">
        <f>SUM(E23/100)</f>
        <v>0.3528</v>
      </c>
      <c r="G23" s="208">
        <v>47.35</v>
      </c>
      <c r="H23" s="209">
        <f t="shared" si="0"/>
        <v>1.6705080000000004E-2</v>
      </c>
      <c r="I23" s="18">
        <v>0</v>
      </c>
      <c r="J23" s="203"/>
    </row>
    <row r="24" spans="1:10" s="202" customFormat="1" ht="15.75" hidden="1" customHeight="1">
      <c r="A24" s="48"/>
      <c r="B24" s="205" t="s">
        <v>168</v>
      </c>
      <c r="C24" s="206" t="s">
        <v>65</v>
      </c>
      <c r="D24" s="205" t="s">
        <v>163</v>
      </c>
      <c r="E24" s="207">
        <v>28.8</v>
      </c>
      <c r="F24" s="208">
        <f>SUM(E24/100)</f>
        <v>0.28800000000000003</v>
      </c>
      <c r="G24" s="208">
        <v>556.74</v>
      </c>
      <c r="H24" s="209">
        <f t="shared" si="0"/>
        <v>0.16034112000000003</v>
      </c>
      <c r="I24" s="18">
        <v>0</v>
      </c>
      <c r="J24" s="203"/>
    </row>
    <row r="25" spans="1:10" s="202" customFormat="1" ht="15.75" customHeight="1">
      <c r="A25" s="48">
        <v>4</v>
      </c>
      <c r="B25" s="205" t="s">
        <v>81</v>
      </c>
      <c r="C25" s="206" t="s">
        <v>38</v>
      </c>
      <c r="D25" s="205" t="s">
        <v>217</v>
      </c>
      <c r="E25" s="207">
        <v>0.1</v>
      </c>
      <c r="F25" s="208">
        <f>SUM(E25*365)</f>
        <v>36.5</v>
      </c>
      <c r="G25" s="208">
        <v>157.18</v>
      </c>
      <c r="H25" s="209">
        <f>SUM(F25*G25/1000)</f>
        <v>5.737070000000001</v>
      </c>
      <c r="I25" s="18">
        <f>F25/12*G25</f>
        <v>478.08916666666664</v>
      </c>
      <c r="J25" s="203"/>
    </row>
    <row r="26" spans="1:10" s="202" customFormat="1" ht="15.75" customHeight="1">
      <c r="A26" s="48">
        <v>5</v>
      </c>
      <c r="B26" s="213" t="s">
        <v>25</v>
      </c>
      <c r="C26" s="206" t="s">
        <v>26</v>
      </c>
      <c r="D26" s="213" t="s">
        <v>218</v>
      </c>
      <c r="E26" s="207">
        <v>3931</v>
      </c>
      <c r="F26" s="208">
        <f>SUM(E26*12)</f>
        <v>47172</v>
      </c>
      <c r="G26" s="208">
        <v>5.33</v>
      </c>
      <c r="H26" s="209">
        <f>SUM(F26*G26/1000)</f>
        <v>251.42676</v>
      </c>
      <c r="I26" s="18">
        <f>F26/12*G26</f>
        <v>20952.23</v>
      </c>
      <c r="J26" s="203"/>
    </row>
    <row r="27" spans="1:10" s="202" customFormat="1" ht="15.75" customHeight="1">
      <c r="A27" s="261" t="s">
        <v>117</v>
      </c>
      <c r="B27" s="262"/>
      <c r="C27" s="262"/>
      <c r="D27" s="262"/>
      <c r="E27" s="262"/>
      <c r="F27" s="262"/>
      <c r="G27" s="262"/>
      <c r="H27" s="262"/>
      <c r="I27" s="263"/>
      <c r="J27" s="203"/>
    </row>
    <row r="28" spans="1:10" s="202" customFormat="1" ht="15.75" hidden="1" customHeight="1">
      <c r="A28" s="48"/>
      <c r="B28" s="238" t="s">
        <v>33</v>
      </c>
      <c r="C28" s="206"/>
      <c r="D28" s="205"/>
      <c r="E28" s="207"/>
      <c r="F28" s="208"/>
      <c r="G28" s="208"/>
      <c r="H28" s="209"/>
      <c r="I28" s="18"/>
      <c r="J28" s="203"/>
    </row>
    <row r="29" spans="1:10" s="202" customFormat="1" ht="31.5" hidden="1" customHeight="1">
      <c r="A29" s="48">
        <v>6</v>
      </c>
      <c r="B29" s="205" t="s">
        <v>169</v>
      </c>
      <c r="C29" s="206" t="s">
        <v>170</v>
      </c>
      <c r="D29" s="205" t="s">
        <v>215</v>
      </c>
      <c r="E29" s="208">
        <v>1116.27</v>
      </c>
      <c r="F29" s="208">
        <f>SUM(E29*52/1000)</f>
        <v>58.046039999999998</v>
      </c>
      <c r="G29" s="208">
        <v>166.65</v>
      </c>
      <c r="H29" s="209">
        <f t="shared" ref="H29:H35" si="1">SUM(F29*G29/1000)</f>
        <v>9.6733725659999994</v>
      </c>
      <c r="I29" s="18">
        <v>0</v>
      </c>
      <c r="J29" s="203"/>
    </row>
    <row r="30" spans="1:10" s="202" customFormat="1" ht="31.5" hidden="1" customHeight="1">
      <c r="A30" s="48">
        <v>7</v>
      </c>
      <c r="B30" s="205" t="s">
        <v>244</v>
      </c>
      <c r="C30" s="206" t="s">
        <v>170</v>
      </c>
      <c r="D30" s="205" t="s">
        <v>216</v>
      </c>
      <c r="E30" s="208">
        <v>89.03</v>
      </c>
      <c r="F30" s="208">
        <f>SUM(E30*78/1000)</f>
        <v>6.9443400000000004</v>
      </c>
      <c r="G30" s="208">
        <v>276.48</v>
      </c>
      <c r="H30" s="209">
        <f t="shared" si="1"/>
        <v>1.9199711232000003</v>
      </c>
      <c r="I30" s="18">
        <v>0</v>
      </c>
      <c r="J30" s="203"/>
    </row>
    <row r="31" spans="1:10" s="202" customFormat="1" ht="15.75" hidden="1" customHeight="1">
      <c r="A31" s="48"/>
      <c r="B31" s="205" t="s">
        <v>32</v>
      </c>
      <c r="C31" s="206" t="s">
        <v>170</v>
      </c>
      <c r="D31" s="205" t="s">
        <v>66</v>
      </c>
      <c r="E31" s="208">
        <v>1116.27</v>
      </c>
      <c r="F31" s="208">
        <f>SUM(E31/1000)</f>
        <v>1.1162699999999999</v>
      </c>
      <c r="G31" s="208">
        <v>3228.73</v>
      </c>
      <c r="H31" s="209">
        <f t="shared" si="1"/>
        <v>3.6041344370999995</v>
      </c>
      <c r="I31" s="18">
        <v>0</v>
      </c>
      <c r="J31" s="203"/>
    </row>
    <row r="32" spans="1:10" s="202" customFormat="1" ht="15.75" hidden="1" customHeight="1">
      <c r="A32" s="48">
        <v>8</v>
      </c>
      <c r="B32" s="205" t="s">
        <v>174</v>
      </c>
      <c r="C32" s="206" t="s">
        <v>49</v>
      </c>
      <c r="D32" s="205" t="s">
        <v>80</v>
      </c>
      <c r="E32" s="208">
        <v>6</v>
      </c>
      <c r="F32" s="208">
        <v>9.3000000000000007</v>
      </c>
      <c r="G32" s="208">
        <v>1391.86</v>
      </c>
      <c r="H32" s="209">
        <f>G32*F32/1000</f>
        <v>12.944298</v>
      </c>
      <c r="I32" s="18">
        <v>0</v>
      </c>
      <c r="J32" s="203"/>
    </row>
    <row r="33" spans="1:14" s="202" customFormat="1" ht="15.75" hidden="1" customHeight="1">
      <c r="A33" s="48">
        <v>9</v>
      </c>
      <c r="B33" s="205" t="s">
        <v>175</v>
      </c>
      <c r="C33" s="206" t="s">
        <v>36</v>
      </c>
      <c r="D33" s="205" t="s">
        <v>80</v>
      </c>
      <c r="E33" s="212">
        <v>0.33333333333333331</v>
      </c>
      <c r="F33" s="208">
        <f>155/3</f>
        <v>51.666666666666664</v>
      </c>
      <c r="G33" s="208">
        <v>60.6</v>
      </c>
      <c r="H33" s="209">
        <f>SUM(G33*155/3/1000)</f>
        <v>3.1309999999999998</v>
      </c>
      <c r="I33" s="18">
        <v>0</v>
      </c>
      <c r="J33" s="203"/>
    </row>
    <row r="34" spans="1:14" s="202" customFormat="1" ht="15.75" hidden="1" customHeight="1">
      <c r="A34" s="48"/>
      <c r="B34" s="205" t="s">
        <v>82</v>
      </c>
      <c r="C34" s="206" t="s">
        <v>38</v>
      </c>
      <c r="D34" s="205" t="s">
        <v>84</v>
      </c>
      <c r="E34" s="207"/>
      <c r="F34" s="208">
        <v>3</v>
      </c>
      <c r="G34" s="208">
        <v>204.52</v>
      </c>
      <c r="H34" s="209">
        <f t="shared" si="1"/>
        <v>0.61356000000000011</v>
      </c>
      <c r="I34" s="18">
        <v>0</v>
      </c>
      <c r="J34" s="203"/>
    </row>
    <row r="35" spans="1:14" s="202" customFormat="1" ht="15.75" hidden="1" customHeight="1">
      <c r="A35" s="48"/>
      <c r="B35" s="205" t="s">
        <v>83</v>
      </c>
      <c r="C35" s="206" t="s">
        <v>37</v>
      </c>
      <c r="D35" s="205" t="s">
        <v>84</v>
      </c>
      <c r="E35" s="207"/>
      <c r="F35" s="208">
        <v>2</v>
      </c>
      <c r="G35" s="208">
        <v>1136.33</v>
      </c>
      <c r="H35" s="209">
        <f t="shared" si="1"/>
        <v>2.2726599999999997</v>
      </c>
      <c r="I35" s="18">
        <v>0</v>
      </c>
      <c r="J35" s="203"/>
    </row>
    <row r="36" spans="1:14" s="202" customFormat="1" ht="15.75" customHeight="1">
      <c r="A36" s="48"/>
      <c r="B36" s="238" t="s">
        <v>5</v>
      </c>
      <c r="C36" s="206"/>
      <c r="D36" s="205"/>
      <c r="E36" s="207"/>
      <c r="F36" s="208"/>
      <c r="G36" s="208"/>
      <c r="H36" s="209" t="s">
        <v>218</v>
      </c>
      <c r="I36" s="18"/>
      <c r="J36" s="203"/>
    </row>
    <row r="37" spans="1:14" s="202" customFormat="1" ht="15.75" customHeight="1">
      <c r="A37" s="48">
        <v>6</v>
      </c>
      <c r="B37" s="205" t="s">
        <v>30</v>
      </c>
      <c r="C37" s="206" t="s">
        <v>37</v>
      </c>
      <c r="D37" s="205"/>
      <c r="E37" s="207"/>
      <c r="F37" s="208">
        <v>8</v>
      </c>
      <c r="G37" s="208">
        <v>1632.6</v>
      </c>
      <c r="H37" s="209">
        <f t="shared" ref="H37:H44" si="2">SUM(F37*G37/1000)</f>
        <v>13.060799999999999</v>
      </c>
      <c r="I37" s="18">
        <f>F37/6*G37</f>
        <v>2176.7999999999997</v>
      </c>
      <c r="J37" s="203"/>
    </row>
    <row r="38" spans="1:14" s="202" customFormat="1" ht="15.75" customHeight="1">
      <c r="A38" s="48">
        <v>7</v>
      </c>
      <c r="B38" s="205" t="s">
        <v>133</v>
      </c>
      <c r="C38" s="206" t="s">
        <v>34</v>
      </c>
      <c r="D38" s="205" t="s">
        <v>176</v>
      </c>
      <c r="E38" s="207">
        <v>461.12</v>
      </c>
      <c r="F38" s="208">
        <f>E38*12/1000</f>
        <v>5.5334400000000006</v>
      </c>
      <c r="G38" s="208">
        <v>2247.8000000000002</v>
      </c>
      <c r="H38" s="209">
        <f>G38*F38/1000</f>
        <v>12.438066432000001</v>
      </c>
      <c r="I38" s="18">
        <f>F38/6*G38</f>
        <v>2073.0110720000002</v>
      </c>
      <c r="J38" s="203"/>
    </row>
    <row r="39" spans="1:14" s="202" customFormat="1" ht="15.75" customHeight="1">
      <c r="A39" s="48">
        <v>8</v>
      </c>
      <c r="B39" s="205" t="s">
        <v>177</v>
      </c>
      <c r="C39" s="206" t="s">
        <v>34</v>
      </c>
      <c r="D39" s="205" t="s">
        <v>178</v>
      </c>
      <c r="E39" s="207">
        <v>89.03</v>
      </c>
      <c r="F39" s="208">
        <f>E39*30/1000</f>
        <v>2.6709000000000001</v>
      </c>
      <c r="G39" s="208">
        <v>2247.8000000000002</v>
      </c>
      <c r="H39" s="209">
        <f>G39*F39/1000</f>
        <v>6.003649020000001</v>
      </c>
      <c r="I39" s="18">
        <f>F39/6*G39</f>
        <v>1000.6081700000001</v>
      </c>
      <c r="J39" s="203"/>
    </row>
    <row r="40" spans="1:14" s="202" customFormat="1" ht="15.75" hidden="1" customHeight="1">
      <c r="A40" s="48"/>
      <c r="B40" s="205" t="s">
        <v>179</v>
      </c>
      <c r="C40" s="206" t="s">
        <v>180</v>
      </c>
      <c r="D40" s="205" t="s">
        <v>84</v>
      </c>
      <c r="E40" s="207"/>
      <c r="F40" s="208">
        <v>135</v>
      </c>
      <c r="G40" s="208">
        <v>213.2</v>
      </c>
      <c r="H40" s="209">
        <f>G40*F40/1000</f>
        <v>28.782</v>
      </c>
      <c r="I40" s="18">
        <v>0</v>
      </c>
      <c r="J40" s="203"/>
      <c r="L40" s="27"/>
      <c r="M40" s="28"/>
      <c r="N40" s="54"/>
    </row>
    <row r="41" spans="1:14" s="202" customFormat="1" ht="15.75" customHeight="1">
      <c r="A41" s="48">
        <v>9</v>
      </c>
      <c r="B41" s="205" t="s">
        <v>85</v>
      </c>
      <c r="C41" s="206" t="s">
        <v>34</v>
      </c>
      <c r="D41" s="205" t="s">
        <v>181</v>
      </c>
      <c r="E41" s="208">
        <v>89.03</v>
      </c>
      <c r="F41" s="208">
        <f>SUM(E41*155/1000)</f>
        <v>13.79965</v>
      </c>
      <c r="G41" s="208">
        <v>374.95</v>
      </c>
      <c r="H41" s="209">
        <f t="shared" si="2"/>
        <v>5.1741787674999999</v>
      </c>
      <c r="I41" s="18">
        <f>F41/6*G41</f>
        <v>862.36312791666671</v>
      </c>
      <c r="J41" s="203"/>
      <c r="L41" s="27"/>
      <c r="M41" s="28"/>
      <c r="N41" s="54"/>
    </row>
    <row r="42" spans="1:14" s="202" customFormat="1" ht="15.75" customHeight="1">
      <c r="A42" s="48">
        <v>10</v>
      </c>
      <c r="B42" s="205" t="s">
        <v>111</v>
      </c>
      <c r="C42" s="206" t="s">
        <v>170</v>
      </c>
      <c r="D42" s="205" t="s">
        <v>182</v>
      </c>
      <c r="E42" s="208">
        <v>89.03</v>
      </c>
      <c r="F42" s="208">
        <f>SUM(E42*24/1000)</f>
        <v>2.1367200000000004</v>
      </c>
      <c r="G42" s="208">
        <v>6203.71</v>
      </c>
      <c r="H42" s="209">
        <f t="shared" si="2"/>
        <v>13.255591231200002</v>
      </c>
      <c r="I42" s="18">
        <f>F42/6*G42</f>
        <v>2209.2652052000003</v>
      </c>
      <c r="J42" s="203"/>
      <c r="L42" s="27"/>
      <c r="M42" s="28"/>
      <c r="N42" s="54"/>
    </row>
    <row r="43" spans="1:14" s="202" customFormat="1" ht="15.75" customHeight="1">
      <c r="A43" s="48">
        <v>11</v>
      </c>
      <c r="B43" s="205" t="s">
        <v>183</v>
      </c>
      <c r="C43" s="206" t="s">
        <v>170</v>
      </c>
      <c r="D43" s="205" t="s">
        <v>86</v>
      </c>
      <c r="E43" s="208">
        <v>89.03</v>
      </c>
      <c r="F43" s="208">
        <f>SUM(E43*45/1000)</f>
        <v>4.0063500000000003</v>
      </c>
      <c r="G43" s="208">
        <v>458.28</v>
      </c>
      <c r="H43" s="209">
        <f t="shared" si="2"/>
        <v>1.8360300780000001</v>
      </c>
      <c r="I43" s="18">
        <f>F43/6*G43</f>
        <v>306.00501299999996</v>
      </c>
      <c r="J43" s="203"/>
      <c r="L43" s="27"/>
      <c r="M43" s="28"/>
      <c r="N43" s="54"/>
    </row>
    <row r="44" spans="1:14" s="202" customFormat="1" ht="15.75" customHeight="1">
      <c r="A44" s="48">
        <v>12</v>
      </c>
      <c r="B44" s="205" t="s">
        <v>87</v>
      </c>
      <c r="C44" s="206" t="s">
        <v>38</v>
      </c>
      <c r="D44" s="205"/>
      <c r="E44" s="207"/>
      <c r="F44" s="208">
        <v>0.9</v>
      </c>
      <c r="G44" s="208">
        <v>798</v>
      </c>
      <c r="H44" s="209">
        <f t="shared" si="2"/>
        <v>0.71820000000000006</v>
      </c>
      <c r="I44" s="18">
        <f>F44/6*G44</f>
        <v>119.69999999999999</v>
      </c>
      <c r="J44" s="203"/>
      <c r="L44" s="27"/>
      <c r="M44" s="28"/>
      <c r="N44" s="54"/>
    </row>
    <row r="45" spans="1:14" s="202" customFormat="1" ht="15.75" customHeight="1">
      <c r="A45" s="261" t="s">
        <v>247</v>
      </c>
      <c r="B45" s="262"/>
      <c r="C45" s="262"/>
      <c r="D45" s="262"/>
      <c r="E45" s="262"/>
      <c r="F45" s="262"/>
      <c r="G45" s="262"/>
      <c r="H45" s="262"/>
      <c r="I45" s="263"/>
      <c r="J45" s="203"/>
      <c r="L45" s="27"/>
      <c r="M45" s="28"/>
      <c r="N45" s="54"/>
    </row>
    <row r="46" spans="1:14" s="202" customFormat="1" ht="15.75" hidden="1" customHeight="1">
      <c r="A46" s="48"/>
      <c r="B46" s="205" t="s">
        <v>184</v>
      </c>
      <c r="C46" s="206" t="s">
        <v>170</v>
      </c>
      <c r="D46" s="205" t="s">
        <v>53</v>
      </c>
      <c r="E46" s="207">
        <v>1032.5</v>
      </c>
      <c r="F46" s="208">
        <f>SUM(E46*2/1000)</f>
        <v>2.0649999999999999</v>
      </c>
      <c r="G46" s="18">
        <v>908.1</v>
      </c>
      <c r="H46" s="209">
        <f t="shared" ref="H46:H55" si="3">SUM(F46*G46/1000)</f>
        <v>1.8752264999999999</v>
      </c>
      <c r="I46" s="18">
        <v>0</v>
      </c>
      <c r="J46" s="203"/>
      <c r="L46" s="27"/>
      <c r="M46" s="28"/>
      <c r="N46" s="54"/>
    </row>
    <row r="47" spans="1:14" s="202" customFormat="1" ht="15.75" hidden="1" customHeight="1">
      <c r="A47" s="48"/>
      <c r="B47" s="205" t="s">
        <v>42</v>
      </c>
      <c r="C47" s="206" t="s">
        <v>170</v>
      </c>
      <c r="D47" s="205" t="s">
        <v>53</v>
      </c>
      <c r="E47" s="207">
        <v>132</v>
      </c>
      <c r="F47" s="208">
        <f>E47*2/1000</f>
        <v>0.26400000000000001</v>
      </c>
      <c r="G47" s="18">
        <v>619.46</v>
      </c>
      <c r="H47" s="209">
        <f t="shared" si="3"/>
        <v>0.16353744000000001</v>
      </c>
      <c r="I47" s="18">
        <v>0</v>
      </c>
      <c r="J47" s="203"/>
      <c r="L47" s="27"/>
      <c r="M47" s="28"/>
      <c r="N47" s="54"/>
    </row>
    <row r="48" spans="1:14" s="202" customFormat="1" ht="15.75" hidden="1" customHeight="1">
      <c r="A48" s="48"/>
      <c r="B48" s="205" t="s">
        <v>43</v>
      </c>
      <c r="C48" s="206" t="s">
        <v>170</v>
      </c>
      <c r="D48" s="205" t="s">
        <v>53</v>
      </c>
      <c r="E48" s="207">
        <v>4248.22</v>
      </c>
      <c r="F48" s="208">
        <f>SUM(E48*2/1000)</f>
        <v>8.4964399999999998</v>
      </c>
      <c r="G48" s="18">
        <v>619.46</v>
      </c>
      <c r="H48" s="209">
        <f t="shared" si="3"/>
        <v>5.2632047223999994</v>
      </c>
      <c r="I48" s="18">
        <v>0</v>
      </c>
      <c r="J48" s="203"/>
      <c r="L48" s="27"/>
      <c r="M48" s="28"/>
      <c r="N48" s="54"/>
    </row>
    <row r="49" spans="1:22" s="202" customFormat="1" ht="15.75" hidden="1" customHeight="1">
      <c r="A49" s="48"/>
      <c r="B49" s="205" t="s">
        <v>44</v>
      </c>
      <c r="C49" s="206" t="s">
        <v>170</v>
      </c>
      <c r="D49" s="205" t="s">
        <v>53</v>
      </c>
      <c r="E49" s="207">
        <v>2163.66</v>
      </c>
      <c r="F49" s="208">
        <f>SUM(E49*2/1000)</f>
        <v>4.3273199999999994</v>
      </c>
      <c r="G49" s="18">
        <v>648.64</v>
      </c>
      <c r="H49" s="209">
        <f t="shared" si="3"/>
        <v>2.8068728447999995</v>
      </c>
      <c r="I49" s="18">
        <v>0</v>
      </c>
      <c r="J49" s="203"/>
      <c r="L49" s="27"/>
      <c r="M49" s="28"/>
      <c r="N49" s="54"/>
    </row>
    <row r="50" spans="1:22" s="202" customFormat="1" ht="31.5" hidden="1" customHeight="1">
      <c r="A50" s="48">
        <v>13</v>
      </c>
      <c r="B50" s="205" t="s">
        <v>70</v>
      </c>
      <c r="C50" s="206" t="s">
        <v>170</v>
      </c>
      <c r="D50" s="205" t="s">
        <v>246</v>
      </c>
      <c r="E50" s="207">
        <v>1017.5</v>
      </c>
      <c r="F50" s="208">
        <f>SUM(E50*5/1000)</f>
        <v>5.0875000000000004</v>
      </c>
      <c r="G50" s="18">
        <v>1297.28</v>
      </c>
      <c r="H50" s="209">
        <f t="shared" si="3"/>
        <v>6.5999120000000007</v>
      </c>
      <c r="I50" s="18">
        <f>F50/5*G50</f>
        <v>1319.9824000000001</v>
      </c>
      <c r="J50" s="203"/>
      <c r="L50" s="27"/>
      <c r="M50" s="28"/>
      <c r="N50" s="54"/>
    </row>
    <row r="51" spans="1:22" s="202" customFormat="1" ht="31.5" hidden="1" customHeight="1">
      <c r="A51" s="48"/>
      <c r="B51" s="205" t="s">
        <v>186</v>
      </c>
      <c r="C51" s="206" t="s">
        <v>170</v>
      </c>
      <c r="D51" s="205" t="s">
        <v>53</v>
      </c>
      <c r="E51" s="207">
        <v>1017.5</v>
      </c>
      <c r="F51" s="208">
        <f>SUM(E51*2/1000)</f>
        <v>2.0350000000000001</v>
      </c>
      <c r="G51" s="18">
        <v>1297.28</v>
      </c>
      <c r="H51" s="209">
        <f t="shared" si="3"/>
        <v>2.6399648</v>
      </c>
      <c r="I51" s="18">
        <v>0</v>
      </c>
      <c r="J51" s="203"/>
      <c r="L51" s="27"/>
      <c r="M51" s="28"/>
      <c r="N51" s="54"/>
    </row>
    <row r="52" spans="1:22" s="202" customFormat="1" ht="31.5" hidden="1" customHeight="1">
      <c r="A52" s="48"/>
      <c r="B52" s="205" t="s">
        <v>187</v>
      </c>
      <c r="C52" s="206" t="s">
        <v>47</v>
      </c>
      <c r="D52" s="205" t="s">
        <v>53</v>
      </c>
      <c r="E52" s="207">
        <v>30</v>
      </c>
      <c r="F52" s="208">
        <f>SUM(E52*2/100)</f>
        <v>0.6</v>
      </c>
      <c r="G52" s="18">
        <v>2918.89</v>
      </c>
      <c r="H52" s="209">
        <f t="shared" si="3"/>
        <v>1.7513339999999997</v>
      </c>
      <c r="I52" s="18">
        <v>0</v>
      </c>
      <c r="J52" s="203"/>
      <c r="L52" s="27"/>
      <c r="M52" s="28"/>
      <c r="N52" s="54"/>
    </row>
    <row r="53" spans="1:22" s="202" customFormat="1" ht="15.75" customHeight="1">
      <c r="A53" s="48">
        <v>13</v>
      </c>
      <c r="B53" s="205" t="s">
        <v>48</v>
      </c>
      <c r="C53" s="206" t="s">
        <v>49</v>
      </c>
      <c r="D53" s="205" t="s">
        <v>53</v>
      </c>
      <c r="E53" s="207">
        <v>1</v>
      </c>
      <c r="F53" s="208">
        <v>0.02</v>
      </c>
      <c r="G53" s="18">
        <v>6042.13</v>
      </c>
      <c r="H53" s="209">
        <f t="shared" si="3"/>
        <v>0.12084260000000001</v>
      </c>
      <c r="I53" s="18">
        <f>F53/2*G53</f>
        <v>60.421300000000002</v>
      </c>
      <c r="J53" s="203"/>
      <c r="L53" s="27"/>
      <c r="M53" s="28"/>
      <c r="N53" s="54"/>
    </row>
    <row r="54" spans="1:22" s="202" customFormat="1" ht="15.75" hidden="1" customHeight="1">
      <c r="A54" s="48">
        <v>14</v>
      </c>
      <c r="B54" s="205" t="s">
        <v>188</v>
      </c>
      <c r="C54" s="206" t="s">
        <v>140</v>
      </c>
      <c r="D54" s="205" t="s">
        <v>88</v>
      </c>
      <c r="E54" s="207">
        <v>90</v>
      </c>
      <c r="F54" s="208">
        <f>E54*4</f>
        <v>360</v>
      </c>
      <c r="G54" s="18">
        <v>150.86000000000001</v>
      </c>
      <c r="H54" s="209">
        <f>F54*G54/1000</f>
        <v>54.309600000000003</v>
      </c>
      <c r="I54" s="18">
        <f>G54*E54</f>
        <v>13577.400000000001</v>
      </c>
      <c r="J54" s="203"/>
      <c r="L54" s="27"/>
      <c r="M54" s="28"/>
      <c r="N54" s="54"/>
    </row>
    <row r="55" spans="1:22" s="202" customFormat="1" ht="15.75" hidden="1" customHeight="1">
      <c r="A55" s="48">
        <v>15</v>
      </c>
      <c r="B55" s="205" t="s">
        <v>52</v>
      </c>
      <c r="C55" s="206" t="s">
        <v>140</v>
      </c>
      <c r="D55" s="205" t="s">
        <v>88</v>
      </c>
      <c r="E55" s="207">
        <v>180</v>
      </c>
      <c r="F55" s="208">
        <f>SUM(E55)*3</f>
        <v>540</v>
      </c>
      <c r="G55" s="18">
        <v>70.2</v>
      </c>
      <c r="H55" s="209">
        <f t="shared" si="3"/>
        <v>37.908000000000001</v>
      </c>
      <c r="I55" s="18">
        <f>G55*E55</f>
        <v>12636</v>
      </c>
      <c r="J55" s="203"/>
      <c r="L55" s="27"/>
      <c r="M55" s="28"/>
      <c r="N55" s="54"/>
    </row>
    <row r="56" spans="1:22" s="202" customFormat="1" ht="15.75" customHeight="1">
      <c r="A56" s="261" t="s">
        <v>248</v>
      </c>
      <c r="B56" s="262"/>
      <c r="C56" s="262"/>
      <c r="D56" s="262"/>
      <c r="E56" s="262"/>
      <c r="F56" s="262"/>
      <c r="G56" s="262"/>
      <c r="H56" s="262"/>
      <c r="I56" s="263"/>
      <c r="J56" s="203"/>
      <c r="L56" s="27"/>
      <c r="M56" s="28"/>
      <c r="N56" s="54"/>
    </row>
    <row r="57" spans="1:22" s="202" customFormat="1" ht="15.75" customHeight="1">
      <c r="A57" s="48"/>
      <c r="B57" s="238" t="s">
        <v>54</v>
      </c>
      <c r="C57" s="206"/>
      <c r="D57" s="205"/>
      <c r="E57" s="207"/>
      <c r="F57" s="208"/>
      <c r="G57" s="208"/>
      <c r="H57" s="209"/>
      <c r="I57" s="18"/>
      <c r="J57" s="203"/>
      <c r="L57" s="27"/>
      <c r="M57" s="28"/>
      <c r="N57" s="54"/>
    </row>
    <row r="58" spans="1:22" s="202" customFormat="1" ht="31.5" customHeight="1">
      <c r="A58" s="48">
        <v>14</v>
      </c>
      <c r="B58" s="205" t="s">
        <v>207</v>
      </c>
      <c r="C58" s="206" t="s">
        <v>158</v>
      </c>
      <c r="D58" s="205" t="s">
        <v>189</v>
      </c>
      <c r="E58" s="207">
        <v>103.25</v>
      </c>
      <c r="F58" s="208">
        <f>SUM(E58*6/100)</f>
        <v>6.1950000000000003</v>
      </c>
      <c r="G58" s="18">
        <v>1654.04</v>
      </c>
      <c r="H58" s="209">
        <f>SUM(F58*G58/1000)</f>
        <v>10.2467778</v>
      </c>
      <c r="I58" s="18">
        <f>F58/6*G58</f>
        <v>1707.7963</v>
      </c>
      <c r="J58" s="203"/>
      <c r="L58" s="27"/>
      <c r="M58" s="28"/>
      <c r="N58" s="54"/>
    </row>
    <row r="59" spans="1:22" s="202" customFormat="1" ht="31.5" customHeight="1">
      <c r="A59" s="48">
        <v>15</v>
      </c>
      <c r="B59" s="205" t="s">
        <v>138</v>
      </c>
      <c r="C59" s="206" t="s">
        <v>158</v>
      </c>
      <c r="D59" s="205" t="s">
        <v>139</v>
      </c>
      <c r="E59" s="207">
        <v>39.700000000000003</v>
      </c>
      <c r="F59" s="208">
        <f>SUM(E59*12/100)</f>
        <v>4.7640000000000002</v>
      </c>
      <c r="G59" s="18">
        <v>1654.04</v>
      </c>
      <c r="H59" s="209">
        <f>SUM(F59*G59/1000)</f>
        <v>7.8798465599999998</v>
      </c>
      <c r="I59" s="18">
        <f>F59/6*G59</f>
        <v>1313.3077600000001</v>
      </c>
      <c r="J59" s="203"/>
      <c r="L59" s="27"/>
      <c r="M59" s="28"/>
      <c r="N59" s="54"/>
    </row>
    <row r="60" spans="1:22" s="202" customFormat="1" ht="15.75" hidden="1" customHeight="1">
      <c r="A60" s="48">
        <v>18</v>
      </c>
      <c r="B60" s="214" t="s">
        <v>190</v>
      </c>
      <c r="C60" s="215" t="s">
        <v>191</v>
      </c>
      <c r="D60" s="214" t="s">
        <v>53</v>
      </c>
      <c r="E60" s="216">
        <v>8</v>
      </c>
      <c r="F60" s="217">
        <v>16</v>
      </c>
      <c r="G60" s="18">
        <v>193.25</v>
      </c>
      <c r="H60" s="218">
        <f>F60*G60/1000</f>
        <v>3.0920000000000001</v>
      </c>
      <c r="I60" s="18">
        <f>F60/2*G60</f>
        <v>1546</v>
      </c>
      <c r="J60" s="203"/>
      <c r="L60" s="27"/>
    </row>
    <row r="61" spans="1:22" s="202" customFormat="1" ht="15.75" customHeight="1">
      <c r="A61" s="48">
        <v>16</v>
      </c>
      <c r="B61" s="205" t="s">
        <v>192</v>
      </c>
      <c r="C61" s="206" t="s">
        <v>158</v>
      </c>
      <c r="D61" s="205" t="s">
        <v>189</v>
      </c>
      <c r="E61" s="207">
        <v>41.73</v>
      </c>
      <c r="F61" s="208">
        <f>SUM(E61*6/100)</f>
        <v>2.5038</v>
      </c>
      <c r="G61" s="18">
        <v>1654.04</v>
      </c>
      <c r="H61" s="209">
        <f>SUM(F61*G61/1000)</f>
        <v>4.1413853520000004</v>
      </c>
      <c r="I61" s="18">
        <f>F61/6*G61</f>
        <v>690.23089200000004</v>
      </c>
      <c r="J61" s="203"/>
      <c r="L61" s="27"/>
    </row>
    <row r="62" spans="1:22" s="202" customFormat="1" ht="15.75" customHeight="1">
      <c r="A62" s="48"/>
      <c r="B62" s="239" t="s">
        <v>55</v>
      </c>
      <c r="C62" s="215"/>
      <c r="D62" s="214"/>
      <c r="E62" s="216"/>
      <c r="F62" s="217"/>
      <c r="G62" s="18"/>
      <c r="H62" s="218"/>
      <c r="I62" s="18"/>
    </row>
    <row r="63" spans="1:22" s="202" customFormat="1" ht="15.75" hidden="1" customHeight="1">
      <c r="A63" s="48"/>
      <c r="B63" s="214" t="s">
        <v>219</v>
      </c>
      <c r="C63" s="215" t="s">
        <v>65</v>
      </c>
      <c r="D63" s="214" t="s">
        <v>66</v>
      </c>
      <c r="E63" s="216">
        <v>1017.5</v>
      </c>
      <c r="F63" s="217">
        <v>10.154</v>
      </c>
      <c r="G63" s="18">
        <v>848.37</v>
      </c>
      <c r="H63" s="218">
        <f>F63*G63/1000</f>
        <v>8.6143489800000008</v>
      </c>
      <c r="I63" s="18">
        <v>0</v>
      </c>
    </row>
    <row r="64" spans="1:22" s="202" customFormat="1" ht="15.75" customHeight="1">
      <c r="A64" s="48">
        <v>17</v>
      </c>
      <c r="B64" s="214" t="s">
        <v>142</v>
      </c>
      <c r="C64" s="215" t="s">
        <v>28</v>
      </c>
      <c r="D64" s="214" t="s">
        <v>35</v>
      </c>
      <c r="E64" s="216">
        <v>203.5</v>
      </c>
      <c r="F64" s="219">
        <f>E64*12</f>
        <v>2442</v>
      </c>
      <c r="G64" s="197">
        <v>2.6</v>
      </c>
      <c r="H64" s="217">
        <f>F64*G64/1000</f>
        <v>6.3491999999999997</v>
      </c>
      <c r="I64" s="18">
        <f>F64/12*G64</f>
        <v>529.1</v>
      </c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1"/>
    </row>
    <row r="65" spans="1:21" s="202" customFormat="1" ht="15.75" hidden="1" customHeight="1">
      <c r="A65" s="48"/>
      <c r="B65" s="239" t="s">
        <v>57</v>
      </c>
      <c r="C65" s="215"/>
      <c r="D65" s="214"/>
      <c r="E65" s="216"/>
      <c r="F65" s="219"/>
      <c r="G65" s="219"/>
      <c r="H65" s="217" t="s">
        <v>218</v>
      </c>
      <c r="I65" s="18"/>
      <c r="J65" s="222"/>
      <c r="K65" s="222"/>
      <c r="L65" s="220"/>
      <c r="M65" s="220"/>
      <c r="N65" s="220"/>
      <c r="O65" s="220"/>
      <c r="P65" s="220"/>
      <c r="Q65" s="220"/>
      <c r="R65" s="220"/>
      <c r="S65" s="220"/>
      <c r="T65" s="220"/>
      <c r="U65" s="220"/>
    </row>
    <row r="66" spans="1:21" s="202" customFormat="1" ht="15.75" hidden="1" customHeight="1">
      <c r="A66" s="48"/>
      <c r="B66" s="20" t="s">
        <v>58</v>
      </c>
      <c r="C66" s="22" t="s">
        <v>140</v>
      </c>
      <c r="D66" s="20" t="s">
        <v>84</v>
      </c>
      <c r="E66" s="25">
        <v>10</v>
      </c>
      <c r="F66" s="208">
        <v>10</v>
      </c>
      <c r="G66" s="18">
        <v>237.75</v>
      </c>
      <c r="H66" s="223">
        <f t="shared" ref="H66:H79" si="4">SUM(F66*G66/1000)</f>
        <v>2.3774999999999999</v>
      </c>
      <c r="I66" s="18">
        <v>0</v>
      </c>
      <c r="J66" s="220"/>
      <c r="K66" s="220"/>
      <c r="L66" s="220"/>
      <c r="M66" s="220"/>
      <c r="N66" s="220"/>
      <c r="O66" s="220"/>
      <c r="P66" s="220"/>
      <c r="Q66" s="220"/>
      <c r="S66" s="220"/>
      <c r="T66" s="220"/>
      <c r="U66" s="220"/>
    </row>
    <row r="67" spans="1:21" s="202" customFormat="1" ht="15.75" hidden="1" customHeight="1">
      <c r="A67" s="48"/>
      <c r="B67" s="20" t="s">
        <v>59</v>
      </c>
      <c r="C67" s="22" t="s">
        <v>140</v>
      </c>
      <c r="D67" s="20" t="s">
        <v>84</v>
      </c>
      <c r="E67" s="25">
        <v>5</v>
      </c>
      <c r="F67" s="208">
        <v>5</v>
      </c>
      <c r="G67" s="18">
        <v>81.510000000000005</v>
      </c>
      <c r="H67" s="223">
        <f t="shared" si="4"/>
        <v>0.40755000000000002</v>
      </c>
      <c r="I67" s="18">
        <v>0</v>
      </c>
      <c r="J67" s="224"/>
      <c r="K67" s="224"/>
      <c r="L67" s="224"/>
      <c r="M67" s="224"/>
      <c r="N67" s="224"/>
      <c r="O67" s="224"/>
      <c r="P67" s="224"/>
      <c r="Q67" s="224"/>
      <c r="R67" s="264"/>
      <c r="S67" s="264"/>
      <c r="T67" s="264"/>
      <c r="U67" s="264"/>
    </row>
    <row r="68" spans="1:21" s="202" customFormat="1" ht="15.75" hidden="1" customHeight="1">
      <c r="A68" s="48"/>
      <c r="B68" s="20" t="s">
        <v>60</v>
      </c>
      <c r="C68" s="22" t="s">
        <v>193</v>
      </c>
      <c r="D68" s="20" t="s">
        <v>66</v>
      </c>
      <c r="E68" s="207">
        <v>14347</v>
      </c>
      <c r="F68" s="18">
        <f>SUM(E68/100)</f>
        <v>143.47</v>
      </c>
      <c r="G68" s="18">
        <v>226.79</v>
      </c>
      <c r="H68" s="223">
        <f t="shared" si="4"/>
        <v>32.5375613</v>
      </c>
      <c r="I68" s="18">
        <v>0</v>
      </c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</row>
    <row r="69" spans="1:21" s="202" customFormat="1" ht="15.75" hidden="1" customHeight="1">
      <c r="A69" s="48"/>
      <c r="B69" s="20" t="s">
        <v>61</v>
      </c>
      <c r="C69" s="22" t="s">
        <v>194</v>
      </c>
      <c r="D69" s="20" t="s">
        <v>66</v>
      </c>
      <c r="E69" s="207">
        <v>14347</v>
      </c>
      <c r="F69" s="18">
        <f>SUM(E69/1000)</f>
        <v>14.347</v>
      </c>
      <c r="G69" s="18">
        <v>176.61</v>
      </c>
      <c r="H69" s="223">
        <f t="shared" si="4"/>
        <v>2.5338236700000003</v>
      </c>
      <c r="I69" s="18">
        <v>0</v>
      </c>
    </row>
    <row r="70" spans="1:21" s="202" customFormat="1" ht="15.75" hidden="1" customHeight="1">
      <c r="A70" s="48"/>
      <c r="B70" s="20" t="s">
        <v>62</v>
      </c>
      <c r="C70" s="22" t="s">
        <v>94</v>
      </c>
      <c r="D70" s="20" t="s">
        <v>66</v>
      </c>
      <c r="E70" s="207">
        <v>2244</v>
      </c>
      <c r="F70" s="18">
        <f>SUM(E70/100)</f>
        <v>22.44</v>
      </c>
      <c r="G70" s="18">
        <v>2217.7800000000002</v>
      </c>
      <c r="H70" s="223">
        <f t="shared" si="4"/>
        <v>49.766983200000013</v>
      </c>
      <c r="I70" s="18">
        <v>0</v>
      </c>
    </row>
    <row r="71" spans="1:21" s="202" customFormat="1" ht="15.75" hidden="1" customHeight="1">
      <c r="A71" s="48"/>
      <c r="B71" s="225" t="s">
        <v>195</v>
      </c>
      <c r="C71" s="22" t="s">
        <v>38</v>
      </c>
      <c r="D71" s="20" t="s">
        <v>66</v>
      </c>
      <c r="E71" s="207">
        <v>12.48</v>
      </c>
      <c r="F71" s="18">
        <f>SUM(E71)</f>
        <v>12.48</v>
      </c>
      <c r="G71" s="18">
        <v>42.67</v>
      </c>
      <c r="H71" s="223">
        <f t="shared" si="4"/>
        <v>0.53252160000000004</v>
      </c>
      <c r="I71" s="18">
        <v>0</v>
      </c>
    </row>
    <row r="72" spans="1:21" s="202" customFormat="1" ht="15.75" hidden="1" customHeight="1">
      <c r="A72" s="48"/>
      <c r="B72" s="225" t="s">
        <v>196</v>
      </c>
      <c r="C72" s="22" t="s">
        <v>38</v>
      </c>
      <c r="D72" s="20" t="s">
        <v>66</v>
      </c>
      <c r="E72" s="207">
        <v>12.48</v>
      </c>
      <c r="F72" s="18">
        <f>SUM(E72)</f>
        <v>12.48</v>
      </c>
      <c r="G72" s="18">
        <v>39.81</v>
      </c>
      <c r="H72" s="223">
        <f t="shared" si="4"/>
        <v>0.49682880000000007</v>
      </c>
      <c r="I72" s="18">
        <v>0</v>
      </c>
    </row>
    <row r="73" spans="1:21" s="202" customFormat="1" ht="15.75" hidden="1" customHeight="1">
      <c r="A73" s="48"/>
      <c r="B73" s="20" t="s">
        <v>71</v>
      </c>
      <c r="C73" s="22" t="s">
        <v>72</v>
      </c>
      <c r="D73" s="20" t="s">
        <v>66</v>
      </c>
      <c r="E73" s="25">
        <v>5</v>
      </c>
      <c r="F73" s="208">
        <v>5</v>
      </c>
      <c r="G73" s="18">
        <v>53.32</v>
      </c>
      <c r="H73" s="223">
        <f t="shared" si="4"/>
        <v>0.2666</v>
      </c>
      <c r="I73" s="18">
        <v>0</v>
      </c>
    </row>
    <row r="74" spans="1:21" s="202" customFormat="1" ht="15.75" hidden="1" customHeight="1">
      <c r="A74" s="48"/>
      <c r="B74" s="193" t="s">
        <v>89</v>
      </c>
      <c r="C74" s="22"/>
      <c r="D74" s="20"/>
      <c r="E74" s="25"/>
      <c r="F74" s="18"/>
      <c r="G74" s="18"/>
      <c r="H74" s="223" t="s">
        <v>218</v>
      </c>
      <c r="I74" s="18"/>
    </row>
    <row r="75" spans="1:21" s="202" customFormat="1" ht="15.75" hidden="1" customHeight="1">
      <c r="A75" s="48"/>
      <c r="B75" s="20" t="s">
        <v>90</v>
      </c>
      <c r="C75" s="22" t="s">
        <v>92</v>
      </c>
      <c r="D75" s="20"/>
      <c r="E75" s="25">
        <v>2</v>
      </c>
      <c r="F75" s="18">
        <v>0.2</v>
      </c>
      <c r="G75" s="18">
        <v>536.23</v>
      </c>
      <c r="H75" s="223">
        <f t="shared" si="4"/>
        <v>0.10724600000000001</v>
      </c>
      <c r="I75" s="18">
        <v>0</v>
      </c>
    </row>
    <row r="76" spans="1:21" s="202" customFormat="1" ht="15.75" hidden="1" customHeight="1">
      <c r="A76" s="48">
        <v>21</v>
      </c>
      <c r="B76" s="20" t="s">
        <v>91</v>
      </c>
      <c r="C76" s="22" t="s">
        <v>36</v>
      </c>
      <c r="D76" s="20"/>
      <c r="E76" s="25">
        <v>1</v>
      </c>
      <c r="F76" s="197">
        <v>1</v>
      </c>
      <c r="G76" s="18">
        <v>911.85</v>
      </c>
      <c r="H76" s="223">
        <f>F76*G76/1000</f>
        <v>0.91185000000000005</v>
      </c>
      <c r="I76" s="18">
        <f>G76</f>
        <v>911.85</v>
      </c>
    </row>
    <row r="77" spans="1:21" s="202" customFormat="1" ht="15.75" hidden="1" customHeight="1">
      <c r="A77" s="48"/>
      <c r="B77" s="20" t="s">
        <v>199</v>
      </c>
      <c r="C77" s="22" t="s">
        <v>36</v>
      </c>
      <c r="D77" s="20"/>
      <c r="E77" s="25">
        <v>1</v>
      </c>
      <c r="F77" s="18">
        <v>1</v>
      </c>
      <c r="G77" s="18">
        <v>383.25</v>
      </c>
      <c r="H77" s="223">
        <f>G77*F77/1000</f>
        <v>0.38324999999999998</v>
      </c>
      <c r="I77" s="18">
        <v>0</v>
      </c>
    </row>
    <row r="78" spans="1:21" s="202" customFormat="1" ht="15.75" hidden="1" customHeight="1">
      <c r="A78" s="48"/>
      <c r="B78" s="227" t="s">
        <v>93</v>
      </c>
      <c r="C78" s="22"/>
      <c r="D78" s="20"/>
      <c r="E78" s="25"/>
      <c r="F78" s="18"/>
      <c r="G78" s="18" t="s">
        <v>218</v>
      </c>
      <c r="H78" s="223" t="s">
        <v>218</v>
      </c>
      <c r="I78" s="18"/>
    </row>
    <row r="79" spans="1:21" s="202" customFormat="1" ht="15.75" hidden="1" customHeight="1">
      <c r="A79" s="48"/>
      <c r="B79" s="86" t="s">
        <v>200</v>
      </c>
      <c r="C79" s="22" t="s">
        <v>94</v>
      </c>
      <c r="D79" s="20"/>
      <c r="E79" s="25"/>
      <c r="F79" s="18">
        <v>1</v>
      </c>
      <c r="G79" s="18">
        <v>2949.84</v>
      </c>
      <c r="H79" s="223">
        <f t="shared" si="4"/>
        <v>2.94984</v>
      </c>
      <c r="I79" s="18">
        <v>0</v>
      </c>
    </row>
    <row r="80" spans="1:21" s="202" customFormat="1" ht="15.75" customHeight="1">
      <c r="A80" s="48"/>
      <c r="B80" s="193" t="s">
        <v>197</v>
      </c>
      <c r="C80" s="227"/>
      <c r="D80" s="53"/>
      <c r="E80" s="58"/>
      <c r="F80" s="211"/>
      <c r="G80" s="211"/>
      <c r="H80" s="228">
        <f>SUM(H58:H79)</f>
        <v>133.59511326200004</v>
      </c>
      <c r="I80" s="211"/>
    </row>
    <row r="81" spans="1:9" s="202" customFormat="1" ht="15.75" customHeight="1">
      <c r="A81" s="48">
        <v>18</v>
      </c>
      <c r="B81" s="205" t="s">
        <v>198</v>
      </c>
      <c r="C81" s="22"/>
      <c r="D81" s="20"/>
      <c r="E81" s="198"/>
      <c r="F81" s="18">
        <v>1</v>
      </c>
      <c r="G81" s="18">
        <v>27922</v>
      </c>
      <c r="H81" s="223">
        <f>G81*F81/1000</f>
        <v>27.922000000000001</v>
      </c>
      <c r="I81" s="18">
        <f>G81</f>
        <v>27922</v>
      </c>
    </row>
    <row r="82" spans="1:9" s="202" customFormat="1" ht="15.75" customHeight="1">
      <c r="A82" s="261" t="s">
        <v>249</v>
      </c>
      <c r="B82" s="262"/>
      <c r="C82" s="262"/>
      <c r="D82" s="262"/>
      <c r="E82" s="262"/>
      <c r="F82" s="262"/>
      <c r="G82" s="262"/>
      <c r="H82" s="262"/>
      <c r="I82" s="263"/>
    </row>
    <row r="83" spans="1:9" s="202" customFormat="1" ht="15.75" customHeight="1">
      <c r="A83" s="48">
        <v>19</v>
      </c>
      <c r="B83" s="205" t="s">
        <v>201</v>
      </c>
      <c r="C83" s="22" t="s">
        <v>67</v>
      </c>
      <c r="D83" s="229" t="s">
        <v>68</v>
      </c>
      <c r="E83" s="18">
        <v>3931</v>
      </c>
      <c r="F83" s="18">
        <f>SUM(E83*12)</f>
        <v>47172</v>
      </c>
      <c r="G83" s="18">
        <v>2.2400000000000002</v>
      </c>
      <c r="H83" s="223">
        <f>SUM(F83*G83/1000)</f>
        <v>105.66528000000001</v>
      </c>
      <c r="I83" s="18">
        <f>F83/12*G83</f>
        <v>8805.44</v>
      </c>
    </row>
    <row r="84" spans="1:9" s="202" customFormat="1" ht="31.5" customHeight="1">
      <c r="A84" s="48">
        <v>20</v>
      </c>
      <c r="B84" s="20" t="s">
        <v>95</v>
      </c>
      <c r="C84" s="22"/>
      <c r="D84" s="229" t="s">
        <v>68</v>
      </c>
      <c r="E84" s="207">
        <f>E83</f>
        <v>3931</v>
      </c>
      <c r="F84" s="18">
        <f>E84*12</f>
        <v>47172</v>
      </c>
      <c r="G84" s="18">
        <v>1.74</v>
      </c>
      <c r="H84" s="223">
        <f>F84*G84/1000</f>
        <v>82.079279999999997</v>
      </c>
      <c r="I84" s="18">
        <f>F84/12*G84</f>
        <v>6839.94</v>
      </c>
    </row>
    <row r="85" spans="1:9" s="202" customFormat="1" ht="15.75" customHeight="1">
      <c r="A85" s="48"/>
      <c r="B85" s="73" t="s">
        <v>101</v>
      </c>
      <c r="C85" s="227"/>
      <c r="D85" s="226"/>
      <c r="E85" s="211"/>
      <c r="F85" s="211"/>
      <c r="G85" s="211"/>
      <c r="H85" s="228">
        <f>H84</f>
        <v>82.079279999999997</v>
      </c>
      <c r="I85" s="211">
        <f>I16+I17+I18+I25+I26+I37+I38+I39+I41+I42+I43+I44+I53+I58+I59+I61+I64+I81+I83+I84</f>
        <v>91665.204198783351</v>
      </c>
    </row>
    <row r="86" spans="1:9" s="202" customFormat="1" ht="15.75" customHeight="1">
      <c r="A86" s="48"/>
      <c r="B86" s="180" t="s">
        <v>74</v>
      </c>
      <c r="C86" s="22"/>
      <c r="D86" s="86"/>
      <c r="E86" s="18"/>
      <c r="F86" s="18"/>
      <c r="G86" s="18"/>
      <c r="H86" s="18"/>
      <c r="I86" s="18"/>
    </row>
    <row r="87" spans="1:9" s="202" customFormat="1" ht="31.5" hidden="1" customHeight="1">
      <c r="A87" s="48">
        <v>24</v>
      </c>
      <c r="B87" s="232" t="s">
        <v>110</v>
      </c>
      <c r="C87" s="184" t="s">
        <v>47</v>
      </c>
      <c r="D87" s="20"/>
      <c r="E87" s="25"/>
      <c r="F87" s="18">
        <v>0.04</v>
      </c>
      <c r="G87" s="18">
        <v>3397.65</v>
      </c>
      <c r="H87" s="223">
        <f t="shared" ref="H87:H96" si="5">G87*F87/1000</f>
        <v>0.135906</v>
      </c>
      <c r="I87" s="230">
        <v>0</v>
      </c>
    </row>
    <row r="88" spans="1:9" s="202" customFormat="1" ht="15.75" hidden="1" customHeight="1">
      <c r="A88" s="48"/>
      <c r="B88" s="232" t="s">
        <v>220</v>
      </c>
      <c r="C88" s="184" t="s">
        <v>103</v>
      </c>
      <c r="D88" s="20"/>
      <c r="E88" s="25"/>
      <c r="F88" s="18">
        <v>10</v>
      </c>
      <c r="G88" s="18">
        <v>2057</v>
      </c>
      <c r="H88" s="223">
        <f t="shared" si="5"/>
        <v>20.57</v>
      </c>
      <c r="I88" s="230">
        <v>0</v>
      </c>
    </row>
    <row r="89" spans="1:9" s="202" customFormat="1" ht="15.75" hidden="1" customHeight="1">
      <c r="A89" s="48"/>
      <c r="B89" s="233" t="s">
        <v>144</v>
      </c>
      <c r="C89" s="231" t="s">
        <v>145</v>
      </c>
      <c r="D89" s="20"/>
      <c r="E89" s="25"/>
      <c r="F89" s="18">
        <f>15/3</f>
        <v>5</v>
      </c>
      <c r="G89" s="18">
        <v>1063.47</v>
      </c>
      <c r="H89" s="223">
        <f t="shared" si="5"/>
        <v>5.3173500000000002</v>
      </c>
      <c r="I89" s="230">
        <v>0</v>
      </c>
    </row>
    <row r="90" spans="1:9" s="202" customFormat="1" ht="15.75" hidden="1" customHeight="1">
      <c r="A90" s="48"/>
      <c r="B90" s="234" t="s">
        <v>113</v>
      </c>
      <c r="C90" s="204" t="s">
        <v>92</v>
      </c>
      <c r="D90" s="20"/>
      <c r="E90" s="25"/>
      <c r="F90" s="18">
        <f>4/10</f>
        <v>0.4</v>
      </c>
      <c r="G90" s="18">
        <v>3800</v>
      </c>
      <c r="H90" s="223">
        <f t="shared" si="5"/>
        <v>1.52</v>
      </c>
      <c r="I90" s="230">
        <v>0</v>
      </c>
    </row>
    <row r="91" spans="1:9" s="202" customFormat="1" ht="15.75" hidden="1" customHeight="1">
      <c r="A91" s="48"/>
      <c r="B91" s="232" t="s">
        <v>106</v>
      </c>
      <c r="C91" s="184" t="s">
        <v>140</v>
      </c>
      <c r="D91" s="20"/>
      <c r="E91" s="25"/>
      <c r="F91" s="18">
        <v>8</v>
      </c>
      <c r="G91" s="18">
        <v>180.15</v>
      </c>
      <c r="H91" s="223">
        <f t="shared" si="5"/>
        <v>1.4412</v>
      </c>
      <c r="I91" s="230">
        <v>0</v>
      </c>
    </row>
    <row r="92" spans="1:9" s="202" customFormat="1" ht="15.75" hidden="1" customHeight="1">
      <c r="A92" s="48"/>
      <c r="B92" s="232" t="s">
        <v>221</v>
      </c>
      <c r="C92" s="184" t="s">
        <v>222</v>
      </c>
      <c r="D92" s="20"/>
      <c r="E92" s="25"/>
      <c r="F92" s="18">
        <v>1</v>
      </c>
      <c r="G92" s="18">
        <v>45448</v>
      </c>
      <c r="H92" s="223">
        <f t="shared" si="5"/>
        <v>45.448</v>
      </c>
      <c r="I92" s="230">
        <v>0</v>
      </c>
    </row>
    <row r="93" spans="1:9" s="202" customFormat="1" ht="15.75" hidden="1" customHeight="1">
      <c r="A93" s="48"/>
      <c r="B93" s="235" t="s">
        <v>223</v>
      </c>
      <c r="C93" s="48" t="s">
        <v>224</v>
      </c>
      <c r="D93" s="20"/>
      <c r="E93" s="25"/>
      <c r="F93" s="18">
        <v>1</v>
      </c>
      <c r="G93" s="18">
        <v>383.01</v>
      </c>
      <c r="H93" s="223">
        <f t="shared" si="5"/>
        <v>0.38301000000000002</v>
      </c>
      <c r="I93" s="230">
        <v>0</v>
      </c>
    </row>
    <row r="94" spans="1:9" s="202" customFormat="1" ht="15.75" hidden="1" customHeight="1">
      <c r="A94" s="48"/>
      <c r="B94" s="232" t="s">
        <v>100</v>
      </c>
      <c r="C94" s="184" t="s">
        <v>140</v>
      </c>
      <c r="D94" s="20"/>
      <c r="E94" s="25"/>
      <c r="F94" s="18">
        <v>8</v>
      </c>
      <c r="G94" s="18">
        <v>79.09</v>
      </c>
      <c r="H94" s="223">
        <f t="shared" si="5"/>
        <v>0.63272000000000006</v>
      </c>
      <c r="I94" s="230">
        <v>0</v>
      </c>
    </row>
    <row r="95" spans="1:9" s="202" customFormat="1" ht="15.75" hidden="1" customHeight="1">
      <c r="A95" s="48"/>
      <c r="B95" s="232" t="s">
        <v>225</v>
      </c>
      <c r="C95" s="184" t="s">
        <v>140</v>
      </c>
      <c r="D95" s="20"/>
      <c r="E95" s="25"/>
      <c r="F95" s="18">
        <v>1</v>
      </c>
      <c r="G95" s="18">
        <v>2179.33</v>
      </c>
      <c r="H95" s="223">
        <f t="shared" si="5"/>
        <v>2.1793299999999998</v>
      </c>
      <c r="I95" s="230">
        <v>0</v>
      </c>
    </row>
    <row r="96" spans="1:9" s="202" customFormat="1" ht="15.75" hidden="1" customHeight="1">
      <c r="A96" s="48"/>
      <c r="B96" s="232" t="s">
        <v>226</v>
      </c>
      <c r="C96" s="184" t="s">
        <v>103</v>
      </c>
      <c r="D96" s="20"/>
      <c r="E96" s="25"/>
      <c r="F96" s="18">
        <v>2.5</v>
      </c>
      <c r="G96" s="18">
        <v>1272</v>
      </c>
      <c r="H96" s="223">
        <f t="shared" si="5"/>
        <v>3.18</v>
      </c>
      <c r="I96" s="230">
        <v>0</v>
      </c>
    </row>
    <row r="97" spans="1:9" s="202" customFormat="1" ht="15.75" hidden="1" customHeight="1">
      <c r="A97" s="48"/>
      <c r="B97" s="232" t="s">
        <v>130</v>
      </c>
      <c r="C97" s="184" t="s">
        <v>227</v>
      </c>
      <c r="D97" s="20"/>
      <c r="E97" s="25"/>
      <c r="F97" s="18">
        <v>1</v>
      </c>
      <c r="G97" s="18">
        <v>559.62</v>
      </c>
      <c r="H97" s="223">
        <f>G97*F97/1000</f>
        <v>0.55962000000000001</v>
      </c>
      <c r="I97" s="230">
        <v>0</v>
      </c>
    </row>
    <row r="98" spans="1:9" s="202" customFormat="1" ht="15.75" hidden="1" customHeight="1">
      <c r="A98" s="48"/>
      <c r="B98" s="232" t="s">
        <v>228</v>
      </c>
      <c r="C98" s="184" t="s">
        <v>229</v>
      </c>
      <c r="D98" s="20"/>
      <c r="E98" s="25"/>
      <c r="F98" s="18">
        <v>3</v>
      </c>
      <c r="G98" s="18">
        <v>195.95</v>
      </c>
      <c r="H98" s="223">
        <f t="shared" ref="H98:H99" si="6">G98*F98/1000</f>
        <v>0.58784999999999987</v>
      </c>
      <c r="I98" s="230">
        <v>0</v>
      </c>
    </row>
    <row r="99" spans="1:9" s="202" customFormat="1" ht="15.75" hidden="1" customHeight="1">
      <c r="A99" s="48"/>
      <c r="B99" s="232" t="s">
        <v>230</v>
      </c>
      <c r="C99" s="184" t="s">
        <v>148</v>
      </c>
      <c r="D99" s="20"/>
      <c r="E99" s="25"/>
      <c r="F99" s="18">
        <f>30/10</f>
        <v>3</v>
      </c>
      <c r="G99" s="18">
        <v>3875.44</v>
      </c>
      <c r="H99" s="223">
        <f t="shared" si="6"/>
        <v>11.62632</v>
      </c>
      <c r="I99" s="230">
        <v>0</v>
      </c>
    </row>
    <row r="100" spans="1:9" s="202" customFormat="1" ht="15.75" hidden="1" customHeight="1">
      <c r="A100" s="48"/>
      <c r="B100" s="236" t="s">
        <v>231</v>
      </c>
      <c r="C100" s="206" t="s">
        <v>140</v>
      </c>
      <c r="D100" s="86"/>
      <c r="E100" s="18"/>
      <c r="F100" s="18">
        <v>2</v>
      </c>
      <c r="G100" s="18">
        <v>81.73</v>
      </c>
      <c r="H100" s="223">
        <f>G100*F100/1000</f>
        <v>0.16345999999999999</v>
      </c>
      <c r="I100" s="230">
        <v>0</v>
      </c>
    </row>
    <row r="101" spans="1:9" s="202" customFormat="1" ht="15.75" hidden="1" customHeight="1">
      <c r="A101" s="48"/>
      <c r="B101" s="236" t="s">
        <v>141</v>
      </c>
      <c r="C101" s="206" t="s">
        <v>140</v>
      </c>
      <c r="D101" s="86"/>
      <c r="E101" s="18"/>
      <c r="F101" s="18">
        <v>2</v>
      </c>
      <c r="G101" s="18">
        <v>175.6</v>
      </c>
      <c r="H101" s="223">
        <f>G101*F101/1000</f>
        <v>0.35120000000000001</v>
      </c>
      <c r="I101" s="230">
        <v>0</v>
      </c>
    </row>
    <row r="102" spans="1:9" s="202" customFormat="1" ht="15.75" hidden="1" customHeight="1">
      <c r="A102" s="48"/>
      <c r="B102" s="234" t="s">
        <v>114</v>
      </c>
      <c r="C102" s="184" t="s">
        <v>140</v>
      </c>
      <c r="D102" s="86"/>
      <c r="E102" s="18"/>
      <c r="F102" s="18">
        <v>2</v>
      </c>
      <c r="G102" s="18">
        <v>179.96</v>
      </c>
      <c r="H102" s="223">
        <f>G102*F102/1000</f>
        <v>0.35992000000000002</v>
      </c>
      <c r="I102" s="230">
        <v>0</v>
      </c>
    </row>
    <row r="103" spans="1:9" s="202" customFormat="1" ht="15.75" hidden="1" customHeight="1">
      <c r="A103" s="48"/>
      <c r="B103" s="232" t="s">
        <v>232</v>
      </c>
      <c r="C103" s="184" t="s">
        <v>103</v>
      </c>
      <c r="D103" s="86"/>
      <c r="E103" s="18"/>
      <c r="F103" s="18">
        <v>2</v>
      </c>
      <c r="G103" s="18">
        <v>778.86</v>
      </c>
      <c r="H103" s="223">
        <f t="shared" ref="H103:H105" si="7">G103*F103/1000</f>
        <v>1.55772</v>
      </c>
      <c r="I103" s="230">
        <v>0</v>
      </c>
    </row>
    <row r="104" spans="1:9" s="202" customFormat="1" ht="15.75" hidden="1" customHeight="1">
      <c r="A104" s="48"/>
      <c r="B104" s="232" t="s">
        <v>233</v>
      </c>
      <c r="C104" s="184" t="s">
        <v>140</v>
      </c>
      <c r="D104" s="86"/>
      <c r="E104" s="18"/>
      <c r="F104" s="18">
        <v>1</v>
      </c>
      <c r="G104" s="18">
        <v>109.73</v>
      </c>
      <c r="H104" s="223">
        <f t="shared" si="7"/>
        <v>0.10973000000000001</v>
      </c>
      <c r="I104" s="230">
        <v>0</v>
      </c>
    </row>
    <row r="105" spans="1:9" s="202" customFormat="1" ht="15.75" hidden="1" customHeight="1">
      <c r="A105" s="48"/>
      <c r="B105" s="232" t="s">
        <v>234</v>
      </c>
      <c r="C105" s="184" t="s">
        <v>140</v>
      </c>
      <c r="D105" s="86"/>
      <c r="E105" s="18"/>
      <c r="F105" s="18">
        <v>1</v>
      </c>
      <c r="G105" s="18">
        <v>78.89</v>
      </c>
      <c r="H105" s="223">
        <f t="shared" si="7"/>
        <v>7.8890000000000002E-2</v>
      </c>
      <c r="I105" s="230">
        <v>0</v>
      </c>
    </row>
    <row r="106" spans="1:9" s="202" customFormat="1" ht="15.75" hidden="1" customHeight="1">
      <c r="A106" s="48"/>
      <c r="B106" s="232" t="s">
        <v>235</v>
      </c>
      <c r="C106" s="204" t="s">
        <v>236</v>
      </c>
      <c r="D106" s="86"/>
      <c r="E106" s="18"/>
      <c r="F106" s="18">
        <v>0.5</v>
      </c>
      <c r="G106" s="18">
        <f>228.27</f>
        <v>228.27</v>
      </c>
      <c r="H106" s="223">
        <f>G106*F106/1000</f>
        <v>0.114135</v>
      </c>
      <c r="I106" s="230">
        <v>0</v>
      </c>
    </row>
    <row r="107" spans="1:9" s="202" customFormat="1" ht="15.75" hidden="1" customHeight="1">
      <c r="A107" s="48"/>
      <c r="B107" s="232" t="s">
        <v>237</v>
      </c>
      <c r="C107" s="184" t="s">
        <v>140</v>
      </c>
      <c r="D107" s="86"/>
      <c r="E107" s="18"/>
      <c r="F107" s="18">
        <v>2</v>
      </c>
      <c r="G107" s="18">
        <v>446.12</v>
      </c>
      <c r="H107" s="223">
        <f>G107*F107/1000</f>
        <v>0.89224000000000003</v>
      </c>
      <c r="I107" s="230">
        <v>0</v>
      </c>
    </row>
    <row r="108" spans="1:9" s="202" customFormat="1" ht="15.75" hidden="1" customHeight="1">
      <c r="A108" s="48"/>
      <c r="B108" s="232" t="s">
        <v>238</v>
      </c>
      <c r="C108" s="184" t="s">
        <v>239</v>
      </c>
      <c r="D108" s="86"/>
      <c r="E108" s="18"/>
      <c r="F108" s="18">
        <v>0.5</v>
      </c>
      <c r="G108" s="18">
        <v>1501</v>
      </c>
      <c r="H108" s="223">
        <f>G108*F108/1000</f>
        <v>0.75049999999999994</v>
      </c>
      <c r="I108" s="230">
        <v>0</v>
      </c>
    </row>
    <row r="109" spans="1:9" s="202" customFormat="1" ht="15.75" hidden="1" customHeight="1">
      <c r="A109" s="48"/>
      <c r="B109" s="232" t="s">
        <v>209</v>
      </c>
      <c r="C109" s="184" t="s">
        <v>210</v>
      </c>
      <c r="D109" s="86"/>
      <c r="E109" s="18"/>
      <c r="F109" s="18">
        <v>2</v>
      </c>
      <c r="G109" s="18">
        <v>51.39</v>
      </c>
      <c r="H109" s="223">
        <f>G109*F109/1000</f>
        <v>0.10278</v>
      </c>
      <c r="I109" s="230">
        <v>0</v>
      </c>
    </row>
    <row r="110" spans="1:9" s="202" customFormat="1" ht="15.75" hidden="1" customHeight="1">
      <c r="A110" s="48"/>
      <c r="B110" s="232" t="s">
        <v>240</v>
      </c>
      <c r="C110" s="184" t="s">
        <v>227</v>
      </c>
      <c r="D110" s="20"/>
      <c r="E110" s="25"/>
      <c r="F110" s="18">
        <v>1</v>
      </c>
      <c r="G110" s="18">
        <v>195.95</v>
      </c>
      <c r="H110" s="223">
        <f t="shared" ref="H110:H120" si="8">G110*F110/1000</f>
        <v>0.19594999999999999</v>
      </c>
      <c r="I110" s="230">
        <v>0</v>
      </c>
    </row>
    <row r="111" spans="1:9" s="202" customFormat="1" ht="15.75" hidden="1" customHeight="1">
      <c r="A111" s="48"/>
      <c r="B111" s="232" t="s">
        <v>242</v>
      </c>
      <c r="C111" s="184" t="s">
        <v>140</v>
      </c>
      <c r="D111" s="20"/>
      <c r="E111" s="25"/>
      <c r="F111" s="18">
        <v>1</v>
      </c>
      <c r="G111" s="18">
        <v>50</v>
      </c>
      <c r="H111" s="223">
        <f t="shared" si="8"/>
        <v>0.05</v>
      </c>
      <c r="I111" s="230">
        <v>0</v>
      </c>
    </row>
    <row r="112" spans="1:9" s="202" customFormat="1" ht="15.75" hidden="1" customHeight="1">
      <c r="A112" s="48"/>
      <c r="B112" s="232" t="s">
        <v>241</v>
      </c>
      <c r="C112" s="184" t="s">
        <v>140</v>
      </c>
      <c r="D112" s="20"/>
      <c r="E112" s="25"/>
      <c r="F112" s="18">
        <v>1</v>
      </c>
      <c r="G112" s="18">
        <v>27.36</v>
      </c>
      <c r="H112" s="223">
        <f t="shared" si="8"/>
        <v>2.7359999999999999E-2</v>
      </c>
      <c r="I112" s="230">
        <v>0</v>
      </c>
    </row>
    <row r="113" spans="1:9" s="202" customFormat="1" ht="15.75" hidden="1" customHeight="1">
      <c r="A113" s="48"/>
      <c r="B113" s="232" t="s">
        <v>243</v>
      </c>
      <c r="C113" s="184" t="s">
        <v>140</v>
      </c>
      <c r="D113" s="20"/>
      <c r="E113" s="25"/>
      <c r="F113" s="18">
        <v>1</v>
      </c>
      <c r="G113" s="18">
        <v>112</v>
      </c>
      <c r="H113" s="223">
        <f t="shared" si="8"/>
        <v>0.112</v>
      </c>
      <c r="I113" s="230">
        <v>0</v>
      </c>
    </row>
    <row r="114" spans="1:9" s="202" customFormat="1" ht="15.75" hidden="1" customHeight="1">
      <c r="A114" s="48"/>
      <c r="B114" s="232" t="s">
        <v>146</v>
      </c>
      <c r="C114" s="184" t="s">
        <v>103</v>
      </c>
      <c r="D114" s="20"/>
      <c r="E114" s="25"/>
      <c r="F114" s="18">
        <v>8</v>
      </c>
      <c r="G114" s="18">
        <v>1206</v>
      </c>
      <c r="H114" s="223">
        <f t="shared" si="8"/>
        <v>9.6479999999999997</v>
      </c>
      <c r="I114" s="230">
        <v>0</v>
      </c>
    </row>
    <row r="115" spans="1:9" s="202" customFormat="1" ht="15.75" hidden="1" customHeight="1">
      <c r="A115" s="48"/>
      <c r="B115" s="232" t="s">
        <v>147</v>
      </c>
      <c r="C115" s="48" t="s">
        <v>148</v>
      </c>
      <c r="D115" s="20"/>
      <c r="E115" s="25"/>
      <c r="F115" s="18">
        <f>0.2/10</f>
        <v>0.02</v>
      </c>
      <c r="G115" s="18">
        <v>19775.830000000002</v>
      </c>
      <c r="H115" s="223">
        <f t="shared" si="8"/>
        <v>0.39551660000000005</v>
      </c>
      <c r="I115" s="230">
        <v>0</v>
      </c>
    </row>
    <row r="116" spans="1:9" s="202" customFormat="1" ht="15.75" hidden="1" customHeight="1">
      <c r="A116" s="48"/>
      <c r="B116" s="232" t="s">
        <v>149</v>
      </c>
      <c r="C116" s="204" t="s">
        <v>150</v>
      </c>
      <c r="D116" s="20"/>
      <c r="E116" s="25"/>
      <c r="F116" s="18">
        <v>1</v>
      </c>
      <c r="G116" s="18">
        <v>2041.36</v>
      </c>
      <c r="H116" s="223">
        <f t="shared" si="8"/>
        <v>2.0413600000000001</v>
      </c>
      <c r="I116" s="230">
        <v>0</v>
      </c>
    </row>
    <row r="117" spans="1:9" s="202" customFormat="1" ht="15.75" hidden="1" customHeight="1">
      <c r="A117" s="48"/>
      <c r="B117" s="234" t="s">
        <v>151</v>
      </c>
      <c r="C117" s="204" t="s">
        <v>140</v>
      </c>
      <c r="D117" s="20"/>
      <c r="E117" s="25"/>
      <c r="F117" s="18">
        <v>2</v>
      </c>
      <c r="G117" s="18">
        <v>154.51</v>
      </c>
      <c r="H117" s="223">
        <f t="shared" si="8"/>
        <v>0.30901999999999996</v>
      </c>
      <c r="I117" s="230">
        <v>0</v>
      </c>
    </row>
    <row r="118" spans="1:9" s="202" customFormat="1" ht="15.75" hidden="1" customHeight="1">
      <c r="A118" s="48"/>
      <c r="B118" s="234" t="s">
        <v>152</v>
      </c>
      <c r="C118" s="204" t="s">
        <v>92</v>
      </c>
      <c r="D118" s="20"/>
      <c r="E118" s="25"/>
      <c r="F118" s="18">
        <f>2/10</f>
        <v>0.2</v>
      </c>
      <c r="G118" s="18">
        <v>3800</v>
      </c>
      <c r="H118" s="223">
        <f t="shared" si="8"/>
        <v>0.76</v>
      </c>
      <c r="I118" s="230">
        <v>0</v>
      </c>
    </row>
    <row r="119" spans="1:9" s="202" customFormat="1" ht="15.75" hidden="1" customHeight="1">
      <c r="A119" s="48"/>
      <c r="B119" s="232" t="s">
        <v>208</v>
      </c>
      <c r="C119" s="184" t="s">
        <v>112</v>
      </c>
      <c r="D119" s="86"/>
      <c r="E119" s="18"/>
      <c r="F119" s="18">
        <v>1</v>
      </c>
      <c r="G119" s="18">
        <v>185.81</v>
      </c>
      <c r="H119" s="223">
        <f t="shared" si="8"/>
        <v>0.18581</v>
      </c>
      <c r="I119" s="230">
        <v>0</v>
      </c>
    </row>
    <row r="120" spans="1:9" s="202" customFormat="1" ht="15.75" hidden="1" customHeight="1">
      <c r="A120" s="48"/>
      <c r="B120" s="236" t="s">
        <v>202</v>
      </c>
      <c r="C120" s="206" t="s">
        <v>158</v>
      </c>
      <c r="D120" s="20"/>
      <c r="E120" s="25"/>
      <c r="F120" s="18">
        <f>(0.1*18)/100</f>
        <v>1.8000000000000002E-2</v>
      </c>
      <c r="G120" s="18">
        <v>1925.33</v>
      </c>
      <c r="H120" s="223">
        <f t="shared" si="8"/>
        <v>3.4655940000000003E-2</v>
      </c>
      <c r="I120" s="230">
        <v>0</v>
      </c>
    </row>
    <row r="121" spans="1:9" ht="15.75" customHeight="1">
      <c r="A121" s="48"/>
      <c r="B121" s="237" t="s">
        <v>63</v>
      </c>
      <c r="C121" s="76"/>
      <c r="D121" s="130"/>
      <c r="E121" s="76">
        <v>1</v>
      </c>
      <c r="F121" s="76"/>
      <c r="G121" s="76"/>
      <c r="H121" s="76"/>
      <c r="I121" s="58">
        <f>SUM(I87:I120)</f>
        <v>0</v>
      </c>
    </row>
    <row r="122" spans="1:9" ht="15.75" customHeight="1">
      <c r="A122" s="48"/>
      <c r="B122" s="86" t="s">
        <v>96</v>
      </c>
      <c r="C122" s="21"/>
      <c r="D122" s="21"/>
      <c r="E122" s="77"/>
      <c r="F122" s="77"/>
      <c r="G122" s="78"/>
      <c r="H122" s="78"/>
      <c r="I122" s="24">
        <v>0</v>
      </c>
    </row>
    <row r="123" spans="1:9" ht="15.75" customHeight="1">
      <c r="A123" s="131"/>
      <c r="B123" s="81" t="s">
        <v>64</v>
      </c>
      <c r="C123" s="64"/>
      <c r="D123" s="64"/>
      <c r="E123" s="64"/>
      <c r="F123" s="64"/>
      <c r="G123" s="64"/>
      <c r="H123" s="64"/>
      <c r="I123" s="79">
        <f>I85+I121</f>
        <v>91665.204198783351</v>
      </c>
    </row>
    <row r="124" spans="1:9" ht="15.75">
      <c r="A124" s="265" t="s">
        <v>256</v>
      </c>
      <c r="B124" s="265"/>
      <c r="C124" s="265"/>
      <c r="D124" s="265"/>
      <c r="E124" s="265"/>
      <c r="F124" s="265"/>
      <c r="G124" s="265"/>
      <c r="H124" s="265"/>
      <c r="I124" s="265"/>
    </row>
    <row r="125" spans="1:9" ht="15.75">
      <c r="A125" s="188"/>
      <c r="B125" s="272" t="s">
        <v>257</v>
      </c>
      <c r="C125" s="272"/>
      <c r="D125" s="272"/>
      <c r="E125" s="272"/>
      <c r="F125" s="272"/>
      <c r="G125" s="272"/>
      <c r="H125" s="201"/>
      <c r="I125" s="3"/>
    </row>
    <row r="126" spans="1:9">
      <c r="A126" s="191"/>
      <c r="B126" s="268" t="s">
        <v>6</v>
      </c>
      <c r="C126" s="268"/>
      <c r="D126" s="268"/>
      <c r="E126" s="268"/>
      <c r="F126" s="268"/>
      <c r="G126" s="268"/>
      <c r="H126" s="38"/>
      <c r="I126" s="5"/>
    </row>
    <row r="127" spans="1:9" ht="15.75" customHeight="1">
      <c r="A127" s="11"/>
      <c r="B127" s="11"/>
      <c r="C127" s="11"/>
      <c r="D127" s="11"/>
      <c r="E127" s="11"/>
      <c r="F127" s="11"/>
      <c r="G127" s="11"/>
      <c r="H127" s="11"/>
      <c r="I127" s="11"/>
    </row>
    <row r="128" spans="1:9" ht="15.75">
      <c r="A128" s="273" t="s">
        <v>7</v>
      </c>
      <c r="B128" s="273"/>
      <c r="C128" s="273"/>
      <c r="D128" s="273"/>
      <c r="E128" s="273"/>
      <c r="F128" s="273"/>
      <c r="G128" s="273"/>
      <c r="H128" s="273"/>
      <c r="I128" s="273"/>
    </row>
    <row r="129" spans="1:9" ht="15.75">
      <c r="A129" s="273" t="s">
        <v>8</v>
      </c>
      <c r="B129" s="273"/>
      <c r="C129" s="273"/>
      <c r="D129" s="273"/>
      <c r="E129" s="273"/>
      <c r="F129" s="273"/>
      <c r="G129" s="273"/>
      <c r="H129" s="273"/>
      <c r="I129" s="273"/>
    </row>
    <row r="130" spans="1:9" ht="15.75">
      <c r="A130" s="258" t="s">
        <v>76</v>
      </c>
      <c r="B130" s="258"/>
      <c r="C130" s="258"/>
      <c r="D130" s="258"/>
      <c r="E130" s="258"/>
      <c r="F130" s="258"/>
      <c r="G130" s="258"/>
      <c r="H130" s="258"/>
      <c r="I130" s="258"/>
    </row>
    <row r="131" spans="1:9" ht="15.75">
      <c r="A131" s="12"/>
    </row>
    <row r="132" spans="1:9" ht="15.75">
      <c r="A132" s="259" t="s">
        <v>10</v>
      </c>
      <c r="B132" s="259"/>
      <c r="C132" s="259"/>
      <c r="D132" s="259"/>
      <c r="E132" s="259"/>
      <c r="F132" s="259"/>
      <c r="G132" s="259"/>
      <c r="H132" s="259"/>
      <c r="I132" s="259"/>
    </row>
    <row r="133" spans="1:9" ht="15.75">
      <c r="A133" s="4"/>
    </row>
    <row r="134" spans="1:9" ht="15.75">
      <c r="B134" s="187" t="s">
        <v>11</v>
      </c>
      <c r="C134" s="267" t="s">
        <v>203</v>
      </c>
      <c r="D134" s="267"/>
      <c r="E134" s="267"/>
      <c r="F134" s="199"/>
      <c r="I134" s="190"/>
    </row>
    <row r="135" spans="1:9">
      <c r="A135" s="191"/>
      <c r="C135" s="268" t="s">
        <v>12</v>
      </c>
      <c r="D135" s="268"/>
      <c r="E135" s="268"/>
      <c r="F135" s="38"/>
      <c r="I135" s="189" t="s">
        <v>13</v>
      </c>
    </row>
    <row r="136" spans="1:9" ht="15.75">
      <c r="A136" s="39"/>
      <c r="C136" s="13"/>
      <c r="D136" s="13"/>
      <c r="G136" s="13"/>
      <c r="H136" s="13"/>
    </row>
    <row r="137" spans="1:9" ht="15.75">
      <c r="B137" s="187" t="s">
        <v>14</v>
      </c>
      <c r="C137" s="269"/>
      <c r="D137" s="269"/>
      <c r="E137" s="269"/>
      <c r="F137" s="200"/>
      <c r="I137" s="190"/>
    </row>
    <row r="138" spans="1:9">
      <c r="A138" s="191"/>
      <c r="C138" s="270" t="s">
        <v>12</v>
      </c>
      <c r="D138" s="270"/>
      <c r="E138" s="270"/>
      <c r="F138" s="191"/>
      <c r="I138" s="189" t="s">
        <v>13</v>
      </c>
    </row>
    <row r="139" spans="1:9" ht="15.75">
      <c r="A139" s="4" t="s">
        <v>15</v>
      </c>
    </row>
    <row r="140" spans="1:9">
      <c r="A140" s="271" t="s">
        <v>16</v>
      </c>
      <c r="B140" s="271"/>
      <c r="C140" s="271"/>
      <c r="D140" s="271"/>
      <c r="E140" s="271"/>
      <c r="F140" s="271"/>
      <c r="G140" s="271"/>
      <c r="H140" s="271"/>
      <c r="I140" s="271"/>
    </row>
    <row r="141" spans="1:9" ht="47.25" customHeight="1">
      <c r="A141" s="266" t="s">
        <v>17</v>
      </c>
      <c r="B141" s="266"/>
      <c r="C141" s="266"/>
      <c r="D141" s="266"/>
      <c r="E141" s="266"/>
      <c r="F141" s="266"/>
      <c r="G141" s="266"/>
      <c r="H141" s="266"/>
      <c r="I141" s="266"/>
    </row>
    <row r="142" spans="1:9" ht="31.5" customHeight="1">
      <c r="A142" s="266" t="s">
        <v>18</v>
      </c>
      <c r="B142" s="266"/>
      <c r="C142" s="266"/>
      <c r="D142" s="266"/>
      <c r="E142" s="266"/>
      <c r="F142" s="266"/>
      <c r="G142" s="266"/>
      <c r="H142" s="266"/>
      <c r="I142" s="266"/>
    </row>
    <row r="143" spans="1:9" ht="31.5" customHeight="1">
      <c r="A143" s="266" t="s">
        <v>23</v>
      </c>
      <c r="B143" s="266"/>
      <c r="C143" s="266"/>
      <c r="D143" s="266"/>
      <c r="E143" s="266"/>
      <c r="F143" s="266"/>
      <c r="G143" s="266"/>
      <c r="H143" s="266"/>
      <c r="I143" s="266"/>
    </row>
    <row r="144" spans="1:9" ht="15.75">
      <c r="A144" s="266" t="s">
        <v>22</v>
      </c>
      <c r="B144" s="266"/>
      <c r="C144" s="266"/>
      <c r="D144" s="266"/>
      <c r="E144" s="266"/>
      <c r="F144" s="266"/>
      <c r="G144" s="266"/>
      <c r="H144" s="266"/>
      <c r="I144" s="266"/>
    </row>
  </sheetData>
  <autoFilter ref="I12:I62"/>
  <mergeCells count="28">
    <mergeCell ref="A141:I141"/>
    <mergeCell ref="A142:I142"/>
    <mergeCell ref="A143:I143"/>
    <mergeCell ref="A144:I144"/>
    <mergeCell ref="A132:I132"/>
    <mergeCell ref="C134:E134"/>
    <mergeCell ref="C135:E135"/>
    <mergeCell ref="C137:E137"/>
    <mergeCell ref="C138:E138"/>
    <mergeCell ref="A140:I140"/>
    <mergeCell ref="A130:I130"/>
    <mergeCell ref="A15:I15"/>
    <mergeCell ref="A27:I27"/>
    <mergeCell ref="A45:I45"/>
    <mergeCell ref="A56:I56"/>
    <mergeCell ref="A124:I124"/>
    <mergeCell ref="B125:G125"/>
    <mergeCell ref="B126:G126"/>
    <mergeCell ref="A128:I128"/>
    <mergeCell ref="A129:I129"/>
    <mergeCell ref="R67:U67"/>
    <mergeCell ref="A82:I82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13"/>
  <sheetViews>
    <sheetView workbookViewId="0">
      <selection activeCell="A8" sqref="A8:I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3" t="s">
        <v>120</v>
      </c>
      <c r="I1" s="42"/>
      <c r="J1" s="1"/>
      <c r="K1" s="1"/>
      <c r="L1" s="1"/>
      <c r="M1" s="1"/>
    </row>
    <row r="2" spans="1:13" ht="15.75" customHeight="1">
      <c r="A2" s="44" t="s">
        <v>79</v>
      </c>
      <c r="J2" s="2"/>
      <c r="K2" s="2"/>
      <c r="L2" s="2"/>
      <c r="M2" s="2"/>
    </row>
    <row r="3" spans="1:13" ht="15.75" customHeight="1">
      <c r="A3" s="253" t="s">
        <v>258</v>
      </c>
      <c r="B3" s="253"/>
      <c r="C3" s="253"/>
      <c r="D3" s="253"/>
      <c r="E3" s="253"/>
      <c r="F3" s="253"/>
      <c r="G3" s="253"/>
      <c r="H3" s="253"/>
      <c r="I3" s="253"/>
      <c r="J3" s="3"/>
      <c r="K3" s="3"/>
      <c r="L3" s="3"/>
    </row>
    <row r="4" spans="1:13" ht="31.5" customHeight="1">
      <c r="A4" s="254" t="s">
        <v>204</v>
      </c>
      <c r="B4" s="254"/>
      <c r="C4" s="254"/>
      <c r="D4" s="254"/>
      <c r="E4" s="254"/>
      <c r="F4" s="254"/>
      <c r="G4" s="254"/>
      <c r="H4" s="254"/>
      <c r="I4" s="254"/>
    </row>
    <row r="5" spans="1:13" ht="15.75">
      <c r="A5" s="253" t="s">
        <v>105</v>
      </c>
      <c r="B5" s="255"/>
      <c r="C5" s="255"/>
      <c r="D5" s="255"/>
      <c r="E5" s="255"/>
      <c r="F5" s="255"/>
      <c r="G5" s="255"/>
      <c r="H5" s="255"/>
      <c r="I5" s="255"/>
      <c r="J5" s="2"/>
      <c r="K5" s="2"/>
      <c r="L5" s="2"/>
      <c r="M5" s="2"/>
    </row>
    <row r="6" spans="1:13" ht="15.75">
      <c r="A6" s="2"/>
      <c r="B6" s="192"/>
      <c r="C6" s="192"/>
      <c r="D6" s="192"/>
      <c r="E6" s="192"/>
      <c r="F6" s="192"/>
      <c r="G6" s="192"/>
      <c r="H6" s="192"/>
      <c r="I6" s="52">
        <v>42490</v>
      </c>
      <c r="J6" s="2"/>
      <c r="K6" s="2"/>
      <c r="L6" s="2"/>
      <c r="M6" s="2"/>
    </row>
    <row r="7" spans="1:13" ht="15.75">
      <c r="B7" s="187"/>
      <c r="C7" s="187"/>
      <c r="D7" s="187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56" t="s">
        <v>283</v>
      </c>
      <c r="B8" s="256"/>
      <c r="C8" s="256"/>
      <c r="D8" s="256"/>
      <c r="E8" s="256"/>
      <c r="F8" s="256"/>
      <c r="G8" s="256"/>
      <c r="H8" s="256"/>
      <c r="I8" s="25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57" t="s">
        <v>205</v>
      </c>
      <c r="B10" s="257"/>
      <c r="C10" s="257"/>
      <c r="D10" s="257"/>
      <c r="E10" s="257"/>
      <c r="F10" s="257"/>
      <c r="G10" s="257"/>
      <c r="H10" s="257"/>
      <c r="I10" s="257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19</v>
      </c>
      <c r="E12" s="6" t="s">
        <v>20</v>
      </c>
      <c r="F12" s="6"/>
      <c r="G12" s="6" t="s">
        <v>24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52" t="s">
        <v>73</v>
      </c>
      <c r="B14" s="252"/>
      <c r="C14" s="252"/>
      <c r="D14" s="252"/>
      <c r="E14" s="252"/>
      <c r="F14" s="252"/>
      <c r="G14" s="252"/>
      <c r="H14" s="252"/>
      <c r="I14" s="252"/>
      <c r="J14" s="8"/>
      <c r="K14" s="8"/>
      <c r="L14" s="8"/>
      <c r="M14" s="8"/>
    </row>
    <row r="15" spans="1:13">
      <c r="A15" s="260" t="s">
        <v>4</v>
      </c>
      <c r="B15" s="260"/>
      <c r="C15" s="260"/>
      <c r="D15" s="260"/>
      <c r="E15" s="260"/>
      <c r="F15" s="260"/>
      <c r="G15" s="260"/>
      <c r="H15" s="260"/>
      <c r="I15" s="260"/>
      <c r="J15" s="8"/>
      <c r="K15" s="8"/>
      <c r="L15" s="8"/>
      <c r="M15" s="8"/>
    </row>
    <row r="16" spans="1:13" s="202" customFormat="1" ht="31.5" customHeight="1">
      <c r="A16" s="48">
        <v>1</v>
      </c>
      <c r="B16" s="205" t="s">
        <v>122</v>
      </c>
      <c r="C16" s="206" t="s">
        <v>158</v>
      </c>
      <c r="D16" s="205" t="s">
        <v>159</v>
      </c>
      <c r="E16" s="207">
        <v>95.04</v>
      </c>
      <c r="F16" s="208">
        <f>SUM(E16*156/100)</f>
        <v>148.26240000000001</v>
      </c>
      <c r="G16" s="208">
        <v>187.48</v>
      </c>
      <c r="H16" s="209">
        <f t="shared" ref="H16:H24" si="0">SUM(F16*G16/1000)</f>
        <v>27.796234752</v>
      </c>
      <c r="I16" s="18">
        <f>F16/12*G16</f>
        <v>2316.3528960000003</v>
      </c>
    </row>
    <row r="17" spans="1:10" s="202" customFormat="1" ht="31.5" customHeight="1">
      <c r="A17" s="48">
        <v>2</v>
      </c>
      <c r="B17" s="205" t="s">
        <v>154</v>
      </c>
      <c r="C17" s="206" t="s">
        <v>158</v>
      </c>
      <c r="D17" s="205" t="s">
        <v>160</v>
      </c>
      <c r="E17" s="207">
        <v>380.16</v>
      </c>
      <c r="F17" s="208">
        <f>SUM(E17*104/100)</f>
        <v>395.3664</v>
      </c>
      <c r="G17" s="208">
        <v>187.48</v>
      </c>
      <c r="H17" s="209">
        <f t="shared" si="0"/>
        <v>74.123292671999991</v>
      </c>
      <c r="I17" s="18">
        <f>F17/12*G17</f>
        <v>6176.9410559999997</v>
      </c>
      <c r="J17" s="203"/>
    </row>
    <row r="18" spans="1:10" s="202" customFormat="1" ht="31.5" customHeight="1">
      <c r="A18" s="48">
        <v>3</v>
      </c>
      <c r="B18" s="205" t="s">
        <v>155</v>
      </c>
      <c r="C18" s="206" t="s">
        <v>158</v>
      </c>
      <c r="D18" s="205" t="s">
        <v>206</v>
      </c>
      <c r="E18" s="207">
        <f>SUM(E16+E17)</f>
        <v>475.20000000000005</v>
      </c>
      <c r="F18" s="208">
        <f>SUM(E18*24/100)</f>
        <v>114.04800000000002</v>
      </c>
      <c r="G18" s="208">
        <v>539.30999999999995</v>
      </c>
      <c r="H18" s="209">
        <f t="shared" si="0"/>
        <v>61.507226880000005</v>
      </c>
      <c r="I18" s="18">
        <f>F18/12*G18</f>
        <v>5125.6022400000002</v>
      </c>
      <c r="J18" s="203"/>
    </row>
    <row r="19" spans="1:10" s="202" customFormat="1" ht="15.75" hidden="1" customHeight="1">
      <c r="A19" s="48"/>
      <c r="B19" s="205" t="s">
        <v>161</v>
      </c>
      <c r="C19" s="206" t="s">
        <v>162</v>
      </c>
      <c r="D19" s="205" t="s">
        <v>163</v>
      </c>
      <c r="E19" s="207">
        <v>93.4</v>
      </c>
      <c r="F19" s="208">
        <f>SUM(E19/10)</f>
        <v>9.34</v>
      </c>
      <c r="G19" s="208">
        <v>181.9</v>
      </c>
      <c r="H19" s="209">
        <f t="shared" si="0"/>
        <v>1.6989460000000001</v>
      </c>
      <c r="I19" s="18">
        <v>0</v>
      </c>
      <c r="J19" s="203"/>
    </row>
    <row r="20" spans="1:10" s="202" customFormat="1" ht="15.75" hidden="1" customHeight="1">
      <c r="A20" s="48"/>
      <c r="B20" s="205" t="s">
        <v>164</v>
      </c>
      <c r="C20" s="206" t="s">
        <v>158</v>
      </c>
      <c r="D20" s="205" t="s">
        <v>53</v>
      </c>
      <c r="E20" s="207">
        <v>43.2</v>
      </c>
      <c r="F20" s="208">
        <f>SUM(E20*2/100)</f>
        <v>0.8640000000000001</v>
      </c>
      <c r="G20" s="208">
        <v>232.91</v>
      </c>
      <c r="H20" s="209">
        <f t="shared" si="0"/>
        <v>0.20123424000000004</v>
      </c>
      <c r="I20" s="18">
        <v>0</v>
      </c>
      <c r="J20" s="203"/>
    </row>
    <row r="21" spans="1:10" s="202" customFormat="1" ht="15.75" hidden="1" customHeight="1">
      <c r="A21" s="48"/>
      <c r="B21" s="205" t="s">
        <v>165</v>
      </c>
      <c r="C21" s="206" t="s">
        <v>158</v>
      </c>
      <c r="D21" s="205" t="s">
        <v>53</v>
      </c>
      <c r="E21" s="207">
        <v>10.08</v>
      </c>
      <c r="F21" s="208">
        <f>SUM(E21*2/100)</f>
        <v>0.2016</v>
      </c>
      <c r="G21" s="208">
        <v>231.03</v>
      </c>
      <c r="H21" s="209">
        <f t="shared" si="0"/>
        <v>4.6575648000000004E-2</v>
      </c>
      <c r="I21" s="18">
        <v>0</v>
      </c>
      <c r="J21" s="203"/>
    </row>
    <row r="22" spans="1:10" s="202" customFormat="1" ht="15.75" hidden="1" customHeight="1">
      <c r="A22" s="48"/>
      <c r="B22" s="205" t="s">
        <v>166</v>
      </c>
      <c r="C22" s="206" t="s">
        <v>65</v>
      </c>
      <c r="D22" s="205" t="s">
        <v>163</v>
      </c>
      <c r="E22" s="207">
        <v>642.6</v>
      </c>
      <c r="F22" s="208">
        <f>SUM(E22/100)</f>
        <v>6.4260000000000002</v>
      </c>
      <c r="G22" s="208">
        <v>287.83999999999997</v>
      </c>
      <c r="H22" s="209">
        <f t="shared" si="0"/>
        <v>1.8496598399999997</v>
      </c>
      <c r="I22" s="18">
        <v>0</v>
      </c>
      <c r="J22" s="203"/>
    </row>
    <row r="23" spans="1:10" s="202" customFormat="1" ht="15.75" hidden="1" customHeight="1">
      <c r="A23" s="48"/>
      <c r="B23" s="205" t="s">
        <v>167</v>
      </c>
      <c r="C23" s="206" t="s">
        <v>65</v>
      </c>
      <c r="D23" s="205" t="s">
        <v>163</v>
      </c>
      <c r="E23" s="210">
        <v>35.28</v>
      </c>
      <c r="F23" s="208">
        <f>SUM(E23/100)</f>
        <v>0.3528</v>
      </c>
      <c r="G23" s="208">
        <v>47.35</v>
      </c>
      <c r="H23" s="209">
        <f t="shared" si="0"/>
        <v>1.6705080000000004E-2</v>
      </c>
      <c r="I23" s="18">
        <v>0</v>
      </c>
      <c r="J23" s="203"/>
    </row>
    <row r="24" spans="1:10" s="202" customFormat="1" ht="15.75" hidden="1" customHeight="1">
      <c r="A24" s="48"/>
      <c r="B24" s="205" t="s">
        <v>168</v>
      </c>
      <c r="C24" s="206" t="s">
        <v>65</v>
      </c>
      <c r="D24" s="205" t="s">
        <v>163</v>
      </c>
      <c r="E24" s="207">
        <v>28.8</v>
      </c>
      <c r="F24" s="208">
        <f>SUM(E24/100)</f>
        <v>0.28800000000000003</v>
      </c>
      <c r="G24" s="208">
        <v>556.74</v>
      </c>
      <c r="H24" s="209">
        <f t="shared" si="0"/>
        <v>0.16034112000000003</v>
      </c>
      <c r="I24" s="18">
        <v>0</v>
      </c>
      <c r="J24" s="203"/>
    </row>
    <row r="25" spans="1:10" s="202" customFormat="1" ht="15.75" customHeight="1">
      <c r="A25" s="48">
        <v>4</v>
      </c>
      <c r="B25" s="205" t="s">
        <v>81</v>
      </c>
      <c r="C25" s="206" t="s">
        <v>38</v>
      </c>
      <c r="D25" s="205" t="s">
        <v>217</v>
      </c>
      <c r="E25" s="207">
        <v>0.1</v>
      </c>
      <c r="F25" s="208">
        <f>SUM(E25*365)</f>
        <v>36.5</v>
      </c>
      <c r="G25" s="208">
        <v>157.18</v>
      </c>
      <c r="H25" s="209">
        <f>SUM(F25*G25/1000)</f>
        <v>5.737070000000001</v>
      </c>
      <c r="I25" s="18">
        <f>F25/12*G25</f>
        <v>478.08916666666664</v>
      </c>
      <c r="J25" s="203"/>
    </row>
    <row r="26" spans="1:10" s="202" customFormat="1" ht="15.75" customHeight="1">
      <c r="A26" s="48">
        <v>5</v>
      </c>
      <c r="B26" s="213" t="s">
        <v>25</v>
      </c>
      <c r="C26" s="206" t="s">
        <v>26</v>
      </c>
      <c r="D26" s="213" t="s">
        <v>218</v>
      </c>
      <c r="E26" s="207">
        <v>3931</v>
      </c>
      <c r="F26" s="208">
        <f>SUM(E26*12)</f>
        <v>47172</v>
      </c>
      <c r="G26" s="208">
        <v>5.33</v>
      </c>
      <c r="H26" s="209">
        <f>SUM(F26*G26/1000)</f>
        <v>251.42676</v>
      </c>
      <c r="I26" s="18">
        <f>F26/12*G26</f>
        <v>20952.23</v>
      </c>
      <c r="J26" s="203"/>
    </row>
    <row r="27" spans="1:10" s="202" customFormat="1" ht="15.75" customHeight="1">
      <c r="A27" s="261" t="s">
        <v>117</v>
      </c>
      <c r="B27" s="262"/>
      <c r="C27" s="262"/>
      <c r="D27" s="262"/>
      <c r="E27" s="262"/>
      <c r="F27" s="262"/>
      <c r="G27" s="262"/>
      <c r="H27" s="262"/>
      <c r="I27" s="263"/>
      <c r="J27" s="203"/>
    </row>
    <row r="28" spans="1:10" s="202" customFormat="1" ht="15.75" hidden="1" customHeight="1">
      <c r="A28" s="48"/>
      <c r="B28" s="238" t="s">
        <v>33</v>
      </c>
      <c r="C28" s="206"/>
      <c r="D28" s="205"/>
      <c r="E28" s="207"/>
      <c r="F28" s="208"/>
      <c r="G28" s="208"/>
      <c r="H28" s="209"/>
      <c r="I28" s="18"/>
      <c r="J28" s="203"/>
    </row>
    <row r="29" spans="1:10" s="202" customFormat="1" ht="31.5" hidden="1" customHeight="1">
      <c r="A29" s="48">
        <v>6</v>
      </c>
      <c r="B29" s="205" t="s">
        <v>169</v>
      </c>
      <c r="C29" s="206" t="s">
        <v>170</v>
      </c>
      <c r="D29" s="205" t="s">
        <v>215</v>
      </c>
      <c r="E29" s="208">
        <v>1116.27</v>
      </c>
      <c r="F29" s="208">
        <f>SUM(E29*52/1000)</f>
        <v>58.046039999999998</v>
      </c>
      <c r="G29" s="208">
        <v>166.65</v>
      </c>
      <c r="H29" s="209">
        <f t="shared" ref="H29:H35" si="1">SUM(F29*G29/1000)</f>
        <v>9.6733725659999994</v>
      </c>
      <c r="I29" s="18">
        <v>0</v>
      </c>
      <c r="J29" s="203"/>
    </row>
    <row r="30" spans="1:10" s="202" customFormat="1" ht="31.5" hidden="1" customHeight="1">
      <c r="A30" s="48">
        <v>7</v>
      </c>
      <c r="B30" s="205" t="s">
        <v>244</v>
      </c>
      <c r="C30" s="206" t="s">
        <v>170</v>
      </c>
      <c r="D30" s="205" t="s">
        <v>216</v>
      </c>
      <c r="E30" s="208">
        <v>89.03</v>
      </c>
      <c r="F30" s="208">
        <f>SUM(E30*78/1000)</f>
        <v>6.9443400000000004</v>
      </c>
      <c r="G30" s="208">
        <v>276.48</v>
      </c>
      <c r="H30" s="209">
        <f t="shared" si="1"/>
        <v>1.9199711232000003</v>
      </c>
      <c r="I30" s="18">
        <v>0</v>
      </c>
      <c r="J30" s="203"/>
    </row>
    <row r="31" spans="1:10" s="202" customFormat="1" ht="15.75" hidden="1" customHeight="1">
      <c r="A31" s="48"/>
      <c r="B31" s="205" t="s">
        <v>32</v>
      </c>
      <c r="C31" s="206" t="s">
        <v>170</v>
      </c>
      <c r="D31" s="205" t="s">
        <v>66</v>
      </c>
      <c r="E31" s="208">
        <v>1116.27</v>
      </c>
      <c r="F31" s="208">
        <f>SUM(E31/1000)</f>
        <v>1.1162699999999999</v>
      </c>
      <c r="G31" s="208">
        <v>3228.73</v>
      </c>
      <c r="H31" s="209">
        <f t="shared" si="1"/>
        <v>3.6041344370999995</v>
      </c>
      <c r="I31" s="18">
        <v>0</v>
      </c>
      <c r="J31" s="203"/>
    </row>
    <row r="32" spans="1:10" s="202" customFormat="1" ht="15.75" hidden="1" customHeight="1">
      <c r="A32" s="48">
        <v>8</v>
      </c>
      <c r="B32" s="205" t="s">
        <v>174</v>
      </c>
      <c r="C32" s="206" t="s">
        <v>49</v>
      </c>
      <c r="D32" s="205" t="s">
        <v>80</v>
      </c>
      <c r="E32" s="208">
        <v>6</v>
      </c>
      <c r="F32" s="208">
        <v>9.3000000000000007</v>
      </c>
      <c r="G32" s="208">
        <v>1391.86</v>
      </c>
      <c r="H32" s="209">
        <f>G32*F32/1000</f>
        <v>12.944298</v>
      </c>
      <c r="I32" s="18">
        <v>0</v>
      </c>
      <c r="J32" s="203"/>
    </row>
    <row r="33" spans="1:14" s="202" customFormat="1" ht="15.75" hidden="1" customHeight="1">
      <c r="A33" s="48">
        <v>9</v>
      </c>
      <c r="B33" s="205" t="s">
        <v>175</v>
      </c>
      <c r="C33" s="206" t="s">
        <v>36</v>
      </c>
      <c r="D33" s="205" t="s">
        <v>80</v>
      </c>
      <c r="E33" s="212">
        <v>0.33333333333333331</v>
      </c>
      <c r="F33" s="208">
        <f>155/3</f>
        <v>51.666666666666664</v>
      </c>
      <c r="G33" s="208">
        <v>60.6</v>
      </c>
      <c r="H33" s="209">
        <f>SUM(G33*155/3/1000)</f>
        <v>3.1309999999999998</v>
      </c>
      <c r="I33" s="18">
        <v>0</v>
      </c>
      <c r="J33" s="203"/>
    </row>
    <row r="34" spans="1:14" s="202" customFormat="1" ht="15.75" hidden="1" customHeight="1">
      <c r="A34" s="48"/>
      <c r="B34" s="205" t="s">
        <v>82</v>
      </c>
      <c r="C34" s="206" t="s">
        <v>38</v>
      </c>
      <c r="D34" s="205" t="s">
        <v>84</v>
      </c>
      <c r="E34" s="207"/>
      <c r="F34" s="208">
        <v>3</v>
      </c>
      <c r="G34" s="208">
        <v>204.52</v>
      </c>
      <c r="H34" s="209">
        <f t="shared" si="1"/>
        <v>0.61356000000000011</v>
      </c>
      <c r="I34" s="18">
        <v>0</v>
      </c>
      <c r="J34" s="203"/>
    </row>
    <row r="35" spans="1:14" s="202" customFormat="1" ht="15.75" hidden="1" customHeight="1">
      <c r="A35" s="48"/>
      <c r="B35" s="205" t="s">
        <v>83</v>
      </c>
      <c r="C35" s="206" t="s">
        <v>37</v>
      </c>
      <c r="D35" s="205" t="s">
        <v>84</v>
      </c>
      <c r="E35" s="207"/>
      <c r="F35" s="208">
        <v>2</v>
      </c>
      <c r="G35" s="208">
        <v>1136.33</v>
      </c>
      <c r="H35" s="209">
        <f t="shared" si="1"/>
        <v>2.2726599999999997</v>
      </c>
      <c r="I35" s="18">
        <v>0</v>
      </c>
      <c r="J35" s="203"/>
    </row>
    <row r="36" spans="1:14" s="202" customFormat="1" ht="15.75" customHeight="1">
      <c r="A36" s="48"/>
      <c r="B36" s="238" t="s">
        <v>5</v>
      </c>
      <c r="C36" s="206"/>
      <c r="D36" s="205"/>
      <c r="E36" s="207"/>
      <c r="F36" s="208"/>
      <c r="G36" s="208"/>
      <c r="H36" s="209" t="s">
        <v>218</v>
      </c>
      <c r="I36" s="18"/>
      <c r="J36" s="203"/>
    </row>
    <row r="37" spans="1:14" s="202" customFormat="1" ht="15.75" customHeight="1">
      <c r="A37" s="48">
        <v>6</v>
      </c>
      <c r="B37" s="205" t="s">
        <v>30</v>
      </c>
      <c r="C37" s="206" t="s">
        <v>37</v>
      </c>
      <c r="D37" s="205"/>
      <c r="E37" s="207"/>
      <c r="F37" s="208">
        <v>8</v>
      </c>
      <c r="G37" s="208">
        <v>1632.6</v>
      </c>
      <c r="H37" s="209">
        <f t="shared" ref="H37:H44" si="2">SUM(F37*G37/1000)</f>
        <v>13.060799999999999</v>
      </c>
      <c r="I37" s="18">
        <f>F37/6*G37</f>
        <v>2176.7999999999997</v>
      </c>
      <c r="J37" s="203"/>
    </row>
    <row r="38" spans="1:14" s="202" customFormat="1" ht="15.75" customHeight="1">
      <c r="A38" s="48">
        <v>7</v>
      </c>
      <c r="B38" s="205" t="s">
        <v>133</v>
      </c>
      <c r="C38" s="206" t="s">
        <v>34</v>
      </c>
      <c r="D38" s="205" t="s">
        <v>176</v>
      </c>
      <c r="E38" s="207">
        <v>461.12</v>
      </c>
      <c r="F38" s="208">
        <f>E38*12/1000</f>
        <v>5.5334400000000006</v>
      </c>
      <c r="G38" s="208">
        <v>2247.8000000000002</v>
      </c>
      <c r="H38" s="209">
        <f>G38*F38/1000</f>
        <v>12.438066432000001</v>
      </c>
      <c r="I38" s="18">
        <f>F38/6*G38</f>
        <v>2073.0110720000002</v>
      </c>
      <c r="J38" s="203"/>
    </row>
    <row r="39" spans="1:14" s="202" customFormat="1" ht="15.75" customHeight="1">
      <c r="A39" s="48">
        <v>8</v>
      </c>
      <c r="B39" s="205" t="s">
        <v>177</v>
      </c>
      <c r="C39" s="206" t="s">
        <v>34</v>
      </c>
      <c r="D39" s="205" t="s">
        <v>178</v>
      </c>
      <c r="E39" s="207">
        <v>89.03</v>
      </c>
      <c r="F39" s="208">
        <f>E39*30/1000</f>
        <v>2.6709000000000001</v>
      </c>
      <c r="G39" s="208">
        <v>2247.8000000000002</v>
      </c>
      <c r="H39" s="209">
        <f>G39*F39/1000</f>
        <v>6.003649020000001</v>
      </c>
      <c r="I39" s="18">
        <f>F39/6*G39</f>
        <v>1000.6081700000001</v>
      </c>
      <c r="J39" s="203"/>
    </row>
    <row r="40" spans="1:14" s="202" customFormat="1" ht="15.75" hidden="1" customHeight="1">
      <c r="A40" s="48"/>
      <c r="B40" s="205" t="s">
        <v>179</v>
      </c>
      <c r="C40" s="206" t="s">
        <v>180</v>
      </c>
      <c r="D40" s="205" t="s">
        <v>84</v>
      </c>
      <c r="E40" s="207"/>
      <c r="F40" s="208">
        <v>135</v>
      </c>
      <c r="G40" s="208">
        <v>213.2</v>
      </c>
      <c r="H40" s="209">
        <f>G40*F40/1000</f>
        <v>28.782</v>
      </c>
      <c r="I40" s="18">
        <v>0</v>
      </c>
      <c r="J40" s="203"/>
      <c r="L40" s="27"/>
      <c r="M40" s="28"/>
      <c r="N40" s="54"/>
    </row>
    <row r="41" spans="1:14" s="202" customFormat="1" ht="15.75" customHeight="1">
      <c r="A41" s="48">
        <v>9</v>
      </c>
      <c r="B41" s="205" t="s">
        <v>85</v>
      </c>
      <c r="C41" s="206" t="s">
        <v>34</v>
      </c>
      <c r="D41" s="205" t="s">
        <v>181</v>
      </c>
      <c r="E41" s="208">
        <v>89.03</v>
      </c>
      <c r="F41" s="208">
        <f>SUM(E41*155/1000)</f>
        <v>13.79965</v>
      </c>
      <c r="G41" s="208">
        <v>374.95</v>
      </c>
      <c r="H41" s="209">
        <f t="shared" si="2"/>
        <v>5.1741787674999999</v>
      </c>
      <c r="I41" s="18">
        <f>F41/6*G41</f>
        <v>862.36312791666671</v>
      </c>
      <c r="J41" s="203"/>
      <c r="L41" s="27"/>
      <c r="M41" s="28"/>
      <c r="N41" s="54"/>
    </row>
    <row r="42" spans="1:14" s="202" customFormat="1" ht="15.75" customHeight="1">
      <c r="A42" s="48">
        <v>10</v>
      </c>
      <c r="B42" s="205" t="s">
        <v>111</v>
      </c>
      <c r="C42" s="206" t="s">
        <v>170</v>
      </c>
      <c r="D42" s="205" t="s">
        <v>182</v>
      </c>
      <c r="E42" s="208">
        <v>89.03</v>
      </c>
      <c r="F42" s="208">
        <f>SUM(E42*24/1000)</f>
        <v>2.1367200000000004</v>
      </c>
      <c r="G42" s="208">
        <v>6203.71</v>
      </c>
      <c r="H42" s="209">
        <f t="shared" si="2"/>
        <v>13.255591231200002</v>
      </c>
      <c r="I42" s="18">
        <f>F42/6*G42</f>
        <v>2209.2652052000003</v>
      </c>
      <c r="J42" s="203"/>
      <c r="L42" s="27"/>
      <c r="M42" s="28"/>
      <c r="N42" s="54"/>
    </row>
    <row r="43" spans="1:14" s="202" customFormat="1" ht="15.75" customHeight="1">
      <c r="A43" s="48">
        <v>11</v>
      </c>
      <c r="B43" s="205" t="s">
        <v>183</v>
      </c>
      <c r="C43" s="206" t="s">
        <v>170</v>
      </c>
      <c r="D43" s="205" t="s">
        <v>86</v>
      </c>
      <c r="E43" s="208">
        <v>89.03</v>
      </c>
      <c r="F43" s="208">
        <f>SUM(E43*45/1000)</f>
        <v>4.0063500000000003</v>
      </c>
      <c r="G43" s="208">
        <v>458.28</v>
      </c>
      <c r="H43" s="209">
        <f t="shared" si="2"/>
        <v>1.8360300780000001</v>
      </c>
      <c r="I43" s="18">
        <f>F43/6*G43</f>
        <v>306.00501299999996</v>
      </c>
      <c r="J43" s="203"/>
      <c r="L43" s="27"/>
      <c r="M43" s="28"/>
      <c r="N43" s="54"/>
    </row>
    <row r="44" spans="1:14" s="202" customFormat="1" ht="15.75" customHeight="1">
      <c r="A44" s="48">
        <v>12</v>
      </c>
      <c r="B44" s="205" t="s">
        <v>87</v>
      </c>
      <c r="C44" s="206" t="s">
        <v>38</v>
      </c>
      <c r="D44" s="205"/>
      <c r="E44" s="207"/>
      <c r="F44" s="208">
        <v>0.9</v>
      </c>
      <c r="G44" s="208">
        <v>798</v>
      </c>
      <c r="H44" s="209">
        <f t="shared" si="2"/>
        <v>0.71820000000000006</v>
      </c>
      <c r="I44" s="18">
        <f>F44/6*G44</f>
        <v>119.69999999999999</v>
      </c>
      <c r="J44" s="203"/>
      <c r="L44" s="27"/>
      <c r="M44" s="28"/>
      <c r="N44" s="54"/>
    </row>
    <row r="45" spans="1:14" s="202" customFormat="1" ht="15.75" customHeight="1">
      <c r="A45" s="261" t="s">
        <v>247</v>
      </c>
      <c r="B45" s="262"/>
      <c r="C45" s="262"/>
      <c r="D45" s="262"/>
      <c r="E45" s="262"/>
      <c r="F45" s="262"/>
      <c r="G45" s="262"/>
      <c r="H45" s="262"/>
      <c r="I45" s="263"/>
      <c r="J45" s="203"/>
      <c r="L45" s="27"/>
      <c r="M45" s="28"/>
      <c r="N45" s="54"/>
    </row>
    <row r="46" spans="1:14" s="202" customFormat="1" ht="15.75" hidden="1" customHeight="1">
      <c r="A46" s="48"/>
      <c r="B46" s="205" t="s">
        <v>184</v>
      </c>
      <c r="C46" s="206" t="s">
        <v>170</v>
      </c>
      <c r="D46" s="205" t="s">
        <v>53</v>
      </c>
      <c r="E46" s="207">
        <v>1032.5</v>
      </c>
      <c r="F46" s="208">
        <f>SUM(E46*2/1000)</f>
        <v>2.0649999999999999</v>
      </c>
      <c r="G46" s="18">
        <v>908.1</v>
      </c>
      <c r="H46" s="209">
        <f t="shared" ref="H46:H55" si="3">SUM(F46*G46/1000)</f>
        <v>1.8752264999999999</v>
      </c>
      <c r="I46" s="18">
        <v>0</v>
      </c>
      <c r="J46" s="203"/>
      <c r="L46" s="27"/>
      <c r="M46" s="28"/>
      <c r="N46" s="54"/>
    </row>
    <row r="47" spans="1:14" s="202" customFormat="1" ht="15.75" hidden="1" customHeight="1">
      <c r="A47" s="48"/>
      <c r="B47" s="205" t="s">
        <v>42</v>
      </c>
      <c r="C47" s="206" t="s">
        <v>170</v>
      </c>
      <c r="D47" s="205" t="s">
        <v>53</v>
      </c>
      <c r="E47" s="207">
        <v>132</v>
      </c>
      <c r="F47" s="208">
        <f>E47*2/1000</f>
        <v>0.26400000000000001</v>
      </c>
      <c r="G47" s="18">
        <v>619.46</v>
      </c>
      <c r="H47" s="209">
        <f t="shared" si="3"/>
        <v>0.16353744000000001</v>
      </c>
      <c r="I47" s="18">
        <v>0</v>
      </c>
      <c r="J47" s="203"/>
      <c r="L47" s="27"/>
      <c r="M47" s="28"/>
      <c r="N47" s="54"/>
    </row>
    <row r="48" spans="1:14" s="202" customFormat="1" ht="15.75" hidden="1" customHeight="1">
      <c r="A48" s="48"/>
      <c r="B48" s="205" t="s">
        <v>43</v>
      </c>
      <c r="C48" s="206" t="s">
        <v>170</v>
      </c>
      <c r="D48" s="205" t="s">
        <v>53</v>
      </c>
      <c r="E48" s="207">
        <v>4248.22</v>
      </c>
      <c r="F48" s="208">
        <f>SUM(E48*2/1000)</f>
        <v>8.4964399999999998</v>
      </c>
      <c r="G48" s="18">
        <v>619.46</v>
      </c>
      <c r="H48" s="209">
        <f t="shared" si="3"/>
        <v>5.2632047223999994</v>
      </c>
      <c r="I48" s="18">
        <v>0</v>
      </c>
      <c r="J48" s="203"/>
      <c r="L48" s="27"/>
      <c r="M48" s="28"/>
      <c r="N48" s="54"/>
    </row>
    <row r="49" spans="1:22" s="202" customFormat="1" ht="15.75" hidden="1" customHeight="1">
      <c r="A49" s="48"/>
      <c r="B49" s="205" t="s">
        <v>44</v>
      </c>
      <c r="C49" s="206" t="s">
        <v>170</v>
      </c>
      <c r="D49" s="205" t="s">
        <v>53</v>
      </c>
      <c r="E49" s="207">
        <v>2163.66</v>
      </c>
      <c r="F49" s="208">
        <f>SUM(E49*2/1000)</f>
        <v>4.3273199999999994</v>
      </c>
      <c r="G49" s="18">
        <v>648.64</v>
      </c>
      <c r="H49" s="209">
        <f t="shared" si="3"/>
        <v>2.8068728447999995</v>
      </c>
      <c r="I49" s="18">
        <v>0</v>
      </c>
      <c r="J49" s="203"/>
      <c r="L49" s="27"/>
      <c r="M49" s="28"/>
      <c r="N49" s="54"/>
    </row>
    <row r="50" spans="1:22" s="202" customFormat="1" ht="31.5" hidden="1" customHeight="1">
      <c r="A50" s="48">
        <v>13</v>
      </c>
      <c r="B50" s="205" t="s">
        <v>70</v>
      </c>
      <c r="C50" s="206" t="s">
        <v>170</v>
      </c>
      <c r="D50" s="205" t="s">
        <v>246</v>
      </c>
      <c r="E50" s="207">
        <v>1017.5</v>
      </c>
      <c r="F50" s="208">
        <f>SUM(E50*5/1000)</f>
        <v>5.0875000000000004</v>
      </c>
      <c r="G50" s="18">
        <v>1297.28</v>
      </c>
      <c r="H50" s="209">
        <f t="shared" si="3"/>
        <v>6.5999120000000007</v>
      </c>
      <c r="I50" s="18">
        <f>F50/5*G50</f>
        <v>1319.9824000000001</v>
      </c>
      <c r="J50" s="203"/>
      <c r="L50" s="27"/>
      <c r="M50" s="28"/>
      <c r="N50" s="54"/>
    </row>
    <row r="51" spans="1:22" s="202" customFormat="1" ht="31.5" customHeight="1">
      <c r="A51" s="48">
        <v>13</v>
      </c>
      <c r="B51" s="205" t="s">
        <v>186</v>
      </c>
      <c r="C51" s="206" t="s">
        <v>170</v>
      </c>
      <c r="D51" s="205" t="s">
        <v>53</v>
      </c>
      <c r="E51" s="207">
        <v>1017.5</v>
      </c>
      <c r="F51" s="208">
        <f>SUM(E51*2/1000)</f>
        <v>2.0350000000000001</v>
      </c>
      <c r="G51" s="18">
        <v>1297.28</v>
      </c>
      <c r="H51" s="209">
        <f t="shared" si="3"/>
        <v>2.6399648</v>
      </c>
      <c r="I51" s="18">
        <f>F51/2*G51</f>
        <v>1319.9824000000001</v>
      </c>
      <c r="J51" s="203"/>
      <c r="L51" s="27"/>
      <c r="M51" s="28"/>
      <c r="N51" s="54"/>
    </row>
    <row r="52" spans="1:22" s="202" customFormat="1" ht="31.5" customHeight="1">
      <c r="A52" s="48">
        <v>14</v>
      </c>
      <c r="B52" s="205" t="s">
        <v>187</v>
      </c>
      <c r="C52" s="206" t="s">
        <v>47</v>
      </c>
      <c r="D52" s="205" t="s">
        <v>53</v>
      </c>
      <c r="E52" s="207">
        <v>30</v>
      </c>
      <c r="F52" s="208">
        <f>SUM(E52*2/100)</f>
        <v>0.6</v>
      </c>
      <c r="G52" s="18">
        <v>2918.89</v>
      </c>
      <c r="H52" s="209">
        <f t="shared" si="3"/>
        <v>1.7513339999999997</v>
      </c>
      <c r="I52" s="18">
        <f>F52/2*G52</f>
        <v>875.66699999999992</v>
      </c>
      <c r="J52" s="203"/>
      <c r="L52" s="27"/>
      <c r="M52" s="28"/>
      <c r="N52" s="54"/>
    </row>
    <row r="53" spans="1:22" s="202" customFormat="1" ht="15.75" hidden="1" customHeight="1">
      <c r="A53" s="48"/>
      <c r="B53" s="205" t="s">
        <v>48</v>
      </c>
      <c r="C53" s="206" t="s">
        <v>49</v>
      </c>
      <c r="D53" s="205" t="s">
        <v>53</v>
      </c>
      <c r="E53" s="207">
        <v>1</v>
      </c>
      <c r="F53" s="208">
        <v>0.02</v>
      </c>
      <c r="G53" s="18">
        <v>6042.13</v>
      </c>
      <c r="H53" s="209">
        <f t="shared" si="3"/>
        <v>0.12084260000000001</v>
      </c>
      <c r="I53" s="18">
        <v>0</v>
      </c>
      <c r="J53" s="203"/>
      <c r="L53" s="27"/>
      <c r="M53" s="28"/>
      <c r="N53" s="54"/>
    </row>
    <row r="54" spans="1:22" s="202" customFormat="1" ht="15.75" customHeight="1">
      <c r="A54" s="48">
        <v>15</v>
      </c>
      <c r="B54" s="205" t="s">
        <v>188</v>
      </c>
      <c r="C54" s="206" t="s">
        <v>140</v>
      </c>
      <c r="D54" s="205" t="s">
        <v>88</v>
      </c>
      <c r="E54" s="207">
        <v>90</v>
      </c>
      <c r="F54" s="208">
        <f>E54*4</f>
        <v>360</v>
      </c>
      <c r="G54" s="18">
        <v>150.86000000000001</v>
      </c>
      <c r="H54" s="209">
        <f>F54*G54/1000</f>
        <v>54.309600000000003</v>
      </c>
      <c r="I54" s="18">
        <f>G54*E54</f>
        <v>13577.400000000001</v>
      </c>
      <c r="J54" s="203"/>
      <c r="L54" s="27"/>
      <c r="M54" s="28"/>
      <c r="N54" s="54"/>
    </row>
    <row r="55" spans="1:22" s="202" customFormat="1" ht="15.75" customHeight="1">
      <c r="A55" s="48">
        <v>16</v>
      </c>
      <c r="B55" s="205" t="s">
        <v>52</v>
      </c>
      <c r="C55" s="206" t="s">
        <v>140</v>
      </c>
      <c r="D55" s="205" t="s">
        <v>88</v>
      </c>
      <c r="E55" s="207">
        <v>180</v>
      </c>
      <c r="F55" s="208">
        <f>SUM(E55)*3</f>
        <v>540</v>
      </c>
      <c r="G55" s="18">
        <v>70.2</v>
      </c>
      <c r="H55" s="209">
        <f t="shared" si="3"/>
        <v>37.908000000000001</v>
      </c>
      <c r="I55" s="18">
        <f>G55*E55</f>
        <v>12636</v>
      </c>
      <c r="J55" s="203"/>
      <c r="L55" s="27"/>
      <c r="M55" s="28"/>
      <c r="N55" s="54"/>
    </row>
    <row r="56" spans="1:22" s="202" customFormat="1" ht="15.75" customHeight="1">
      <c r="A56" s="261" t="s">
        <v>248</v>
      </c>
      <c r="B56" s="262"/>
      <c r="C56" s="262"/>
      <c r="D56" s="262"/>
      <c r="E56" s="262"/>
      <c r="F56" s="262"/>
      <c r="G56" s="262"/>
      <c r="H56" s="262"/>
      <c r="I56" s="263"/>
      <c r="J56" s="203"/>
      <c r="L56" s="27"/>
      <c r="M56" s="28"/>
      <c r="N56" s="54"/>
    </row>
    <row r="57" spans="1:22" s="202" customFormat="1" ht="15.75" customHeight="1">
      <c r="A57" s="48"/>
      <c r="B57" s="238" t="s">
        <v>54</v>
      </c>
      <c r="C57" s="206"/>
      <c r="D57" s="205"/>
      <c r="E57" s="207"/>
      <c r="F57" s="208"/>
      <c r="G57" s="208"/>
      <c r="H57" s="209"/>
      <c r="I57" s="18"/>
      <c r="J57" s="203"/>
      <c r="L57" s="27"/>
      <c r="M57" s="28"/>
      <c r="N57" s="54"/>
    </row>
    <row r="58" spans="1:22" s="202" customFormat="1" ht="31.5" customHeight="1">
      <c r="A58" s="48">
        <v>17</v>
      </c>
      <c r="B58" s="205" t="s">
        <v>207</v>
      </c>
      <c r="C58" s="206" t="s">
        <v>158</v>
      </c>
      <c r="D58" s="205" t="s">
        <v>189</v>
      </c>
      <c r="E58" s="207">
        <v>103.25</v>
      </c>
      <c r="F58" s="208">
        <f>SUM(E58*6/100)</f>
        <v>6.1950000000000003</v>
      </c>
      <c r="G58" s="18">
        <v>1654.04</v>
      </c>
      <c r="H58" s="209">
        <f>SUM(F58*G58/1000)</f>
        <v>10.2467778</v>
      </c>
      <c r="I58" s="18">
        <f>F58/6*G58</f>
        <v>1707.7963</v>
      </c>
      <c r="J58" s="203"/>
      <c r="L58" s="27"/>
      <c r="M58" s="28"/>
      <c r="N58" s="54"/>
    </row>
    <row r="59" spans="1:22" s="202" customFormat="1" ht="31.5" customHeight="1">
      <c r="A59" s="48">
        <v>18</v>
      </c>
      <c r="B59" s="205" t="s">
        <v>138</v>
      </c>
      <c r="C59" s="206" t="s">
        <v>158</v>
      </c>
      <c r="D59" s="205" t="s">
        <v>139</v>
      </c>
      <c r="E59" s="207">
        <v>39.700000000000003</v>
      </c>
      <c r="F59" s="208">
        <f>SUM(E59*12/100)</f>
        <v>4.7640000000000002</v>
      </c>
      <c r="G59" s="18">
        <v>1654.04</v>
      </c>
      <c r="H59" s="209">
        <f>SUM(F59*G59/1000)</f>
        <v>7.8798465599999998</v>
      </c>
      <c r="I59" s="18">
        <f>F59/6*G59</f>
        <v>1313.3077600000001</v>
      </c>
      <c r="J59" s="203"/>
      <c r="L59" s="27"/>
      <c r="M59" s="28"/>
      <c r="N59" s="54"/>
    </row>
    <row r="60" spans="1:22" s="202" customFormat="1" ht="15.75" hidden="1" customHeight="1">
      <c r="A60" s="48">
        <v>18</v>
      </c>
      <c r="B60" s="214" t="s">
        <v>190</v>
      </c>
      <c r="C60" s="215" t="s">
        <v>191</v>
      </c>
      <c r="D60" s="214" t="s">
        <v>53</v>
      </c>
      <c r="E60" s="216">
        <v>8</v>
      </c>
      <c r="F60" s="217">
        <v>16</v>
      </c>
      <c r="G60" s="18">
        <v>193.25</v>
      </c>
      <c r="H60" s="218">
        <f>F60*G60/1000</f>
        <v>3.0920000000000001</v>
      </c>
      <c r="I60" s="18">
        <f>F60/2*G60</f>
        <v>1546</v>
      </c>
      <c r="J60" s="203"/>
      <c r="L60" s="27"/>
    </row>
    <row r="61" spans="1:22" s="202" customFormat="1" ht="15.75" customHeight="1">
      <c r="A61" s="48">
        <v>19</v>
      </c>
      <c r="B61" s="205" t="s">
        <v>192</v>
      </c>
      <c r="C61" s="206" t="s">
        <v>158</v>
      </c>
      <c r="D61" s="205" t="s">
        <v>189</v>
      </c>
      <c r="E61" s="207">
        <v>41.73</v>
      </c>
      <c r="F61" s="208">
        <f>SUM(E61*6/100)</f>
        <v>2.5038</v>
      </c>
      <c r="G61" s="18">
        <v>1654.04</v>
      </c>
      <c r="H61" s="209">
        <f>SUM(F61*G61/1000)</f>
        <v>4.1413853520000004</v>
      </c>
      <c r="I61" s="18">
        <f>F61/6*G61</f>
        <v>690.23089200000004</v>
      </c>
      <c r="J61" s="203"/>
      <c r="L61" s="27"/>
    </row>
    <row r="62" spans="1:22" s="202" customFormat="1" ht="15.75" customHeight="1">
      <c r="A62" s="48"/>
      <c r="B62" s="239" t="s">
        <v>55</v>
      </c>
      <c r="C62" s="215"/>
      <c r="D62" s="214"/>
      <c r="E62" s="216"/>
      <c r="F62" s="217"/>
      <c r="G62" s="18"/>
      <c r="H62" s="218"/>
      <c r="I62" s="18"/>
    </row>
    <row r="63" spans="1:22" s="202" customFormat="1" ht="15.75" hidden="1" customHeight="1">
      <c r="A63" s="48"/>
      <c r="B63" s="214" t="s">
        <v>219</v>
      </c>
      <c r="C63" s="215" t="s">
        <v>65</v>
      </c>
      <c r="D63" s="214" t="s">
        <v>66</v>
      </c>
      <c r="E63" s="216">
        <v>1017.5</v>
      </c>
      <c r="F63" s="217">
        <v>10.154</v>
      </c>
      <c r="G63" s="18">
        <v>848.37</v>
      </c>
      <c r="H63" s="218">
        <f>F63*G63/1000</f>
        <v>8.6143489800000008</v>
      </c>
      <c r="I63" s="18">
        <v>0</v>
      </c>
    </row>
    <row r="64" spans="1:22" s="202" customFormat="1" ht="15.75" customHeight="1">
      <c r="A64" s="48">
        <v>20</v>
      </c>
      <c r="B64" s="214" t="s">
        <v>142</v>
      </c>
      <c r="C64" s="215" t="s">
        <v>28</v>
      </c>
      <c r="D64" s="214" t="s">
        <v>35</v>
      </c>
      <c r="E64" s="216">
        <v>203.5</v>
      </c>
      <c r="F64" s="219">
        <f>E64*12</f>
        <v>2442</v>
      </c>
      <c r="G64" s="197">
        <v>2.6</v>
      </c>
      <c r="H64" s="217">
        <f>F64*G64/1000</f>
        <v>6.3491999999999997</v>
      </c>
      <c r="I64" s="18">
        <f>F64/12*G64</f>
        <v>529.1</v>
      </c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1"/>
    </row>
    <row r="65" spans="1:21" s="202" customFormat="1" ht="15.75" hidden="1" customHeight="1">
      <c r="A65" s="48"/>
      <c r="B65" s="239" t="s">
        <v>57</v>
      </c>
      <c r="C65" s="215"/>
      <c r="D65" s="214"/>
      <c r="E65" s="216"/>
      <c r="F65" s="219"/>
      <c r="G65" s="219"/>
      <c r="H65" s="217" t="s">
        <v>218</v>
      </c>
      <c r="I65" s="18"/>
      <c r="J65" s="222"/>
      <c r="K65" s="222"/>
      <c r="L65" s="220"/>
      <c r="M65" s="220"/>
      <c r="N65" s="220"/>
      <c r="O65" s="220"/>
      <c r="P65" s="220"/>
      <c r="Q65" s="220"/>
      <c r="R65" s="220"/>
      <c r="S65" s="220"/>
      <c r="T65" s="220"/>
      <c r="U65" s="220"/>
    </row>
    <row r="66" spans="1:21" s="202" customFormat="1" ht="15.75" hidden="1" customHeight="1">
      <c r="A66" s="48"/>
      <c r="B66" s="20" t="s">
        <v>58</v>
      </c>
      <c r="C66" s="22" t="s">
        <v>140</v>
      </c>
      <c r="D66" s="20" t="s">
        <v>84</v>
      </c>
      <c r="E66" s="25">
        <v>10</v>
      </c>
      <c r="F66" s="208">
        <v>10</v>
      </c>
      <c r="G66" s="18">
        <v>237.75</v>
      </c>
      <c r="H66" s="223">
        <f t="shared" ref="H66:H79" si="4">SUM(F66*G66/1000)</f>
        <v>2.3774999999999999</v>
      </c>
      <c r="I66" s="18">
        <v>0</v>
      </c>
      <c r="J66" s="220"/>
      <c r="K66" s="220"/>
      <c r="L66" s="220"/>
      <c r="M66" s="220"/>
      <c r="N66" s="220"/>
      <c r="O66" s="220"/>
      <c r="P66" s="220"/>
      <c r="Q66" s="220"/>
      <c r="S66" s="220"/>
      <c r="T66" s="220"/>
      <c r="U66" s="220"/>
    </row>
    <row r="67" spans="1:21" s="202" customFormat="1" ht="15.75" hidden="1" customHeight="1">
      <c r="A67" s="48"/>
      <c r="B67" s="20" t="s">
        <v>59</v>
      </c>
      <c r="C67" s="22" t="s">
        <v>140</v>
      </c>
      <c r="D67" s="20" t="s">
        <v>84</v>
      </c>
      <c r="E67" s="25">
        <v>5</v>
      </c>
      <c r="F67" s="208">
        <v>5</v>
      </c>
      <c r="G67" s="18">
        <v>81.510000000000005</v>
      </c>
      <c r="H67" s="223">
        <f t="shared" si="4"/>
        <v>0.40755000000000002</v>
      </c>
      <c r="I67" s="18">
        <v>0</v>
      </c>
      <c r="J67" s="224"/>
      <c r="K67" s="224"/>
      <c r="L67" s="224"/>
      <c r="M67" s="224"/>
      <c r="N67" s="224"/>
      <c r="O67" s="224"/>
      <c r="P67" s="224"/>
      <c r="Q67" s="224"/>
      <c r="R67" s="264"/>
      <c r="S67" s="264"/>
      <c r="T67" s="264"/>
      <c r="U67" s="264"/>
    </row>
    <row r="68" spans="1:21" s="202" customFormat="1" ht="15.75" hidden="1" customHeight="1">
      <c r="A68" s="48"/>
      <c r="B68" s="20" t="s">
        <v>60</v>
      </c>
      <c r="C68" s="22" t="s">
        <v>193</v>
      </c>
      <c r="D68" s="20" t="s">
        <v>66</v>
      </c>
      <c r="E68" s="207">
        <v>14347</v>
      </c>
      <c r="F68" s="18">
        <f>SUM(E68/100)</f>
        <v>143.47</v>
      </c>
      <c r="G68" s="18">
        <v>226.79</v>
      </c>
      <c r="H68" s="223">
        <f t="shared" si="4"/>
        <v>32.5375613</v>
      </c>
      <c r="I68" s="18">
        <v>0</v>
      </c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</row>
    <row r="69" spans="1:21" s="202" customFormat="1" ht="15.75" hidden="1" customHeight="1">
      <c r="A69" s="48"/>
      <c r="B69" s="20" t="s">
        <v>61</v>
      </c>
      <c r="C69" s="22" t="s">
        <v>194</v>
      </c>
      <c r="D69" s="20" t="s">
        <v>66</v>
      </c>
      <c r="E69" s="207">
        <v>14347</v>
      </c>
      <c r="F69" s="18">
        <f>SUM(E69/1000)</f>
        <v>14.347</v>
      </c>
      <c r="G69" s="18">
        <v>176.61</v>
      </c>
      <c r="H69" s="223">
        <f t="shared" si="4"/>
        <v>2.5338236700000003</v>
      </c>
      <c r="I69" s="18">
        <v>0</v>
      </c>
    </row>
    <row r="70" spans="1:21" s="202" customFormat="1" ht="15.75" hidden="1" customHeight="1">
      <c r="A70" s="48"/>
      <c r="B70" s="20" t="s">
        <v>62</v>
      </c>
      <c r="C70" s="22" t="s">
        <v>94</v>
      </c>
      <c r="D70" s="20" t="s">
        <v>66</v>
      </c>
      <c r="E70" s="207">
        <v>2244</v>
      </c>
      <c r="F70" s="18">
        <f>SUM(E70/100)</f>
        <v>22.44</v>
      </c>
      <c r="G70" s="18">
        <v>2217.7800000000002</v>
      </c>
      <c r="H70" s="223">
        <f t="shared" si="4"/>
        <v>49.766983200000013</v>
      </c>
      <c r="I70" s="18">
        <v>0</v>
      </c>
    </row>
    <row r="71" spans="1:21" s="202" customFormat="1" ht="15.75" hidden="1" customHeight="1">
      <c r="A71" s="48"/>
      <c r="B71" s="225" t="s">
        <v>195</v>
      </c>
      <c r="C71" s="22" t="s">
        <v>38</v>
      </c>
      <c r="D71" s="20" t="s">
        <v>66</v>
      </c>
      <c r="E71" s="207">
        <v>12.48</v>
      </c>
      <c r="F71" s="18">
        <f>SUM(E71)</f>
        <v>12.48</v>
      </c>
      <c r="G71" s="18">
        <v>42.67</v>
      </c>
      <c r="H71" s="223">
        <f t="shared" si="4"/>
        <v>0.53252160000000004</v>
      </c>
      <c r="I71" s="18">
        <v>0</v>
      </c>
    </row>
    <row r="72" spans="1:21" s="202" customFormat="1" ht="15.75" hidden="1" customHeight="1">
      <c r="A72" s="48"/>
      <c r="B72" s="225" t="s">
        <v>196</v>
      </c>
      <c r="C72" s="22" t="s">
        <v>38</v>
      </c>
      <c r="D72" s="20" t="s">
        <v>66</v>
      </c>
      <c r="E72" s="207">
        <v>12.48</v>
      </c>
      <c r="F72" s="18">
        <f>SUM(E72)</f>
        <v>12.48</v>
      </c>
      <c r="G72" s="18">
        <v>39.81</v>
      </c>
      <c r="H72" s="223">
        <f t="shared" si="4"/>
        <v>0.49682880000000007</v>
      </c>
      <c r="I72" s="18">
        <v>0</v>
      </c>
    </row>
    <row r="73" spans="1:21" s="202" customFormat="1" ht="15.75" hidden="1" customHeight="1">
      <c r="A73" s="48"/>
      <c r="B73" s="20" t="s">
        <v>71</v>
      </c>
      <c r="C73" s="22" t="s">
        <v>72</v>
      </c>
      <c r="D73" s="20" t="s">
        <v>66</v>
      </c>
      <c r="E73" s="25">
        <v>5</v>
      </c>
      <c r="F73" s="208">
        <v>5</v>
      </c>
      <c r="G73" s="18">
        <v>53.32</v>
      </c>
      <c r="H73" s="223">
        <f t="shared" si="4"/>
        <v>0.2666</v>
      </c>
      <c r="I73" s="18">
        <v>0</v>
      </c>
    </row>
    <row r="74" spans="1:21" s="202" customFormat="1" ht="15.75" customHeight="1">
      <c r="A74" s="48"/>
      <c r="B74" s="193" t="s">
        <v>89</v>
      </c>
      <c r="C74" s="22"/>
      <c r="D74" s="20"/>
      <c r="E74" s="25"/>
      <c r="F74" s="18"/>
      <c r="G74" s="18"/>
      <c r="H74" s="223" t="s">
        <v>218</v>
      </c>
      <c r="I74" s="18"/>
    </row>
    <row r="75" spans="1:21" s="202" customFormat="1" ht="15.75" hidden="1" customHeight="1">
      <c r="A75" s="48"/>
      <c r="B75" s="20" t="s">
        <v>90</v>
      </c>
      <c r="C75" s="22" t="s">
        <v>92</v>
      </c>
      <c r="D75" s="20"/>
      <c r="E75" s="25">
        <v>2</v>
      </c>
      <c r="F75" s="18">
        <v>0.2</v>
      </c>
      <c r="G75" s="18">
        <v>536.23</v>
      </c>
      <c r="H75" s="223">
        <f t="shared" si="4"/>
        <v>0.10724600000000001</v>
      </c>
      <c r="I75" s="18">
        <v>0</v>
      </c>
    </row>
    <row r="76" spans="1:21" s="202" customFormat="1" ht="15.75" customHeight="1">
      <c r="A76" s="48">
        <v>21</v>
      </c>
      <c r="B76" s="20" t="s">
        <v>91</v>
      </c>
      <c r="C76" s="22" t="s">
        <v>36</v>
      </c>
      <c r="D76" s="20"/>
      <c r="E76" s="25">
        <v>1</v>
      </c>
      <c r="F76" s="197">
        <v>1</v>
      </c>
      <c r="G76" s="18">
        <v>911.85</v>
      </c>
      <c r="H76" s="223">
        <f>F76*G76/1000</f>
        <v>0.91185000000000005</v>
      </c>
      <c r="I76" s="18">
        <f>G76</f>
        <v>911.85</v>
      </c>
    </row>
    <row r="77" spans="1:21" s="202" customFormat="1" ht="15.75" hidden="1" customHeight="1">
      <c r="A77" s="48"/>
      <c r="B77" s="20" t="s">
        <v>199</v>
      </c>
      <c r="C77" s="22" t="s">
        <v>36</v>
      </c>
      <c r="D77" s="20"/>
      <c r="E77" s="25">
        <v>1</v>
      </c>
      <c r="F77" s="18">
        <v>1</v>
      </c>
      <c r="G77" s="18">
        <v>383.25</v>
      </c>
      <c r="H77" s="223">
        <f>G77*F77/1000</f>
        <v>0.38324999999999998</v>
      </c>
      <c r="I77" s="18">
        <v>0</v>
      </c>
    </row>
    <row r="78" spans="1:21" s="202" customFormat="1" ht="15.75" hidden="1" customHeight="1">
      <c r="A78" s="48"/>
      <c r="B78" s="227" t="s">
        <v>93</v>
      </c>
      <c r="C78" s="22"/>
      <c r="D78" s="20"/>
      <c r="E78" s="25"/>
      <c r="F78" s="18"/>
      <c r="G78" s="18" t="s">
        <v>218</v>
      </c>
      <c r="H78" s="223" t="s">
        <v>218</v>
      </c>
      <c r="I78" s="18"/>
    </row>
    <row r="79" spans="1:21" s="202" customFormat="1" ht="15.75" hidden="1" customHeight="1">
      <c r="A79" s="48"/>
      <c r="B79" s="86" t="s">
        <v>200</v>
      </c>
      <c r="C79" s="22" t="s">
        <v>94</v>
      </c>
      <c r="D79" s="20"/>
      <c r="E79" s="25"/>
      <c r="F79" s="18">
        <v>1</v>
      </c>
      <c r="G79" s="18">
        <v>2949.84</v>
      </c>
      <c r="H79" s="223">
        <f t="shared" si="4"/>
        <v>2.94984</v>
      </c>
      <c r="I79" s="18">
        <v>0</v>
      </c>
    </row>
    <row r="80" spans="1:21" s="202" customFormat="1" ht="15.75" hidden="1" customHeight="1">
      <c r="A80" s="48"/>
      <c r="B80" s="193" t="s">
        <v>197</v>
      </c>
      <c r="C80" s="227"/>
      <c r="D80" s="53"/>
      <c r="E80" s="58"/>
      <c r="F80" s="211"/>
      <c r="G80" s="211"/>
      <c r="H80" s="228">
        <f>SUM(H58:H79)</f>
        <v>133.59511326200004</v>
      </c>
      <c r="I80" s="211"/>
    </row>
    <row r="81" spans="1:9" s="202" customFormat="1" ht="15.75" hidden="1" customHeight="1">
      <c r="A81" s="48"/>
      <c r="B81" s="205" t="s">
        <v>198</v>
      </c>
      <c r="C81" s="22"/>
      <c r="D81" s="20"/>
      <c r="E81" s="198"/>
      <c r="F81" s="18">
        <v>1</v>
      </c>
      <c r="G81" s="18">
        <v>27922</v>
      </c>
      <c r="H81" s="223">
        <f>G81*F81/1000</f>
        <v>27.922000000000001</v>
      </c>
      <c r="I81" s="18">
        <v>0</v>
      </c>
    </row>
    <row r="82" spans="1:9" s="202" customFormat="1" ht="15.75" customHeight="1">
      <c r="A82" s="261" t="s">
        <v>249</v>
      </c>
      <c r="B82" s="262"/>
      <c r="C82" s="262"/>
      <c r="D82" s="262"/>
      <c r="E82" s="262"/>
      <c r="F82" s="262"/>
      <c r="G82" s="262"/>
      <c r="H82" s="262"/>
      <c r="I82" s="263"/>
    </row>
    <row r="83" spans="1:9" s="202" customFormat="1" ht="15.75" customHeight="1">
      <c r="A83" s="48">
        <v>22</v>
      </c>
      <c r="B83" s="205" t="s">
        <v>201</v>
      </c>
      <c r="C83" s="22" t="s">
        <v>67</v>
      </c>
      <c r="D83" s="229" t="s">
        <v>68</v>
      </c>
      <c r="E83" s="18">
        <v>3931</v>
      </c>
      <c r="F83" s="18">
        <f>SUM(E83*12)</f>
        <v>47172</v>
      </c>
      <c r="G83" s="18">
        <v>2.2400000000000002</v>
      </c>
      <c r="H83" s="223">
        <f>SUM(F83*G83/1000)</f>
        <v>105.66528000000001</v>
      </c>
      <c r="I83" s="18">
        <f>F83/12*G83</f>
        <v>8805.44</v>
      </c>
    </row>
    <row r="84" spans="1:9" s="202" customFormat="1" ht="31.5" customHeight="1">
      <c r="A84" s="48">
        <v>23</v>
      </c>
      <c r="B84" s="20" t="s">
        <v>95</v>
      </c>
      <c r="C84" s="22"/>
      <c r="D84" s="229" t="s">
        <v>68</v>
      </c>
      <c r="E84" s="207">
        <f>E83</f>
        <v>3931</v>
      </c>
      <c r="F84" s="18">
        <f>E84*12</f>
        <v>47172</v>
      </c>
      <c r="G84" s="18">
        <v>1.74</v>
      </c>
      <c r="H84" s="223">
        <f>F84*G84/1000</f>
        <v>82.079279999999997</v>
      </c>
      <c r="I84" s="18">
        <f>F84/12*G84</f>
        <v>6839.94</v>
      </c>
    </row>
    <row r="85" spans="1:9" s="202" customFormat="1" ht="15.75" customHeight="1">
      <c r="A85" s="48"/>
      <c r="B85" s="73" t="s">
        <v>101</v>
      </c>
      <c r="C85" s="227"/>
      <c r="D85" s="226"/>
      <c r="E85" s="211"/>
      <c r="F85" s="211"/>
      <c r="G85" s="211"/>
      <c r="H85" s="228">
        <f>H84</f>
        <v>82.079279999999997</v>
      </c>
      <c r="I85" s="211">
        <f>I16+I17+I18+I25+I26+I37+I38+I39+I41+I42+I43+I44+I51+I52+I54+I55+I58+I59+I61+I64+I76+I83+I84</f>
        <v>93003.682298783358</v>
      </c>
    </row>
    <row r="86" spans="1:9" s="202" customFormat="1" ht="15.75" customHeight="1">
      <c r="A86" s="48"/>
      <c r="B86" s="180" t="s">
        <v>74</v>
      </c>
      <c r="C86" s="22"/>
      <c r="D86" s="86"/>
      <c r="E86" s="18"/>
      <c r="F86" s="18"/>
      <c r="G86" s="18"/>
      <c r="H86" s="18"/>
      <c r="I86" s="18"/>
    </row>
    <row r="87" spans="1:9" s="202" customFormat="1" ht="15.75" customHeight="1">
      <c r="A87" s="48">
        <v>24</v>
      </c>
      <c r="B87" s="234" t="s">
        <v>113</v>
      </c>
      <c r="C87" s="204" t="s">
        <v>92</v>
      </c>
      <c r="D87" s="20"/>
      <c r="E87" s="25"/>
      <c r="F87" s="18">
        <f>4/10</f>
        <v>0.4</v>
      </c>
      <c r="G87" s="18">
        <v>3800</v>
      </c>
      <c r="H87" s="223">
        <f t="shared" ref="H87:H89" si="5">G87*F87/1000</f>
        <v>1.52</v>
      </c>
      <c r="I87" s="230">
        <f>G87*0.1</f>
        <v>380</v>
      </c>
    </row>
    <row r="88" spans="1:9" s="202" customFormat="1" ht="15.75" customHeight="1">
      <c r="A88" s="48">
        <v>25</v>
      </c>
      <c r="B88" s="232" t="s">
        <v>106</v>
      </c>
      <c r="C88" s="184" t="s">
        <v>140</v>
      </c>
      <c r="D88" s="20"/>
      <c r="E88" s="25"/>
      <c r="F88" s="18">
        <v>8</v>
      </c>
      <c r="G88" s="18">
        <v>180.15</v>
      </c>
      <c r="H88" s="223">
        <f t="shared" si="5"/>
        <v>1.4412</v>
      </c>
      <c r="I88" s="230">
        <f>G88</f>
        <v>180.15</v>
      </c>
    </row>
    <row r="89" spans="1:9" s="202" customFormat="1" ht="15.75" customHeight="1">
      <c r="A89" s="48">
        <v>26</v>
      </c>
      <c r="B89" s="232" t="s">
        <v>221</v>
      </c>
      <c r="C89" s="184" t="s">
        <v>222</v>
      </c>
      <c r="D89" s="20"/>
      <c r="E89" s="25"/>
      <c r="F89" s="18">
        <v>1</v>
      </c>
      <c r="G89" s="18">
        <v>45448</v>
      </c>
      <c r="H89" s="223">
        <f t="shared" si="5"/>
        <v>45.448</v>
      </c>
      <c r="I89" s="230">
        <f>G89</f>
        <v>45448</v>
      </c>
    </row>
    <row r="90" spans="1:9" ht="15.75" customHeight="1">
      <c r="A90" s="48"/>
      <c r="B90" s="237" t="s">
        <v>63</v>
      </c>
      <c r="C90" s="76"/>
      <c r="D90" s="130"/>
      <c r="E90" s="76">
        <v>1</v>
      </c>
      <c r="F90" s="76"/>
      <c r="G90" s="76"/>
      <c r="H90" s="76"/>
      <c r="I90" s="58">
        <f>SUM(I87:I89)</f>
        <v>46008.15</v>
      </c>
    </row>
    <row r="91" spans="1:9" ht="15.75" customHeight="1">
      <c r="A91" s="48"/>
      <c r="B91" s="86" t="s">
        <v>96</v>
      </c>
      <c r="C91" s="21"/>
      <c r="D91" s="21"/>
      <c r="E91" s="77"/>
      <c r="F91" s="77"/>
      <c r="G91" s="78"/>
      <c r="H91" s="78"/>
      <c r="I91" s="24">
        <v>0</v>
      </c>
    </row>
    <row r="92" spans="1:9" ht="15.75" customHeight="1">
      <c r="A92" s="131"/>
      <c r="B92" s="81" t="s">
        <v>64</v>
      </c>
      <c r="C92" s="64"/>
      <c r="D92" s="64"/>
      <c r="E92" s="64"/>
      <c r="F92" s="64"/>
      <c r="G92" s="64"/>
      <c r="H92" s="64"/>
      <c r="I92" s="79">
        <f>I85+I90</f>
        <v>139011.83229878335</v>
      </c>
    </row>
    <row r="93" spans="1:9" ht="15.75">
      <c r="A93" s="265" t="s">
        <v>259</v>
      </c>
      <c r="B93" s="265"/>
      <c r="C93" s="265"/>
      <c r="D93" s="265"/>
      <c r="E93" s="265"/>
      <c r="F93" s="265"/>
      <c r="G93" s="265"/>
      <c r="H93" s="265"/>
      <c r="I93" s="265"/>
    </row>
    <row r="94" spans="1:9" ht="15.75">
      <c r="A94" s="188"/>
      <c r="B94" s="272" t="s">
        <v>260</v>
      </c>
      <c r="C94" s="272"/>
      <c r="D94" s="272"/>
      <c r="E94" s="272"/>
      <c r="F94" s="272"/>
      <c r="G94" s="272"/>
      <c r="H94" s="201"/>
      <c r="I94" s="3"/>
    </row>
    <row r="95" spans="1:9">
      <c r="A95" s="191"/>
      <c r="B95" s="268" t="s">
        <v>6</v>
      </c>
      <c r="C95" s="268"/>
      <c r="D95" s="268"/>
      <c r="E95" s="268"/>
      <c r="F95" s="268"/>
      <c r="G95" s="268"/>
      <c r="H95" s="38"/>
      <c r="I95" s="5"/>
    </row>
    <row r="96" spans="1:9" ht="7.5" customHeight="1">
      <c r="A96" s="11"/>
      <c r="B96" s="11"/>
      <c r="C96" s="11"/>
      <c r="D96" s="11"/>
      <c r="E96" s="11"/>
      <c r="F96" s="11"/>
      <c r="G96" s="11"/>
      <c r="H96" s="11"/>
      <c r="I96" s="11"/>
    </row>
    <row r="97" spans="1:9" ht="15.75">
      <c r="A97" s="273" t="s">
        <v>7</v>
      </c>
      <c r="B97" s="273"/>
      <c r="C97" s="273"/>
      <c r="D97" s="273"/>
      <c r="E97" s="273"/>
      <c r="F97" s="273"/>
      <c r="G97" s="273"/>
      <c r="H97" s="273"/>
      <c r="I97" s="273"/>
    </row>
    <row r="98" spans="1:9" ht="15.75">
      <c r="A98" s="273" t="s">
        <v>8</v>
      </c>
      <c r="B98" s="273"/>
      <c r="C98" s="273"/>
      <c r="D98" s="273"/>
      <c r="E98" s="273"/>
      <c r="F98" s="273"/>
      <c r="G98" s="273"/>
      <c r="H98" s="273"/>
      <c r="I98" s="273"/>
    </row>
    <row r="99" spans="1:9" ht="15.75">
      <c r="A99" s="258" t="s">
        <v>76</v>
      </c>
      <c r="B99" s="258"/>
      <c r="C99" s="258"/>
      <c r="D99" s="258"/>
      <c r="E99" s="258"/>
      <c r="F99" s="258"/>
      <c r="G99" s="258"/>
      <c r="H99" s="258"/>
      <c r="I99" s="258"/>
    </row>
    <row r="100" spans="1:9" ht="15.75">
      <c r="A100" s="12"/>
    </row>
    <row r="101" spans="1:9" ht="15.75">
      <c r="A101" s="259" t="s">
        <v>10</v>
      </c>
      <c r="B101" s="259"/>
      <c r="C101" s="259"/>
      <c r="D101" s="259"/>
      <c r="E101" s="259"/>
      <c r="F101" s="259"/>
      <c r="G101" s="259"/>
      <c r="H101" s="259"/>
      <c r="I101" s="259"/>
    </row>
    <row r="102" spans="1:9" ht="15.75">
      <c r="A102" s="4"/>
    </row>
    <row r="103" spans="1:9" ht="15.75">
      <c r="B103" s="187" t="s">
        <v>11</v>
      </c>
      <c r="C103" s="267" t="s">
        <v>203</v>
      </c>
      <c r="D103" s="267"/>
      <c r="E103" s="267"/>
      <c r="F103" s="199"/>
      <c r="I103" s="190"/>
    </row>
    <row r="104" spans="1:9">
      <c r="A104" s="191"/>
      <c r="C104" s="268" t="s">
        <v>12</v>
      </c>
      <c r="D104" s="268"/>
      <c r="E104" s="268"/>
      <c r="F104" s="38"/>
      <c r="I104" s="189" t="s">
        <v>13</v>
      </c>
    </row>
    <row r="105" spans="1:9" ht="15.75">
      <c r="A105" s="39"/>
      <c r="C105" s="13"/>
      <c r="D105" s="13"/>
      <c r="G105" s="13"/>
      <c r="H105" s="13"/>
    </row>
    <row r="106" spans="1:9" ht="15.75">
      <c r="B106" s="187" t="s">
        <v>14</v>
      </c>
      <c r="C106" s="269"/>
      <c r="D106" s="269"/>
      <c r="E106" s="269"/>
      <c r="F106" s="200"/>
      <c r="I106" s="190"/>
    </row>
    <row r="107" spans="1:9">
      <c r="A107" s="191"/>
      <c r="C107" s="270" t="s">
        <v>12</v>
      </c>
      <c r="D107" s="270"/>
      <c r="E107" s="270"/>
      <c r="F107" s="191"/>
      <c r="I107" s="189" t="s">
        <v>13</v>
      </c>
    </row>
    <row r="108" spans="1:9" ht="15.75">
      <c r="A108" s="4" t="s">
        <v>15</v>
      </c>
    </row>
    <row r="109" spans="1:9">
      <c r="A109" s="271" t="s">
        <v>16</v>
      </c>
      <c r="B109" s="271"/>
      <c r="C109" s="271"/>
      <c r="D109" s="271"/>
      <c r="E109" s="271"/>
      <c r="F109" s="271"/>
      <c r="G109" s="271"/>
      <c r="H109" s="271"/>
      <c r="I109" s="271"/>
    </row>
    <row r="110" spans="1:9" ht="47.25" customHeight="1">
      <c r="A110" s="266" t="s">
        <v>17</v>
      </c>
      <c r="B110" s="266"/>
      <c r="C110" s="266"/>
      <c r="D110" s="266"/>
      <c r="E110" s="266"/>
      <c r="F110" s="266"/>
      <c r="G110" s="266"/>
      <c r="H110" s="266"/>
      <c r="I110" s="266"/>
    </row>
    <row r="111" spans="1:9" ht="31.5" customHeight="1">
      <c r="A111" s="266" t="s">
        <v>18</v>
      </c>
      <c r="B111" s="266"/>
      <c r="C111" s="266"/>
      <c r="D111" s="266"/>
      <c r="E111" s="266"/>
      <c r="F111" s="266"/>
      <c r="G111" s="266"/>
      <c r="H111" s="266"/>
      <c r="I111" s="266"/>
    </row>
    <row r="112" spans="1:9" ht="31.5" customHeight="1">
      <c r="A112" s="266" t="s">
        <v>23</v>
      </c>
      <c r="B112" s="266"/>
      <c r="C112" s="266"/>
      <c r="D112" s="266"/>
      <c r="E112" s="266"/>
      <c r="F112" s="266"/>
      <c r="G112" s="266"/>
      <c r="H112" s="266"/>
      <c r="I112" s="266"/>
    </row>
    <row r="113" spans="1:9" ht="15.75">
      <c r="A113" s="266" t="s">
        <v>22</v>
      </c>
      <c r="B113" s="266"/>
      <c r="C113" s="266"/>
      <c r="D113" s="266"/>
      <c r="E113" s="266"/>
      <c r="F113" s="266"/>
      <c r="G113" s="266"/>
      <c r="H113" s="266"/>
      <c r="I113" s="266"/>
    </row>
  </sheetData>
  <autoFilter ref="I12:I62"/>
  <mergeCells count="28">
    <mergeCell ref="A110:I110"/>
    <mergeCell ref="A111:I111"/>
    <mergeCell ref="A112:I112"/>
    <mergeCell ref="A113:I113"/>
    <mergeCell ref="A101:I101"/>
    <mergeCell ref="C103:E103"/>
    <mergeCell ref="C104:E104"/>
    <mergeCell ref="C106:E106"/>
    <mergeCell ref="C107:E107"/>
    <mergeCell ref="A109:I109"/>
    <mergeCell ref="A99:I99"/>
    <mergeCell ref="A15:I15"/>
    <mergeCell ref="A27:I27"/>
    <mergeCell ref="A45:I45"/>
    <mergeCell ref="A56:I56"/>
    <mergeCell ref="A93:I93"/>
    <mergeCell ref="B94:G94"/>
    <mergeCell ref="B95:G95"/>
    <mergeCell ref="A97:I97"/>
    <mergeCell ref="A98:I98"/>
    <mergeCell ref="R67:U67"/>
    <mergeCell ref="A82:I82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4"/>
  <sheetViews>
    <sheetView workbookViewId="0">
      <selection activeCell="A8" sqref="A8:I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3" t="s">
        <v>120</v>
      </c>
      <c r="I1" s="42"/>
      <c r="J1" s="1"/>
      <c r="K1" s="1"/>
      <c r="L1" s="1"/>
      <c r="M1" s="1"/>
    </row>
    <row r="2" spans="1:13" ht="15.75" customHeight="1">
      <c r="A2" s="44" t="s">
        <v>79</v>
      </c>
      <c r="J2" s="2"/>
      <c r="K2" s="2"/>
      <c r="L2" s="2"/>
      <c r="M2" s="2"/>
    </row>
    <row r="3" spans="1:13" ht="15.75" customHeight="1">
      <c r="A3" s="253" t="s">
        <v>261</v>
      </c>
      <c r="B3" s="253"/>
      <c r="C3" s="253"/>
      <c r="D3" s="253"/>
      <c r="E3" s="253"/>
      <c r="F3" s="253"/>
      <c r="G3" s="253"/>
      <c r="H3" s="253"/>
      <c r="I3" s="253"/>
      <c r="J3" s="3"/>
      <c r="K3" s="3"/>
      <c r="L3" s="3"/>
    </row>
    <row r="4" spans="1:13" ht="31.5" customHeight="1">
      <c r="A4" s="254" t="s">
        <v>204</v>
      </c>
      <c r="B4" s="254"/>
      <c r="C4" s="254"/>
      <c r="D4" s="254"/>
      <c r="E4" s="254"/>
      <c r="F4" s="254"/>
      <c r="G4" s="254"/>
      <c r="H4" s="254"/>
      <c r="I4" s="254"/>
    </row>
    <row r="5" spans="1:13" ht="15.75">
      <c r="A5" s="253" t="s">
        <v>107</v>
      </c>
      <c r="B5" s="255"/>
      <c r="C5" s="255"/>
      <c r="D5" s="255"/>
      <c r="E5" s="255"/>
      <c r="F5" s="255"/>
      <c r="G5" s="255"/>
      <c r="H5" s="255"/>
      <c r="I5" s="255"/>
      <c r="J5" s="2"/>
      <c r="K5" s="2"/>
      <c r="L5" s="2"/>
      <c r="M5" s="2"/>
    </row>
    <row r="6" spans="1:13" ht="15.75">
      <c r="A6" s="2"/>
      <c r="B6" s="192"/>
      <c r="C6" s="192"/>
      <c r="D6" s="192"/>
      <c r="E6" s="192"/>
      <c r="F6" s="192"/>
      <c r="G6" s="192"/>
      <c r="H6" s="192"/>
      <c r="I6" s="52">
        <v>42521</v>
      </c>
      <c r="J6" s="2"/>
      <c r="K6" s="2"/>
      <c r="L6" s="2"/>
      <c r="M6" s="2"/>
    </row>
    <row r="7" spans="1:13" ht="15.75">
      <c r="B7" s="187"/>
      <c r="C7" s="187"/>
      <c r="D7" s="187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56" t="s">
        <v>283</v>
      </c>
      <c r="B8" s="256"/>
      <c r="C8" s="256"/>
      <c r="D8" s="256"/>
      <c r="E8" s="256"/>
      <c r="F8" s="256"/>
      <c r="G8" s="256"/>
      <c r="H8" s="256"/>
      <c r="I8" s="25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57" t="s">
        <v>205</v>
      </c>
      <c r="B10" s="257"/>
      <c r="C10" s="257"/>
      <c r="D10" s="257"/>
      <c r="E10" s="257"/>
      <c r="F10" s="257"/>
      <c r="G10" s="257"/>
      <c r="H10" s="257"/>
      <c r="I10" s="257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19</v>
      </c>
      <c r="E12" s="6" t="s">
        <v>20</v>
      </c>
      <c r="F12" s="6"/>
      <c r="G12" s="6" t="s">
        <v>24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52" t="s">
        <v>73</v>
      </c>
      <c r="B14" s="252"/>
      <c r="C14" s="252"/>
      <c r="D14" s="252"/>
      <c r="E14" s="252"/>
      <c r="F14" s="252"/>
      <c r="G14" s="252"/>
      <c r="H14" s="252"/>
      <c r="I14" s="252"/>
      <c r="J14" s="8"/>
      <c r="K14" s="8"/>
      <c r="L14" s="8"/>
      <c r="M14" s="8"/>
    </row>
    <row r="15" spans="1:13">
      <c r="A15" s="260" t="s">
        <v>4</v>
      </c>
      <c r="B15" s="260"/>
      <c r="C15" s="260"/>
      <c r="D15" s="260"/>
      <c r="E15" s="260"/>
      <c r="F15" s="260"/>
      <c r="G15" s="260"/>
      <c r="H15" s="260"/>
      <c r="I15" s="260"/>
      <c r="J15" s="8"/>
      <c r="K15" s="8"/>
      <c r="L15" s="8"/>
      <c r="M15" s="8"/>
    </row>
    <row r="16" spans="1:13" s="202" customFormat="1" ht="31.5" customHeight="1">
      <c r="A16" s="48">
        <v>1</v>
      </c>
      <c r="B16" s="205" t="s">
        <v>122</v>
      </c>
      <c r="C16" s="206" t="s">
        <v>158</v>
      </c>
      <c r="D16" s="205" t="s">
        <v>159</v>
      </c>
      <c r="E16" s="207">
        <v>95.04</v>
      </c>
      <c r="F16" s="208">
        <f>SUM(E16*156/100)</f>
        <v>148.26240000000001</v>
      </c>
      <c r="G16" s="208">
        <v>187.48</v>
      </c>
      <c r="H16" s="209">
        <f t="shared" ref="H16:H24" si="0">SUM(F16*G16/1000)</f>
        <v>27.796234752</v>
      </c>
      <c r="I16" s="18">
        <f>F16/12*G16</f>
        <v>2316.3528960000003</v>
      </c>
    </row>
    <row r="17" spans="1:10" s="202" customFormat="1" ht="31.5" customHeight="1">
      <c r="A17" s="48">
        <v>2</v>
      </c>
      <c r="B17" s="205" t="s">
        <v>154</v>
      </c>
      <c r="C17" s="206" t="s">
        <v>158</v>
      </c>
      <c r="D17" s="205" t="s">
        <v>160</v>
      </c>
      <c r="E17" s="207">
        <v>380.16</v>
      </c>
      <c r="F17" s="208">
        <f>SUM(E17*104/100)</f>
        <v>395.3664</v>
      </c>
      <c r="G17" s="208">
        <v>187.48</v>
      </c>
      <c r="H17" s="209">
        <f t="shared" si="0"/>
        <v>74.123292671999991</v>
      </c>
      <c r="I17" s="18">
        <f>F17/12*G17</f>
        <v>6176.9410559999997</v>
      </c>
      <c r="J17" s="203"/>
    </row>
    <row r="18" spans="1:10" s="202" customFormat="1" ht="31.5" customHeight="1">
      <c r="A18" s="48">
        <v>3</v>
      </c>
      <c r="B18" s="205" t="s">
        <v>155</v>
      </c>
      <c r="C18" s="206" t="s">
        <v>158</v>
      </c>
      <c r="D18" s="205" t="s">
        <v>206</v>
      </c>
      <c r="E18" s="207">
        <f>SUM(E16+E17)</f>
        <v>475.20000000000005</v>
      </c>
      <c r="F18" s="208">
        <f>SUM(E18*24/100)</f>
        <v>114.04800000000002</v>
      </c>
      <c r="G18" s="208">
        <v>539.30999999999995</v>
      </c>
      <c r="H18" s="209">
        <f t="shared" si="0"/>
        <v>61.507226880000005</v>
      </c>
      <c r="I18" s="18">
        <f>F18/12*G18</f>
        <v>5125.6022400000002</v>
      </c>
      <c r="J18" s="203"/>
    </row>
    <row r="19" spans="1:10" s="202" customFormat="1" ht="15.75" customHeight="1">
      <c r="A19" s="48">
        <v>4</v>
      </c>
      <c r="B19" s="205" t="s">
        <v>161</v>
      </c>
      <c r="C19" s="206" t="s">
        <v>162</v>
      </c>
      <c r="D19" s="205" t="s">
        <v>163</v>
      </c>
      <c r="E19" s="207">
        <v>93.4</v>
      </c>
      <c r="F19" s="208">
        <f>SUM(E19/10)</f>
        <v>9.34</v>
      </c>
      <c r="G19" s="208">
        <v>181.9</v>
      </c>
      <c r="H19" s="209">
        <f t="shared" si="0"/>
        <v>1.6989460000000001</v>
      </c>
      <c r="I19" s="18">
        <f>F19/2*G19</f>
        <v>849.47300000000007</v>
      </c>
      <c r="J19" s="203"/>
    </row>
    <row r="20" spans="1:10" s="202" customFormat="1" ht="15.75" customHeight="1">
      <c r="A20" s="48">
        <v>5</v>
      </c>
      <c r="B20" s="205" t="s">
        <v>164</v>
      </c>
      <c r="C20" s="206" t="s">
        <v>158</v>
      </c>
      <c r="D20" s="205" t="s">
        <v>53</v>
      </c>
      <c r="E20" s="207">
        <v>43.2</v>
      </c>
      <c r="F20" s="208">
        <f>SUM(E20*2/100)</f>
        <v>0.8640000000000001</v>
      </c>
      <c r="G20" s="208">
        <v>232.91</v>
      </c>
      <c r="H20" s="209">
        <f t="shared" si="0"/>
        <v>0.20123424000000004</v>
      </c>
      <c r="I20" s="18">
        <f>F20/2*G20</f>
        <v>100.61712000000001</v>
      </c>
      <c r="J20" s="203"/>
    </row>
    <row r="21" spans="1:10" s="202" customFormat="1" ht="15.75" customHeight="1">
      <c r="A21" s="48">
        <v>6</v>
      </c>
      <c r="B21" s="205" t="s">
        <v>165</v>
      </c>
      <c r="C21" s="206" t="s">
        <v>158</v>
      </c>
      <c r="D21" s="205" t="s">
        <v>53</v>
      </c>
      <c r="E21" s="207">
        <v>10.08</v>
      </c>
      <c r="F21" s="208">
        <f>SUM(E21*2/100)</f>
        <v>0.2016</v>
      </c>
      <c r="G21" s="208">
        <v>231.03</v>
      </c>
      <c r="H21" s="209">
        <f t="shared" si="0"/>
        <v>4.6575648000000004E-2</v>
      </c>
      <c r="I21" s="18">
        <f>F21/2*G21</f>
        <v>23.287824000000001</v>
      </c>
      <c r="J21" s="203"/>
    </row>
    <row r="22" spans="1:10" s="202" customFormat="1" ht="15.75" customHeight="1">
      <c r="A22" s="48">
        <v>7</v>
      </c>
      <c r="B22" s="205" t="s">
        <v>166</v>
      </c>
      <c r="C22" s="206" t="s">
        <v>65</v>
      </c>
      <c r="D22" s="205" t="s">
        <v>163</v>
      </c>
      <c r="E22" s="207">
        <v>642.6</v>
      </c>
      <c r="F22" s="208">
        <f>SUM(E22/100)</f>
        <v>6.4260000000000002</v>
      </c>
      <c r="G22" s="208">
        <v>287.83999999999997</v>
      </c>
      <c r="H22" s="209">
        <f t="shared" si="0"/>
        <v>1.8496598399999997</v>
      </c>
      <c r="I22" s="18">
        <f>F22*G22</f>
        <v>1849.6598399999998</v>
      </c>
      <c r="J22" s="203"/>
    </row>
    <row r="23" spans="1:10" s="202" customFormat="1" ht="15.75" customHeight="1">
      <c r="A23" s="48">
        <v>8</v>
      </c>
      <c r="B23" s="205" t="s">
        <v>167</v>
      </c>
      <c r="C23" s="206" t="s">
        <v>65</v>
      </c>
      <c r="D23" s="205" t="s">
        <v>163</v>
      </c>
      <c r="E23" s="210">
        <v>35.28</v>
      </c>
      <c r="F23" s="208">
        <f>SUM(E23/100)</f>
        <v>0.3528</v>
      </c>
      <c r="G23" s="208">
        <v>47.35</v>
      </c>
      <c r="H23" s="209">
        <f t="shared" si="0"/>
        <v>1.6705080000000004E-2</v>
      </c>
      <c r="I23" s="18">
        <f t="shared" ref="I23:I24" si="1">F23*G23</f>
        <v>16.705080000000002</v>
      </c>
      <c r="J23" s="203"/>
    </row>
    <row r="24" spans="1:10" s="202" customFormat="1" ht="15.75" customHeight="1">
      <c r="A24" s="48">
        <v>9</v>
      </c>
      <c r="B24" s="205" t="s">
        <v>168</v>
      </c>
      <c r="C24" s="206" t="s">
        <v>65</v>
      </c>
      <c r="D24" s="205" t="s">
        <v>163</v>
      </c>
      <c r="E24" s="207">
        <v>28.8</v>
      </c>
      <c r="F24" s="208">
        <f>SUM(E24/100)</f>
        <v>0.28800000000000003</v>
      </c>
      <c r="G24" s="208">
        <v>556.74</v>
      </c>
      <c r="H24" s="209">
        <f t="shared" si="0"/>
        <v>0.16034112000000003</v>
      </c>
      <c r="I24" s="18">
        <f t="shared" si="1"/>
        <v>160.34112000000002</v>
      </c>
      <c r="J24" s="203"/>
    </row>
    <row r="25" spans="1:10" s="202" customFormat="1" ht="15.75" customHeight="1">
      <c r="A25" s="48">
        <v>10</v>
      </c>
      <c r="B25" s="205" t="s">
        <v>81</v>
      </c>
      <c r="C25" s="206" t="s">
        <v>38</v>
      </c>
      <c r="D25" s="205" t="s">
        <v>217</v>
      </c>
      <c r="E25" s="207">
        <v>0.1</v>
      </c>
      <c r="F25" s="208">
        <f>SUM(E25*365)</f>
        <v>36.5</v>
      </c>
      <c r="G25" s="208">
        <v>157.18</v>
      </c>
      <c r="H25" s="209">
        <f>SUM(F25*G25/1000)</f>
        <v>5.737070000000001</v>
      </c>
      <c r="I25" s="18">
        <f>F25/12*G25</f>
        <v>478.08916666666664</v>
      </c>
      <c r="J25" s="203"/>
    </row>
    <row r="26" spans="1:10" s="202" customFormat="1" ht="15.75" customHeight="1">
      <c r="A26" s="48">
        <v>11</v>
      </c>
      <c r="B26" s="213" t="s">
        <v>25</v>
      </c>
      <c r="C26" s="206" t="s">
        <v>26</v>
      </c>
      <c r="D26" s="213" t="s">
        <v>218</v>
      </c>
      <c r="E26" s="207">
        <v>3931</v>
      </c>
      <c r="F26" s="208">
        <f>SUM(E26*12)</f>
        <v>47172</v>
      </c>
      <c r="G26" s="208">
        <v>5.33</v>
      </c>
      <c r="H26" s="209">
        <f>SUM(F26*G26/1000)</f>
        <v>251.42676</v>
      </c>
      <c r="I26" s="18">
        <f>F26/12*G26</f>
        <v>20952.23</v>
      </c>
      <c r="J26" s="203"/>
    </row>
    <row r="27" spans="1:10" s="202" customFormat="1" ht="15.75" customHeight="1">
      <c r="A27" s="261" t="s">
        <v>117</v>
      </c>
      <c r="B27" s="262"/>
      <c r="C27" s="262"/>
      <c r="D27" s="262"/>
      <c r="E27" s="262"/>
      <c r="F27" s="262"/>
      <c r="G27" s="262"/>
      <c r="H27" s="262"/>
      <c r="I27" s="263"/>
      <c r="J27" s="203"/>
    </row>
    <row r="28" spans="1:10" s="202" customFormat="1" ht="15.75" customHeight="1">
      <c r="A28" s="48"/>
      <c r="B28" s="238" t="s">
        <v>33</v>
      </c>
      <c r="C28" s="206"/>
      <c r="D28" s="205"/>
      <c r="E28" s="207"/>
      <c r="F28" s="208"/>
      <c r="G28" s="208"/>
      <c r="H28" s="209"/>
      <c r="I28" s="18"/>
      <c r="J28" s="203"/>
    </row>
    <row r="29" spans="1:10" s="202" customFormat="1" ht="31.5" customHeight="1">
      <c r="A29" s="48">
        <v>12</v>
      </c>
      <c r="B29" s="205" t="s">
        <v>169</v>
      </c>
      <c r="C29" s="206" t="s">
        <v>170</v>
      </c>
      <c r="D29" s="205" t="s">
        <v>215</v>
      </c>
      <c r="E29" s="208">
        <v>1116.27</v>
      </c>
      <c r="F29" s="208">
        <f>SUM(E29*52/1000)</f>
        <v>58.046039999999998</v>
      </c>
      <c r="G29" s="208">
        <v>166.65</v>
      </c>
      <c r="H29" s="209">
        <f t="shared" ref="H29:H35" si="2">SUM(F29*G29/1000)</f>
        <v>9.6733725659999994</v>
      </c>
      <c r="I29" s="18">
        <f>F29/6*G29</f>
        <v>1612.2287609999998</v>
      </c>
      <c r="J29" s="203"/>
    </row>
    <row r="30" spans="1:10" s="202" customFormat="1" ht="31.5" customHeight="1">
      <c r="A30" s="48">
        <v>13</v>
      </c>
      <c r="B30" s="205" t="s">
        <v>244</v>
      </c>
      <c r="C30" s="206" t="s">
        <v>170</v>
      </c>
      <c r="D30" s="205" t="s">
        <v>216</v>
      </c>
      <c r="E30" s="208">
        <v>89.03</v>
      </c>
      <c r="F30" s="208">
        <f>SUM(E30*78/1000)</f>
        <v>6.9443400000000004</v>
      </c>
      <c r="G30" s="208">
        <v>276.48</v>
      </c>
      <c r="H30" s="209">
        <f t="shared" si="2"/>
        <v>1.9199711232000003</v>
      </c>
      <c r="I30" s="18">
        <f t="shared" ref="I30:I33" si="3">F30/6*G30</f>
        <v>319.99518720000003</v>
      </c>
      <c r="J30" s="203"/>
    </row>
    <row r="31" spans="1:10" s="202" customFormat="1" ht="15.75" customHeight="1">
      <c r="A31" s="48">
        <v>14</v>
      </c>
      <c r="B31" s="205" t="s">
        <v>32</v>
      </c>
      <c r="C31" s="206" t="s">
        <v>170</v>
      </c>
      <c r="D31" s="205" t="s">
        <v>66</v>
      </c>
      <c r="E31" s="208">
        <v>1116.27</v>
      </c>
      <c r="F31" s="208">
        <f>SUM(E31/1000)</f>
        <v>1.1162699999999999</v>
      </c>
      <c r="G31" s="208">
        <v>3228.73</v>
      </c>
      <c r="H31" s="209">
        <f t="shared" si="2"/>
        <v>3.6041344370999995</v>
      </c>
      <c r="I31" s="18">
        <f>F31*G31</f>
        <v>3604.1344370999996</v>
      </c>
      <c r="J31" s="203"/>
    </row>
    <row r="32" spans="1:10" s="202" customFormat="1" ht="15.75" customHeight="1">
      <c r="A32" s="48">
        <v>15</v>
      </c>
      <c r="B32" s="205" t="s">
        <v>174</v>
      </c>
      <c r="C32" s="206" t="s">
        <v>49</v>
      </c>
      <c r="D32" s="205" t="s">
        <v>80</v>
      </c>
      <c r="E32" s="208">
        <v>6</v>
      </c>
      <c r="F32" s="208">
        <v>9.3000000000000007</v>
      </c>
      <c r="G32" s="208">
        <v>1391.86</v>
      </c>
      <c r="H32" s="209">
        <f>G32*F32/1000</f>
        <v>12.944298</v>
      </c>
      <c r="I32" s="18">
        <f t="shared" si="3"/>
        <v>2157.3829999999998</v>
      </c>
      <c r="J32" s="203"/>
    </row>
    <row r="33" spans="1:14" s="202" customFormat="1" ht="15.75" customHeight="1">
      <c r="A33" s="48">
        <v>16</v>
      </c>
      <c r="B33" s="205" t="s">
        <v>175</v>
      </c>
      <c r="C33" s="206" t="s">
        <v>36</v>
      </c>
      <c r="D33" s="205" t="s">
        <v>80</v>
      </c>
      <c r="E33" s="212">
        <v>0.33333333333333331</v>
      </c>
      <c r="F33" s="208">
        <f>155/3</f>
        <v>51.666666666666664</v>
      </c>
      <c r="G33" s="208">
        <v>60.6</v>
      </c>
      <c r="H33" s="209">
        <f>SUM(G33*155/3/1000)</f>
        <v>3.1309999999999998</v>
      </c>
      <c r="I33" s="18">
        <f t="shared" si="3"/>
        <v>521.83333333333337</v>
      </c>
      <c r="J33" s="203"/>
    </row>
    <row r="34" spans="1:14" s="202" customFormat="1" ht="15.75" hidden="1" customHeight="1">
      <c r="A34" s="48"/>
      <c r="B34" s="205" t="s">
        <v>82</v>
      </c>
      <c r="C34" s="206" t="s">
        <v>38</v>
      </c>
      <c r="D34" s="205" t="s">
        <v>84</v>
      </c>
      <c r="E34" s="207"/>
      <c r="F34" s="208">
        <v>3</v>
      </c>
      <c r="G34" s="208">
        <v>204.52</v>
      </c>
      <c r="H34" s="209">
        <f t="shared" si="2"/>
        <v>0.61356000000000011</v>
      </c>
      <c r="I34" s="18">
        <v>0</v>
      </c>
      <c r="J34" s="203"/>
    </row>
    <row r="35" spans="1:14" s="202" customFormat="1" ht="15.75" hidden="1" customHeight="1">
      <c r="A35" s="48"/>
      <c r="B35" s="205" t="s">
        <v>83</v>
      </c>
      <c r="C35" s="206" t="s">
        <v>37</v>
      </c>
      <c r="D35" s="205" t="s">
        <v>84</v>
      </c>
      <c r="E35" s="207"/>
      <c r="F35" s="208">
        <v>2</v>
      </c>
      <c r="G35" s="208">
        <v>1136.33</v>
      </c>
      <c r="H35" s="209">
        <f t="shared" si="2"/>
        <v>2.2726599999999997</v>
      </c>
      <c r="I35" s="18">
        <v>0</v>
      </c>
      <c r="J35" s="203"/>
    </row>
    <row r="36" spans="1:14" s="202" customFormat="1" ht="15.75" hidden="1" customHeight="1">
      <c r="A36" s="48"/>
      <c r="B36" s="238" t="s">
        <v>5</v>
      </c>
      <c r="C36" s="206"/>
      <c r="D36" s="205"/>
      <c r="E36" s="207"/>
      <c r="F36" s="208"/>
      <c r="G36" s="208"/>
      <c r="H36" s="209" t="s">
        <v>218</v>
      </c>
      <c r="I36" s="18"/>
      <c r="J36" s="203"/>
    </row>
    <row r="37" spans="1:14" s="202" customFormat="1" ht="15.75" hidden="1" customHeight="1">
      <c r="A37" s="48">
        <v>6</v>
      </c>
      <c r="B37" s="205" t="s">
        <v>30</v>
      </c>
      <c r="C37" s="206" t="s">
        <v>37</v>
      </c>
      <c r="D37" s="205"/>
      <c r="E37" s="207"/>
      <c r="F37" s="208">
        <v>8</v>
      </c>
      <c r="G37" s="208">
        <v>1632.6</v>
      </c>
      <c r="H37" s="209">
        <f t="shared" ref="H37:H44" si="4">SUM(F37*G37/1000)</f>
        <v>13.060799999999999</v>
      </c>
      <c r="I37" s="18">
        <f>F37/6*G37</f>
        <v>2176.7999999999997</v>
      </c>
      <c r="J37" s="203"/>
    </row>
    <row r="38" spans="1:14" s="202" customFormat="1" ht="15.75" hidden="1" customHeight="1">
      <c r="A38" s="48">
        <v>7</v>
      </c>
      <c r="B38" s="205" t="s">
        <v>133</v>
      </c>
      <c r="C38" s="206" t="s">
        <v>34</v>
      </c>
      <c r="D38" s="205" t="s">
        <v>176</v>
      </c>
      <c r="E38" s="207">
        <v>461.12</v>
      </c>
      <c r="F38" s="208">
        <f>E38*12/1000</f>
        <v>5.5334400000000006</v>
      </c>
      <c r="G38" s="208">
        <v>2247.8000000000002</v>
      </c>
      <c r="H38" s="209">
        <f>G38*F38/1000</f>
        <v>12.438066432000001</v>
      </c>
      <c r="I38" s="18">
        <f>F38/6*G38</f>
        <v>2073.0110720000002</v>
      </c>
      <c r="J38" s="203"/>
    </row>
    <row r="39" spans="1:14" s="202" customFormat="1" ht="15.75" hidden="1" customHeight="1">
      <c r="A39" s="48">
        <v>8</v>
      </c>
      <c r="B39" s="205" t="s">
        <v>177</v>
      </c>
      <c r="C39" s="206" t="s">
        <v>34</v>
      </c>
      <c r="D39" s="205" t="s">
        <v>178</v>
      </c>
      <c r="E39" s="207">
        <v>89.03</v>
      </c>
      <c r="F39" s="208">
        <f>E39*30/1000</f>
        <v>2.6709000000000001</v>
      </c>
      <c r="G39" s="208">
        <v>2247.8000000000002</v>
      </c>
      <c r="H39" s="209">
        <f>G39*F39/1000</f>
        <v>6.003649020000001</v>
      </c>
      <c r="I39" s="18">
        <f>F39/6*G39</f>
        <v>1000.6081700000001</v>
      </c>
      <c r="J39" s="203"/>
    </row>
    <row r="40" spans="1:14" s="202" customFormat="1" ht="15.75" hidden="1" customHeight="1">
      <c r="A40" s="48"/>
      <c r="B40" s="205" t="s">
        <v>179</v>
      </c>
      <c r="C40" s="206" t="s">
        <v>180</v>
      </c>
      <c r="D40" s="205" t="s">
        <v>84</v>
      </c>
      <c r="E40" s="207"/>
      <c r="F40" s="208">
        <v>135</v>
      </c>
      <c r="G40" s="208">
        <v>213.2</v>
      </c>
      <c r="H40" s="209">
        <f>G40*F40/1000</f>
        <v>28.782</v>
      </c>
      <c r="I40" s="18">
        <v>0</v>
      </c>
      <c r="J40" s="203"/>
      <c r="L40" s="27"/>
      <c r="M40" s="28"/>
      <c r="N40" s="54"/>
    </row>
    <row r="41" spans="1:14" s="202" customFormat="1" ht="15.75" hidden="1" customHeight="1">
      <c r="A41" s="48">
        <v>9</v>
      </c>
      <c r="B41" s="205" t="s">
        <v>85</v>
      </c>
      <c r="C41" s="206" t="s">
        <v>34</v>
      </c>
      <c r="D41" s="205" t="s">
        <v>181</v>
      </c>
      <c r="E41" s="208">
        <v>89.03</v>
      </c>
      <c r="F41" s="208">
        <f>SUM(E41*155/1000)</f>
        <v>13.79965</v>
      </c>
      <c r="G41" s="208">
        <v>374.95</v>
      </c>
      <c r="H41" s="209">
        <f t="shared" si="4"/>
        <v>5.1741787674999999</v>
      </c>
      <c r="I41" s="18">
        <f>F41/6*G41</f>
        <v>862.36312791666671</v>
      </c>
      <c r="J41" s="203"/>
      <c r="L41" s="27"/>
      <c r="M41" s="28"/>
      <c r="N41" s="54"/>
    </row>
    <row r="42" spans="1:14" s="202" customFormat="1" ht="15.75" hidden="1" customHeight="1">
      <c r="A42" s="48">
        <v>10</v>
      </c>
      <c r="B42" s="205" t="s">
        <v>111</v>
      </c>
      <c r="C42" s="206" t="s">
        <v>170</v>
      </c>
      <c r="D42" s="205" t="s">
        <v>182</v>
      </c>
      <c r="E42" s="208">
        <v>89.03</v>
      </c>
      <c r="F42" s="208">
        <f>SUM(E42*24/1000)</f>
        <v>2.1367200000000004</v>
      </c>
      <c r="G42" s="208">
        <v>6203.71</v>
      </c>
      <c r="H42" s="209">
        <f t="shared" si="4"/>
        <v>13.255591231200002</v>
      </c>
      <c r="I42" s="18">
        <f>F42/6*G42</f>
        <v>2209.2652052000003</v>
      </c>
      <c r="J42" s="203"/>
      <c r="L42" s="27"/>
      <c r="M42" s="28"/>
      <c r="N42" s="54"/>
    </row>
    <row r="43" spans="1:14" s="202" customFormat="1" ht="15.75" hidden="1" customHeight="1">
      <c r="A43" s="48">
        <v>11</v>
      </c>
      <c r="B43" s="205" t="s">
        <v>183</v>
      </c>
      <c r="C43" s="206" t="s">
        <v>170</v>
      </c>
      <c r="D43" s="205" t="s">
        <v>86</v>
      </c>
      <c r="E43" s="208">
        <v>89.03</v>
      </c>
      <c r="F43" s="208">
        <f>SUM(E43*45/1000)</f>
        <v>4.0063500000000003</v>
      </c>
      <c r="G43" s="208">
        <v>458.28</v>
      </c>
      <c r="H43" s="209">
        <f t="shared" si="4"/>
        <v>1.8360300780000001</v>
      </c>
      <c r="I43" s="18">
        <f>F43/6*G43</f>
        <v>306.00501299999996</v>
      </c>
      <c r="J43" s="203"/>
      <c r="L43" s="27"/>
      <c r="M43" s="28"/>
      <c r="N43" s="54"/>
    </row>
    <row r="44" spans="1:14" s="202" customFormat="1" ht="15.75" hidden="1" customHeight="1">
      <c r="A44" s="48">
        <v>12</v>
      </c>
      <c r="B44" s="205" t="s">
        <v>87</v>
      </c>
      <c r="C44" s="206" t="s">
        <v>38</v>
      </c>
      <c r="D44" s="205"/>
      <c r="E44" s="207"/>
      <c r="F44" s="208">
        <v>0.9</v>
      </c>
      <c r="G44" s="208">
        <v>798</v>
      </c>
      <c r="H44" s="209">
        <f t="shared" si="4"/>
        <v>0.71820000000000006</v>
      </c>
      <c r="I44" s="18">
        <f>F44/6*G44</f>
        <v>119.69999999999999</v>
      </c>
      <c r="J44" s="203"/>
      <c r="L44" s="27"/>
      <c r="M44" s="28"/>
      <c r="N44" s="54"/>
    </row>
    <row r="45" spans="1:14" s="202" customFormat="1" ht="15.75" customHeight="1">
      <c r="A45" s="261" t="s">
        <v>247</v>
      </c>
      <c r="B45" s="262"/>
      <c r="C45" s="262"/>
      <c r="D45" s="262"/>
      <c r="E45" s="262"/>
      <c r="F45" s="262"/>
      <c r="G45" s="262"/>
      <c r="H45" s="262"/>
      <c r="I45" s="263"/>
      <c r="J45" s="203"/>
      <c r="L45" s="27"/>
      <c r="M45" s="28"/>
      <c r="N45" s="54"/>
    </row>
    <row r="46" spans="1:14" s="202" customFormat="1" ht="15.75" customHeight="1">
      <c r="A46" s="48">
        <v>17</v>
      </c>
      <c r="B46" s="205" t="s">
        <v>184</v>
      </c>
      <c r="C46" s="206" t="s">
        <v>170</v>
      </c>
      <c r="D46" s="205" t="s">
        <v>53</v>
      </c>
      <c r="E46" s="207">
        <v>1032.5</v>
      </c>
      <c r="F46" s="208">
        <f>SUM(E46*2/1000)</f>
        <v>2.0649999999999999</v>
      </c>
      <c r="G46" s="18">
        <v>908.1</v>
      </c>
      <c r="H46" s="209">
        <f t="shared" ref="H46:H55" si="5">SUM(F46*G46/1000)</f>
        <v>1.8752264999999999</v>
      </c>
      <c r="I46" s="18">
        <f t="shared" ref="I46:I48" si="6">F46/2*G46</f>
        <v>937.61324999999999</v>
      </c>
      <c r="J46" s="203"/>
      <c r="L46" s="27"/>
      <c r="M46" s="28"/>
      <c r="N46" s="54"/>
    </row>
    <row r="47" spans="1:14" s="202" customFormat="1" ht="15.75" customHeight="1">
      <c r="A47" s="48">
        <v>18</v>
      </c>
      <c r="B47" s="205" t="s">
        <v>42</v>
      </c>
      <c r="C47" s="206" t="s">
        <v>170</v>
      </c>
      <c r="D47" s="205" t="s">
        <v>53</v>
      </c>
      <c r="E47" s="207">
        <v>132</v>
      </c>
      <c r="F47" s="208">
        <f>E47*2/1000</f>
        <v>0.26400000000000001</v>
      </c>
      <c r="G47" s="18">
        <v>619.46</v>
      </c>
      <c r="H47" s="209">
        <f t="shared" si="5"/>
        <v>0.16353744000000001</v>
      </c>
      <c r="I47" s="18">
        <f t="shared" si="6"/>
        <v>81.768720000000002</v>
      </c>
      <c r="J47" s="203"/>
      <c r="L47" s="27"/>
      <c r="M47" s="28"/>
      <c r="N47" s="54"/>
    </row>
    <row r="48" spans="1:14" s="202" customFormat="1" ht="15.75" customHeight="1">
      <c r="A48" s="48">
        <v>19</v>
      </c>
      <c r="B48" s="205" t="s">
        <v>43</v>
      </c>
      <c r="C48" s="206" t="s">
        <v>170</v>
      </c>
      <c r="D48" s="205" t="s">
        <v>53</v>
      </c>
      <c r="E48" s="207">
        <v>4248.22</v>
      </c>
      <c r="F48" s="208">
        <f>SUM(E48*2/1000)</f>
        <v>8.4964399999999998</v>
      </c>
      <c r="G48" s="18">
        <v>619.46</v>
      </c>
      <c r="H48" s="209">
        <f t="shared" si="5"/>
        <v>5.2632047223999994</v>
      </c>
      <c r="I48" s="18">
        <f t="shared" si="6"/>
        <v>2631.6023611999999</v>
      </c>
      <c r="J48" s="203"/>
      <c r="L48" s="27"/>
      <c r="M48" s="28"/>
      <c r="N48" s="54"/>
    </row>
    <row r="49" spans="1:22" s="202" customFormat="1" ht="15.75" customHeight="1">
      <c r="A49" s="48">
        <v>20</v>
      </c>
      <c r="B49" s="205" t="s">
        <v>44</v>
      </c>
      <c r="C49" s="206" t="s">
        <v>170</v>
      </c>
      <c r="D49" s="205" t="s">
        <v>53</v>
      </c>
      <c r="E49" s="207">
        <v>2163.66</v>
      </c>
      <c r="F49" s="208">
        <f>SUM(E49*2/1000)</f>
        <v>4.3273199999999994</v>
      </c>
      <c r="G49" s="18">
        <v>648.64</v>
      </c>
      <c r="H49" s="209">
        <f t="shared" si="5"/>
        <v>2.8068728447999995</v>
      </c>
      <c r="I49" s="18">
        <f>F49/2*G49</f>
        <v>1403.4364223999999</v>
      </c>
      <c r="J49" s="203"/>
      <c r="L49" s="27"/>
      <c r="M49" s="28"/>
      <c r="N49" s="54"/>
    </row>
    <row r="50" spans="1:22" s="202" customFormat="1" ht="31.5" customHeight="1">
      <c r="A50" s="48">
        <v>21</v>
      </c>
      <c r="B50" s="205" t="s">
        <v>70</v>
      </c>
      <c r="C50" s="206" t="s">
        <v>170</v>
      </c>
      <c r="D50" s="205" t="s">
        <v>246</v>
      </c>
      <c r="E50" s="207">
        <v>1017.5</v>
      </c>
      <c r="F50" s="208">
        <f>SUM(E50*5/1000)</f>
        <v>5.0875000000000004</v>
      </c>
      <c r="G50" s="18">
        <v>1297.28</v>
      </c>
      <c r="H50" s="209">
        <f t="shared" si="5"/>
        <v>6.5999120000000007</v>
      </c>
      <c r="I50" s="18">
        <f>F50/5*G50</f>
        <v>1319.9824000000001</v>
      </c>
      <c r="J50" s="203"/>
      <c r="L50" s="27"/>
      <c r="M50" s="28"/>
      <c r="N50" s="54"/>
    </row>
    <row r="51" spans="1:22" s="202" customFormat="1" ht="31.5" hidden="1" customHeight="1">
      <c r="A51" s="48"/>
      <c r="B51" s="205" t="s">
        <v>186</v>
      </c>
      <c r="C51" s="206" t="s">
        <v>170</v>
      </c>
      <c r="D51" s="205" t="s">
        <v>53</v>
      </c>
      <c r="E51" s="207">
        <v>1017.5</v>
      </c>
      <c r="F51" s="208">
        <f>SUM(E51*2/1000)</f>
        <v>2.0350000000000001</v>
      </c>
      <c r="G51" s="18">
        <v>1297.28</v>
      </c>
      <c r="H51" s="209">
        <f t="shared" si="5"/>
        <v>2.6399648</v>
      </c>
      <c r="I51" s="18">
        <v>0</v>
      </c>
      <c r="J51" s="203"/>
      <c r="L51" s="27"/>
      <c r="M51" s="28"/>
      <c r="N51" s="54"/>
    </row>
    <row r="52" spans="1:22" s="202" customFormat="1" ht="31.5" hidden="1" customHeight="1">
      <c r="A52" s="48"/>
      <c r="B52" s="205" t="s">
        <v>187</v>
      </c>
      <c r="C52" s="206" t="s">
        <v>47</v>
      </c>
      <c r="D52" s="205" t="s">
        <v>53</v>
      </c>
      <c r="E52" s="207">
        <v>30</v>
      </c>
      <c r="F52" s="208">
        <f>SUM(E52*2/100)</f>
        <v>0.6</v>
      </c>
      <c r="G52" s="18">
        <v>2918.89</v>
      </c>
      <c r="H52" s="209">
        <f t="shared" si="5"/>
        <v>1.7513339999999997</v>
      </c>
      <c r="I52" s="18">
        <v>0</v>
      </c>
      <c r="J52" s="203"/>
      <c r="L52" s="27"/>
      <c r="M52" s="28"/>
      <c r="N52" s="54"/>
    </row>
    <row r="53" spans="1:22" s="202" customFormat="1" ht="15.75" hidden="1" customHeight="1">
      <c r="A53" s="48"/>
      <c r="B53" s="205" t="s">
        <v>48</v>
      </c>
      <c r="C53" s="206" t="s">
        <v>49</v>
      </c>
      <c r="D53" s="205" t="s">
        <v>53</v>
      </c>
      <c r="E53" s="207">
        <v>1</v>
      </c>
      <c r="F53" s="208">
        <v>0.02</v>
      </c>
      <c r="G53" s="18">
        <v>6042.13</v>
      </c>
      <c r="H53" s="209">
        <f t="shared" si="5"/>
        <v>0.12084260000000001</v>
      </c>
      <c r="I53" s="18">
        <v>0</v>
      </c>
      <c r="J53" s="203"/>
      <c r="L53" s="27"/>
      <c r="M53" s="28"/>
      <c r="N53" s="54"/>
    </row>
    <row r="54" spans="1:22" s="202" customFormat="1" ht="15.75" hidden="1" customHeight="1">
      <c r="A54" s="48">
        <v>14</v>
      </c>
      <c r="B54" s="205" t="s">
        <v>188</v>
      </c>
      <c r="C54" s="206" t="s">
        <v>140</v>
      </c>
      <c r="D54" s="205" t="s">
        <v>88</v>
      </c>
      <c r="E54" s="207">
        <v>90</v>
      </c>
      <c r="F54" s="208">
        <f>E54*4</f>
        <v>360</v>
      </c>
      <c r="G54" s="18">
        <v>150.86000000000001</v>
      </c>
      <c r="H54" s="209">
        <f>F54*G54/1000</f>
        <v>54.309600000000003</v>
      </c>
      <c r="I54" s="18">
        <f>G54*E54</f>
        <v>13577.400000000001</v>
      </c>
      <c r="J54" s="203"/>
      <c r="L54" s="27"/>
      <c r="M54" s="28"/>
      <c r="N54" s="54"/>
    </row>
    <row r="55" spans="1:22" s="202" customFormat="1" ht="15.75" hidden="1" customHeight="1">
      <c r="A55" s="48">
        <v>15</v>
      </c>
      <c r="B55" s="205" t="s">
        <v>52</v>
      </c>
      <c r="C55" s="206" t="s">
        <v>140</v>
      </c>
      <c r="D55" s="205" t="s">
        <v>88</v>
      </c>
      <c r="E55" s="207">
        <v>180</v>
      </c>
      <c r="F55" s="208">
        <f>SUM(E55)*3</f>
        <v>540</v>
      </c>
      <c r="G55" s="18">
        <v>70.2</v>
      </c>
      <c r="H55" s="209">
        <f t="shared" si="5"/>
        <v>37.908000000000001</v>
      </c>
      <c r="I55" s="18">
        <f>G55*E55</f>
        <v>12636</v>
      </c>
      <c r="J55" s="203"/>
      <c r="L55" s="27"/>
      <c r="M55" s="28"/>
      <c r="N55" s="54"/>
    </row>
    <row r="56" spans="1:22" s="202" customFormat="1" ht="15.75" customHeight="1">
      <c r="A56" s="261" t="s">
        <v>248</v>
      </c>
      <c r="B56" s="262"/>
      <c r="C56" s="262"/>
      <c r="D56" s="262"/>
      <c r="E56" s="262"/>
      <c r="F56" s="262"/>
      <c r="G56" s="262"/>
      <c r="H56" s="262"/>
      <c r="I56" s="263"/>
      <c r="J56" s="203"/>
      <c r="L56" s="27"/>
      <c r="M56" s="28"/>
      <c r="N56" s="54"/>
    </row>
    <row r="57" spans="1:22" s="202" customFormat="1" ht="15.75" hidden="1" customHeight="1">
      <c r="A57" s="48"/>
      <c r="B57" s="238" t="s">
        <v>54</v>
      </c>
      <c r="C57" s="206"/>
      <c r="D57" s="205"/>
      <c r="E57" s="207"/>
      <c r="F57" s="208"/>
      <c r="G57" s="208"/>
      <c r="H57" s="209"/>
      <c r="I57" s="18"/>
      <c r="J57" s="203"/>
      <c r="L57" s="27"/>
      <c r="M57" s="28"/>
      <c r="N57" s="54"/>
    </row>
    <row r="58" spans="1:22" s="202" customFormat="1" ht="31.5" hidden="1" customHeight="1">
      <c r="A58" s="48">
        <v>16</v>
      </c>
      <c r="B58" s="205" t="s">
        <v>207</v>
      </c>
      <c r="C58" s="206" t="s">
        <v>158</v>
      </c>
      <c r="D58" s="205" t="s">
        <v>189</v>
      </c>
      <c r="E58" s="207">
        <v>103.25</v>
      </c>
      <c r="F58" s="208">
        <f>SUM(E58*6/100)</f>
        <v>6.1950000000000003</v>
      </c>
      <c r="G58" s="18">
        <v>1654.04</v>
      </c>
      <c r="H58" s="209">
        <f>SUM(F58*G58/1000)</f>
        <v>10.2467778</v>
      </c>
      <c r="I58" s="18">
        <f>F58/6*G58</f>
        <v>1707.7963</v>
      </c>
      <c r="J58" s="203"/>
      <c r="L58" s="27"/>
      <c r="M58" s="28"/>
      <c r="N58" s="54"/>
    </row>
    <row r="59" spans="1:22" s="202" customFormat="1" ht="31.5" hidden="1" customHeight="1">
      <c r="A59" s="48">
        <v>17</v>
      </c>
      <c r="B59" s="205" t="s">
        <v>138</v>
      </c>
      <c r="C59" s="206" t="s">
        <v>158</v>
      </c>
      <c r="D59" s="205" t="s">
        <v>139</v>
      </c>
      <c r="E59" s="207">
        <v>39.700000000000003</v>
      </c>
      <c r="F59" s="208">
        <f>SUM(E59*12/100)</f>
        <v>4.7640000000000002</v>
      </c>
      <c r="G59" s="18">
        <v>1654.04</v>
      </c>
      <c r="H59" s="209">
        <f>SUM(F59*G59/1000)</f>
        <v>7.8798465599999998</v>
      </c>
      <c r="I59" s="18">
        <f>F59/6*G59</f>
        <v>1313.3077600000001</v>
      </c>
      <c r="J59" s="203"/>
      <c r="L59" s="27"/>
      <c r="M59" s="28"/>
      <c r="N59" s="54"/>
    </row>
    <row r="60" spans="1:22" s="202" customFormat="1" ht="15.75" hidden="1" customHeight="1">
      <c r="A60" s="48">
        <v>18</v>
      </c>
      <c r="B60" s="214" t="s">
        <v>190</v>
      </c>
      <c r="C60" s="215" t="s">
        <v>191</v>
      </c>
      <c r="D60" s="214" t="s">
        <v>53</v>
      </c>
      <c r="E60" s="216">
        <v>8</v>
      </c>
      <c r="F60" s="217">
        <v>16</v>
      </c>
      <c r="G60" s="18">
        <v>193.25</v>
      </c>
      <c r="H60" s="218">
        <f>F60*G60/1000</f>
        <v>3.0920000000000001</v>
      </c>
      <c r="I60" s="18">
        <f>F60/2*G60</f>
        <v>1546</v>
      </c>
      <c r="J60" s="203"/>
      <c r="L60" s="27"/>
    </row>
    <row r="61" spans="1:22" s="202" customFormat="1" ht="15.75" hidden="1" customHeight="1">
      <c r="A61" s="48">
        <v>19</v>
      </c>
      <c r="B61" s="205" t="s">
        <v>192</v>
      </c>
      <c r="C61" s="206" t="s">
        <v>158</v>
      </c>
      <c r="D61" s="205" t="s">
        <v>189</v>
      </c>
      <c r="E61" s="207">
        <v>41.73</v>
      </c>
      <c r="F61" s="208">
        <f>SUM(E61*6/100)</f>
        <v>2.5038</v>
      </c>
      <c r="G61" s="18">
        <v>1654.04</v>
      </c>
      <c r="H61" s="209">
        <f>SUM(F61*G61/1000)</f>
        <v>4.1413853520000004</v>
      </c>
      <c r="I61" s="18">
        <f>F61/6*G61</f>
        <v>690.23089200000004</v>
      </c>
      <c r="J61" s="203"/>
      <c r="L61" s="27"/>
    </row>
    <row r="62" spans="1:22" s="202" customFormat="1" ht="15.75" customHeight="1">
      <c r="A62" s="48"/>
      <c r="B62" s="239" t="s">
        <v>55</v>
      </c>
      <c r="C62" s="215"/>
      <c r="D62" s="214"/>
      <c r="E62" s="216"/>
      <c r="F62" s="217"/>
      <c r="G62" s="18"/>
      <c r="H62" s="218"/>
      <c r="I62" s="18"/>
    </row>
    <row r="63" spans="1:22" s="202" customFormat="1" ht="15.75" hidden="1" customHeight="1">
      <c r="A63" s="48"/>
      <c r="B63" s="214" t="s">
        <v>219</v>
      </c>
      <c r="C63" s="215" t="s">
        <v>65</v>
      </c>
      <c r="D63" s="214" t="s">
        <v>66</v>
      </c>
      <c r="E63" s="216">
        <v>1017.5</v>
      </c>
      <c r="F63" s="217">
        <v>10.154</v>
      </c>
      <c r="G63" s="18">
        <v>848.37</v>
      </c>
      <c r="H63" s="218">
        <f>F63*G63/1000</f>
        <v>8.6143489800000008</v>
      </c>
      <c r="I63" s="18">
        <v>0</v>
      </c>
    </row>
    <row r="64" spans="1:22" s="202" customFormat="1" ht="15.75" customHeight="1">
      <c r="A64" s="48">
        <v>22</v>
      </c>
      <c r="B64" s="214" t="s">
        <v>142</v>
      </c>
      <c r="C64" s="215" t="s">
        <v>28</v>
      </c>
      <c r="D64" s="214" t="s">
        <v>35</v>
      </c>
      <c r="E64" s="216">
        <v>203.5</v>
      </c>
      <c r="F64" s="219">
        <f>E64*12</f>
        <v>2442</v>
      </c>
      <c r="G64" s="197">
        <v>2.6</v>
      </c>
      <c r="H64" s="217">
        <f>F64*G64/1000</f>
        <v>6.3491999999999997</v>
      </c>
      <c r="I64" s="18">
        <f>F64/12*G64</f>
        <v>529.1</v>
      </c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1"/>
    </row>
    <row r="65" spans="1:21" s="202" customFormat="1" ht="15.75" customHeight="1">
      <c r="A65" s="48"/>
      <c r="B65" s="239" t="s">
        <v>57</v>
      </c>
      <c r="C65" s="215"/>
      <c r="D65" s="214"/>
      <c r="E65" s="216"/>
      <c r="F65" s="219"/>
      <c r="G65" s="219"/>
      <c r="H65" s="217" t="s">
        <v>218</v>
      </c>
      <c r="I65" s="18"/>
      <c r="J65" s="222"/>
      <c r="K65" s="222"/>
      <c r="L65" s="220"/>
      <c r="M65" s="220"/>
      <c r="N65" s="220"/>
      <c r="O65" s="220"/>
      <c r="P65" s="220"/>
      <c r="Q65" s="220"/>
      <c r="R65" s="220"/>
      <c r="S65" s="220"/>
      <c r="T65" s="220"/>
      <c r="U65" s="220"/>
    </row>
    <row r="66" spans="1:21" s="202" customFormat="1" ht="15.75" hidden="1" customHeight="1">
      <c r="A66" s="48"/>
      <c r="B66" s="20" t="s">
        <v>58</v>
      </c>
      <c r="C66" s="22" t="s">
        <v>140</v>
      </c>
      <c r="D66" s="20" t="s">
        <v>84</v>
      </c>
      <c r="E66" s="25">
        <v>10</v>
      </c>
      <c r="F66" s="208">
        <v>10</v>
      </c>
      <c r="G66" s="18">
        <v>237.75</v>
      </c>
      <c r="H66" s="223">
        <f t="shared" ref="H66:H79" si="7">SUM(F66*G66/1000)</f>
        <v>2.3774999999999999</v>
      </c>
      <c r="I66" s="18">
        <v>0</v>
      </c>
      <c r="J66" s="220"/>
      <c r="K66" s="220"/>
      <c r="L66" s="220"/>
      <c r="M66" s="220"/>
      <c r="N66" s="220"/>
      <c r="O66" s="220"/>
      <c r="P66" s="220"/>
      <c r="Q66" s="220"/>
      <c r="S66" s="220"/>
      <c r="T66" s="220"/>
      <c r="U66" s="220"/>
    </row>
    <row r="67" spans="1:21" s="202" customFormat="1" ht="15.75" hidden="1" customHeight="1">
      <c r="A67" s="48"/>
      <c r="B67" s="20" t="s">
        <v>59</v>
      </c>
      <c r="C67" s="22" t="s">
        <v>140</v>
      </c>
      <c r="D67" s="20" t="s">
        <v>84</v>
      </c>
      <c r="E67" s="25">
        <v>5</v>
      </c>
      <c r="F67" s="208">
        <v>5</v>
      </c>
      <c r="G67" s="18">
        <v>81.510000000000005</v>
      </c>
      <c r="H67" s="223">
        <f t="shared" si="7"/>
        <v>0.40755000000000002</v>
      </c>
      <c r="I67" s="18">
        <v>0</v>
      </c>
      <c r="J67" s="224"/>
      <c r="K67" s="224"/>
      <c r="L67" s="224"/>
      <c r="M67" s="224"/>
      <c r="N67" s="224"/>
      <c r="O67" s="224"/>
      <c r="P67" s="224"/>
      <c r="Q67" s="224"/>
      <c r="R67" s="264"/>
      <c r="S67" s="264"/>
      <c r="T67" s="264"/>
      <c r="U67" s="264"/>
    </row>
    <row r="68" spans="1:21" s="202" customFormat="1" ht="15.75" customHeight="1">
      <c r="A68" s="48">
        <v>23</v>
      </c>
      <c r="B68" s="20" t="s">
        <v>60</v>
      </c>
      <c r="C68" s="22" t="s">
        <v>193</v>
      </c>
      <c r="D68" s="20" t="s">
        <v>66</v>
      </c>
      <c r="E68" s="207">
        <v>14347</v>
      </c>
      <c r="F68" s="18">
        <f>SUM(E68/100)</f>
        <v>143.47</v>
      </c>
      <c r="G68" s="18">
        <v>226.79</v>
      </c>
      <c r="H68" s="223">
        <f t="shared" si="7"/>
        <v>32.5375613</v>
      </c>
      <c r="I68" s="18">
        <f>F68*G68</f>
        <v>32537.561299999998</v>
      </c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</row>
    <row r="69" spans="1:21" s="202" customFormat="1" ht="15.75" customHeight="1">
      <c r="A69" s="48">
        <v>24</v>
      </c>
      <c r="B69" s="20" t="s">
        <v>61</v>
      </c>
      <c r="C69" s="22" t="s">
        <v>194</v>
      </c>
      <c r="D69" s="20" t="s">
        <v>66</v>
      </c>
      <c r="E69" s="207">
        <v>14347</v>
      </c>
      <c r="F69" s="18">
        <f>SUM(E69/1000)</f>
        <v>14.347</v>
      </c>
      <c r="G69" s="18">
        <v>176.61</v>
      </c>
      <c r="H69" s="223">
        <f t="shared" si="7"/>
        <v>2.5338236700000003</v>
      </c>
      <c r="I69" s="18">
        <f t="shared" ref="I69:I72" si="8">F69*G69</f>
        <v>2533.8236700000002</v>
      </c>
    </row>
    <row r="70" spans="1:21" s="202" customFormat="1" ht="15.75" customHeight="1">
      <c r="A70" s="48">
        <v>25</v>
      </c>
      <c r="B70" s="20" t="s">
        <v>62</v>
      </c>
      <c r="C70" s="22" t="s">
        <v>94</v>
      </c>
      <c r="D70" s="20" t="s">
        <v>66</v>
      </c>
      <c r="E70" s="207">
        <v>2244</v>
      </c>
      <c r="F70" s="18">
        <f>SUM(E70/100)</f>
        <v>22.44</v>
      </c>
      <c r="G70" s="18">
        <v>2217.7800000000002</v>
      </c>
      <c r="H70" s="223">
        <f t="shared" si="7"/>
        <v>49.766983200000013</v>
      </c>
      <c r="I70" s="18">
        <f t="shared" si="8"/>
        <v>49766.98320000001</v>
      </c>
    </row>
    <row r="71" spans="1:21" s="202" customFormat="1" ht="15.75" customHeight="1">
      <c r="A71" s="48">
        <v>26</v>
      </c>
      <c r="B71" s="225" t="s">
        <v>195</v>
      </c>
      <c r="C71" s="22" t="s">
        <v>38</v>
      </c>
      <c r="D71" s="20" t="s">
        <v>66</v>
      </c>
      <c r="E71" s="207">
        <v>12.48</v>
      </c>
      <c r="F71" s="18">
        <f>SUM(E71)</f>
        <v>12.48</v>
      </c>
      <c r="G71" s="18">
        <v>42.67</v>
      </c>
      <c r="H71" s="223">
        <f t="shared" si="7"/>
        <v>0.53252160000000004</v>
      </c>
      <c r="I71" s="18">
        <f t="shared" si="8"/>
        <v>532.52160000000003</v>
      </c>
    </row>
    <row r="72" spans="1:21" s="202" customFormat="1" ht="15.75" customHeight="1">
      <c r="A72" s="48">
        <v>27</v>
      </c>
      <c r="B72" s="225" t="s">
        <v>196</v>
      </c>
      <c r="C72" s="22" t="s">
        <v>38</v>
      </c>
      <c r="D72" s="20" t="s">
        <v>66</v>
      </c>
      <c r="E72" s="207">
        <v>12.48</v>
      </c>
      <c r="F72" s="18">
        <f>SUM(E72)</f>
        <v>12.48</v>
      </c>
      <c r="G72" s="18">
        <v>39.81</v>
      </c>
      <c r="H72" s="223">
        <f t="shared" si="7"/>
        <v>0.49682880000000007</v>
      </c>
      <c r="I72" s="18">
        <f t="shared" si="8"/>
        <v>496.82880000000006</v>
      </c>
    </row>
    <row r="73" spans="1:21" s="202" customFormat="1" ht="15.75" hidden="1" customHeight="1">
      <c r="A73" s="48"/>
      <c r="B73" s="20" t="s">
        <v>71</v>
      </c>
      <c r="C73" s="22" t="s">
        <v>72</v>
      </c>
      <c r="D73" s="20" t="s">
        <v>66</v>
      </c>
      <c r="E73" s="25">
        <v>5</v>
      </c>
      <c r="F73" s="208">
        <v>5</v>
      </c>
      <c r="G73" s="18">
        <v>53.32</v>
      </c>
      <c r="H73" s="223">
        <f t="shared" si="7"/>
        <v>0.2666</v>
      </c>
      <c r="I73" s="18">
        <v>0</v>
      </c>
    </row>
    <row r="74" spans="1:21" s="202" customFormat="1" ht="15.75" customHeight="1">
      <c r="A74" s="48"/>
      <c r="B74" s="193" t="s">
        <v>89</v>
      </c>
      <c r="C74" s="22"/>
      <c r="D74" s="20"/>
      <c r="E74" s="25"/>
      <c r="F74" s="18"/>
      <c r="G74" s="18"/>
      <c r="H74" s="223" t="s">
        <v>218</v>
      </c>
      <c r="I74" s="18"/>
    </row>
    <row r="75" spans="1:21" s="202" customFormat="1" ht="15.75" hidden="1" customHeight="1">
      <c r="A75" s="48"/>
      <c r="B75" s="20" t="s">
        <v>90</v>
      </c>
      <c r="C75" s="22" t="s">
        <v>92</v>
      </c>
      <c r="D75" s="20"/>
      <c r="E75" s="25">
        <v>2</v>
      </c>
      <c r="F75" s="18">
        <v>0.2</v>
      </c>
      <c r="G75" s="18">
        <v>536.23</v>
      </c>
      <c r="H75" s="223">
        <f t="shared" si="7"/>
        <v>0.10724600000000001</v>
      </c>
      <c r="I75" s="18">
        <v>0</v>
      </c>
    </row>
    <row r="76" spans="1:21" s="202" customFormat="1" ht="15.75" customHeight="1">
      <c r="A76" s="48">
        <v>28</v>
      </c>
      <c r="B76" s="20" t="s">
        <v>91</v>
      </c>
      <c r="C76" s="22" t="s">
        <v>36</v>
      </c>
      <c r="D76" s="20"/>
      <c r="E76" s="25">
        <v>1</v>
      </c>
      <c r="F76" s="197">
        <v>1</v>
      </c>
      <c r="G76" s="18">
        <v>911.85</v>
      </c>
      <c r="H76" s="223">
        <f>F76*G76/1000</f>
        <v>0.91185000000000005</v>
      </c>
      <c r="I76" s="18">
        <f>G76*2</f>
        <v>1823.7</v>
      </c>
    </row>
    <row r="77" spans="1:21" s="202" customFormat="1" ht="15.75" hidden="1" customHeight="1">
      <c r="A77" s="48"/>
      <c r="B77" s="20" t="s">
        <v>199</v>
      </c>
      <c r="C77" s="22" t="s">
        <v>36</v>
      </c>
      <c r="D77" s="20"/>
      <c r="E77" s="25">
        <v>1</v>
      </c>
      <c r="F77" s="18">
        <v>1</v>
      </c>
      <c r="G77" s="18">
        <v>383.25</v>
      </c>
      <c r="H77" s="223">
        <f>G77*F77/1000</f>
        <v>0.38324999999999998</v>
      </c>
      <c r="I77" s="18">
        <v>0</v>
      </c>
    </row>
    <row r="78" spans="1:21" s="202" customFormat="1" ht="15.75" hidden="1" customHeight="1">
      <c r="A78" s="48"/>
      <c r="B78" s="227" t="s">
        <v>93</v>
      </c>
      <c r="C78" s="22"/>
      <c r="D78" s="20"/>
      <c r="E78" s="25"/>
      <c r="F78" s="18"/>
      <c r="G78" s="18" t="s">
        <v>218</v>
      </c>
      <c r="H78" s="223" t="s">
        <v>218</v>
      </c>
      <c r="I78" s="18"/>
    </row>
    <row r="79" spans="1:21" s="202" customFormat="1" ht="15.75" hidden="1" customHeight="1">
      <c r="A79" s="48"/>
      <c r="B79" s="86" t="s">
        <v>200</v>
      </c>
      <c r="C79" s="22" t="s">
        <v>94</v>
      </c>
      <c r="D79" s="20"/>
      <c r="E79" s="25"/>
      <c r="F79" s="18">
        <v>1</v>
      </c>
      <c r="G79" s="18">
        <v>2949.84</v>
      </c>
      <c r="H79" s="223">
        <f t="shared" si="7"/>
        <v>2.94984</v>
      </c>
      <c r="I79" s="18">
        <v>0</v>
      </c>
    </row>
    <row r="80" spans="1:21" s="202" customFormat="1" ht="15.75" hidden="1" customHeight="1">
      <c r="A80" s="48"/>
      <c r="B80" s="193" t="s">
        <v>197</v>
      </c>
      <c r="C80" s="227"/>
      <c r="D80" s="53"/>
      <c r="E80" s="58"/>
      <c r="F80" s="211"/>
      <c r="G80" s="211"/>
      <c r="H80" s="228">
        <f>SUM(H58:H79)</f>
        <v>133.59511326200004</v>
      </c>
      <c r="I80" s="211"/>
    </row>
    <row r="81" spans="1:9" s="202" customFormat="1" ht="15.75" hidden="1" customHeight="1">
      <c r="A81" s="48"/>
      <c r="B81" s="205" t="s">
        <v>198</v>
      </c>
      <c r="C81" s="22"/>
      <c r="D81" s="20"/>
      <c r="E81" s="198"/>
      <c r="F81" s="18">
        <v>1</v>
      </c>
      <c r="G81" s="18">
        <v>27922</v>
      </c>
      <c r="H81" s="223">
        <f>G81*F81/1000</f>
        <v>27.922000000000001</v>
      </c>
      <c r="I81" s="18">
        <v>0</v>
      </c>
    </row>
    <row r="82" spans="1:9" s="202" customFormat="1" ht="15.75" customHeight="1">
      <c r="A82" s="261" t="s">
        <v>249</v>
      </c>
      <c r="B82" s="262"/>
      <c r="C82" s="262"/>
      <c r="D82" s="262"/>
      <c r="E82" s="262"/>
      <c r="F82" s="262"/>
      <c r="G82" s="262"/>
      <c r="H82" s="262"/>
      <c r="I82" s="263"/>
    </row>
    <row r="83" spans="1:9" s="202" customFormat="1" ht="15.75" customHeight="1">
      <c r="A83" s="48">
        <v>29</v>
      </c>
      <c r="B83" s="205" t="s">
        <v>201</v>
      </c>
      <c r="C83" s="22" t="s">
        <v>67</v>
      </c>
      <c r="D83" s="229" t="s">
        <v>68</v>
      </c>
      <c r="E83" s="18">
        <v>3931</v>
      </c>
      <c r="F83" s="18">
        <f>SUM(E83*12)</f>
        <v>47172</v>
      </c>
      <c r="G83" s="18">
        <v>2.2400000000000002</v>
      </c>
      <c r="H83" s="223">
        <f>SUM(F83*G83/1000)</f>
        <v>105.66528000000001</v>
      </c>
      <c r="I83" s="18">
        <f>F83/12*G83</f>
        <v>8805.44</v>
      </c>
    </row>
    <row r="84" spans="1:9" s="202" customFormat="1" ht="31.5" customHeight="1">
      <c r="A84" s="48">
        <v>30</v>
      </c>
      <c r="B84" s="20" t="s">
        <v>95</v>
      </c>
      <c r="C84" s="22"/>
      <c r="D84" s="229" t="s">
        <v>68</v>
      </c>
      <c r="E84" s="207">
        <f>E83</f>
        <v>3931</v>
      </c>
      <c r="F84" s="18">
        <f>E84*12</f>
        <v>47172</v>
      </c>
      <c r="G84" s="18">
        <v>1.74</v>
      </c>
      <c r="H84" s="223">
        <f>F84*G84/1000</f>
        <v>82.079279999999997</v>
      </c>
      <c r="I84" s="18">
        <f>F84/12*G84</f>
        <v>6839.94</v>
      </c>
    </row>
    <row r="85" spans="1:9" s="202" customFormat="1" ht="15.75" customHeight="1">
      <c r="A85" s="48"/>
      <c r="B85" s="73" t="s">
        <v>101</v>
      </c>
      <c r="C85" s="227"/>
      <c r="D85" s="226"/>
      <c r="E85" s="211"/>
      <c r="F85" s="211"/>
      <c r="G85" s="211"/>
      <c r="H85" s="228">
        <f>H84</f>
        <v>82.079279999999997</v>
      </c>
      <c r="I85" s="211">
        <f>I16+I17+I18+I19+I20+I21+I22+I23+I24+I25+I26+I29+I30+I31+I32+I33+I46+I47+I48+I49+I50+I64+I68+I69+I70+I71+I72+I76+I83+I84</f>
        <v>156505.17578490003</v>
      </c>
    </row>
    <row r="86" spans="1:9" s="202" customFormat="1" ht="15.75" customHeight="1">
      <c r="A86" s="48"/>
      <c r="B86" s="180" t="s">
        <v>74</v>
      </c>
      <c r="C86" s="22"/>
      <c r="D86" s="86"/>
      <c r="E86" s="18"/>
      <c r="F86" s="18"/>
      <c r="G86" s="18"/>
      <c r="H86" s="18"/>
      <c r="I86" s="18"/>
    </row>
    <row r="87" spans="1:9" s="202" customFormat="1" ht="15.75" customHeight="1">
      <c r="A87" s="48">
        <v>31</v>
      </c>
      <c r="B87" s="232" t="s">
        <v>106</v>
      </c>
      <c r="C87" s="184" t="s">
        <v>140</v>
      </c>
      <c r="D87" s="20"/>
      <c r="E87" s="25"/>
      <c r="F87" s="18">
        <v>8</v>
      </c>
      <c r="G87" s="18">
        <v>180.15</v>
      </c>
      <c r="H87" s="223">
        <f t="shared" ref="H87:H90" si="9">G87*F87/1000</f>
        <v>1.4412</v>
      </c>
      <c r="I87" s="230">
        <f>G87</f>
        <v>180.15</v>
      </c>
    </row>
    <row r="88" spans="1:9" s="202" customFormat="1" ht="31.5" customHeight="1">
      <c r="A88" s="48">
        <v>32</v>
      </c>
      <c r="B88" s="235" t="s">
        <v>223</v>
      </c>
      <c r="C88" s="48" t="s">
        <v>224</v>
      </c>
      <c r="D88" s="20"/>
      <c r="E88" s="25"/>
      <c r="F88" s="18">
        <v>1</v>
      </c>
      <c r="G88" s="18">
        <v>383.01</v>
      </c>
      <c r="H88" s="223">
        <f t="shared" si="9"/>
        <v>0.38301000000000002</v>
      </c>
      <c r="I88" s="230">
        <f t="shared" ref="I88:I90" si="10">G88</f>
        <v>383.01</v>
      </c>
    </row>
    <row r="89" spans="1:9" s="202" customFormat="1" ht="31.5" customHeight="1">
      <c r="A89" s="48">
        <v>33</v>
      </c>
      <c r="B89" s="232" t="s">
        <v>100</v>
      </c>
      <c r="C89" s="184" t="s">
        <v>140</v>
      </c>
      <c r="D89" s="20"/>
      <c r="E89" s="25"/>
      <c r="F89" s="18">
        <v>8</v>
      </c>
      <c r="G89" s="18">
        <v>79.09</v>
      </c>
      <c r="H89" s="223">
        <f t="shared" si="9"/>
        <v>0.63272000000000006</v>
      </c>
      <c r="I89" s="230">
        <f>G89*2</f>
        <v>158.18</v>
      </c>
    </row>
    <row r="90" spans="1:9" s="202" customFormat="1" ht="31.5" customHeight="1">
      <c r="A90" s="48">
        <v>34</v>
      </c>
      <c r="B90" s="232" t="s">
        <v>225</v>
      </c>
      <c r="C90" s="184" t="s">
        <v>140</v>
      </c>
      <c r="D90" s="20"/>
      <c r="E90" s="25"/>
      <c r="F90" s="18">
        <v>1</v>
      </c>
      <c r="G90" s="18">
        <v>2179.33</v>
      </c>
      <c r="H90" s="223">
        <f t="shared" si="9"/>
        <v>2.1793299999999998</v>
      </c>
      <c r="I90" s="230">
        <f t="shared" si="10"/>
        <v>2179.33</v>
      </c>
    </row>
    <row r="91" spans="1:9" ht="15.75" customHeight="1">
      <c r="A91" s="48"/>
      <c r="B91" s="237" t="s">
        <v>63</v>
      </c>
      <c r="C91" s="76"/>
      <c r="D91" s="130"/>
      <c r="E91" s="76">
        <v>1</v>
      </c>
      <c r="F91" s="76"/>
      <c r="G91" s="76"/>
      <c r="H91" s="76"/>
      <c r="I91" s="58">
        <f>SUM(I87:I90)</f>
        <v>2900.67</v>
      </c>
    </row>
    <row r="92" spans="1:9" ht="15.75" customHeight="1">
      <c r="A92" s="48"/>
      <c r="B92" s="86" t="s">
        <v>96</v>
      </c>
      <c r="C92" s="21"/>
      <c r="D92" s="21"/>
      <c r="E92" s="77"/>
      <c r="F92" s="77"/>
      <c r="G92" s="78"/>
      <c r="H92" s="78"/>
      <c r="I92" s="24">
        <v>0</v>
      </c>
    </row>
    <row r="93" spans="1:9" ht="15.75" customHeight="1">
      <c r="A93" s="131"/>
      <c r="B93" s="81" t="s">
        <v>64</v>
      </c>
      <c r="C93" s="64"/>
      <c r="D93" s="64"/>
      <c r="E93" s="64"/>
      <c r="F93" s="64"/>
      <c r="G93" s="64"/>
      <c r="H93" s="64"/>
      <c r="I93" s="79">
        <f>I85+I91</f>
        <v>159405.84578490004</v>
      </c>
    </row>
    <row r="94" spans="1:9" ht="15.75">
      <c r="A94" s="265" t="s">
        <v>262</v>
      </c>
      <c r="B94" s="265"/>
      <c r="C94" s="265"/>
      <c r="D94" s="265"/>
      <c r="E94" s="265"/>
      <c r="F94" s="265"/>
      <c r="G94" s="265"/>
      <c r="H94" s="265"/>
      <c r="I94" s="265"/>
    </row>
    <row r="95" spans="1:9" ht="15.75">
      <c r="A95" s="188"/>
      <c r="B95" s="272" t="s">
        <v>263</v>
      </c>
      <c r="C95" s="272"/>
      <c r="D95" s="272"/>
      <c r="E95" s="272"/>
      <c r="F95" s="272"/>
      <c r="G95" s="272"/>
      <c r="H95" s="201"/>
      <c r="I95" s="3"/>
    </row>
    <row r="96" spans="1:9">
      <c r="A96" s="191"/>
      <c r="B96" s="268" t="s">
        <v>6</v>
      </c>
      <c r="C96" s="268"/>
      <c r="D96" s="268"/>
      <c r="E96" s="268"/>
      <c r="F96" s="268"/>
      <c r="G96" s="268"/>
      <c r="H96" s="38"/>
      <c r="I96" s="5"/>
    </row>
    <row r="97" spans="1:9" ht="7.5" customHeight="1">
      <c r="A97" s="11"/>
      <c r="B97" s="11"/>
      <c r="C97" s="11"/>
      <c r="D97" s="11"/>
      <c r="E97" s="11"/>
      <c r="F97" s="11"/>
      <c r="G97" s="11"/>
      <c r="H97" s="11"/>
      <c r="I97" s="11"/>
    </row>
    <row r="98" spans="1:9" ht="15.75">
      <c r="A98" s="273" t="s">
        <v>7</v>
      </c>
      <c r="B98" s="273"/>
      <c r="C98" s="273"/>
      <c r="D98" s="273"/>
      <c r="E98" s="273"/>
      <c r="F98" s="273"/>
      <c r="G98" s="273"/>
      <c r="H98" s="273"/>
      <c r="I98" s="273"/>
    </row>
    <row r="99" spans="1:9" ht="15.75">
      <c r="A99" s="273" t="s">
        <v>8</v>
      </c>
      <c r="B99" s="273"/>
      <c r="C99" s="273"/>
      <c r="D99" s="273"/>
      <c r="E99" s="273"/>
      <c r="F99" s="273"/>
      <c r="G99" s="273"/>
      <c r="H99" s="273"/>
      <c r="I99" s="273"/>
    </row>
    <row r="100" spans="1:9" ht="15.75">
      <c r="A100" s="258" t="s">
        <v>76</v>
      </c>
      <c r="B100" s="258"/>
      <c r="C100" s="258"/>
      <c r="D100" s="258"/>
      <c r="E100" s="258"/>
      <c r="F100" s="258"/>
      <c r="G100" s="258"/>
      <c r="H100" s="258"/>
      <c r="I100" s="258"/>
    </row>
    <row r="101" spans="1:9" ht="15.75">
      <c r="A101" s="12"/>
    </row>
    <row r="102" spans="1:9" ht="15.75">
      <c r="A102" s="259" t="s">
        <v>10</v>
      </c>
      <c r="B102" s="259"/>
      <c r="C102" s="259"/>
      <c r="D102" s="259"/>
      <c r="E102" s="259"/>
      <c r="F102" s="259"/>
      <c r="G102" s="259"/>
      <c r="H102" s="259"/>
      <c r="I102" s="259"/>
    </row>
    <row r="103" spans="1:9" ht="15.75">
      <c r="A103" s="4"/>
    </row>
    <row r="104" spans="1:9" ht="15.75">
      <c r="B104" s="187" t="s">
        <v>11</v>
      </c>
      <c r="C104" s="267" t="s">
        <v>203</v>
      </c>
      <c r="D104" s="267"/>
      <c r="E104" s="267"/>
      <c r="F104" s="199"/>
      <c r="I104" s="190"/>
    </row>
    <row r="105" spans="1:9">
      <c r="A105" s="191"/>
      <c r="C105" s="268" t="s">
        <v>12</v>
      </c>
      <c r="D105" s="268"/>
      <c r="E105" s="268"/>
      <c r="F105" s="38"/>
      <c r="I105" s="189" t="s">
        <v>13</v>
      </c>
    </row>
    <row r="106" spans="1:9" ht="15.75">
      <c r="A106" s="39"/>
      <c r="C106" s="13"/>
      <c r="D106" s="13"/>
      <c r="G106" s="13"/>
      <c r="H106" s="13"/>
    </row>
    <row r="107" spans="1:9" ht="15.75">
      <c r="B107" s="187" t="s">
        <v>14</v>
      </c>
      <c r="C107" s="269"/>
      <c r="D107" s="269"/>
      <c r="E107" s="269"/>
      <c r="F107" s="200"/>
      <c r="I107" s="190"/>
    </row>
    <row r="108" spans="1:9">
      <c r="A108" s="191"/>
      <c r="C108" s="270" t="s">
        <v>12</v>
      </c>
      <c r="D108" s="270"/>
      <c r="E108" s="270"/>
      <c r="F108" s="191"/>
      <c r="I108" s="189" t="s">
        <v>13</v>
      </c>
    </row>
    <row r="109" spans="1:9" ht="15.75">
      <c r="A109" s="4" t="s">
        <v>15</v>
      </c>
    </row>
    <row r="110" spans="1:9">
      <c r="A110" s="271" t="s">
        <v>16</v>
      </c>
      <c r="B110" s="271"/>
      <c r="C110" s="271"/>
      <c r="D110" s="271"/>
      <c r="E110" s="271"/>
      <c r="F110" s="271"/>
      <c r="G110" s="271"/>
      <c r="H110" s="271"/>
      <c r="I110" s="271"/>
    </row>
    <row r="111" spans="1:9" ht="47.25" customHeight="1">
      <c r="A111" s="266" t="s">
        <v>17</v>
      </c>
      <c r="B111" s="266"/>
      <c r="C111" s="266"/>
      <c r="D111" s="266"/>
      <c r="E111" s="266"/>
      <c r="F111" s="266"/>
      <c r="G111" s="266"/>
      <c r="H111" s="266"/>
      <c r="I111" s="266"/>
    </row>
    <row r="112" spans="1:9" ht="31.5" customHeight="1">
      <c r="A112" s="266" t="s">
        <v>18</v>
      </c>
      <c r="B112" s="266"/>
      <c r="C112" s="266"/>
      <c r="D112" s="266"/>
      <c r="E112" s="266"/>
      <c r="F112" s="266"/>
      <c r="G112" s="266"/>
      <c r="H112" s="266"/>
      <c r="I112" s="266"/>
    </row>
    <row r="113" spans="1:9" ht="31.5" customHeight="1">
      <c r="A113" s="266" t="s">
        <v>23</v>
      </c>
      <c r="B113" s="266"/>
      <c r="C113" s="266"/>
      <c r="D113" s="266"/>
      <c r="E113" s="266"/>
      <c r="F113" s="266"/>
      <c r="G113" s="266"/>
      <c r="H113" s="266"/>
      <c r="I113" s="266"/>
    </row>
    <row r="114" spans="1:9" ht="15.75">
      <c r="A114" s="266" t="s">
        <v>22</v>
      </c>
      <c r="B114" s="266"/>
      <c r="C114" s="266"/>
      <c r="D114" s="266"/>
      <c r="E114" s="266"/>
      <c r="F114" s="266"/>
      <c r="G114" s="266"/>
      <c r="H114" s="266"/>
      <c r="I114" s="266"/>
    </row>
  </sheetData>
  <autoFilter ref="I12:I62"/>
  <mergeCells count="28">
    <mergeCell ref="A111:I111"/>
    <mergeCell ref="A112:I112"/>
    <mergeCell ref="A113:I113"/>
    <mergeCell ref="A114:I114"/>
    <mergeCell ref="A102:I102"/>
    <mergeCell ref="C104:E104"/>
    <mergeCell ref="C105:E105"/>
    <mergeCell ref="C107:E107"/>
    <mergeCell ref="C108:E108"/>
    <mergeCell ref="A110:I110"/>
    <mergeCell ref="A100:I100"/>
    <mergeCell ref="A15:I15"/>
    <mergeCell ref="A27:I27"/>
    <mergeCell ref="A45:I45"/>
    <mergeCell ref="A56:I56"/>
    <mergeCell ref="A94:I94"/>
    <mergeCell ref="B95:G95"/>
    <mergeCell ref="B96:G96"/>
    <mergeCell ref="A98:I98"/>
    <mergeCell ref="A99:I99"/>
    <mergeCell ref="R67:U67"/>
    <mergeCell ref="A82:I82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11"/>
  <sheetViews>
    <sheetView workbookViewId="0">
      <selection activeCell="A8" sqref="A8:I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3" t="s">
        <v>120</v>
      </c>
      <c r="I1" s="42"/>
      <c r="J1" s="1"/>
      <c r="K1" s="1"/>
      <c r="L1" s="1"/>
      <c r="M1" s="1"/>
    </row>
    <row r="2" spans="1:13" ht="15.75" customHeight="1">
      <c r="A2" s="44" t="s">
        <v>79</v>
      </c>
      <c r="J2" s="2"/>
      <c r="K2" s="2"/>
      <c r="L2" s="2"/>
      <c r="M2" s="2"/>
    </row>
    <row r="3" spans="1:13" ht="15.75" customHeight="1">
      <c r="A3" s="253" t="s">
        <v>264</v>
      </c>
      <c r="B3" s="253"/>
      <c r="C3" s="253"/>
      <c r="D3" s="253"/>
      <c r="E3" s="253"/>
      <c r="F3" s="253"/>
      <c r="G3" s="253"/>
      <c r="H3" s="253"/>
      <c r="I3" s="253"/>
      <c r="J3" s="3"/>
      <c r="K3" s="3"/>
      <c r="L3" s="3"/>
    </row>
    <row r="4" spans="1:13" ht="31.5" customHeight="1">
      <c r="A4" s="254" t="s">
        <v>204</v>
      </c>
      <c r="B4" s="254"/>
      <c r="C4" s="254"/>
      <c r="D4" s="254"/>
      <c r="E4" s="254"/>
      <c r="F4" s="254"/>
      <c r="G4" s="254"/>
      <c r="H4" s="254"/>
      <c r="I4" s="254"/>
    </row>
    <row r="5" spans="1:13" ht="15.75">
      <c r="A5" s="253" t="s">
        <v>69</v>
      </c>
      <c r="B5" s="255"/>
      <c r="C5" s="255"/>
      <c r="D5" s="255"/>
      <c r="E5" s="255"/>
      <c r="F5" s="255"/>
      <c r="G5" s="255"/>
      <c r="H5" s="255"/>
      <c r="I5" s="255"/>
      <c r="J5" s="2"/>
      <c r="K5" s="2"/>
      <c r="L5" s="2"/>
      <c r="M5" s="2"/>
    </row>
    <row r="6" spans="1:13" ht="15.75">
      <c r="A6" s="2"/>
      <c r="B6" s="192"/>
      <c r="C6" s="192"/>
      <c r="D6" s="192"/>
      <c r="E6" s="192"/>
      <c r="F6" s="192"/>
      <c r="G6" s="192"/>
      <c r="H6" s="192"/>
      <c r="I6" s="52">
        <v>42551</v>
      </c>
      <c r="J6" s="2"/>
      <c r="K6" s="2"/>
      <c r="L6" s="2"/>
      <c r="M6" s="2"/>
    </row>
    <row r="7" spans="1:13" ht="15.75">
      <c r="B7" s="187"/>
      <c r="C7" s="187"/>
      <c r="D7" s="187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56" t="s">
        <v>283</v>
      </c>
      <c r="B8" s="256"/>
      <c r="C8" s="256"/>
      <c r="D8" s="256"/>
      <c r="E8" s="256"/>
      <c r="F8" s="256"/>
      <c r="G8" s="256"/>
      <c r="H8" s="256"/>
      <c r="I8" s="25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57" t="s">
        <v>205</v>
      </c>
      <c r="B10" s="257"/>
      <c r="C10" s="257"/>
      <c r="D10" s="257"/>
      <c r="E10" s="257"/>
      <c r="F10" s="257"/>
      <c r="G10" s="257"/>
      <c r="H10" s="257"/>
      <c r="I10" s="257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19</v>
      </c>
      <c r="E12" s="6" t="s">
        <v>20</v>
      </c>
      <c r="F12" s="6"/>
      <c r="G12" s="6" t="s">
        <v>24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52" t="s">
        <v>73</v>
      </c>
      <c r="B14" s="252"/>
      <c r="C14" s="252"/>
      <c r="D14" s="252"/>
      <c r="E14" s="252"/>
      <c r="F14" s="252"/>
      <c r="G14" s="252"/>
      <c r="H14" s="252"/>
      <c r="I14" s="252"/>
      <c r="J14" s="8"/>
      <c r="K14" s="8"/>
      <c r="L14" s="8"/>
      <c r="M14" s="8"/>
    </row>
    <row r="15" spans="1:13">
      <c r="A15" s="260" t="s">
        <v>4</v>
      </c>
      <c r="B15" s="260"/>
      <c r="C15" s="260"/>
      <c r="D15" s="260"/>
      <c r="E15" s="260"/>
      <c r="F15" s="260"/>
      <c r="G15" s="260"/>
      <c r="H15" s="260"/>
      <c r="I15" s="260"/>
      <c r="J15" s="8"/>
      <c r="K15" s="8"/>
      <c r="L15" s="8"/>
      <c r="M15" s="8"/>
    </row>
    <row r="16" spans="1:13" s="202" customFormat="1" ht="31.5" customHeight="1">
      <c r="A16" s="48">
        <v>1</v>
      </c>
      <c r="B16" s="205" t="s">
        <v>122</v>
      </c>
      <c r="C16" s="206" t="s">
        <v>158</v>
      </c>
      <c r="D16" s="205" t="s">
        <v>159</v>
      </c>
      <c r="E16" s="207">
        <v>95.04</v>
      </c>
      <c r="F16" s="208">
        <f>SUM(E16*156/100)</f>
        <v>148.26240000000001</v>
      </c>
      <c r="G16" s="208">
        <v>187.48</v>
      </c>
      <c r="H16" s="209">
        <f t="shared" ref="H16:H24" si="0">SUM(F16*G16/1000)</f>
        <v>27.796234752</v>
      </c>
      <c r="I16" s="18">
        <f>F16/12*G16</f>
        <v>2316.3528960000003</v>
      </c>
    </row>
    <row r="17" spans="1:10" s="202" customFormat="1" ht="31.5" customHeight="1">
      <c r="A17" s="48">
        <v>2</v>
      </c>
      <c r="B17" s="205" t="s">
        <v>154</v>
      </c>
      <c r="C17" s="206" t="s">
        <v>158</v>
      </c>
      <c r="D17" s="205" t="s">
        <v>160</v>
      </c>
      <c r="E17" s="207">
        <v>380.16</v>
      </c>
      <c r="F17" s="208">
        <f>SUM(E17*104/100)</f>
        <v>395.3664</v>
      </c>
      <c r="G17" s="208">
        <v>187.48</v>
      </c>
      <c r="H17" s="209">
        <f t="shared" si="0"/>
        <v>74.123292671999991</v>
      </c>
      <c r="I17" s="18">
        <f>F17/12*G17</f>
        <v>6176.9410559999997</v>
      </c>
      <c r="J17" s="203"/>
    </row>
    <row r="18" spans="1:10" s="202" customFormat="1" ht="31.5" customHeight="1">
      <c r="A18" s="48">
        <v>3</v>
      </c>
      <c r="B18" s="205" t="s">
        <v>155</v>
      </c>
      <c r="C18" s="206" t="s">
        <v>158</v>
      </c>
      <c r="D18" s="205" t="s">
        <v>206</v>
      </c>
      <c r="E18" s="207">
        <f>SUM(E16+E17)</f>
        <v>475.20000000000005</v>
      </c>
      <c r="F18" s="208">
        <f>SUM(E18*24/100)</f>
        <v>114.04800000000002</v>
      </c>
      <c r="G18" s="208">
        <v>539.30999999999995</v>
      </c>
      <c r="H18" s="209">
        <f t="shared" si="0"/>
        <v>61.507226880000005</v>
      </c>
      <c r="I18" s="18">
        <f>F18/12*G18</f>
        <v>5125.6022400000002</v>
      </c>
      <c r="J18" s="203"/>
    </row>
    <row r="19" spans="1:10" s="202" customFormat="1" ht="15.75" hidden="1" customHeight="1">
      <c r="A19" s="48"/>
      <c r="B19" s="205" t="s">
        <v>161</v>
      </c>
      <c r="C19" s="206" t="s">
        <v>162</v>
      </c>
      <c r="D19" s="205" t="s">
        <v>163</v>
      </c>
      <c r="E19" s="207">
        <v>93.4</v>
      </c>
      <c r="F19" s="208">
        <f>SUM(E19/10)</f>
        <v>9.34</v>
      </c>
      <c r="G19" s="208">
        <v>181.9</v>
      </c>
      <c r="H19" s="209">
        <f t="shared" si="0"/>
        <v>1.6989460000000001</v>
      </c>
      <c r="I19" s="18">
        <v>0</v>
      </c>
      <c r="J19" s="203"/>
    </row>
    <row r="20" spans="1:10" s="202" customFormat="1" ht="15.75" hidden="1" customHeight="1">
      <c r="A20" s="48"/>
      <c r="B20" s="205" t="s">
        <v>164</v>
      </c>
      <c r="C20" s="206" t="s">
        <v>158</v>
      </c>
      <c r="D20" s="205" t="s">
        <v>53</v>
      </c>
      <c r="E20" s="207">
        <v>43.2</v>
      </c>
      <c r="F20" s="208">
        <f>SUM(E20*2/100)</f>
        <v>0.8640000000000001</v>
      </c>
      <c r="G20" s="208">
        <v>232.91</v>
      </c>
      <c r="H20" s="209">
        <f t="shared" si="0"/>
        <v>0.20123424000000004</v>
      </c>
      <c r="I20" s="18">
        <v>0</v>
      </c>
      <c r="J20" s="203"/>
    </row>
    <row r="21" spans="1:10" s="202" customFormat="1" ht="15.75" hidden="1" customHeight="1">
      <c r="A21" s="48"/>
      <c r="B21" s="205" t="s">
        <v>165</v>
      </c>
      <c r="C21" s="206" t="s">
        <v>158</v>
      </c>
      <c r="D21" s="205" t="s">
        <v>53</v>
      </c>
      <c r="E21" s="207">
        <v>10.08</v>
      </c>
      <c r="F21" s="208">
        <f>SUM(E21*2/100)</f>
        <v>0.2016</v>
      </c>
      <c r="G21" s="208">
        <v>231.03</v>
      </c>
      <c r="H21" s="209">
        <f t="shared" si="0"/>
        <v>4.6575648000000004E-2</v>
      </c>
      <c r="I21" s="18">
        <v>0</v>
      </c>
      <c r="J21" s="203"/>
    </row>
    <row r="22" spans="1:10" s="202" customFormat="1" ht="15.75" hidden="1" customHeight="1">
      <c r="A22" s="48"/>
      <c r="B22" s="205" t="s">
        <v>166</v>
      </c>
      <c r="C22" s="206" t="s">
        <v>65</v>
      </c>
      <c r="D22" s="205" t="s">
        <v>163</v>
      </c>
      <c r="E22" s="207">
        <v>642.6</v>
      </c>
      <c r="F22" s="208">
        <f>SUM(E22/100)</f>
        <v>6.4260000000000002</v>
      </c>
      <c r="G22" s="208">
        <v>287.83999999999997</v>
      </c>
      <c r="H22" s="209">
        <f t="shared" si="0"/>
        <v>1.8496598399999997</v>
      </c>
      <c r="I22" s="18">
        <v>0</v>
      </c>
      <c r="J22" s="203"/>
    </row>
    <row r="23" spans="1:10" s="202" customFormat="1" ht="15.75" hidden="1" customHeight="1">
      <c r="A23" s="48"/>
      <c r="B23" s="205" t="s">
        <v>167</v>
      </c>
      <c r="C23" s="206" t="s">
        <v>65</v>
      </c>
      <c r="D23" s="205" t="s">
        <v>163</v>
      </c>
      <c r="E23" s="210">
        <v>35.28</v>
      </c>
      <c r="F23" s="208">
        <f>SUM(E23/100)</f>
        <v>0.3528</v>
      </c>
      <c r="G23" s="208">
        <v>47.35</v>
      </c>
      <c r="H23" s="209">
        <f t="shared" si="0"/>
        <v>1.6705080000000004E-2</v>
      </c>
      <c r="I23" s="18">
        <v>0</v>
      </c>
      <c r="J23" s="203"/>
    </row>
    <row r="24" spans="1:10" s="202" customFormat="1" ht="15.75" hidden="1" customHeight="1">
      <c r="A24" s="48"/>
      <c r="B24" s="205" t="s">
        <v>168</v>
      </c>
      <c r="C24" s="206" t="s">
        <v>65</v>
      </c>
      <c r="D24" s="205" t="s">
        <v>163</v>
      </c>
      <c r="E24" s="207">
        <v>28.8</v>
      </c>
      <c r="F24" s="208">
        <f>SUM(E24/100)</f>
        <v>0.28800000000000003</v>
      </c>
      <c r="G24" s="208">
        <v>556.74</v>
      </c>
      <c r="H24" s="209">
        <f t="shared" si="0"/>
        <v>0.16034112000000003</v>
      </c>
      <c r="I24" s="18">
        <v>0</v>
      </c>
      <c r="J24" s="203"/>
    </row>
    <row r="25" spans="1:10" s="202" customFormat="1" ht="15.75" customHeight="1">
      <c r="A25" s="48">
        <v>4</v>
      </c>
      <c r="B25" s="205" t="s">
        <v>81</v>
      </c>
      <c r="C25" s="206" t="s">
        <v>38</v>
      </c>
      <c r="D25" s="205" t="s">
        <v>217</v>
      </c>
      <c r="E25" s="207">
        <v>0.1</v>
      </c>
      <c r="F25" s="208">
        <f>SUM(E25*365)</f>
        <v>36.5</v>
      </c>
      <c r="G25" s="208">
        <v>157.18</v>
      </c>
      <c r="H25" s="209">
        <f>SUM(F25*G25/1000)</f>
        <v>5.737070000000001</v>
      </c>
      <c r="I25" s="18">
        <f>F25/12*G25</f>
        <v>478.08916666666664</v>
      </c>
      <c r="J25" s="203"/>
    </row>
    <row r="26" spans="1:10" s="202" customFormat="1" ht="15.75" customHeight="1">
      <c r="A26" s="48">
        <v>5</v>
      </c>
      <c r="B26" s="213" t="s">
        <v>25</v>
      </c>
      <c r="C26" s="206" t="s">
        <v>26</v>
      </c>
      <c r="D26" s="213" t="s">
        <v>218</v>
      </c>
      <c r="E26" s="207">
        <v>3931</v>
      </c>
      <c r="F26" s="208">
        <f>SUM(E26*12)</f>
        <v>47172</v>
      </c>
      <c r="G26" s="208">
        <v>5.33</v>
      </c>
      <c r="H26" s="209">
        <f>SUM(F26*G26/1000)</f>
        <v>251.42676</v>
      </c>
      <c r="I26" s="18">
        <f>F26/12*G26</f>
        <v>20952.23</v>
      </c>
      <c r="J26" s="203"/>
    </row>
    <row r="27" spans="1:10" s="202" customFormat="1" ht="15.75" customHeight="1">
      <c r="A27" s="261" t="s">
        <v>117</v>
      </c>
      <c r="B27" s="262"/>
      <c r="C27" s="262"/>
      <c r="D27" s="262"/>
      <c r="E27" s="262"/>
      <c r="F27" s="262"/>
      <c r="G27" s="262"/>
      <c r="H27" s="262"/>
      <c r="I27" s="263"/>
      <c r="J27" s="203"/>
    </row>
    <row r="28" spans="1:10" s="202" customFormat="1" ht="15.75" customHeight="1">
      <c r="A28" s="48"/>
      <c r="B28" s="238" t="s">
        <v>33</v>
      </c>
      <c r="C28" s="206"/>
      <c r="D28" s="205"/>
      <c r="E28" s="207"/>
      <c r="F28" s="208"/>
      <c r="G28" s="208"/>
      <c r="H28" s="209"/>
      <c r="I28" s="18"/>
      <c r="J28" s="203"/>
    </row>
    <row r="29" spans="1:10" s="202" customFormat="1" ht="31.5" customHeight="1">
      <c r="A29" s="48">
        <v>6</v>
      </c>
      <c r="B29" s="205" t="s">
        <v>169</v>
      </c>
      <c r="C29" s="206" t="s">
        <v>170</v>
      </c>
      <c r="D29" s="205" t="s">
        <v>215</v>
      </c>
      <c r="E29" s="208">
        <v>1116.27</v>
      </c>
      <c r="F29" s="208">
        <f>SUM(E29*52/1000)</f>
        <v>58.046039999999998</v>
      </c>
      <c r="G29" s="208">
        <v>166.65</v>
      </c>
      <c r="H29" s="209">
        <f t="shared" ref="H29:H35" si="1">SUM(F29*G29/1000)</f>
        <v>9.6733725659999994</v>
      </c>
      <c r="I29" s="18">
        <f>F29/6*G29</f>
        <v>1612.2287609999998</v>
      </c>
      <c r="J29" s="203"/>
    </row>
    <row r="30" spans="1:10" s="202" customFormat="1" ht="31.5" customHeight="1">
      <c r="A30" s="48">
        <v>7</v>
      </c>
      <c r="B30" s="205" t="s">
        <v>244</v>
      </c>
      <c r="C30" s="206" t="s">
        <v>170</v>
      </c>
      <c r="D30" s="205" t="s">
        <v>216</v>
      </c>
      <c r="E30" s="208">
        <v>89.03</v>
      </c>
      <c r="F30" s="208">
        <f>SUM(E30*78/1000)</f>
        <v>6.9443400000000004</v>
      </c>
      <c r="G30" s="208">
        <v>276.48</v>
      </c>
      <c r="H30" s="209">
        <f t="shared" si="1"/>
        <v>1.9199711232000003</v>
      </c>
      <c r="I30" s="18">
        <f t="shared" ref="I30:I33" si="2">F30/6*G30</f>
        <v>319.99518720000003</v>
      </c>
      <c r="J30" s="203"/>
    </row>
    <row r="31" spans="1:10" s="202" customFormat="1" ht="15.75" hidden="1" customHeight="1">
      <c r="A31" s="48"/>
      <c r="B31" s="205" t="s">
        <v>32</v>
      </c>
      <c r="C31" s="206" t="s">
        <v>170</v>
      </c>
      <c r="D31" s="205" t="s">
        <v>66</v>
      </c>
      <c r="E31" s="208">
        <v>1116.27</v>
      </c>
      <c r="F31" s="208">
        <f>SUM(E31/1000)</f>
        <v>1.1162699999999999</v>
      </c>
      <c r="G31" s="208">
        <v>3228.73</v>
      </c>
      <c r="H31" s="209">
        <f t="shared" si="1"/>
        <v>3.6041344370999995</v>
      </c>
      <c r="I31" s="18">
        <f t="shared" si="2"/>
        <v>600.68907285</v>
      </c>
      <c r="J31" s="203"/>
    </row>
    <row r="32" spans="1:10" s="202" customFormat="1" ht="15.75" customHeight="1">
      <c r="A32" s="48">
        <v>8</v>
      </c>
      <c r="B32" s="205" t="s">
        <v>174</v>
      </c>
      <c r="C32" s="206" t="s">
        <v>49</v>
      </c>
      <c r="D32" s="205" t="s">
        <v>80</v>
      </c>
      <c r="E32" s="208">
        <v>6</v>
      </c>
      <c r="F32" s="208">
        <v>9.3000000000000007</v>
      </c>
      <c r="G32" s="208">
        <v>1391.86</v>
      </c>
      <c r="H32" s="209">
        <f>G32*F32/1000</f>
        <v>12.944298</v>
      </c>
      <c r="I32" s="18">
        <f t="shared" si="2"/>
        <v>2157.3829999999998</v>
      </c>
      <c r="J32" s="203"/>
    </row>
    <row r="33" spans="1:14" s="202" customFormat="1" ht="15.75" customHeight="1">
      <c r="A33" s="48">
        <v>9</v>
      </c>
      <c r="B33" s="205" t="s">
        <v>175</v>
      </c>
      <c r="C33" s="206" t="s">
        <v>36</v>
      </c>
      <c r="D33" s="205" t="s">
        <v>80</v>
      </c>
      <c r="E33" s="212">
        <v>0.33333333333333331</v>
      </c>
      <c r="F33" s="208">
        <f>155/3</f>
        <v>51.666666666666664</v>
      </c>
      <c r="G33" s="208">
        <v>60.6</v>
      </c>
      <c r="H33" s="209">
        <f>SUM(G33*155/3/1000)</f>
        <v>3.1309999999999998</v>
      </c>
      <c r="I33" s="18">
        <f t="shared" si="2"/>
        <v>521.83333333333337</v>
      </c>
      <c r="J33" s="203"/>
    </row>
    <row r="34" spans="1:14" s="202" customFormat="1" ht="15.75" hidden="1" customHeight="1">
      <c r="A34" s="48"/>
      <c r="B34" s="205" t="s">
        <v>82</v>
      </c>
      <c r="C34" s="206" t="s">
        <v>38</v>
      </c>
      <c r="D34" s="205" t="s">
        <v>84</v>
      </c>
      <c r="E34" s="207"/>
      <c r="F34" s="208">
        <v>3</v>
      </c>
      <c r="G34" s="208">
        <v>204.52</v>
      </c>
      <c r="H34" s="209">
        <f t="shared" si="1"/>
        <v>0.61356000000000011</v>
      </c>
      <c r="I34" s="18">
        <v>0</v>
      </c>
      <c r="J34" s="203"/>
    </row>
    <row r="35" spans="1:14" s="202" customFormat="1" ht="15.75" hidden="1" customHeight="1">
      <c r="A35" s="48"/>
      <c r="B35" s="205" t="s">
        <v>83</v>
      </c>
      <c r="C35" s="206" t="s">
        <v>37</v>
      </c>
      <c r="D35" s="205" t="s">
        <v>84</v>
      </c>
      <c r="E35" s="207"/>
      <c r="F35" s="208">
        <v>2</v>
      </c>
      <c r="G35" s="208">
        <v>1136.33</v>
      </c>
      <c r="H35" s="209">
        <f t="shared" si="1"/>
        <v>2.2726599999999997</v>
      </c>
      <c r="I35" s="18">
        <v>0</v>
      </c>
      <c r="J35" s="203"/>
    </row>
    <row r="36" spans="1:14" s="202" customFormat="1" ht="15.75" hidden="1" customHeight="1">
      <c r="A36" s="48"/>
      <c r="B36" s="238" t="s">
        <v>5</v>
      </c>
      <c r="C36" s="206"/>
      <c r="D36" s="205"/>
      <c r="E36" s="207"/>
      <c r="F36" s="208"/>
      <c r="G36" s="208"/>
      <c r="H36" s="209" t="s">
        <v>218</v>
      </c>
      <c r="I36" s="18"/>
      <c r="J36" s="203"/>
    </row>
    <row r="37" spans="1:14" s="202" customFormat="1" ht="15.75" hidden="1" customHeight="1">
      <c r="A37" s="48">
        <v>6</v>
      </c>
      <c r="B37" s="205" t="s">
        <v>30</v>
      </c>
      <c r="C37" s="206" t="s">
        <v>37</v>
      </c>
      <c r="D37" s="205"/>
      <c r="E37" s="207"/>
      <c r="F37" s="208">
        <v>8</v>
      </c>
      <c r="G37" s="208">
        <v>1632.6</v>
      </c>
      <c r="H37" s="209">
        <f t="shared" ref="H37:H44" si="3">SUM(F37*G37/1000)</f>
        <v>13.060799999999999</v>
      </c>
      <c r="I37" s="18">
        <f>F37/6*G37</f>
        <v>2176.7999999999997</v>
      </c>
      <c r="J37" s="203"/>
    </row>
    <row r="38" spans="1:14" s="202" customFormat="1" ht="15.75" hidden="1" customHeight="1">
      <c r="A38" s="48">
        <v>7</v>
      </c>
      <c r="B38" s="205" t="s">
        <v>133</v>
      </c>
      <c r="C38" s="206" t="s">
        <v>34</v>
      </c>
      <c r="D38" s="205" t="s">
        <v>176</v>
      </c>
      <c r="E38" s="207">
        <v>461.12</v>
      </c>
      <c r="F38" s="208">
        <f>E38*12/1000</f>
        <v>5.5334400000000006</v>
      </c>
      <c r="G38" s="208">
        <v>2247.8000000000002</v>
      </c>
      <c r="H38" s="209">
        <f>G38*F38/1000</f>
        <v>12.438066432000001</v>
      </c>
      <c r="I38" s="18">
        <f>F38/6*G38</f>
        <v>2073.0110720000002</v>
      </c>
      <c r="J38" s="203"/>
    </row>
    <row r="39" spans="1:14" s="202" customFormat="1" ht="15.75" hidden="1" customHeight="1">
      <c r="A39" s="48">
        <v>8</v>
      </c>
      <c r="B39" s="205" t="s">
        <v>177</v>
      </c>
      <c r="C39" s="206" t="s">
        <v>34</v>
      </c>
      <c r="D39" s="205" t="s">
        <v>178</v>
      </c>
      <c r="E39" s="207">
        <v>89.03</v>
      </c>
      <c r="F39" s="208">
        <f>E39*30/1000</f>
        <v>2.6709000000000001</v>
      </c>
      <c r="G39" s="208">
        <v>2247.8000000000002</v>
      </c>
      <c r="H39" s="209">
        <f>G39*F39/1000</f>
        <v>6.003649020000001</v>
      </c>
      <c r="I39" s="18">
        <f>F39/6*G39</f>
        <v>1000.6081700000001</v>
      </c>
      <c r="J39" s="203"/>
    </row>
    <row r="40" spans="1:14" s="202" customFormat="1" ht="15.75" hidden="1" customHeight="1">
      <c r="A40" s="48"/>
      <c r="B40" s="205" t="s">
        <v>179</v>
      </c>
      <c r="C40" s="206" t="s">
        <v>180</v>
      </c>
      <c r="D40" s="205" t="s">
        <v>84</v>
      </c>
      <c r="E40" s="207"/>
      <c r="F40" s="208">
        <v>135</v>
      </c>
      <c r="G40" s="208">
        <v>213.2</v>
      </c>
      <c r="H40" s="209">
        <f>G40*F40/1000</f>
        <v>28.782</v>
      </c>
      <c r="I40" s="18">
        <v>0</v>
      </c>
      <c r="J40" s="203"/>
      <c r="L40" s="27"/>
      <c r="M40" s="28"/>
      <c r="N40" s="54"/>
    </row>
    <row r="41" spans="1:14" s="202" customFormat="1" ht="15.75" hidden="1" customHeight="1">
      <c r="A41" s="48">
        <v>9</v>
      </c>
      <c r="B41" s="205" t="s">
        <v>85</v>
      </c>
      <c r="C41" s="206" t="s">
        <v>34</v>
      </c>
      <c r="D41" s="205" t="s">
        <v>181</v>
      </c>
      <c r="E41" s="208">
        <v>89.03</v>
      </c>
      <c r="F41" s="208">
        <f>SUM(E41*155/1000)</f>
        <v>13.79965</v>
      </c>
      <c r="G41" s="208">
        <v>374.95</v>
      </c>
      <c r="H41" s="209">
        <f t="shared" si="3"/>
        <v>5.1741787674999999</v>
      </c>
      <c r="I41" s="18">
        <f>F41/6*G41</f>
        <v>862.36312791666671</v>
      </c>
      <c r="J41" s="203"/>
      <c r="L41" s="27"/>
      <c r="M41" s="28"/>
      <c r="N41" s="54"/>
    </row>
    <row r="42" spans="1:14" s="202" customFormat="1" ht="15.75" hidden="1" customHeight="1">
      <c r="A42" s="48">
        <v>10</v>
      </c>
      <c r="B42" s="205" t="s">
        <v>111</v>
      </c>
      <c r="C42" s="206" t="s">
        <v>170</v>
      </c>
      <c r="D42" s="205" t="s">
        <v>182</v>
      </c>
      <c r="E42" s="208">
        <v>89.03</v>
      </c>
      <c r="F42" s="208">
        <f>SUM(E42*24/1000)</f>
        <v>2.1367200000000004</v>
      </c>
      <c r="G42" s="208">
        <v>6203.71</v>
      </c>
      <c r="H42" s="209">
        <f t="shared" si="3"/>
        <v>13.255591231200002</v>
      </c>
      <c r="I42" s="18">
        <f>F42/6*G42</f>
        <v>2209.2652052000003</v>
      </c>
      <c r="J42" s="203"/>
      <c r="L42" s="27"/>
      <c r="M42" s="28"/>
      <c r="N42" s="54"/>
    </row>
    <row r="43" spans="1:14" s="202" customFormat="1" ht="15.75" hidden="1" customHeight="1">
      <c r="A43" s="48">
        <v>11</v>
      </c>
      <c r="B43" s="205" t="s">
        <v>183</v>
      </c>
      <c r="C43" s="206" t="s">
        <v>170</v>
      </c>
      <c r="D43" s="205" t="s">
        <v>86</v>
      </c>
      <c r="E43" s="208">
        <v>89.03</v>
      </c>
      <c r="F43" s="208">
        <f>SUM(E43*45/1000)</f>
        <v>4.0063500000000003</v>
      </c>
      <c r="G43" s="208">
        <v>458.28</v>
      </c>
      <c r="H43" s="209">
        <f t="shared" si="3"/>
        <v>1.8360300780000001</v>
      </c>
      <c r="I43" s="18">
        <f>F43/6*G43</f>
        <v>306.00501299999996</v>
      </c>
      <c r="J43" s="203"/>
      <c r="L43" s="27"/>
      <c r="M43" s="28"/>
      <c r="N43" s="54"/>
    </row>
    <row r="44" spans="1:14" s="202" customFormat="1" ht="15.75" hidden="1" customHeight="1">
      <c r="A44" s="48">
        <v>12</v>
      </c>
      <c r="B44" s="205" t="s">
        <v>87</v>
      </c>
      <c r="C44" s="206" t="s">
        <v>38</v>
      </c>
      <c r="D44" s="205"/>
      <c r="E44" s="207"/>
      <c r="F44" s="208">
        <v>0.9</v>
      </c>
      <c r="G44" s="208">
        <v>798</v>
      </c>
      <c r="H44" s="209">
        <f t="shared" si="3"/>
        <v>0.71820000000000006</v>
      </c>
      <c r="I44" s="18">
        <f>F44/6*G44</f>
        <v>119.69999999999999</v>
      </c>
      <c r="J44" s="203"/>
      <c r="L44" s="27"/>
      <c r="M44" s="28"/>
      <c r="N44" s="54"/>
    </row>
    <row r="45" spans="1:14" s="202" customFormat="1" ht="15.75" hidden="1" customHeight="1">
      <c r="A45" s="261" t="s">
        <v>247</v>
      </c>
      <c r="B45" s="262"/>
      <c r="C45" s="262"/>
      <c r="D45" s="262"/>
      <c r="E45" s="262"/>
      <c r="F45" s="262"/>
      <c r="G45" s="262"/>
      <c r="H45" s="262"/>
      <c r="I45" s="263"/>
      <c r="J45" s="203"/>
      <c r="L45" s="27"/>
      <c r="M45" s="28"/>
      <c r="N45" s="54"/>
    </row>
    <row r="46" spans="1:14" s="202" customFormat="1" ht="15.75" hidden="1" customHeight="1">
      <c r="A46" s="48"/>
      <c r="B46" s="205" t="s">
        <v>184</v>
      </c>
      <c r="C46" s="206" t="s">
        <v>170</v>
      </c>
      <c r="D46" s="205" t="s">
        <v>53</v>
      </c>
      <c r="E46" s="207">
        <v>1032.5</v>
      </c>
      <c r="F46" s="208">
        <f>SUM(E46*2/1000)</f>
        <v>2.0649999999999999</v>
      </c>
      <c r="G46" s="18">
        <v>908.1</v>
      </c>
      <c r="H46" s="209">
        <f t="shared" ref="H46:H55" si="4">SUM(F46*G46/1000)</f>
        <v>1.8752264999999999</v>
      </c>
      <c r="I46" s="18">
        <v>0</v>
      </c>
      <c r="J46" s="203"/>
      <c r="L46" s="27"/>
      <c r="M46" s="28"/>
      <c r="N46" s="54"/>
    </row>
    <row r="47" spans="1:14" s="202" customFormat="1" ht="15.75" hidden="1" customHeight="1">
      <c r="A47" s="48"/>
      <c r="B47" s="205" t="s">
        <v>42</v>
      </c>
      <c r="C47" s="206" t="s">
        <v>170</v>
      </c>
      <c r="D47" s="205" t="s">
        <v>53</v>
      </c>
      <c r="E47" s="207">
        <v>132</v>
      </c>
      <c r="F47" s="208">
        <f>E47*2/1000</f>
        <v>0.26400000000000001</v>
      </c>
      <c r="G47" s="18">
        <v>619.46</v>
      </c>
      <c r="H47" s="209">
        <f t="shared" si="4"/>
        <v>0.16353744000000001</v>
      </c>
      <c r="I47" s="18">
        <v>0</v>
      </c>
      <c r="J47" s="203"/>
      <c r="L47" s="27"/>
      <c r="M47" s="28"/>
      <c r="N47" s="54"/>
    </row>
    <row r="48" spans="1:14" s="202" customFormat="1" ht="15.75" hidden="1" customHeight="1">
      <c r="A48" s="48"/>
      <c r="B48" s="205" t="s">
        <v>43</v>
      </c>
      <c r="C48" s="206" t="s">
        <v>170</v>
      </c>
      <c r="D48" s="205" t="s">
        <v>53</v>
      </c>
      <c r="E48" s="207">
        <v>4248.22</v>
      </c>
      <c r="F48" s="208">
        <f>SUM(E48*2/1000)</f>
        <v>8.4964399999999998</v>
      </c>
      <c r="G48" s="18">
        <v>619.46</v>
      </c>
      <c r="H48" s="209">
        <f t="shared" si="4"/>
        <v>5.2632047223999994</v>
      </c>
      <c r="I48" s="18">
        <v>0</v>
      </c>
      <c r="J48" s="203"/>
      <c r="L48" s="27"/>
      <c r="M48" s="28"/>
      <c r="N48" s="54"/>
    </row>
    <row r="49" spans="1:22" s="202" customFormat="1" ht="15.75" hidden="1" customHeight="1">
      <c r="A49" s="48"/>
      <c r="B49" s="205" t="s">
        <v>44</v>
      </c>
      <c r="C49" s="206" t="s">
        <v>170</v>
      </c>
      <c r="D49" s="205" t="s">
        <v>53</v>
      </c>
      <c r="E49" s="207">
        <v>2163.66</v>
      </c>
      <c r="F49" s="208">
        <f>SUM(E49*2/1000)</f>
        <v>4.3273199999999994</v>
      </c>
      <c r="G49" s="18">
        <v>648.64</v>
      </c>
      <c r="H49" s="209">
        <f t="shared" si="4"/>
        <v>2.8068728447999995</v>
      </c>
      <c r="I49" s="18">
        <v>0</v>
      </c>
      <c r="J49" s="203"/>
      <c r="L49" s="27"/>
      <c r="M49" s="28"/>
      <c r="N49" s="54"/>
    </row>
    <row r="50" spans="1:22" s="202" customFormat="1" ht="31.5" hidden="1" customHeight="1">
      <c r="A50" s="48">
        <v>13</v>
      </c>
      <c r="B50" s="205" t="s">
        <v>70</v>
      </c>
      <c r="C50" s="206" t="s">
        <v>170</v>
      </c>
      <c r="D50" s="205" t="s">
        <v>246</v>
      </c>
      <c r="E50" s="207">
        <v>1017.5</v>
      </c>
      <c r="F50" s="208">
        <f>SUM(E50*5/1000)</f>
        <v>5.0875000000000004</v>
      </c>
      <c r="G50" s="18">
        <v>1297.28</v>
      </c>
      <c r="H50" s="209">
        <f t="shared" si="4"/>
        <v>6.5999120000000007</v>
      </c>
      <c r="I50" s="18">
        <f>F50/5*G50</f>
        <v>1319.9824000000001</v>
      </c>
      <c r="J50" s="203"/>
      <c r="L50" s="27"/>
      <c r="M50" s="28"/>
      <c r="N50" s="54"/>
    </row>
    <row r="51" spans="1:22" s="202" customFormat="1" ht="31.5" hidden="1" customHeight="1">
      <c r="A51" s="48"/>
      <c r="B51" s="205" t="s">
        <v>186</v>
      </c>
      <c r="C51" s="206" t="s">
        <v>170</v>
      </c>
      <c r="D51" s="205" t="s">
        <v>53</v>
      </c>
      <c r="E51" s="207">
        <v>1017.5</v>
      </c>
      <c r="F51" s="208">
        <f>SUM(E51*2/1000)</f>
        <v>2.0350000000000001</v>
      </c>
      <c r="G51" s="18">
        <v>1297.28</v>
      </c>
      <c r="H51" s="209">
        <f t="shared" si="4"/>
        <v>2.6399648</v>
      </c>
      <c r="I51" s="18">
        <v>0</v>
      </c>
      <c r="J51" s="203"/>
      <c r="L51" s="27"/>
      <c r="M51" s="28"/>
      <c r="N51" s="54"/>
    </row>
    <row r="52" spans="1:22" s="202" customFormat="1" ht="31.5" hidden="1" customHeight="1">
      <c r="A52" s="48"/>
      <c r="B52" s="205" t="s">
        <v>187</v>
      </c>
      <c r="C52" s="206" t="s">
        <v>47</v>
      </c>
      <c r="D52" s="205" t="s">
        <v>53</v>
      </c>
      <c r="E52" s="207">
        <v>30</v>
      </c>
      <c r="F52" s="208">
        <f>SUM(E52*2/100)</f>
        <v>0.6</v>
      </c>
      <c r="G52" s="18">
        <v>2918.89</v>
      </c>
      <c r="H52" s="209">
        <f t="shared" si="4"/>
        <v>1.7513339999999997</v>
      </c>
      <c r="I52" s="18">
        <v>0</v>
      </c>
      <c r="J52" s="203"/>
      <c r="L52" s="27"/>
      <c r="M52" s="28"/>
      <c r="N52" s="54"/>
    </row>
    <row r="53" spans="1:22" s="202" customFormat="1" ht="15.75" hidden="1" customHeight="1">
      <c r="A53" s="48"/>
      <c r="B53" s="205" t="s">
        <v>48</v>
      </c>
      <c r="C53" s="206" t="s">
        <v>49</v>
      </c>
      <c r="D53" s="205" t="s">
        <v>53</v>
      </c>
      <c r="E53" s="207">
        <v>1</v>
      </c>
      <c r="F53" s="208">
        <v>0.02</v>
      </c>
      <c r="G53" s="18">
        <v>6042.13</v>
      </c>
      <c r="H53" s="209">
        <f t="shared" si="4"/>
        <v>0.12084260000000001</v>
      </c>
      <c r="I53" s="18">
        <v>0</v>
      </c>
      <c r="J53" s="203"/>
      <c r="L53" s="27"/>
      <c r="M53" s="28"/>
      <c r="N53" s="54"/>
    </row>
    <row r="54" spans="1:22" s="202" customFormat="1" ht="15.75" hidden="1" customHeight="1">
      <c r="A54" s="48">
        <v>14</v>
      </c>
      <c r="B54" s="205" t="s">
        <v>188</v>
      </c>
      <c r="C54" s="206" t="s">
        <v>140</v>
      </c>
      <c r="D54" s="205" t="s">
        <v>88</v>
      </c>
      <c r="E54" s="207">
        <v>90</v>
      </c>
      <c r="F54" s="208">
        <f>E54*4</f>
        <v>360</v>
      </c>
      <c r="G54" s="18">
        <v>150.86000000000001</v>
      </c>
      <c r="H54" s="209">
        <f>F54*G54/1000</f>
        <v>54.309600000000003</v>
      </c>
      <c r="I54" s="18">
        <f>G54*E54</f>
        <v>13577.400000000001</v>
      </c>
      <c r="J54" s="203"/>
      <c r="L54" s="27"/>
      <c r="M54" s="28"/>
      <c r="N54" s="54"/>
    </row>
    <row r="55" spans="1:22" s="202" customFormat="1" ht="15.75" hidden="1" customHeight="1">
      <c r="A55" s="48">
        <v>15</v>
      </c>
      <c r="B55" s="205" t="s">
        <v>52</v>
      </c>
      <c r="C55" s="206" t="s">
        <v>140</v>
      </c>
      <c r="D55" s="205" t="s">
        <v>88</v>
      </c>
      <c r="E55" s="207">
        <v>180</v>
      </c>
      <c r="F55" s="208">
        <f>SUM(E55)*3</f>
        <v>540</v>
      </c>
      <c r="G55" s="18">
        <v>70.2</v>
      </c>
      <c r="H55" s="209">
        <f t="shared" si="4"/>
        <v>37.908000000000001</v>
      </c>
      <c r="I55" s="18">
        <f>G55*E55</f>
        <v>12636</v>
      </c>
      <c r="J55" s="203"/>
      <c r="L55" s="27"/>
      <c r="M55" s="28"/>
      <c r="N55" s="54"/>
    </row>
    <row r="56" spans="1:22" s="202" customFormat="1" ht="15.75" customHeight="1">
      <c r="A56" s="261" t="s">
        <v>265</v>
      </c>
      <c r="B56" s="262"/>
      <c r="C56" s="262"/>
      <c r="D56" s="262"/>
      <c r="E56" s="262"/>
      <c r="F56" s="262"/>
      <c r="G56" s="262"/>
      <c r="H56" s="262"/>
      <c r="I56" s="263"/>
      <c r="J56" s="203"/>
      <c r="L56" s="27"/>
      <c r="M56" s="28"/>
      <c r="N56" s="54"/>
    </row>
    <row r="57" spans="1:22" s="202" customFormat="1" ht="15.75" hidden="1" customHeight="1">
      <c r="A57" s="48"/>
      <c r="B57" s="238" t="s">
        <v>54</v>
      </c>
      <c r="C57" s="206"/>
      <c r="D57" s="205"/>
      <c r="E57" s="207"/>
      <c r="F57" s="208"/>
      <c r="G57" s="208"/>
      <c r="H57" s="209"/>
      <c r="I57" s="18"/>
      <c r="J57" s="203"/>
      <c r="L57" s="27"/>
      <c r="M57" s="28"/>
      <c r="N57" s="54"/>
    </row>
    <row r="58" spans="1:22" s="202" customFormat="1" ht="31.5" hidden="1" customHeight="1">
      <c r="A58" s="48">
        <v>16</v>
      </c>
      <c r="B58" s="205" t="s">
        <v>207</v>
      </c>
      <c r="C58" s="206" t="s">
        <v>158</v>
      </c>
      <c r="D58" s="205" t="s">
        <v>189</v>
      </c>
      <c r="E58" s="207">
        <v>103.25</v>
      </c>
      <c r="F58" s="208">
        <f>SUM(E58*6/100)</f>
        <v>6.1950000000000003</v>
      </c>
      <c r="G58" s="18">
        <v>1654.04</v>
      </c>
      <c r="H58" s="209">
        <f>SUM(F58*G58/1000)</f>
        <v>10.2467778</v>
      </c>
      <c r="I58" s="18">
        <f>F58/6*G58</f>
        <v>1707.7963</v>
      </c>
      <c r="J58" s="203"/>
      <c r="L58" s="27"/>
      <c r="M58" s="28"/>
      <c r="N58" s="54"/>
    </row>
    <row r="59" spans="1:22" s="202" customFormat="1" ht="31.5" hidden="1" customHeight="1">
      <c r="A59" s="48">
        <v>17</v>
      </c>
      <c r="B59" s="205" t="s">
        <v>138</v>
      </c>
      <c r="C59" s="206" t="s">
        <v>158</v>
      </c>
      <c r="D59" s="205" t="s">
        <v>139</v>
      </c>
      <c r="E59" s="207">
        <v>39.700000000000003</v>
      </c>
      <c r="F59" s="208">
        <f>SUM(E59*12/100)</f>
        <v>4.7640000000000002</v>
      </c>
      <c r="G59" s="18">
        <v>1654.04</v>
      </c>
      <c r="H59" s="209">
        <f>SUM(F59*G59/1000)</f>
        <v>7.8798465599999998</v>
      </c>
      <c r="I59" s="18">
        <f>F59/6*G59</f>
        <v>1313.3077600000001</v>
      </c>
      <c r="J59" s="203"/>
      <c r="L59" s="27"/>
      <c r="M59" s="28"/>
      <c r="N59" s="54"/>
    </row>
    <row r="60" spans="1:22" s="202" customFormat="1" ht="15.75" hidden="1" customHeight="1">
      <c r="A60" s="48">
        <v>18</v>
      </c>
      <c r="B60" s="214" t="s">
        <v>190</v>
      </c>
      <c r="C60" s="215" t="s">
        <v>191</v>
      </c>
      <c r="D60" s="214" t="s">
        <v>53</v>
      </c>
      <c r="E60" s="216">
        <v>8</v>
      </c>
      <c r="F60" s="217">
        <v>16</v>
      </c>
      <c r="G60" s="18">
        <v>193.25</v>
      </c>
      <c r="H60" s="218">
        <f>F60*G60/1000</f>
        <v>3.0920000000000001</v>
      </c>
      <c r="I60" s="18">
        <f>F60/2*G60</f>
        <v>1546</v>
      </c>
      <c r="J60" s="203"/>
      <c r="L60" s="27"/>
    </row>
    <row r="61" spans="1:22" s="202" customFormat="1" ht="15.75" hidden="1" customHeight="1">
      <c r="A61" s="48">
        <v>19</v>
      </c>
      <c r="B61" s="205" t="s">
        <v>192</v>
      </c>
      <c r="C61" s="206" t="s">
        <v>158</v>
      </c>
      <c r="D61" s="205" t="s">
        <v>189</v>
      </c>
      <c r="E61" s="207">
        <v>41.73</v>
      </c>
      <c r="F61" s="208">
        <f>SUM(E61*6/100)</f>
        <v>2.5038</v>
      </c>
      <c r="G61" s="18">
        <v>1654.04</v>
      </c>
      <c r="H61" s="209">
        <f>SUM(F61*G61/1000)</f>
        <v>4.1413853520000004</v>
      </c>
      <c r="I61" s="18">
        <f>F61/6*G61</f>
        <v>690.23089200000004</v>
      </c>
      <c r="J61" s="203"/>
      <c r="L61" s="27"/>
    </row>
    <row r="62" spans="1:22" s="202" customFormat="1" ht="15.75" customHeight="1">
      <c r="A62" s="48"/>
      <c r="B62" s="239" t="s">
        <v>55</v>
      </c>
      <c r="C62" s="215"/>
      <c r="D62" s="214"/>
      <c r="E62" s="216"/>
      <c r="F62" s="217"/>
      <c r="G62" s="18"/>
      <c r="H62" s="218"/>
      <c r="I62" s="18"/>
    </row>
    <row r="63" spans="1:22" s="202" customFormat="1" ht="15.75" hidden="1" customHeight="1">
      <c r="A63" s="48"/>
      <c r="B63" s="214" t="s">
        <v>219</v>
      </c>
      <c r="C63" s="215" t="s">
        <v>65</v>
      </c>
      <c r="D63" s="214" t="s">
        <v>66</v>
      </c>
      <c r="E63" s="216">
        <v>1017.5</v>
      </c>
      <c r="F63" s="217">
        <v>10.154</v>
      </c>
      <c r="G63" s="18">
        <v>848.37</v>
      </c>
      <c r="H63" s="218">
        <f>F63*G63/1000</f>
        <v>8.6143489800000008</v>
      </c>
      <c r="I63" s="18">
        <v>0</v>
      </c>
    </row>
    <row r="64" spans="1:22" s="202" customFormat="1" ht="15.75" customHeight="1">
      <c r="A64" s="48">
        <v>10</v>
      </c>
      <c r="B64" s="214" t="s">
        <v>142</v>
      </c>
      <c r="C64" s="215" t="s">
        <v>28</v>
      </c>
      <c r="D64" s="214" t="s">
        <v>35</v>
      </c>
      <c r="E64" s="216">
        <v>203.5</v>
      </c>
      <c r="F64" s="219">
        <f>E64*12</f>
        <v>2442</v>
      </c>
      <c r="G64" s="197">
        <v>2.6</v>
      </c>
      <c r="H64" s="217">
        <f>F64*G64/1000</f>
        <v>6.3491999999999997</v>
      </c>
      <c r="I64" s="18">
        <f>F64/12*G64</f>
        <v>529.1</v>
      </c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1"/>
    </row>
    <row r="65" spans="1:21" s="202" customFormat="1" ht="15.75" hidden="1" customHeight="1">
      <c r="A65" s="48"/>
      <c r="B65" s="239" t="s">
        <v>57</v>
      </c>
      <c r="C65" s="215"/>
      <c r="D65" s="214"/>
      <c r="E65" s="216"/>
      <c r="F65" s="219"/>
      <c r="G65" s="219"/>
      <c r="H65" s="217" t="s">
        <v>218</v>
      </c>
      <c r="I65" s="18"/>
      <c r="J65" s="222"/>
      <c r="K65" s="222"/>
      <c r="L65" s="220"/>
      <c r="M65" s="220"/>
      <c r="N65" s="220"/>
      <c r="O65" s="220"/>
      <c r="P65" s="220"/>
      <c r="Q65" s="220"/>
      <c r="R65" s="220"/>
      <c r="S65" s="220"/>
      <c r="T65" s="220"/>
      <c r="U65" s="220"/>
    </row>
    <row r="66" spans="1:21" s="202" customFormat="1" ht="15.75" hidden="1" customHeight="1">
      <c r="A66" s="48"/>
      <c r="B66" s="20" t="s">
        <v>58</v>
      </c>
      <c r="C66" s="22" t="s">
        <v>140</v>
      </c>
      <c r="D66" s="20" t="s">
        <v>84</v>
      </c>
      <c r="E66" s="25">
        <v>10</v>
      </c>
      <c r="F66" s="208">
        <v>10</v>
      </c>
      <c r="G66" s="18">
        <v>237.75</v>
      </c>
      <c r="H66" s="223">
        <f t="shared" ref="H66:H79" si="5">SUM(F66*G66/1000)</f>
        <v>2.3774999999999999</v>
      </c>
      <c r="I66" s="18">
        <v>0</v>
      </c>
      <c r="J66" s="220"/>
      <c r="K66" s="220"/>
      <c r="L66" s="220"/>
      <c r="M66" s="220"/>
      <c r="N66" s="220"/>
      <c r="O66" s="220"/>
      <c r="P66" s="220"/>
      <c r="Q66" s="220"/>
      <c r="S66" s="220"/>
      <c r="T66" s="220"/>
      <c r="U66" s="220"/>
    </row>
    <row r="67" spans="1:21" s="202" customFormat="1" ht="15.75" hidden="1" customHeight="1">
      <c r="A67" s="48"/>
      <c r="B67" s="20" t="s">
        <v>59</v>
      </c>
      <c r="C67" s="22" t="s">
        <v>140</v>
      </c>
      <c r="D67" s="20" t="s">
        <v>84</v>
      </c>
      <c r="E67" s="25">
        <v>5</v>
      </c>
      <c r="F67" s="208">
        <v>5</v>
      </c>
      <c r="G67" s="18">
        <v>81.510000000000005</v>
      </c>
      <c r="H67" s="223">
        <f t="shared" si="5"/>
        <v>0.40755000000000002</v>
      </c>
      <c r="I67" s="18">
        <v>0</v>
      </c>
      <c r="J67" s="224"/>
      <c r="K67" s="224"/>
      <c r="L67" s="224"/>
      <c r="M67" s="224"/>
      <c r="N67" s="224"/>
      <c r="O67" s="224"/>
      <c r="P67" s="224"/>
      <c r="Q67" s="224"/>
      <c r="R67" s="264"/>
      <c r="S67" s="264"/>
      <c r="T67" s="264"/>
      <c r="U67" s="264"/>
    </row>
    <row r="68" spans="1:21" s="202" customFormat="1" ht="15.75" hidden="1" customHeight="1">
      <c r="A68" s="48"/>
      <c r="B68" s="20" t="s">
        <v>60</v>
      </c>
      <c r="C68" s="22" t="s">
        <v>193</v>
      </c>
      <c r="D68" s="20" t="s">
        <v>66</v>
      </c>
      <c r="E68" s="207">
        <v>14347</v>
      </c>
      <c r="F68" s="18">
        <f>SUM(E68/100)</f>
        <v>143.47</v>
      </c>
      <c r="G68" s="18">
        <v>226.79</v>
      </c>
      <c r="H68" s="223">
        <f t="shared" si="5"/>
        <v>32.5375613</v>
      </c>
      <c r="I68" s="18">
        <v>0</v>
      </c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</row>
    <row r="69" spans="1:21" s="202" customFormat="1" ht="15.75" hidden="1" customHeight="1">
      <c r="A69" s="48"/>
      <c r="B69" s="20" t="s">
        <v>61</v>
      </c>
      <c r="C69" s="22" t="s">
        <v>194</v>
      </c>
      <c r="D69" s="20" t="s">
        <v>66</v>
      </c>
      <c r="E69" s="207">
        <v>14347</v>
      </c>
      <c r="F69" s="18">
        <f>SUM(E69/1000)</f>
        <v>14.347</v>
      </c>
      <c r="G69" s="18">
        <v>176.61</v>
      </c>
      <c r="H69" s="223">
        <f t="shared" si="5"/>
        <v>2.5338236700000003</v>
      </c>
      <c r="I69" s="18">
        <v>0</v>
      </c>
    </row>
    <row r="70" spans="1:21" s="202" customFormat="1" ht="15.75" hidden="1" customHeight="1">
      <c r="A70" s="48"/>
      <c r="B70" s="20" t="s">
        <v>62</v>
      </c>
      <c r="C70" s="22" t="s">
        <v>94</v>
      </c>
      <c r="D70" s="20" t="s">
        <v>66</v>
      </c>
      <c r="E70" s="207">
        <v>2244</v>
      </c>
      <c r="F70" s="18">
        <f>SUM(E70/100)</f>
        <v>22.44</v>
      </c>
      <c r="G70" s="18">
        <v>2217.7800000000002</v>
      </c>
      <c r="H70" s="223">
        <f t="shared" si="5"/>
        <v>49.766983200000013</v>
      </c>
      <c r="I70" s="18">
        <v>0</v>
      </c>
    </row>
    <row r="71" spans="1:21" s="202" customFormat="1" ht="15.75" hidden="1" customHeight="1">
      <c r="A71" s="48"/>
      <c r="B71" s="225" t="s">
        <v>195</v>
      </c>
      <c r="C71" s="22" t="s">
        <v>38</v>
      </c>
      <c r="D71" s="20" t="s">
        <v>66</v>
      </c>
      <c r="E71" s="207">
        <v>12.48</v>
      </c>
      <c r="F71" s="18">
        <f>SUM(E71)</f>
        <v>12.48</v>
      </c>
      <c r="G71" s="18">
        <v>42.67</v>
      </c>
      <c r="H71" s="223">
        <f t="shared" si="5"/>
        <v>0.53252160000000004</v>
      </c>
      <c r="I71" s="18">
        <v>0</v>
      </c>
    </row>
    <row r="72" spans="1:21" s="202" customFormat="1" ht="15.75" hidden="1" customHeight="1">
      <c r="A72" s="48"/>
      <c r="B72" s="225" t="s">
        <v>196</v>
      </c>
      <c r="C72" s="22" t="s">
        <v>38</v>
      </c>
      <c r="D72" s="20" t="s">
        <v>66</v>
      </c>
      <c r="E72" s="207">
        <v>12.48</v>
      </c>
      <c r="F72" s="18">
        <f>SUM(E72)</f>
        <v>12.48</v>
      </c>
      <c r="G72" s="18">
        <v>39.81</v>
      </c>
      <c r="H72" s="223">
        <f t="shared" si="5"/>
        <v>0.49682880000000007</v>
      </c>
      <c r="I72" s="18">
        <v>0</v>
      </c>
    </row>
    <row r="73" spans="1:21" s="202" customFormat="1" ht="15.75" hidden="1" customHeight="1">
      <c r="A73" s="48"/>
      <c r="B73" s="20" t="s">
        <v>71</v>
      </c>
      <c r="C73" s="22" t="s">
        <v>72</v>
      </c>
      <c r="D73" s="20" t="s">
        <v>66</v>
      </c>
      <c r="E73" s="25">
        <v>5</v>
      </c>
      <c r="F73" s="208">
        <v>5</v>
      </c>
      <c r="G73" s="18">
        <v>53.32</v>
      </c>
      <c r="H73" s="223">
        <f t="shared" si="5"/>
        <v>0.2666</v>
      </c>
      <c r="I73" s="18">
        <v>0</v>
      </c>
    </row>
    <row r="74" spans="1:21" s="202" customFormat="1" ht="15.75" hidden="1" customHeight="1">
      <c r="A74" s="48"/>
      <c r="B74" s="193" t="s">
        <v>89</v>
      </c>
      <c r="C74" s="22"/>
      <c r="D74" s="20"/>
      <c r="E74" s="25"/>
      <c r="F74" s="18"/>
      <c r="G74" s="18"/>
      <c r="H74" s="223" t="s">
        <v>218</v>
      </c>
      <c r="I74" s="18"/>
    </row>
    <row r="75" spans="1:21" s="202" customFormat="1" ht="15.75" hidden="1" customHeight="1">
      <c r="A75" s="48"/>
      <c r="B75" s="20" t="s">
        <v>90</v>
      </c>
      <c r="C75" s="22" t="s">
        <v>92</v>
      </c>
      <c r="D75" s="20"/>
      <c r="E75" s="25">
        <v>2</v>
      </c>
      <c r="F75" s="18">
        <v>0.2</v>
      </c>
      <c r="G75" s="18">
        <v>536.23</v>
      </c>
      <c r="H75" s="223">
        <f t="shared" si="5"/>
        <v>0.10724600000000001</v>
      </c>
      <c r="I75" s="18">
        <v>0</v>
      </c>
    </row>
    <row r="76" spans="1:21" s="202" customFormat="1" ht="15.75" hidden="1" customHeight="1">
      <c r="A76" s="48">
        <v>21</v>
      </c>
      <c r="B76" s="20" t="s">
        <v>91</v>
      </c>
      <c r="C76" s="22" t="s">
        <v>36</v>
      </c>
      <c r="D76" s="20"/>
      <c r="E76" s="25">
        <v>1</v>
      </c>
      <c r="F76" s="197">
        <v>1</v>
      </c>
      <c r="G76" s="18">
        <v>911.85</v>
      </c>
      <c r="H76" s="223">
        <f>F76*G76/1000</f>
        <v>0.91185000000000005</v>
      </c>
      <c r="I76" s="18">
        <f>G76</f>
        <v>911.85</v>
      </c>
    </row>
    <row r="77" spans="1:21" s="202" customFormat="1" ht="15.75" hidden="1" customHeight="1">
      <c r="A77" s="48"/>
      <c r="B77" s="20" t="s">
        <v>199</v>
      </c>
      <c r="C77" s="22" t="s">
        <v>36</v>
      </c>
      <c r="D77" s="20"/>
      <c r="E77" s="25">
        <v>1</v>
      </c>
      <c r="F77" s="18">
        <v>1</v>
      </c>
      <c r="G77" s="18">
        <v>383.25</v>
      </c>
      <c r="H77" s="223">
        <f>G77*F77/1000</f>
        <v>0.38324999999999998</v>
      </c>
      <c r="I77" s="18">
        <v>0</v>
      </c>
    </row>
    <row r="78" spans="1:21" s="202" customFormat="1" ht="15.75" hidden="1" customHeight="1">
      <c r="A78" s="48"/>
      <c r="B78" s="227" t="s">
        <v>93</v>
      </c>
      <c r="C78" s="22"/>
      <c r="D78" s="20"/>
      <c r="E78" s="25"/>
      <c r="F78" s="18"/>
      <c r="G78" s="18" t="s">
        <v>218</v>
      </c>
      <c r="H78" s="223" t="s">
        <v>218</v>
      </c>
      <c r="I78" s="18"/>
    </row>
    <row r="79" spans="1:21" s="202" customFormat="1" ht="15.75" hidden="1" customHeight="1">
      <c r="A79" s="48"/>
      <c r="B79" s="86" t="s">
        <v>200</v>
      </c>
      <c r="C79" s="22" t="s">
        <v>94</v>
      </c>
      <c r="D79" s="20"/>
      <c r="E79" s="25"/>
      <c r="F79" s="18">
        <v>1</v>
      </c>
      <c r="G79" s="18">
        <v>2949.84</v>
      </c>
      <c r="H79" s="223">
        <f t="shared" si="5"/>
        <v>2.94984</v>
      </c>
      <c r="I79" s="18">
        <v>0</v>
      </c>
    </row>
    <row r="80" spans="1:21" s="202" customFormat="1" ht="15.75" hidden="1" customHeight="1">
      <c r="A80" s="48"/>
      <c r="B80" s="193" t="s">
        <v>197</v>
      </c>
      <c r="C80" s="227"/>
      <c r="D80" s="53"/>
      <c r="E80" s="58"/>
      <c r="F80" s="211"/>
      <c r="G80" s="211"/>
      <c r="H80" s="228">
        <f>SUM(H58:H79)</f>
        <v>133.59511326200004</v>
      </c>
      <c r="I80" s="211"/>
    </row>
    <row r="81" spans="1:9" s="202" customFormat="1" ht="15.75" hidden="1" customHeight="1">
      <c r="A81" s="242"/>
      <c r="B81" s="214" t="s">
        <v>198</v>
      </c>
      <c r="C81" s="243"/>
      <c r="D81" s="244"/>
      <c r="E81" s="198"/>
      <c r="F81" s="230">
        <v>1</v>
      </c>
      <c r="G81" s="230">
        <v>27922</v>
      </c>
      <c r="H81" s="245">
        <f>G81*F81/1000</f>
        <v>27.922000000000001</v>
      </c>
      <c r="I81" s="230">
        <v>0</v>
      </c>
    </row>
    <row r="82" spans="1:9" s="202" customFormat="1" ht="15.75" customHeight="1">
      <c r="A82" s="274" t="s">
        <v>266</v>
      </c>
      <c r="B82" s="275"/>
      <c r="C82" s="275"/>
      <c r="D82" s="275"/>
      <c r="E82" s="275"/>
      <c r="F82" s="275"/>
      <c r="G82" s="275"/>
      <c r="H82" s="275"/>
      <c r="I82" s="276"/>
    </row>
    <row r="83" spans="1:9" s="202" customFormat="1" ht="15.75" customHeight="1">
      <c r="A83" s="246">
        <v>11</v>
      </c>
      <c r="B83" s="247" t="s">
        <v>201</v>
      </c>
      <c r="C83" s="248" t="s">
        <v>67</v>
      </c>
      <c r="D83" s="249" t="s">
        <v>68</v>
      </c>
      <c r="E83" s="250">
        <v>3931</v>
      </c>
      <c r="F83" s="250">
        <f>SUM(E83*12)</f>
        <v>47172</v>
      </c>
      <c r="G83" s="250">
        <v>2.2400000000000002</v>
      </c>
      <c r="H83" s="251">
        <f>SUM(F83*G83/1000)</f>
        <v>105.66528000000001</v>
      </c>
      <c r="I83" s="250">
        <f>F83/12*G83</f>
        <v>8805.44</v>
      </c>
    </row>
    <row r="84" spans="1:9" s="202" customFormat="1" ht="31.5" customHeight="1">
      <c r="A84" s="48">
        <v>12</v>
      </c>
      <c r="B84" s="20" t="s">
        <v>95</v>
      </c>
      <c r="C84" s="22"/>
      <c r="D84" s="229" t="s">
        <v>68</v>
      </c>
      <c r="E84" s="207">
        <f>E83</f>
        <v>3931</v>
      </c>
      <c r="F84" s="18">
        <f>E84*12</f>
        <v>47172</v>
      </c>
      <c r="G84" s="18">
        <v>1.74</v>
      </c>
      <c r="H84" s="223">
        <f>F84*G84/1000</f>
        <v>82.079279999999997</v>
      </c>
      <c r="I84" s="18">
        <f>F84/12*G84</f>
        <v>6839.94</v>
      </c>
    </row>
    <row r="85" spans="1:9" s="202" customFormat="1" ht="15.75" customHeight="1">
      <c r="A85" s="48"/>
      <c r="B85" s="73" t="s">
        <v>101</v>
      </c>
      <c r="C85" s="227"/>
      <c r="D85" s="226"/>
      <c r="E85" s="211"/>
      <c r="F85" s="211"/>
      <c r="G85" s="211"/>
      <c r="H85" s="228">
        <f>H84</f>
        <v>82.079279999999997</v>
      </c>
      <c r="I85" s="211">
        <f>I16+I17+I18+I25+I26+I29+I30+I32+I33+I64+I83+I84</f>
        <v>55835.135640200009</v>
      </c>
    </row>
    <row r="86" spans="1:9" s="202" customFormat="1" ht="15.75" customHeight="1">
      <c r="A86" s="48"/>
      <c r="B86" s="180" t="s">
        <v>74</v>
      </c>
      <c r="C86" s="22"/>
      <c r="D86" s="86"/>
      <c r="E86" s="18"/>
      <c r="F86" s="18"/>
      <c r="G86" s="18"/>
      <c r="H86" s="18"/>
      <c r="I86" s="18"/>
    </row>
    <row r="87" spans="1:9" s="202" customFormat="1" ht="15.75" customHeight="1">
      <c r="A87" s="48">
        <v>13</v>
      </c>
      <c r="B87" s="233" t="s">
        <v>144</v>
      </c>
      <c r="C87" s="231" t="s">
        <v>145</v>
      </c>
      <c r="D87" s="20"/>
      <c r="E87" s="25"/>
      <c r="F87" s="18">
        <f>15/3</f>
        <v>5</v>
      </c>
      <c r="G87" s="18">
        <v>1063.47</v>
      </c>
      <c r="H87" s="223">
        <f t="shared" ref="H87" si="6">G87*F87/1000</f>
        <v>5.3173500000000002</v>
      </c>
      <c r="I87" s="230">
        <f>G87</f>
        <v>1063.47</v>
      </c>
    </row>
    <row r="88" spans="1:9" ht="15.75" customHeight="1">
      <c r="A88" s="48"/>
      <c r="B88" s="237" t="s">
        <v>63</v>
      </c>
      <c r="C88" s="76"/>
      <c r="D88" s="130"/>
      <c r="E88" s="76">
        <v>1</v>
      </c>
      <c r="F88" s="76"/>
      <c r="G88" s="76"/>
      <c r="H88" s="76"/>
      <c r="I88" s="58">
        <f>SUM(I87:I87)</f>
        <v>1063.47</v>
      </c>
    </row>
    <row r="89" spans="1:9" ht="15.75" customHeight="1">
      <c r="A89" s="48"/>
      <c r="B89" s="86" t="s">
        <v>96</v>
      </c>
      <c r="C89" s="21"/>
      <c r="D89" s="21"/>
      <c r="E89" s="77"/>
      <c r="F89" s="77"/>
      <c r="G89" s="78"/>
      <c r="H89" s="78"/>
      <c r="I89" s="24">
        <v>0</v>
      </c>
    </row>
    <row r="90" spans="1:9" ht="15.75" customHeight="1">
      <c r="A90" s="131"/>
      <c r="B90" s="81" t="s">
        <v>64</v>
      </c>
      <c r="C90" s="64"/>
      <c r="D90" s="64"/>
      <c r="E90" s="64"/>
      <c r="F90" s="64"/>
      <c r="G90" s="64"/>
      <c r="H90" s="64"/>
      <c r="I90" s="79">
        <f>I85+I88</f>
        <v>56898.60564020001</v>
      </c>
    </row>
    <row r="91" spans="1:9" ht="15.75">
      <c r="A91" s="265" t="s">
        <v>267</v>
      </c>
      <c r="B91" s="265"/>
      <c r="C91" s="265"/>
      <c r="D91" s="265"/>
      <c r="E91" s="265"/>
      <c r="F91" s="265"/>
      <c r="G91" s="265"/>
      <c r="H91" s="265"/>
      <c r="I91" s="265"/>
    </row>
    <row r="92" spans="1:9" ht="15.75">
      <c r="A92" s="188"/>
      <c r="B92" s="272" t="s">
        <v>268</v>
      </c>
      <c r="C92" s="272"/>
      <c r="D92" s="272"/>
      <c r="E92" s="272"/>
      <c r="F92" s="272"/>
      <c r="G92" s="272"/>
      <c r="H92" s="201"/>
      <c r="I92" s="3"/>
    </row>
    <row r="93" spans="1:9">
      <c r="A93" s="191"/>
      <c r="B93" s="268" t="s">
        <v>6</v>
      </c>
      <c r="C93" s="268"/>
      <c r="D93" s="268"/>
      <c r="E93" s="268"/>
      <c r="F93" s="268"/>
      <c r="G93" s="268"/>
      <c r="H93" s="38"/>
      <c r="I93" s="5"/>
    </row>
    <row r="94" spans="1:9" ht="7.5" customHeight="1">
      <c r="A94" s="11"/>
      <c r="B94" s="11"/>
      <c r="C94" s="11"/>
      <c r="D94" s="11"/>
      <c r="E94" s="11"/>
      <c r="F94" s="11"/>
      <c r="G94" s="11"/>
      <c r="H94" s="11"/>
      <c r="I94" s="11"/>
    </row>
    <row r="95" spans="1:9" ht="15.75">
      <c r="A95" s="273" t="s">
        <v>7</v>
      </c>
      <c r="B95" s="273"/>
      <c r="C95" s="273"/>
      <c r="D95" s="273"/>
      <c r="E95" s="273"/>
      <c r="F95" s="273"/>
      <c r="G95" s="273"/>
      <c r="H95" s="273"/>
      <c r="I95" s="273"/>
    </row>
    <row r="96" spans="1:9" ht="15.75">
      <c r="A96" s="273" t="s">
        <v>8</v>
      </c>
      <c r="B96" s="273"/>
      <c r="C96" s="273"/>
      <c r="D96" s="273"/>
      <c r="E96" s="273"/>
      <c r="F96" s="273"/>
      <c r="G96" s="273"/>
      <c r="H96" s="273"/>
      <c r="I96" s="273"/>
    </row>
    <row r="97" spans="1:9" ht="15.75">
      <c r="A97" s="258" t="s">
        <v>76</v>
      </c>
      <c r="B97" s="258"/>
      <c r="C97" s="258"/>
      <c r="D97" s="258"/>
      <c r="E97" s="258"/>
      <c r="F97" s="258"/>
      <c r="G97" s="258"/>
      <c r="H97" s="258"/>
      <c r="I97" s="258"/>
    </row>
    <row r="98" spans="1:9" ht="15.75">
      <c r="A98" s="12"/>
    </row>
    <row r="99" spans="1:9" ht="15.75">
      <c r="A99" s="259" t="s">
        <v>10</v>
      </c>
      <c r="B99" s="259"/>
      <c r="C99" s="259"/>
      <c r="D99" s="259"/>
      <c r="E99" s="259"/>
      <c r="F99" s="259"/>
      <c r="G99" s="259"/>
      <c r="H99" s="259"/>
      <c r="I99" s="259"/>
    </row>
    <row r="100" spans="1:9" ht="15.75">
      <c r="A100" s="4"/>
    </row>
    <row r="101" spans="1:9" ht="15.75">
      <c r="B101" s="187" t="s">
        <v>11</v>
      </c>
      <c r="C101" s="267" t="s">
        <v>203</v>
      </c>
      <c r="D101" s="267"/>
      <c r="E101" s="267"/>
      <c r="F101" s="199"/>
      <c r="I101" s="190"/>
    </row>
    <row r="102" spans="1:9">
      <c r="A102" s="191"/>
      <c r="C102" s="268" t="s">
        <v>12</v>
      </c>
      <c r="D102" s="268"/>
      <c r="E102" s="268"/>
      <c r="F102" s="38"/>
      <c r="I102" s="189" t="s">
        <v>13</v>
      </c>
    </row>
    <row r="103" spans="1:9" ht="15.75">
      <c r="A103" s="39"/>
      <c r="C103" s="13"/>
      <c r="D103" s="13"/>
      <c r="G103" s="13"/>
      <c r="H103" s="13"/>
    </row>
    <row r="104" spans="1:9" ht="15.75">
      <c r="B104" s="187" t="s">
        <v>14</v>
      </c>
      <c r="C104" s="269"/>
      <c r="D104" s="269"/>
      <c r="E104" s="269"/>
      <c r="F104" s="200"/>
      <c r="I104" s="190"/>
    </row>
    <row r="105" spans="1:9">
      <c r="A105" s="191"/>
      <c r="C105" s="270" t="s">
        <v>12</v>
      </c>
      <c r="D105" s="270"/>
      <c r="E105" s="270"/>
      <c r="F105" s="191"/>
      <c r="I105" s="189" t="s">
        <v>13</v>
      </c>
    </row>
    <row r="106" spans="1:9" ht="15.75">
      <c r="A106" s="4" t="s">
        <v>15</v>
      </c>
    </row>
    <row r="107" spans="1:9">
      <c r="A107" s="271" t="s">
        <v>16</v>
      </c>
      <c r="B107" s="271"/>
      <c r="C107" s="271"/>
      <c r="D107" s="271"/>
      <c r="E107" s="271"/>
      <c r="F107" s="271"/>
      <c r="G107" s="271"/>
      <c r="H107" s="271"/>
      <c r="I107" s="271"/>
    </row>
    <row r="108" spans="1:9" ht="47.25" customHeight="1">
      <c r="A108" s="266" t="s">
        <v>17</v>
      </c>
      <c r="B108" s="266"/>
      <c r="C108" s="266"/>
      <c r="D108" s="266"/>
      <c r="E108" s="266"/>
      <c r="F108" s="266"/>
      <c r="G108" s="266"/>
      <c r="H108" s="266"/>
      <c r="I108" s="266"/>
    </row>
    <row r="109" spans="1:9" ht="31.5" customHeight="1">
      <c r="A109" s="266" t="s">
        <v>18</v>
      </c>
      <c r="B109" s="266"/>
      <c r="C109" s="266"/>
      <c r="D109" s="266"/>
      <c r="E109" s="266"/>
      <c r="F109" s="266"/>
      <c r="G109" s="266"/>
      <c r="H109" s="266"/>
      <c r="I109" s="266"/>
    </row>
    <row r="110" spans="1:9" ht="31.5" customHeight="1">
      <c r="A110" s="266" t="s">
        <v>23</v>
      </c>
      <c r="B110" s="266"/>
      <c r="C110" s="266"/>
      <c r="D110" s="266"/>
      <c r="E110" s="266"/>
      <c r="F110" s="266"/>
      <c r="G110" s="266"/>
      <c r="H110" s="266"/>
      <c r="I110" s="266"/>
    </row>
    <row r="111" spans="1:9" ht="15.75">
      <c r="A111" s="266" t="s">
        <v>22</v>
      </c>
      <c r="B111" s="266"/>
      <c r="C111" s="266"/>
      <c r="D111" s="266"/>
      <c r="E111" s="266"/>
      <c r="F111" s="266"/>
      <c r="G111" s="266"/>
      <c r="H111" s="266"/>
      <c r="I111" s="266"/>
    </row>
  </sheetData>
  <autoFilter ref="I12:I62"/>
  <mergeCells count="28">
    <mergeCell ref="A108:I108"/>
    <mergeCell ref="A109:I109"/>
    <mergeCell ref="A110:I110"/>
    <mergeCell ref="A111:I111"/>
    <mergeCell ref="A99:I99"/>
    <mergeCell ref="C101:E101"/>
    <mergeCell ref="C102:E102"/>
    <mergeCell ref="C104:E104"/>
    <mergeCell ref="C105:E105"/>
    <mergeCell ref="A107:I107"/>
    <mergeCell ref="A97:I97"/>
    <mergeCell ref="A15:I15"/>
    <mergeCell ref="A27:I27"/>
    <mergeCell ref="A45:I45"/>
    <mergeCell ref="A56:I56"/>
    <mergeCell ref="A91:I91"/>
    <mergeCell ref="B92:G92"/>
    <mergeCell ref="B93:G93"/>
    <mergeCell ref="A95:I95"/>
    <mergeCell ref="A96:I96"/>
    <mergeCell ref="R67:U67"/>
    <mergeCell ref="A82:I82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21"/>
  <sheetViews>
    <sheetView workbookViewId="0">
      <selection activeCell="A8" sqref="A8:I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3" t="s">
        <v>120</v>
      </c>
      <c r="I1" s="42"/>
      <c r="J1" s="1"/>
      <c r="K1" s="1"/>
      <c r="L1" s="1"/>
      <c r="M1" s="1"/>
    </row>
    <row r="2" spans="1:13" ht="15.75" customHeight="1">
      <c r="A2" s="44" t="s">
        <v>79</v>
      </c>
      <c r="J2" s="2"/>
      <c r="K2" s="2"/>
      <c r="L2" s="2"/>
      <c r="M2" s="2"/>
    </row>
    <row r="3" spans="1:13" ht="15.75" customHeight="1">
      <c r="A3" s="253" t="s">
        <v>269</v>
      </c>
      <c r="B3" s="253"/>
      <c r="C3" s="253"/>
      <c r="D3" s="253"/>
      <c r="E3" s="253"/>
      <c r="F3" s="253"/>
      <c r="G3" s="253"/>
      <c r="H3" s="253"/>
      <c r="I3" s="253"/>
      <c r="J3" s="3"/>
      <c r="K3" s="3"/>
      <c r="L3" s="3"/>
    </row>
    <row r="4" spans="1:13" ht="31.5" customHeight="1">
      <c r="A4" s="254" t="s">
        <v>204</v>
      </c>
      <c r="B4" s="254"/>
      <c r="C4" s="254"/>
      <c r="D4" s="254"/>
      <c r="E4" s="254"/>
      <c r="F4" s="254"/>
      <c r="G4" s="254"/>
      <c r="H4" s="254"/>
      <c r="I4" s="254"/>
    </row>
    <row r="5" spans="1:13" ht="15.75">
      <c r="A5" s="253" t="s">
        <v>108</v>
      </c>
      <c r="B5" s="255"/>
      <c r="C5" s="255"/>
      <c r="D5" s="255"/>
      <c r="E5" s="255"/>
      <c r="F5" s="255"/>
      <c r="G5" s="255"/>
      <c r="H5" s="255"/>
      <c r="I5" s="255"/>
      <c r="J5" s="2"/>
      <c r="K5" s="2"/>
      <c r="L5" s="2"/>
      <c r="M5" s="2"/>
    </row>
    <row r="6" spans="1:13" ht="15.75">
      <c r="A6" s="2"/>
      <c r="B6" s="192"/>
      <c r="C6" s="192"/>
      <c r="D6" s="192"/>
      <c r="E6" s="192"/>
      <c r="F6" s="192"/>
      <c r="G6" s="192"/>
      <c r="H6" s="192"/>
      <c r="I6" s="52">
        <v>42582</v>
      </c>
      <c r="J6" s="2"/>
      <c r="K6" s="2"/>
      <c r="L6" s="2"/>
      <c r="M6" s="2"/>
    </row>
    <row r="7" spans="1:13" ht="15.75">
      <c r="B7" s="187"/>
      <c r="C7" s="187"/>
      <c r="D7" s="187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56" t="s">
        <v>283</v>
      </c>
      <c r="B8" s="256"/>
      <c r="C8" s="256"/>
      <c r="D8" s="256"/>
      <c r="E8" s="256"/>
      <c r="F8" s="256"/>
      <c r="G8" s="256"/>
      <c r="H8" s="256"/>
      <c r="I8" s="25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57" t="s">
        <v>205</v>
      </c>
      <c r="B10" s="257"/>
      <c r="C10" s="257"/>
      <c r="D10" s="257"/>
      <c r="E10" s="257"/>
      <c r="F10" s="257"/>
      <c r="G10" s="257"/>
      <c r="H10" s="257"/>
      <c r="I10" s="257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19</v>
      </c>
      <c r="E12" s="6" t="s">
        <v>20</v>
      </c>
      <c r="F12" s="6"/>
      <c r="G12" s="6" t="s">
        <v>24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52" t="s">
        <v>73</v>
      </c>
      <c r="B14" s="252"/>
      <c r="C14" s="252"/>
      <c r="D14" s="252"/>
      <c r="E14" s="252"/>
      <c r="F14" s="252"/>
      <c r="G14" s="252"/>
      <c r="H14" s="252"/>
      <c r="I14" s="252"/>
      <c r="J14" s="8"/>
      <c r="K14" s="8"/>
      <c r="L14" s="8"/>
      <c r="M14" s="8"/>
    </row>
    <row r="15" spans="1:13">
      <c r="A15" s="260" t="s">
        <v>4</v>
      </c>
      <c r="B15" s="260"/>
      <c r="C15" s="260"/>
      <c r="D15" s="260"/>
      <c r="E15" s="260"/>
      <c r="F15" s="260"/>
      <c r="G15" s="260"/>
      <c r="H15" s="260"/>
      <c r="I15" s="260"/>
      <c r="J15" s="8"/>
      <c r="K15" s="8"/>
      <c r="L15" s="8"/>
      <c r="M15" s="8"/>
    </row>
    <row r="16" spans="1:13" s="202" customFormat="1" ht="31.5" customHeight="1">
      <c r="A16" s="48">
        <v>1</v>
      </c>
      <c r="B16" s="205" t="s">
        <v>122</v>
      </c>
      <c r="C16" s="206" t="s">
        <v>158</v>
      </c>
      <c r="D16" s="205" t="s">
        <v>159</v>
      </c>
      <c r="E16" s="207">
        <v>95.04</v>
      </c>
      <c r="F16" s="208">
        <f>SUM(E16*156/100)</f>
        <v>148.26240000000001</v>
      </c>
      <c r="G16" s="208">
        <v>187.48</v>
      </c>
      <c r="H16" s="209">
        <f t="shared" ref="H16:H24" si="0">SUM(F16*G16/1000)</f>
        <v>27.796234752</v>
      </c>
      <c r="I16" s="18">
        <f>F16/12*G16</f>
        <v>2316.3528960000003</v>
      </c>
    </row>
    <row r="17" spans="1:10" s="202" customFormat="1" ht="31.5" customHeight="1">
      <c r="A17" s="48">
        <v>2</v>
      </c>
      <c r="B17" s="205" t="s">
        <v>154</v>
      </c>
      <c r="C17" s="206" t="s">
        <v>158</v>
      </c>
      <c r="D17" s="205" t="s">
        <v>160</v>
      </c>
      <c r="E17" s="207">
        <v>380.16</v>
      </c>
      <c r="F17" s="208">
        <f>SUM(E17*104/100)</f>
        <v>395.3664</v>
      </c>
      <c r="G17" s="208">
        <v>187.48</v>
      </c>
      <c r="H17" s="209">
        <f t="shared" si="0"/>
        <v>74.123292671999991</v>
      </c>
      <c r="I17" s="18">
        <f>F17/12*G17</f>
        <v>6176.9410559999997</v>
      </c>
      <c r="J17" s="203"/>
    </row>
    <row r="18" spans="1:10" s="202" customFormat="1" ht="31.5" customHeight="1">
      <c r="A18" s="48">
        <v>3</v>
      </c>
      <c r="B18" s="205" t="s">
        <v>155</v>
      </c>
      <c r="C18" s="206" t="s">
        <v>158</v>
      </c>
      <c r="D18" s="205" t="s">
        <v>206</v>
      </c>
      <c r="E18" s="207">
        <f>SUM(E16+E17)</f>
        <v>475.20000000000005</v>
      </c>
      <c r="F18" s="208">
        <f>SUM(E18*24/100)</f>
        <v>114.04800000000002</v>
      </c>
      <c r="G18" s="208">
        <v>539.30999999999995</v>
      </c>
      <c r="H18" s="209">
        <f t="shared" si="0"/>
        <v>61.507226880000005</v>
      </c>
      <c r="I18" s="18">
        <f>F18/12*G18</f>
        <v>5125.6022400000002</v>
      </c>
      <c r="J18" s="203"/>
    </row>
    <row r="19" spans="1:10" s="202" customFormat="1" ht="15.75" hidden="1" customHeight="1">
      <c r="A19" s="48"/>
      <c r="B19" s="205" t="s">
        <v>161</v>
      </c>
      <c r="C19" s="206" t="s">
        <v>162</v>
      </c>
      <c r="D19" s="205" t="s">
        <v>163</v>
      </c>
      <c r="E19" s="207">
        <v>93.4</v>
      </c>
      <c r="F19" s="208">
        <f>SUM(E19/10)</f>
        <v>9.34</v>
      </c>
      <c r="G19" s="208">
        <v>181.9</v>
      </c>
      <c r="H19" s="209">
        <f t="shared" si="0"/>
        <v>1.6989460000000001</v>
      </c>
      <c r="I19" s="18">
        <v>0</v>
      </c>
      <c r="J19" s="203"/>
    </row>
    <row r="20" spans="1:10" s="202" customFormat="1" ht="15.75" hidden="1" customHeight="1">
      <c r="A20" s="48"/>
      <c r="B20" s="205" t="s">
        <v>164</v>
      </c>
      <c r="C20" s="206" t="s">
        <v>158</v>
      </c>
      <c r="D20" s="205" t="s">
        <v>53</v>
      </c>
      <c r="E20" s="207">
        <v>43.2</v>
      </c>
      <c r="F20" s="208">
        <f>SUM(E20*2/100)</f>
        <v>0.8640000000000001</v>
      </c>
      <c r="G20" s="208">
        <v>232.91</v>
      </c>
      <c r="H20" s="209">
        <f t="shared" si="0"/>
        <v>0.20123424000000004</v>
      </c>
      <c r="I20" s="18">
        <v>0</v>
      </c>
      <c r="J20" s="203"/>
    </row>
    <row r="21" spans="1:10" s="202" customFormat="1" ht="15.75" hidden="1" customHeight="1">
      <c r="A21" s="48"/>
      <c r="B21" s="205" t="s">
        <v>165</v>
      </c>
      <c r="C21" s="206" t="s">
        <v>158</v>
      </c>
      <c r="D21" s="205" t="s">
        <v>53</v>
      </c>
      <c r="E21" s="207">
        <v>10.08</v>
      </c>
      <c r="F21" s="208">
        <f>SUM(E21*2/100)</f>
        <v>0.2016</v>
      </c>
      <c r="G21" s="208">
        <v>231.03</v>
      </c>
      <c r="H21" s="209">
        <f t="shared" si="0"/>
        <v>4.6575648000000004E-2</v>
      </c>
      <c r="I21" s="18">
        <v>0</v>
      </c>
      <c r="J21" s="203"/>
    </row>
    <row r="22" spans="1:10" s="202" customFormat="1" ht="15.75" hidden="1" customHeight="1">
      <c r="A22" s="48"/>
      <c r="B22" s="205" t="s">
        <v>166</v>
      </c>
      <c r="C22" s="206" t="s">
        <v>65</v>
      </c>
      <c r="D22" s="205" t="s">
        <v>163</v>
      </c>
      <c r="E22" s="207">
        <v>642.6</v>
      </c>
      <c r="F22" s="208">
        <f>SUM(E22/100)</f>
        <v>6.4260000000000002</v>
      </c>
      <c r="G22" s="208">
        <v>287.83999999999997</v>
      </c>
      <c r="H22" s="209">
        <f t="shared" si="0"/>
        <v>1.8496598399999997</v>
      </c>
      <c r="I22" s="18">
        <v>0</v>
      </c>
      <c r="J22" s="203"/>
    </row>
    <row r="23" spans="1:10" s="202" customFormat="1" ht="15.75" hidden="1" customHeight="1">
      <c r="A23" s="48"/>
      <c r="B23" s="205" t="s">
        <v>167</v>
      </c>
      <c r="C23" s="206" t="s">
        <v>65</v>
      </c>
      <c r="D23" s="205" t="s">
        <v>163</v>
      </c>
      <c r="E23" s="210">
        <v>35.28</v>
      </c>
      <c r="F23" s="208">
        <f>SUM(E23/100)</f>
        <v>0.3528</v>
      </c>
      <c r="G23" s="208">
        <v>47.35</v>
      </c>
      <c r="H23" s="209">
        <f t="shared" si="0"/>
        <v>1.6705080000000004E-2</v>
      </c>
      <c r="I23" s="18">
        <v>0</v>
      </c>
      <c r="J23" s="203"/>
    </row>
    <row r="24" spans="1:10" s="202" customFormat="1" ht="15.75" hidden="1" customHeight="1">
      <c r="A24" s="48"/>
      <c r="B24" s="205" t="s">
        <v>168</v>
      </c>
      <c r="C24" s="206" t="s">
        <v>65</v>
      </c>
      <c r="D24" s="205" t="s">
        <v>163</v>
      </c>
      <c r="E24" s="207">
        <v>28.8</v>
      </c>
      <c r="F24" s="208">
        <f>SUM(E24/100)</f>
        <v>0.28800000000000003</v>
      </c>
      <c r="G24" s="208">
        <v>556.74</v>
      </c>
      <c r="H24" s="209">
        <f t="shared" si="0"/>
        <v>0.16034112000000003</v>
      </c>
      <c r="I24" s="18">
        <v>0</v>
      </c>
      <c r="J24" s="203"/>
    </row>
    <row r="25" spans="1:10" s="202" customFormat="1" ht="15.75" customHeight="1">
      <c r="A25" s="48">
        <v>4</v>
      </c>
      <c r="B25" s="205" t="s">
        <v>81</v>
      </c>
      <c r="C25" s="206" t="s">
        <v>38</v>
      </c>
      <c r="D25" s="205" t="s">
        <v>217</v>
      </c>
      <c r="E25" s="207">
        <v>0.1</v>
      </c>
      <c r="F25" s="208">
        <f>SUM(E25*365)</f>
        <v>36.5</v>
      </c>
      <c r="G25" s="208">
        <v>157.18</v>
      </c>
      <c r="H25" s="209">
        <f>SUM(F25*G25/1000)</f>
        <v>5.737070000000001</v>
      </c>
      <c r="I25" s="18">
        <f>F25/12*G25</f>
        <v>478.08916666666664</v>
      </c>
      <c r="J25" s="203"/>
    </row>
    <row r="26" spans="1:10" s="202" customFormat="1" ht="15.75" customHeight="1">
      <c r="A26" s="48">
        <v>5</v>
      </c>
      <c r="B26" s="213" t="s">
        <v>25</v>
      </c>
      <c r="C26" s="206" t="s">
        <v>26</v>
      </c>
      <c r="D26" s="213" t="s">
        <v>218</v>
      </c>
      <c r="E26" s="207">
        <v>3931</v>
      </c>
      <c r="F26" s="208">
        <f>SUM(E26*12)</f>
        <v>47172</v>
      </c>
      <c r="G26" s="208">
        <v>5.33</v>
      </c>
      <c r="H26" s="209">
        <f>SUM(F26*G26/1000)</f>
        <v>251.42676</v>
      </c>
      <c r="I26" s="18">
        <f>F26/12*G26</f>
        <v>20952.23</v>
      </c>
      <c r="J26" s="203"/>
    </row>
    <row r="27" spans="1:10" s="202" customFormat="1" ht="15.75" customHeight="1">
      <c r="A27" s="261" t="s">
        <v>117</v>
      </c>
      <c r="B27" s="262"/>
      <c r="C27" s="262"/>
      <c r="D27" s="262"/>
      <c r="E27" s="262"/>
      <c r="F27" s="262"/>
      <c r="G27" s="262"/>
      <c r="H27" s="262"/>
      <c r="I27" s="263"/>
      <c r="J27" s="203"/>
    </row>
    <row r="28" spans="1:10" s="202" customFormat="1" ht="15.75" customHeight="1">
      <c r="A28" s="48"/>
      <c r="B28" s="238" t="s">
        <v>33</v>
      </c>
      <c r="C28" s="206"/>
      <c r="D28" s="205"/>
      <c r="E28" s="207"/>
      <c r="F28" s="208"/>
      <c r="G28" s="208"/>
      <c r="H28" s="209"/>
      <c r="I28" s="18"/>
      <c r="J28" s="203"/>
    </row>
    <row r="29" spans="1:10" s="202" customFormat="1" ht="31.5" customHeight="1">
      <c r="A29" s="48">
        <v>6</v>
      </c>
      <c r="B29" s="205" t="s">
        <v>169</v>
      </c>
      <c r="C29" s="206" t="s">
        <v>170</v>
      </c>
      <c r="D29" s="205" t="s">
        <v>215</v>
      </c>
      <c r="E29" s="208">
        <v>1116.27</v>
      </c>
      <c r="F29" s="208">
        <f>SUM(E29*52/1000)</f>
        <v>58.046039999999998</v>
      </c>
      <c r="G29" s="208">
        <v>166.65</v>
      </c>
      <c r="H29" s="209">
        <f t="shared" ref="H29:H35" si="1">SUM(F29*G29/1000)</f>
        <v>9.6733725659999994</v>
      </c>
      <c r="I29" s="18">
        <f>F29/6*G29</f>
        <v>1612.2287609999998</v>
      </c>
      <c r="J29" s="203"/>
    </row>
    <row r="30" spans="1:10" s="202" customFormat="1" ht="31.5" customHeight="1">
      <c r="A30" s="48">
        <v>7</v>
      </c>
      <c r="B30" s="205" t="s">
        <v>244</v>
      </c>
      <c r="C30" s="206" t="s">
        <v>170</v>
      </c>
      <c r="D30" s="205" t="s">
        <v>216</v>
      </c>
      <c r="E30" s="208">
        <v>89.03</v>
      </c>
      <c r="F30" s="208">
        <f>SUM(E30*78/1000)</f>
        <v>6.9443400000000004</v>
      </c>
      <c r="G30" s="208">
        <v>276.48</v>
      </c>
      <c r="H30" s="209">
        <f t="shared" si="1"/>
        <v>1.9199711232000003</v>
      </c>
      <c r="I30" s="18">
        <f t="shared" ref="I30:I33" si="2">F30/6*G30</f>
        <v>319.99518720000003</v>
      </c>
      <c r="J30" s="203"/>
    </row>
    <row r="31" spans="1:10" s="202" customFormat="1" ht="15.75" hidden="1" customHeight="1">
      <c r="A31" s="48"/>
      <c r="B31" s="205" t="s">
        <v>32</v>
      </c>
      <c r="C31" s="206" t="s">
        <v>170</v>
      </c>
      <c r="D31" s="205" t="s">
        <v>66</v>
      </c>
      <c r="E31" s="208">
        <v>1116.27</v>
      </c>
      <c r="F31" s="208">
        <f>SUM(E31/1000)</f>
        <v>1.1162699999999999</v>
      </c>
      <c r="G31" s="208">
        <v>3228.73</v>
      </c>
      <c r="H31" s="209">
        <f t="shared" si="1"/>
        <v>3.6041344370999995</v>
      </c>
      <c r="I31" s="18">
        <f t="shared" si="2"/>
        <v>600.68907285</v>
      </c>
      <c r="J31" s="203"/>
    </row>
    <row r="32" spans="1:10" s="202" customFormat="1" ht="15.75" customHeight="1">
      <c r="A32" s="48">
        <v>8</v>
      </c>
      <c r="B32" s="205" t="s">
        <v>174</v>
      </c>
      <c r="C32" s="206" t="s">
        <v>49</v>
      </c>
      <c r="D32" s="205" t="s">
        <v>80</v>
      </c>
      <c r="E32" s="208">
        <v>6</v>
      </c>
      <c r="F32" s="208">
        <v>9.3000000000000007</v>
      </c>
      <c r="G32" s="208">
        <v>1391.86</v>
      </c>
      <c r="H32" s="209">
        <f>G32*F32/1000</f>
        <v>12.944298</v>
      </c>
      <c r="I32" s="18">
        <f t="shared" si="2"/>
        <v>2157.3829999999998</v>
      </c>
      <c r="J32" s="203"/>
    </row>
    <row r="33" spans="1:14" s="202" customFormat="1" ht="15.75" customHeight="1">
      <c r="A33" s="48">
        <v>9</v>
      </c>
      <c r="B33" s="205" t="s">
        <v>175</v>
      </c>
      <c r="C33" s="206" t="s">
        <v>36</v>
      </c>
      <c r="D33" s="205" t="s">
        <v>80</v>
      </c>
      <c r="E33" s="212">
        <v>0.33333333333333331</v>
      </c>
      <c r="F33" s="208">
        <f>155/3</f>
        <v>51.666666666666664</v>
      </c>
      <c r="G33" s="208">
        <v>60.6</v>
      </c>
      <c r="H33" s="209">
        <f>SUM(G33*155/3/1000)</f>
        <v>3.1309999999999998</v>
      </c>
      <c r="I33" s="18">
        <f t="shared" si="2"/>
        <v>521.83333333333337</v>
      </c>
      <c r="J33" s="203"/>
    </row>
    <row r="34" spans="1:14" s="202" customFormat="1" ht="15.75" hidden="1" customHeight="1">
      <c r="A34" s="48"/>
      <c r="B34" s="205" t="s">
        <v>82</v>
      </c>
      <c r="C34" s="206" t="s">
        <v>38</v>
      </c>
      <c r="D34" s="205" t="s">
        <v>84</v>
      </c>
      <c r="E34" s="207"/>
      <c r="F34" s="208">
        <v>3</v>
      </c>
      <c r="G34" s="208">
        <v>204.52</v>
      </c>
      <c r="H34" s="209">
        <f t="shared" si="1"/>
        <v>0.61356000000000011</v>
      </c>
      <c r="I34" s="18">
        <v>0</v>
      </c>
      <c r="J34" s="203"/>
    </row>
    <row r="35" spans="1:14" s="202" customFormat="1" ht="15.75" hidden="1" customHeight="1">
      <c r="A35" s="48"/>
      <c r="B35" s="205" t="s">
        <v>83</v>
      </c>
      <c r="C35" s="206" t="s">
        <v>37</v>
      </c>
      <c r="D35" s="205" t="s">
        <v>84</v>
      </c>
      <c r="E35" s="207"/>
      <c r="F35" s="208">
        <v>2</v>
      </c>
      <c r="G35" s="208">
        <v>1136.33</v>
      </c>
      <c r="H35" s="209">
        <f t="shared" si="1"/>
        <v>2.2726599999999997</v>
      </c>
      <c r="I35" s="18">
        <v>0</v>
      </c>
      <c r="J35" s="203"/>
    </row>
    <row r="36" spans="1:14" s="202" customFormat="1" ht="15.75" hidden="1" customHeight="1">
      <c r="A36" s="48"/>
      <c r="B36" s="238" t="s">
        <v>5</v>
      </c>
      <c r="C36" s="206"/>
      <c r="D36" s="205"/>
      <c r="E36" s="207"/>
      <c r="F36" s="208"/>
      <c r="G36" s="208"/>
      <c r="H36" s="209" t="s">
        <v>218</v>
      </c>
      <c r="I36" s="18"/>
      <c r="J36" s="203"/>
    </row>
    <row r="37" spans="1:14" s="202" customFormat="1" ht="15.75" hidden="1" customHeight="1">
      <c r="A37" s="48">
        <v>6</v>
      </c>
      <c r="B37" s="205" t="s">
        <v>30</v>
      </c>
      <c r="C37" s="206" t="s">
        <v>37</v>
      </c>
      <c r="D37" s="205"/>
      <c r="E37" s="207"/>
      <c r="F37" s="208">
        <v>8</v>
      </c>
      <c r="G37" s="208">
        <v>1632.6</v>
      </c>
      <c r="H37" s="209">
        <f t="shared" ref="H37:H44" si="3">SUM(F37*G37/1000)</f>
        <v>13.060799999999999</v>
      </c>
      <c r="I37" s="18">
        <f>F37/6*G37</f>
        <v>2176.7999999999997</v>
      </c>
      <c r="J37" s="203"/>
    </row>
    <row r="38" spans="1:14" s="202" customFormat="1" ht="15.75" hidden="1" customHeight="1">
      <c r="A38" s="48">
        <v>7</v>
      </c>
      <c r="B38" s="205" t="s">
        <v>133</v>
      </c>
      <c r="C38" s="206" t="s">
        <v>34</v>
      </c>
      <c r="D38" s="205" t="s">
        <v>176</v>
      </c>
      <c r="E38" s="207">
        <v>461.12</v>
      </c>
      <c r="F38" s="208">
        <f>E38*12/1000</f>
        <v>5.5334400000000006</v>
      </c>
      <c r="G38" s="208">
        <v>2247.8000000000002</v>
      </c>
      <c r="H38" s="209">
        <f>G38*F38/1000</f>
        <v>12.438066432000001</v>
      </c>
      <c r="I38" s="18">
        <f>F38/6*G38</f>
        <v>2073.0110720000002</v>
      </c>
      <c r="J38" s="203"/>
    </row>
    <row r="39" spans="1:14" s="202" customFormat="1" ht="15.75" hidden="1" customHeight="1">
      <c r="A39" s="48">
        <v>8</v>
      </c>
      <c r="B39" s="205" t="s">
        <v>177</v>
      </c>
      <c r="C39" s="206" t="s">
        <v>34</v>
      </c>
      <c r="D39" s="205" t="s">
        <v>178</v>
      </c>
      <c r="E39" s="207">
        <v>89.03</v>
      </c>
      <c r="F39" s="208">
        <f>E39*30/1000</f>
        <v>2.6709000000000001</v>
      </c>
      <c r="G39" s="208">
        <v>2247.8000000000002</v>
      </c>
      <c r="H39" s="209">
        <f>G39*F39/1000</f>
        <v>6.003649020000001</v>
      </c>
      <c r="I39" s="18">
        <f>F39/6*G39</f>
        <v>1000.6081700000001</v>
      </c>
      <c r="J39" s="203"/>
    </row>
    <row r="40" spans="1:14" s="202" customFormat="1" ht="15.75" hidden="1" customHeight="1">
      <c r="A40" s="48"/>
      <c r="B40" s="205" t="s">
        <v>179</v>
      </c>
      <c r="C40" s="206" t="s">
        <v>180</v>
      </c>
      <c r="D40" s="205" t="s">
        <v>84</v>
      </c>
      <c r="E40" s="207"/>
      <c r="F40" s="208">
        <v>135</v>
      </c>
      <c r="G40" s="208">
        <v>213.2</v>
      </c>
      <c r="H40" s="209">
        <f>G40*F40/1000</f>
        <v>28.782</v>
      </c>
      <c r="I40" s="18">
        <v>0</v>
      </c>
      <c r="J40" s="203"/>
      <c r="L40" s="27"/>
      <c r="M40" s="28"/>
      <c r="N40" s="54"/>
    </row>
    <row r="41" spans="1:14" s="202" customFormat="1" ht="15.75" hidden="1" customHeight="1">
      <c r="A41" s="48">
        <v>9</v>
      </c>
      <c r="B41" s="205" t="s">
        <v>85</v>
      </c>
      <c r="C41" s="206" t="s">
        <v>34</v>
      </c>
      <c r="D41" s="205" t="s">
        <v>181</v>
      </c>
      <c r="E41" s="208">
        <v>89.03</v>
      </c>
      <c r="F41" s="208">
        <f>SUM(E41*155/1000)</f>
        <v>13.79965</v>
      </c>
      <c r="G41" s="208">
        <v>374.95</v>
      </c>
      <c r="H41" s="209">
        <f t="shared" si="3"/>
        <v>5.1741787674999999</v>
      </c>
      <c r="I41" s="18">
        <f>F41/6*G41</f>
        <v>862.36312791666671</v>
      </c>
      <c r="J41" s="203"/>
      <c r="L41" s="27"/>
      <c r="M41" s="28"/>
      <c r="N41" s="54"/>
    </row>
    <row r="42" spans="1:14" s="202" customFormat="1" ht="15.75" hidden="1" customHeight="1">
      <c r="A42" s="48">
        <v>10</v>
      </c>
      <c r="B42" s="205" t="s">
        <v>111</v>
      </c>
      <c r="C42" s="206" t="s">
        <v>170</v>
      </c>
      <c r="D42" s="205" t="s">
        <v>182</v>
      </c>
      <c r="E42" s="208">
        <v>89.03</v>
      </c>
      <c r="F42" s="208">
        <f>SUM(E42*24/1000)</f>
        <v>2.1367200000000004</v>
      </c>
      <c r="G42" s="208">
        <v>6203.71</v>
      </c>
      <c r="H42" s="209">
        <f t="shared" si="3"/>
        <v>13.255591231200002</v>
      </c>
      <c r="I42" s="18">
        <f>F42/6*G42</f>
        <v>2209.2652052000003</v>
      </c>
      <c r="J42" s="203"/>
      <c r="L42" s="27"/>
      <c r="M42" s="28"/>
      <c r="N42" s="54"/>
    </row>
    <row r="43" spans="1:14" s="202" customFormat="1" ht="15.75" hidden="1" customHeight="1">
      <c r="A43" s="48">
        <v>11</v>
      </c>
      <c r="B43" s="205" t="s">
        <v>183</v>
      </c>
      <c r="C43" s="206" t="s">
        <v>170</v>
      </c>
      <c r="D43" s="205" t="s">
        <v>86</v>
      </c>
      <c r="E43" s="208">
        <v>89.03</v>
      </c>
      <c r="F43" s="208">
        <f>SUM(E43*45/1000)</f>
        <v>4.0063500000000003</v>
      </c>
      <c r="G43" s="208">
        <v>458.28</v>
      </c>
      <c r="H43" s="209">
        <f t="shared" si="3"/>
        <v>1.8360300780000001</v>
      </c>
      <c r="I43" s="18">
        <f>F43/6*G43</f>
        <v>306.00501299999996</v>
      </c>
      <c r="J43" s="203"/>
      <c r="L43" s="27"/>
      <c r="M43" s="28"/>
      <c r="N43" s="54"/>
    </row>
    <row r="44" spans="1:14" s="202" customFormat="1" ht="15.75" hidden="1" customHeight="1">
      <c r="A44" s="48">
        <v>12</v>
      </c>
      <c r="B44" s="205" t="s">
        <v>87</v>
      </c>
      <c r="C44" s="206" t="s">
        <v>38</v>
      </c>
      <c r="D44" s="205"/>
      <c r="E44" s="207"/>
      <c r="F44" s="208">
        <v>0.9</v>
      </c>
      <c r="G44" s="208">
        <v>798</v>
      </c>
      <c r="H44" s="209">
        <f t="shared" si="3"/>
        <v>0.71820000000000006</v>
      </c>
      <c r="I44" s="18">
        <f>F44/6*G44</f>
        <v>119.69999999999999</v>
      </c>
      <c r="J44" s="203"/>
      <c r="L44" s="27"/>
      <c r="M44" s="28"/>
      <c r="N44" s="54"/>
    </row>
    <row r="45" spans="1:14" s="202" customFormat="1" ht="15.75" hidden="1" customHeight="1">
      <c r="A45" s="261" t="s">
        <v>247</v>
      </c>
      <c r="B45" s="262"/>
      <c r="C45" s="262"/>
      <c r="D45" s="262"/>
      <c r="E45" s="262"/>
      <c r="F45" s="262"/>
      <c r="G45" s="262"/>
      <c r="H45" s="262"/>
      <c r="I45" s="263"/>
      <c r="J45" s="203"/>
      <c r="L45" s="27"/>
      <c r="M45" s="28"/>
      <c r="N45" s="54"/>
    </row>
    <row r="46" spans="1:14" s="202" customFormat="1" ht="15.75" hidden="1" customHeight="1">
      <c r="A46" s="48"/>
      <c r="B46" s="205" t="s">
        <v>184</v>
      </c>
      <c r="C46" s="206" t="s">
        <v>170</v>
      </c>
      <c r="D46" s="205" t="s">
        <v>53</v>
      </c>
      <c r="E46" s="207">
        <v>1032.5</v>
      </c>
      <c r="F46" s="208">
        <f>SUM(E46*2/1000)</f>
        <v>2.0649999999999999</v>
      </c>
      <c r="G46" s="18">
        <v>908.1</v>
      </c>
      <c r="H46" s="209">
        <f t="shared" ref="H46:H55" si="4">SUM(F46*G46/1000)</f>
        <v>1.8752264999999999</v>
      </c>
      <c r="I46" s="18">
        <v>0</v>
      </c>
      <c r="J46" s="203"/>
      <c r="L46" s="27"/>
      <c r="M46" s="28"/>
      <c r="N46" s="54"/>
    </row>
    <row r="47" spans="1:14" s="202" customFormat="1" ht="15.75" hidden="1" customHeight="1">
      <c r="A47" s="48"/>
      <c r="B47" s="205" t="s">
        <v>42</v>
      </c>
      <c r="C47" s="206" t="s">
        <v>170</v>
      </c>
      <c r="D47" s="205" t="s">
        <v>53</v>
      </c>
      <c r="E47" s="207">
        <v>132</v>
      </c>
      <c r="F47" s="208">
        <f>E47*2/1000</f>
        <v>0.26400000000000001</v>
      </c>
      <c r="G47" s="18">
        <v>619.46</v>
      </c>
      <c r="H47" s="209">
        <f t="shared" si="4"/>
        <v>0.16353744000000001</v>
      </c>
      <c r="I47" s="18">
        <v>0</v>
      </c>
      <c r="J47" s="203"/>
      <c r="L47" s="27"/>
      <c r="M47" s="28"/>
      <c r="N47" s="54"/>
    </row>
    <row r="48" spans="1:14" s="202" customFormat="1" ht="15.75" hidden="1" customHeight="1">
      <c r="A48" s="48"/>
      <c r="B48" s="205" t="s">
        <v>43</v>
      </c>
      <c r="C48" s="206" t="s">
        <v>170</v>
      </c>
      <c r="D48" s="205" t="s">
        <v>53</v>
      </c>
      <c r="E48" s="207">
        <v>4248.22</v>
      </c>
      <c r="F48" s="208">
        <f>SUM(E48*2/1000)</f>
        <v>8.4964399999999998</v>
      </c>
      <c r="G48" s="18">
        <v>619.46</v>
      </c>
      <c r="H48" s="209">
        <f t="shared" si="4"/>
        <v>5.2632047223999994</v>
      </c>
      <c r="I48" s="18">
        <v>0</v>
      </c>
      <c r="J48" s="203"/>
      <c r="L48" s="27"/>
      <c r="M48" s="28"/>
      <c r="N48" s="54"/>
    </row>
    <row r="49" spans="1:22" s="202" customFormat="1" ht="15.75" hidden="1" customHeight="1">
      <c r="A49" s="48"/>
      <c r="B49" s="205" t="s">
        <v>44</v>
      </c>
      <c r="C49" s="206" t="s">
        <v>170</v>
      </c>
      <c r="D49" s="205" t="s">
        <v>53</v>
      </c>
      <c r="E49" s="207">
        <v>2163.66</v>
      </c>
      <c r="F49" s="208">
        <f>SUM(E49*2/1000)</f>
        <v>4.3273199999999994</v>
      </c>
      <c r="G49" s="18">
        <v>648.64</v>
      </c>
      <c r="H49" s="209">
        <f t="shared" si="4"/>
        <v>2.8068728447999995</v>
      </c>
      <c r="I49" s="18">
        <v>0</v>
      </c>
      <c r="J49" s="203"/>
      <c r="L49" s="27"/>
      <c r="M49" s="28"/>
      <c r="N49" s="54"/>
    </row>
    <row r="50" spans="1:22" s="202" customFormat="1" ht="31.5" hidden="1" customHeight="1">
      <c r="A50" s="48">
        <v>13</v>
      </c>
      <c r="B50" s="205" t="s">
        <v>70</v>
      </c>
      <c r="C50" s="206" t="s">
        <v>170</v>
      </c>
      <c r="D50" s="205" t="s">
        <v>246</v>
      </c>
      <c r="E50" s="207">
        <v>1017.5</v>
      </c>
      <c r="F50" s="208">
        <f>SUM(E50*5/1000)</f>
        <v>5.0875000000000004</v>
      </c>
      <c r="G50" s="18">
        <v>1297.28</v>
      </c>
      <c r="H50" s="209">
        <f t="shared" si="4"/>
        <v>6.5999120000000007</v>
      </c>
      <c r="I50" s="18">
        <f>F50/5*G50</f>
        <v>1319.9824000000001</v>
      </c>
      <c r="J50" s="203"/>
      <c r="L50" s="27"/>
      <c r="M50" s="28"/>
      <c r="N50" s="54"/>
    </row>
    <row r="51" spans="1:22" s="202" customFormat="1" ht="31.5" hidden="1" customHeight="1">
      <c r="A51" s="48"/>
      <c r="B51" s="205" t="s">
        <v>186</v>
      </c>
      <c r="C51" s="206" t="s">
        <v>170</v>
      </c>
      <c r="D51" s="205" t="s">
        <v>53</v>
      </c>
      <c r="E51" s="207">
        <v>1017.5</v>
      </c>
      <c r="F51" s="208">
        <f>SUM(E51*2/1000)</f>
        <v>2.0350000000000001</v>
      </c>
      <c r="G51" s="18">
        <v>1297.28</v>
      </c>
      <c r="H51" s="209">
        <f t="shared" si="4"/>
        <v>2.6399648</v>
      </c>
      <c r="I51" s="18">
        <v>0</v>
      </c>
      <c r="J51" s="203"/>
      <c r="L51" s="27"/>
      <c r="M51" s="28"/>
      <c r="N51" s="54"/>
    </row>
    <row r="52" spans="1:22" s="202" customFormat="1" ht="31.5" hidden="1" customHeight="1">
      <c r="A52" s="48"/>
      <c r="B52" s="205" t="s">
        <v>187</v>
      </c>
      <c r="C52" s="206" t="s">
        <v>47</v>
      </c>
      <c r="D52" s="205" t="s">
        <v>53</v>
      </c>
      <c r="E52" s="207">
        <v>30</v>
      </c>
      <c r="F52" s="208">
        <f>SUM(E52*2/100)</f>
        <v>0.6</v>
      </c>
      <c r="G52" s="18">
        <v>2918.89</v>
      </c>
      <c r="H52" s="209">
        <f t="shared" si="4"/>
        <v>1.7513339999999997</v>
      </c>
      <c r="I52" s="18">
        <v>0</v>
      </c>
      <c r="J52" s="203"/>
      <c r="L52" s="27"/>
      <c r="M52" s="28"/>
      <c r="N52" s="54"/>
    </row>
    <row r="53" spans="1:22" s="202" customFormat="1" ht="15.75" hidden="1" customHeight="1">
      <c r="A53" s="48"/>
      <c r="B53" s="205" t="s">
        <v>48</v>
      </c>
      <c r="C53" s="206" t="s">
        <v>49</v>
      </c>
      <c r="D53" s="205" t="s">
        <v>53</v>
      </c>
      <c r="E53" s="207">
        <v>1</v>
      </c>
      <c r="F53" s="208">
        <v>0.02</v>
      </c>
      <c r="G53" s="18">
        <v>6042.13</v>
      </c>
      <c r="H53" s="209">
        <f t="shared" si="4"/>
        <v>0.12084260000000001</v>
      </c>
      <c r="I53" s="18">
        <v>0</v>
      </c>
      <c r="J53" s="203"/>
      <c r="L53" s="27"/>
      <c r="M53" s="28"/>
      <c r="N53" s="54"/>
    </row>
    <row r="54" spans="1:22" s="202" customFormat="1" ht="15.75" hidden="1" customHeight="1">
      <c r="A54" s="48">
        <v>14</v>
      </c>
      <c r="B54" s="205" t="s">
        <v>188</v>
      </c>
      <c r="C54" s="206" t="s">
        <v>140</v>
      </c>
      <c r="D54" s="205" t="s">
        <v>88</v>
      </c>
      <c r="E54" s="207">
        <v>90</v>
      </c>
      <c r="F54" s="208">
        <f>E54*4</f>
        <v>360</v>
      </c>
      <c r="G54" s="18">
        <v>150.86000000000001</v>
      </c>
      <c r="H54" s="209">
        <f>F54*G54/1000</f>
        <v>54.309600000000003</v>
      </c>
      <c r="I54" s="18">
        <f>G54*E54</f>
        <v>13577.400000000001</v>
      </c>
      <c r="J54" s="203"/>
      <c r="L54" s="27"/>
      <c r="M54" s="28"/>
      <c r="N54" s="54"/>
    </row>
    <row r="55" spans="1:22" s="202" customFormat="1" ht="15.75" hidden="1" customHeight="1">
      <c r="A55" s="48">
        <v>15</v>
      </c>
      <c r="B55" s="205" t="s">
        <v>52</v>
      </c>
      <c r="C55" s="206" t="s">
        <v>140</v>
      </c>
      <c r="D55" s="205" t="s">
        <v>88</v>
      </c>
      <c r="E55" s="207">
        <v>180</v>
      </c>
      <c r="F55" s="208">
        <f>SUM(E55)*3</f>
        <v>540</v>
      </c>
      <c r="G55" s="18">
        <v>70.2</v>
      </c>
      <c r="H55" s="209">
        <f t="shared" si="4"/>
        <v>37.908000000000001</v>
      </c>
      <c r="I55" s="18">
        <f>G55*E55</f>
        <v>12636</v>
      </c>
      <c r="J55" s="203"/>
      <c r="L55" s="27"/>
      <c r="M55" s="28"/>
      <c r="N55" s="54"/>
    </row>
    <row r="56" spans="1:22" s="202" customFormat="1" ht="15.75" customHeight="1">
      <c r="A56" s="261" t="s">
        <v>265</v>
      </c>
      <c r="B56" s="262"/>
      <c r="C56" s="262"/>
      <c r="D56" s="262"/>
      <c r="E56" s="262"/>
      <c r="F56" s="262"/>
      <c r="G56" s="262"/>
      <c r="H56" s="262"/>
      <c r="I56" s="263"/>
      <c r="J56" s="203"/>
      <c r="L56" s="27"/>
      <c r="M56" s="28"/>
      <c r="N56" s="54"/>
    </row>
    <row r="57" spans="1:22" s="202" customFormat="1" ht="15.75" hidden="1" customHeight="1">
      <c r="A57" s="48"/>
      <c r="B57" s="238" t="s">
        <v>54</v>
      </c>
      <c r="C57" s="206"/>
      <c r="D57" s="205"/>
      <c r="E57" s="207"/>
      <c r="F57" s="208"/>
      <c r="G57" s="208"/>
      <c r="H57" s="209"/>
      <c r="I57" s="18"/>
      <c r="J57" s="203"/>
      <c r="L57" s="27"/>
      <c r="M57" s="28"/>
      <c r="N57" s="54"/>
    </row>
    <row r="58" spans="1:22" s="202" customFormat="1" ht="31.5" hidden="1" customHeight="1">
      <c r="A58" s="48">
        <v>16</v>
      </c>
      <c r="B58" s="205" t="s">
        <v>207</v>
      </c>
      <c r="C58" s="206" t="s">
        <v>158</v>
      </c>
      <c r="D58" s="205" t="s">
        <v>189</v>
      </c>
      <c r="E58" s="207">
        <v>103.25</v>
      </c>
      <c r="F58" s="208">
        <f>SUM(E58*6/100)</f>
        <v>6.1950000000000003</v>
      </c>
      <c r="G58" s="18">
        <v>1654.04</v>
      </c>
      <c r="H58" s="209">
        <f>SUM(F58*G58/1000)</f>
        <v>10.2467778</v>
      </c>
      <c r="I58" s="18">
        <f>F58/6*G58</f>
        <v>1707.7963</v>
      </c>
      <c r="J58" s="203"/>
      <c r="L58" s="27"/>
      <c r="M58" s="28"/>
      <c r="N58" s="54"/>
    </row>
    <row r="59" spans="1:22" s="202" customFormat="1" ht="31.5" hidden="1" customHeight="1">
      <c r="A59" s="48">
        <v>17</v>
      </c>
      <c r="B59" s="205" t="s">
        <v>138</v>
      </c>
      <c r="C59" s="206" t="s">
        <v>158</v>
      </c>
      <c r="D59" s="205" t="s">
        <v>139</v>
      </c>
      <c r="E59" s="207">
        <v>39.700000000000003</v>
      </c>
      <c r="F59" s="208">
        <f>SUM(E59*12/100)</f>
        <v>4.7640000000000002</v>
      </c>
      <c r="G59" s="18">
        <v>1654.04</v>
      </c>
      <c r="H59" s="209">
        <f>SUM(F59*G59/1000)</f>
        <v>7.8798465599999998</v>
      </c>
      <c r="I59" s="18">
        <f>F59/6*G59</f>
        <v>1313.3077600000001</v>
      </c>
      <c r="J59" s="203"/>
      <c r="L59" s="27"/>
      <c r="M59" s="28"/>
      <c r="N59" s="54"/>
    </row>
    <row r="60" spans="1:22" s="202" customFormat="1" ht="15.75" hidden="1" customHeight="1">
      <c r="A60" s="48">
        <v>18</v>
      </c>
      <c r="B60" s="214" t="s">
        <v>190</v>
      </c>
      <c r="C60" s="215" t="s">
        <v>191</v>
      </c>
      <c r="D60" s="214" t="s">
        <v>53</v>
      </c>
      <c r="E60" s="216">
        <v>8</v>
      </c>
      <c r="F60" s="217">
        <v>16</v>
      </c>
      <c r="G60" s="18">
        <v>193.25</v>
      </c>
      <c r="H60" s="218">
        <f>F60*G60/1000</f>
        <v>3.0920000000000001</v>
      </c>
      <c r="I60" s="18">
        <f>F60/2*G60</f>
        <v>1546</v>
      </c>
      <c r="J60" s="203"/>
      <c r="L60" s="27"/>
    </row>
    <row r="61" spans="1:22" s="202" customFormat="1" ht="15.75" hidden="1" customHeight="1">
      <c r="A61" s="48">
        <v>19</v>
      </c>
      <c r="B61" s="205" t="s">
        <v>192</v>
      </c>
      <c r="C61" s="206" t="s">
        <v>158</v>
      </c>
      <c r="D61" s="205" t="s">
        <v>189</v>
      </c>
      <c r="E61" s="207">
        <v>41.73</v>
      </c>
      <c r="F61" s="208">
        <f>SUM(E61*6/100)</f>
        <v>2.5038</v>
      </c>
      <c r="G61" s="18">
        <v>1654.04</v>
      </c>
      <c r="H61" s="209">
        <f>SUM(F61*G61/1000)</f>
        <v>4.1413853520000004</v>
      </c>
      <c r="I61" s="18">
        <f>F61/6*G61</f>
        <v>690.23089200000004</v>
      </c>
      <c r="J61" s="203"/>
      <c r="L61" s="27"/>
    </row>
    <row r="62" spans="1:22" s="202" customFormat="1" ht="15.75" customHeight="1">
      <c r="A62" s="48"/>
      <c r="B62" s="239" t="s">
        <v>55</v>
      </c>
      <c r="C62" s="215"/>
      <c r="D62" s="214"/>
      <c r="E62" s="216"/>
      <c r="F62" s="217"/>
      <c r="G62" s="18"/>
      <c r="H62" s="218"/>
      <c r="I62" s="18"/>
    </row>
    <row r="63" spans="1:22" s="202" customFormat="1" ht="15.75" hidden="1" customHeight="1">
      <c r="A63" s="48"/>
      <c r="B63" s="214" t="s">
        <v>219</v>
      </c>
      <c r="C63" s="215" t="s">
        <v>65</v>
      </c>
      <c r="D63" s="214" t="s">
        <v>66</v>
      </c>
      <c r="E63" s="216">
        <v>1017.5</v>
      </c>
      <c r="F63" s="217">
        <v>10.154</v>
      </c>
      <c r="G63" s="18">
        <v>848.37</v>
      </c>
      <c r="H63" s="218">
        <f>F63*G63/1000</f>
        <v>8.6143489800000008</v>
      </c>
      <c r="I63" s="18">
        <v>0</v>
      </c>
    </row>
    <row r="64" spans="1:22" s="202" customFormat="1" ht="15.75" customHeight="1">
      <c r="A64" s="48">
        <v>10</v>
      </c>
      <c r="B64" s="214" t="s">
        <v>142</v>
      </c>
      <c r="C64" s="215" t="s">
        <v>28</v>
      </c>
      <c r="D64" s="214" t="s">
        <v>35</v>
      </c>
      <c r="E64" s="216">
        <v>203.5</v>
      </c>
      <c r="F64" s="219">
        <f>E64*12</f>
        <v>2442</v>
      </c>
      <c r="G64" s="197">
        <v>2.6</v>
      </c>
      <c r="H64" s="217">
        <f>F64*G64/1000</f>
        <v>6.3491999999999997</v>
      </c>
      <c r="I64" s="18">
        <f>F64/12*G64</f>
        <v>529.1</v>
      </c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1"/>
    </row>
    <row r="65" spans="1:21" s="202" customFormat="1" ht="15.75" hidden="1" customHeight="1">
      <c r="A65" s="48"/>
      <c r="B65" s="239" t="s">
        <v>57</v>
      </c>
      <c r="C65" s="215"/>
      <c r="D65" s="214"/>
      <c r="E65" s="216"/>
      <c r="F65" s="219"/>
      <c r="G65" s="219"/>
      <c r="H65" s="217" t="s">
        <v>218</v>
      </c>
      <c r="I65" s="18"/>
      <c r="J65" s="222"/>
      <c r="K65" s="222"/>
      <c r="L65" s="220"/>
      <c r="M65" s="220"/>
      <c r="N65" s="220"/>
      <c r="O65" s="220"/>
      <c r="P65" s="220"/>
      <c r="Q65" s="220"/>
      <c r="R65" s="220"/>
      <c r="S65" s="220"/>
      <c r="T65" s="220"/>
      <c r="U65" s="220"/>
    </row>
    <row r="66" spans="1:21" s="202" customFormat="1" ht="15.75" hidden="1" customHeight="1">
      <c r="A66" s="48"/>
      <c r="B66" s="20" t="s">
        <v>58</v>
      </c>
      <c r="C66" s="22" t="s">
        <v>140</v>
      </c>
      <c r="D66" s="20" t="s">
        <v>84</v>
      </c>
      <c r="E66" s="25">
        <v>10</v>
      </c>
      <c r="F66" s="208">
        <v>10</v>
      </c>
      <c r="G66" s="18">
        <v>237.75</v>
      </c>
      <c r="H66" s="223">
        <f t="shared" ref="H66:H79" si="5">SUM(F66*G66/1000)</f>
        <v>2.3774999999999999</v>
      </c>
      <c r="I66" s="18">
        <v>0</v>
      </c>
      <c r="J66" s="220"/>
      <c r="K66" s="220"/>
      <c r="L66" s="220"/>
      <c r="M66" s="220"/>
      <c r="N66" s="220"/>
      <c r="O66" s="220"/>
      <c r="P66" s="220"/>
      <c r="Q66" s="220"/>
      <c r="S66" s="220"/>
      <c r="T66" s="220"/>
      <c r="U66" s="220"/>
    </row>
    <row r="67" spans="1:21" s="202" customFormat="1" ht="15.75" hidden="1" customHeight="1">
      <c r="A67" s="48"/>
      <c r="B67" s="20" t="s">
        <v>59</v>
      </c>
      <c r="C67" s="22" t="s">
        <v>140</v>
      </c>
      <c r="D67" s="20" t="s">
        <v>84</v>
      </c>
      <c r="E67" s="25">
        <v>5</v>
      </c>
      <c r="F67" s="208">
        <v>5</v>
      </c>
      <c r="G67" s="18">
        <v>81.510000000000005</v>
      </c>
      <c r="H67" s="223">
        <f t="shared" si="5"/>
        <v>0.40755000000000002</v>
      </c>
      <c r="I67" s="18">
        <v>0</v>
      </c>
      <c r="J67" s="224"/>
      <c r="K67" s="224"/>
      <c r="L67" s="224"/>
      <c r="M67" s="224"/>
      <c r="N67" s="224"/>
      <c r="O67" s="224"/>
      <c r="P67" s="224"/>
      <c r="Q67" s="224"/>
      <c r="R67" s="264"/>
      <c r="S67" s="264"/>
      <c r="T67" s="264"/>
      <c r="U67" s="264"/>
    </row>
    <row r="68" spans="1:21" s="202" customFormat="1" ht="15.75" hidden="1" customHeight="1">
      <c r="A68" s="48"/>
      <c r="B68" s="20" t="s">
        <v>60</v>
      </c>
      <c r="C68" s="22" t="s">
        <v>193</v>
      </c>
      <c r="D68" s="20" t="s">
        <v>66</v>
      </c>
      <c r="E68" s="207">
        <v>14347</v>
      </c>
      <c r="F68" s="18">
        <f>SUM(E68/100)</f>
        <v>143.47</v>
      </c>
      <c r="G68" s="18">
        <v>226.79</v>
      </c>
      <c r="H68" s="223">
        <f t="shared" si="5"/>
        <v>32.5375613</v>
      </c>
      <c r="I68" s="18">
        <v>0</v>
      </c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</row>
    <row r="69" spans="1:21" s="202" customFormat="1" ht="15.75" hidden="1" customHeight="1">
      <c r="A69" s="48"/>
      <c r="B69" s="20" t="s">
        <v>61</v>
      </c>
      <c r="C69" s="22" t="s">
        <v>194</v>
      </c>
      <c r="D69" s="20" t="s">
        <v>66</v>
      </c>
      <c r="E69" s="207">
        <v>14347</v>
      </c>
      <c r="F69" s="18">
        <f>SUM(E69/1000)</f>
        <v>14.347</v>
      </c>
      <c r="G69" s="18">
        <v>176.61</v>
      </c>
      <c r="H69" s="223">
        <f t="shared" si="5"/>
        <v>2.5338236700000003</v>
      </c>
      <c r="I69" s="18">
        <v>0</v>
      </c>
    </row>
    <row r="70" spans="1:21" s="202" customFormat="1" ht="15.75" hidden="1" customHeight="1">
      <c r="A70" s="48"/>
      <c r="B70" s="20" t="s">
        <v>62</v>
      </c>
      <c r="C70" s="22" t="s">
        <v>94</v>
      </c>
      <c r="D70" s="20" t="s">
        <v>66</v>
      </c>
      <c r="E70" s="207">
        <v>2244</v>
      </c>
      <c r="F70" s="18">
        <f>SUM(E70/100)</f>
        <v>22.44</v>
      </c>
      <c r="G70" s="18">
        <v>2217.7800000000002</v>
      </c>
      <c r="H70" s="223">
        <f t="shared" si="5"/>
        <v>49.766983200000013</v>
      </c>
      <c r="I70" s="18">
        <v>0</v>
      </c>
    </row>
    <row r="71" spans="1:21" s="202" customFormat="1" ht="15.75" hidden="1" customHeight="1">
      <c r="A71" s="48"/>
      <c r="B71" s="225" t="s">
        <v>195</v>
      </c>
      <c r="C71" s="22" t="s">
        <v>38</v>
      </c>
      <c r="D71" s="20" t="s">
        <v>66</v>
      </c>
      <c r="E71" s="207">
        <v>12.48</v>
      </c>
      <c r="F71" s="18">
        <f>SUM(E71)</f>
        <v>12.48</v>
      </c>
      <c r="G71" s="18">
        <v>42.67</v>
      </c>
      <c r="H71" s="223">
        <f t="shared" si="5"/>
        <v>0.53252160000000004</v>
      </c>
      <c r="I71" s="18">
        <v>0</v>
      </c>
    </row>
    <row r="72" spans="1:21" s="202" customFormat="1" ht="15.75" hidden="1" customHeight="1">
      <c r="A72" s="48"/>
      <c r="B72" s="225" t="s">
        <v>196</v>
      </c>
      <c r="C72" s="22" t="s">
        <v>38</v>
      </c>
      <c r="D72" s="20" t="s">
        <v>66</v>
      </c>
      <c r="E72" s="207">
        <v>12.48</v>
      </c>
      <c r="F72" s="18">
        <f>SUM(E72)</f>
        <v>12.48</v>
      </c>
      <c r="G72" s="18">
        <v>39.81</v>
      </c>
      <c r="H72" s="223">
        <f t="shared" si="5"/>
        <v>0.49682880000000007</v>
      </c>
      <c r="I72" s="18">
        <v>0</v>
      </c>
    </row>
    <row r="73" spans="1:21" s="202" customFormat="1" ht="15.75" hidden="1" customHeight="1">
      <c r="A73" s="48"/>
      <c r="B73" s="20" t="s">
        <v>71</v>
      </c>
      <c r="C73" s="22" t="s">
        <v>72</v>
      </c>
      <c r="D73" s="20" t="s">
        <v>66</v>
      </c>
      <c r="E73" s="25">
        <v>5</v>
      </c>
      <c r="F73" s="208">
        <v>5</v>
      </c>
      <c r="G73" s="18">
        <v>53.32</v>
      </c>
      <c r="H73" s="223">
        <f t="shared" si="5"/>
        <v>0.2666</v>
      </c>
      <c r="I73" s="18">
        <v>0</v>
      </c>
    </row>
    <row r="74" spans="1:21" s="202" customFormat="1" ht="15.75" hidden="1" customHeight="1">
      <c r="A74" s="48"/>
      <c r="B74" s="193" t="s">
        <v>89</v>
      </c>
      <c r="C74" s="22"/>
      <c r="D74" s="20"/>
      <c r="E74" s="25"/>
      <c r="F74" s="18"/>
      <c r="G74" s="18"/>
      <c r="H74" s="223" t="s">
        <v>218</v>
      </c>
      <c r="I74" s="18"/>
    </row>
    <row r="75" spans="1:21" s="202" customFormat="1" ht="15.75" hidden="1" customHeight="1">
      <c r="A75" s="48"/>
      <c r="B75" s="20" t="s">
        <v>90</v>
      </c>
      <c r="C75" s="22" t="s">
        <v>92</v>
      </c>
      <c r="D75" s="20"/>
      <c r="E75" s="25">
        <v>2</v>
      </c>
      <c r="F75" s="18">
        <v>0.2</v>
      </c>
      <c r="G75" s="18">
        <v>536.23</v>
      </c>
      <c r="H75" s="223">
        <f t="shared" si="5"/>
        <v>0.10724600000000001</v>
      </c>
      <c r="I75" s="18">
        <v>0</v>
      </c>
    </row>
    <row r="76" spans="1:21" s="202" customFormat="1" ht="15.75" hidden="1" customHeight="1">
      <c r="A76" s="48">
        <v>21</v>
      </c>
      <c r="B76" s="20" t="s">
        <v>91</v>
      </c>
      <c r="C76" s="22" t="s">
        <v>36</v>
      </c>
      <c r="D76" s="20"/>
      <c r="E76" s="25">
        <v>1</v>
      </c>
      <c r="F76" s="197">
        <v>1</v>
      </c>
      <c r="G76" s="18">
        <v>911.85</v>
      </c>
      <c r="H76" s="223">
        <f>F76*G76/1000</f>
        <v>0.91185000000000005</v>
      </c>
      <c r="I76" s="18">
        <f>G76</f>
        <v>911.85</v>
      </c>
    </row>
    <row r="77" spans="1:21" s="202" customFormat="1" ht="15.75" hidden="1" customHeight="1">
      <c r="A77" s="48"/>
      <c r="B77" s="20" t="s">
        <v>199</v>
      </c>
      <c r="C77" s="22" t="s">
        <v>36</v>
      </c>
      <c r="D77" s="20"/>
      <c r="E77" s="25">
        <v>1</v>
      </c>
      <c r="F77" s="18">
        <v>1</v>
      </c>
      <c r="G77" s="18">
        <v>383.25</v>
      </c>
      <c r="H77" s="223">
        <f>G77*F77/1000</f>
        <v>0.38324999999999998</v>
      </c>
      <c r="I77" s="18">
        <v>0</v>
      </c>
    </row>
    <row r="78" spans="1:21" s="202" customFormat="1" ht="15.75" hidden="1" customHeight="1">
      <c r="A78" s="48"/>
      <c r="B78" s="227" t="s">
        <v>93</v>
      </c>
      <c r="C78" s="22"/>
      <c r="D78" s="20"/>
      <c r="E78" s="25"/>
      <c r="F78" s="18"/>
      <c r="G78" s="18" t="s">
        <v>218</v>
      </c>
      <c r="H78" s="223" t="s">
        <v>218</v>
      </c>
      <c r="I78" s="18"/>
    </row>
    <row r="79" spans="1:21" s="202" customFormat="1" ht="15.75" hidden="1" customHeight="1">
      <c r="A79" s="48"/>
      <c r="B79" s="86" t="s">
        <v>200</v>
      </c>
      <c r="C79" s="22" t="s">
        <v>94</v>
      </c>
      <c r="D79" s="20"/>
      <c r="E79" s="25"/>
      <c r="F79" s="18">
        <v>1</v>
      </c>
      <c r="G79" s="18">
        <v>2949.84</v>
      </c>
      <c r="H79" s="223">
        <f t="shared" si="5"/>
        <v>2.94984</v>
      </c>
      <c r="I79" s="18">
        <v>0</v>
      </c>
    </row>
    <row r="80" spans="1:21" s="202" customFormat="1" ht="15.75" hidden="1" customHeight="1">
      <c r="A80" s="48"/>
      <c r="B80" s="193" t="s">
        <v>197</v>
      </c>
      <c r="C80" s="227"/>
      <c r="D80" s="53"/>
      <c r="E80" s="58"/>
      <c r="F80" s="211"/>
      <c r="G80" s="211"/>
      <c r="H80" s="228">
        <f>SUM(H58:H79)</f>
        <v>133.59511326200004</v>
      </c>
      <c r="I80" s="211"/>
    </row>
    <row r="81" spans="1:9" s="202" customFormat="1" ht="15.75" hidden="1" customHeight="1">
      <c r="A81" s="48"/>
      <c r="B81" s="205" t="s">
        <v>198</v>
      </c>
      <c r="C81" s="22"/>
      <c r="D81" s="20"/>
      <c r="E81" s="198"/>
      <c r="F81" s="18">
        <v>1</v>
      </c>
      <c r="G81" s="18">
        <v>27922</v>
      </c>
      <c r="H81" s="223">
        <f>G81*F81/1000</f>
        <v>27.922000000000001</v>
      </c>
      <c r="I81" s="18">
        <v>0</v>
      </c>
    </row>
    <row r="82" spans="1:9" s="202" customFormat="1" ht="15.75" customHeight="1">
      <c r="A82" s="274" t="s">
        <v>266</v>
      </c>
      <c r="B82" s="275"/>
      <c r="C82" s="275"/>
      <c r="D82" s="275"/>
      <c r="E82" s="275"/>
      <c r="F82" s="275"/>
      <c r="G82" s="275"/>
      <c r="H82" s="275"/>
      <c r="I82" s="276"/>
    </row>
    <row r="83" spans="1:9" s="202" customFormat="1" ht="15.75" customHeight="1">
      <c r="A83" s="48">
        <v>11</v>
      </c>
      <c r="B83" s="205" t="s">
        <v>201</v>
      </c>
      <c r="C83" s="22" t="s">
        <v>67</v>
      </c>
      <c r="D83" s="229" t="s">
        <v>68</v>
      </c>
      <c r="E83" s="18">
        <v>3931</v>
      </c>
      <c r="F83" s="18">
        <f>SUM(E83*12)</f>
        <v>47172</v>
      </c>
      <c r="G83" s="18">
        <v>2.2400000000000002</v>
      </c>
      <c r="H83" s="223">
        <f>SUM(F83*G83/1000)</f>
        <v>105.66528000000001</v>
      </c>
      <c r="I83" s="18">
        <f>F83/12*G83</f>
        <v>8805.44</v>
      </c>
    </row>
    <row r="84" spans="1:9" s="202" customFormat="1" ht="31.5" customHeight="1">
      <c r="A84" s="48">
        <v>12</v>
      </c>
      <c r="B84" s="20" t="s">
        <v>95</v>
      </c>
      <c r="C84" s="22"/>
      <c r="D84" s="229" t="s">
        <v>68</v>
      </c>
      <c r="E84" s="207">
        <f>E83</f>
        <v>3931</v>
      </c>
      <c r="F84" s="18">
        <f>E84*12</f>
        <v>47172</v>
      </c>
      <c r="G84" s="18">
        <v>1.74</v>
      </c>
      <c r="H84" s="223">
        <f>F84*G84/1000</f>
        <v>82.079279999999997</v>
      </c>
      <c r="I84" s="18">
        <f>F84/12*G84</f>
        <v>6839.94</v>
      </c>
    </row>
    <row r="85" spans="1:9" s="202" customFormat="1" ht="15.75" customHeight="1">
      <c r="A85" s="48"/>
      <c r="B85" s="73" t="s">
        <v>101</v>
      </c>
      <c r="C85" s="227"/>
      <c r="D85" s="226"/>
      <c r="E85" s="211"/>
      <c r="F85" s="211"/>
      <c r="G85" s="211"/>
      <c r="H85" s="228">
        <f>H84</f>
        <v>82.079279999999997</v>
      </c>
      <c r="I85" s="211">
        <f>I16+I17+I18+I25+I26+I29+I30+I32+I33+I64+I83+I84</f>
        <v>55835.135640200009</v>
      </c>
    </row>
    <row r="86" spans="1:9" s="202" customFormat="1" ht="15.75" customHeight="1">
      <c r="A86" s="48"/>
      <c r="B86" s="180" t="s">
        <v>74</v>
      </c>
      <c r="C86" s="22"/>
      <c r="D86" s="86"/>
      <c r="E86" s="18"/>
      <c r="F86" s="18"/>
      <c r="G86" s="18"/>
      <c r="H86" s="18"/>
      <c r="I86" s="18"/>
    </row>
    <row r="87" spans="1:9" s="202" customFormat="1" ht="31.5" customHeight="1">
      <c r="A87" s="48">
        <v>13</v>
      </c>
      <c r="B87" s="232" t="s">
        <v>110</v>
      </c>
      <c r="C87" s="184" t="s">
        <v>47</v>
      </c>
      <c r="D87" s="20"/>
      <c r="E87" s="25"/>
      <c r="F87" s="18">
        <v>0.04</v>
      </c>
      <c r="G87" s="18">
        <v>3397.65</v>
      </c>
      <c r="H87" s="223">
        <f t="shared" ref="H87:H91" si="6">G87*F87/1000</f>
        <v>0.135906</v>
      </c>
      <c r="I87" s="230">
        <f>G87*0.02</f>
        <v>67.953000000000003</v>
      </c>
    </row>
    <row r="88" spans="1:9" s="202" customFormat="1" ht="15.75" customHeight="1">
      <c r="A88" s="48">
        <v>14</v>
      </c>
      <c r="B88" s="233" t="s">
        <v>144</v>
      </c>
      <c r="C88" s="231" t="s">
        <v>145</v>
      </c>
      <c r="D88" s="20"/>
      <c r="E88" s="25"/>
      <c r="F88" s="18">
        <f>15/3</f>
        <v>5</v>
      </c>
      <c r="G88" s="18">
        <v>1063.47</v>
      </c>
      <c r="H88" s="223">
        <f t="shared" si="6"/>
        <v>5.3173500000000002</v>
      </c>
      <c r="I88" s="230">
        <f>G88*2</f>
        <v>2126.94</v>
      </c>
    </row>
    <row r="89" spans="1:9" s="202" customFormat="1" ht="15.75" customHeight="1">
      <c r="A89" s="48">
        <v>15</v>
      </c>
      <c r="B89" s="232" t="s">
        <v>106</v>
      </c>
      <c r="C89" s="184" t="s">
        <v>140</v>
      </c>
      <c r="D89" s="20"/>
      <c r="E89" s="25"/>
      <c r="F89" s="18">
        <v>8</v>
      </c>
      <c r="G89" s="18">
        <v>180.15</v>
      </c>
      <c r="H89" s="223">
        <f t="shared" si="6"/>
        <v>1.4412</v>
      </c>
      <c r="I89" s="230">
        <f>G89</f>
        <v>180.15</v>
      </c>
    </row>
    <row r="90" spans="1:9" s="202" customFormat="1" ht="31.5" customHeight="1">
      <c r="A90" s="48">
        <v>16</v>
      </c>
      <c r="B90" s="232" t="s">
        <v>100</v>
      </c>
      <c r="C90" s="184" t="s">
        <v>140</v>
      </c>
      <c r="D90" s="20"/>
      <c r="E90" s="25"/>
      <c r="F90" s="18">
        <v>8</v>
      </c>
      <c r="G90" s="18">
        <v>79.09</v>
      </c>
      <c r="H90" s="223">
        <f t="shared" si="6"/>
        <v>0.63272000000000006</v>
      </c>
      <c r="I90" s="230">
        <f>G90*2</f>
        <v>158.18</v>
      </c>
    </row>
    <row r="91" spans="1:9" s="202" customFormat="1" ht="31.5" customHeight="1">
      <c r="A91" s="48">
        <v>17</v>
      </c>
      <c r="B91" s="232" t="s">
        <v>226</v>
      </c>
      <c r="C91" s="184" t="s">
        <v>103</v>
      </c>
      <c r="D91" s="20"/>
      <c r="E91" s="25"/>
      <c r="F91" s="18">
        <v>2.5</v>
      </c>
      <c r="G91" s="18">
        <v>1272</v>
      </c>
      <c r="H91" s="223">
        <f t="shared" si="6"/>
        <v>3.18</v>
      </c>
      <c r="I91" s="230">
        <f>G91*2.5</f>
        <v>3180</v>
      </c>
    </row>
    <row r="92" spans="1:9" s="202" customFormat="1" ht="31.5" customHeight="1">
      <c r="A92" s="48">
        <v>18</v>
      </c>
      <c r="B92" s="232" t="s">
        <v>130</v>
      </c>
      <c r="C92" s="184" t="s">
        <v>227</v>
      </c>
      <c r="D92" s="20"/>
      <c r="E92" s="25"/>
      <c r="F92" s="18">
        <v>1</v>
      </c>
      <c r="G92" s="18">
        <v>559.62</v>
      </c>
      <c r="H92" s="223">
        <f>G92*F92/1000</f>
        <v>0.55962000000000001</v>
      </c>
      <c r="I92" s="230">
        <f>G92</f>
        <v>559.62</v>
      </c>
    </row>
    <row r="93" spans="1:9" s="202" customFormat="1" ht="31.5" customHeight="1">
      <c r="A93" s="48">
        <v>19</v>
      </c>
      <c r="B93" s="232" t="s">
        <v>228</v>
      </c>
      <c r="C93" s="184" t="s">
        <v>229</v>
      </c>
      <c r="D93" s="20"/>
      <c r="E93" s="25"/>
      <c r="F93" s="18">
        <v>3</v>
      </c>
      <c r="G93" s="18">
        <v>195.95</v>
      </c>
      <c r="H93" s="223">
        <f t="shared" ref="H93:H94" si="7">G93*F93/1000</f>
        <v>0.58784999999999987</v>
      </c>
      <c r="I93" s="230">
        <f>G93</f>
        <v>195.95</v>
      </c>
    </row>
    <row r="94" spans="1:9" s="202" customFormat="1" ht="31.5" customHeight="1">
      <c r="A94" s="48">
        <v>20</v>
      </c>
      <c r="B94" s="232" t="s">
        <v>230</v>
      </c>
      <c r="C94" s="184" t="s">
        <v>148</v>
      </c>
      <c r="D94" s="20"/>
      <c r="E94" s="25"/>
      <c r="F94" s="18">
        <f>30/10</f>
        <v>3</v>
      </c>
      <c r="G94" s="18">
        <v>3875.44</v>
      </c>
      <c r="H94" s="223">
        <f t="shared" si="7"/>
        <v>11.62632</v>
      </c>
      <c r="I94" s="230">
        <f>G94*3</f>
        <v>11626.32</v>
      </c>
    </row>
    <row r="95" spans="1:9" s="202" customFormat="1" ht="15.75" customHeight="1">
      <c r="A95" s="48">
        <v>21</v>
      </c>
      <c r="B95" s="236" t="s">
        <v>231</v>
      </c>
      <c r="C95" s="206" t="s">
        <v>140</v>
      </c>
      <c r="D95" s="86"/>
      <c r="E95" s="18"/>
      <c r="F95" s="18">
        <v>2</v>
      </c>
      <c r="G95" s="18">
        <v>81.73</v>
      </c>
      <c r="H95" s="223">
        <f>G95*F95/1000</f>
        <v>0.16345999999999999</v>
      </c>
      <c r="I95" s="230">
        <f>G95*2</f>
        <v>163.46</v>
      </c>
    </row>
    <row r="96" spans="1:9" s="202" customFormat="1" ht="15.75" customHeight="1">
      <c r="A96" s="48">
        <v>22</v>
      </c>
      <c r="B96" s="236" t="s">
        <v>141</v>
      </c>
      <c r="C96" s="206" t="s">
        <v>140</v>
      </c>
      <c r="D96" s="86"/>
      <c r="E96" s="18"/>
      <c r="F96" s="18">
        <v>2</v>
      </c>
      <c r="G96" s="18">
        <v>175.6</v>
      </c>
      <c r="H96" s="223">
        <f>G96*F96/1000</f>
        <v>0.35120000000000001</v>
      </c>
      <c r="I96" s="230">
        <f>G96</f>
        <v>175.6</v>
      </c>
    </row>
    <row r="97" spans="1:9" s="202" customFormat="1" ht="15.75" customHeight="1">
      <c r="A97" s="48">
        <v>23</v>
      </c>
      <c r="B97" s="234" t="s">
        <v>114</v>
      </c>
      <c r="C97" s="184" t="s">
        <v>140</v>
      </c>
      <c r="D97" s="86"/>
      <c r="E97" s="18"/>
      <c r="F97" s="18">
        <v>2</v>
      </c>
      <c r="G97" s="18">
        <v>179.96</v>
      </c>
      <c r="H97" s="223">
        <f>G97*F97/1000</f>
        <v>0.35992000000000002</v>
      </c>
      <c r="I97" s="230">
        <f>G97</f>
        <v>179.96</v>
      </c>
    </row>
    <row r="98" spans="1:9" ht="15.75" customHeight="1">
      <c r="A98" s="48"/>
      <c r="B98" s="237" t="s">
        <v>63</v>
      </c>
      <c r="C98" s="76"/>
      <c r="D98" s="130"/>
      <c r="E98" s="76">
        <v>1</v>
      </c>
      <c r="F98" s="76"/>
      <c r="G98" s="76"/>
      <c r="H98" s="76"/>
      <c r="I98" s="58">
        <f>SUM(I87:I97)</f>
        <v>18614.132999999994</v>
      </c>
    </row>
    <row r="99" spans="1:9" ht="15.75" customHeight="1">
      <c r="A99" s="48"/>
      <c r="B99" s="86" t="s">
        <v>96</v>
      </c>
      <c r="C99" s="21"/>
      <c r="D99" s="21"/>
      <c r="E99" s="77"/>
      <c r="F99" s="77"/>
      <c r="G99" s="78"/>
      <c r="H99" s="78"/>
      <c r="I99" s="24">
        <v>0</v>
      </c>
    </row>
    <row r="100" spans="1:9" ht="15.75" customHeight="1">
      <c r="A100" s="131"/>
      <c r="B100" s="81" t="s">
        <v>64</v>
      </c>
      <c r="C100" s="64"/>
      <c r="D100" s="64"/>
      <c r="E100" s="64"/>
      <c r="F100" s="64"/>
      <c r="G100" s="64"/>
      <c r="H100" s="64"/>
      <c r="I100" s="79">
        <f>I85+I98</f>
        <v>74449.268640199996</v>
      </c>
    </row>
    <row r="101" spans="1:9" ht="15.75">
      <c r="A101" s="265" t="s">
        <v>270</v>
      </c>
      <c r="B101" s="265"/>
      <c r="C101" s="265"/>
      <c r="D101" s="265"/>
      <c r="E101" s="265"/>
      <c r="F101" s="265"/>
      <c r="G101" s="265"/>
      <c r="H101" s="265"/>
      <c r="I101" s="265"/>
    </row>
    <row r="102" spans="1:9" ht="15.75">
      <c r="A102" s="188"/>
      <c r="B102" s="272" t="s">
        <v>271</v>
      </c>
      <c r="C102" s="272"/>
      <c r="D102" s="272"/>
      <c r="E102" s="272"/>
      <c r="F102" s="272"/>
      <c r="G102" s="272"/>
      <c r="H102" s="201"/>
      <c r="I102" s="3"/>
    </row>
    <row r="103" spans="1:9">
      <c r="A103" s="191"/>
      <c r="B103" s="268" t="s">
        <v>6</v>
      </c>
      <c r="C103" s="268"/>
      <c r="D103" s="268"/>
      <c r="E103" s="268"/>
      <c r="F103" s="268"/>
      <c r="G103" s="268"/>
      <c r="H103" s="38"/>
      <c r="I103" s="5"/>
    </row>
    <row r="104" spans="1:9" ht="7.5" customHeight="1">
      <c r="A104" s="11"/>
      <c r="B104" s="11"/>
      <c r="C104" s="11"/>
      <c r="D104" s="11"/>
      <c r="E104" s="11"/>
      <c r="F104" s="11"/>
      <c r="G104" s="11"/>
      <c r="H104" s="11"/>
      <c r="I104" s="11"/>
    </row>
    <row r="105" spans="1:9" ht="15.75">
      <c r="A105" s="273" t="s">
        <v>7</v>
      </c>
      <c r="B105" s="273"/>
      <c r="C105" s="273"/>
      <c r="D105" s="273"/>
      <c r="E105" s="273"/>
      <c r="F105" s="273"/>
      <c r="G105" s="273"/>
      <c r="H105" s="273"/>
      <c r="I105" s="273"/>
    </row>
    <row r="106" spans="1:9" ht="15.75">
      <c r="A106" s="273" t="s">
        <v>8</v>
      </c>
      <c r="B106" s="273"/>
      <c r="C106" s="273"/>
      <c r="D106" s="273"/>
      <c r="E106" s="273"/>
      <c r="F106" s="273"/>
      <c r="G106" s="273"/>
      <c r="H106" s="273"/>
      <c r="I106" s="273"/>
    </row>
    <row r="107" spans="1:9" ht="15.75">
      <c r="A107" s="258" t="s">
        <v>76</v>
      </c>
      <c r="B107" s="258"/>
      <c r="C107" s="258"/>
      <c r="D107" s="258"/>
      <c r="E107" s="258"/>
      <c r="F107" s="258"/>
      <c r="G107" s="258"/>
      <c r="H107" s="258"/>
      <c r="I107" s="258"/>
    </row>
    <row r="108" spans="1:9" ht="15.75">
      <c r="A108" s="12"/>
    </row>
    <row r="109" spans="1:9" ht="15.75">
      <c r="A109" s="259" t="s">
        <v>10</v>
      </c>
      <c r="B109" s="259"/>
      <c r="C109" s="259"/>
      <c r="D109" s="259"/>
      <c r="E109" s="259"/>
      <c r="F109" s="259"/>
      <c r="G109" s="259"/>
      <c r="H109" s="259"/>
      <c r="I109" s="259"/>
    </row>
    <row r="110" spans="1:9" ht="15.75">
      <c r="A110" s="4"/>
    </row>
    <row r="111" spans="1:9" ht="15.75">
      <c r="B111" s="187" t="s">
        <v>11</v>
      </c>
      <c r="C111" s="267" t="s">
        <v>203</v>
      </c>
      <c r="D111" s="267"/>
      <c r="E111" s="267"/>
      <c r="F111" s="199"/>
      <c r="I111" s="190"/>
    </row>
    <row r="112" spans="1:9">
      <c r="A112" s="191"/>
      <c r="C112" s="268" t="s">
        <v>12</v>
      </c>
      <c r="D112" s="268"/>
      <c r="E112" s="268"/>
      <c r="F112" s="38"/>
      <c r="I112" s="189" t="s">
        <v>13</v>
      </c>
    </row>
    <row r="113" spans="1:9" ht="15.75">
      <c r="A113" s="39"/>
      <c r="C113" s="13"/>
      <c r="D113" s="13"/>
      <c r="G113" s="13"/>
      <c r="H113" s="13"/>
    </row>
    <row r="114" spans="1:9" ht="15.75">
      <c r="B114" s="187" t="s">
        <v>14</v>
      </c>
      <c r="C114" s="269"/>
      <c r="D114" s="269"/>
      <c r="E114" s="269"/>
      <c r="F114" s="200"/>
      <c r="I114" s="190"/>
    </row>
    <row r="115" spans="1:9">
      <c r="A115" s="191"/>
      <c r="C115" s="270" t="s">
        <v>12</v>
      </c>
      <c r="D115" s="270"/>
      <c r="E115" s="270"/>
      <c r="F115" s="191"/>
      <c r="I115" s="189" t="s">
        <v>13</v>
      </c>
    </row>
    <row r="116" spans="1:9" ht="15.75">
      <c r="A116" s="4" t="s">
        <v>15</v>
      </c>
    </row>
    <row r="117" spans="1:9">
      <c r="A117" s="271" t="s">
        <v>16</v>
      </c>
      <c r="B117" s="271"/>
      <c r="C117" s="271"/>
      <c r="D117" s="271"/>
      <c r="E117" s="271"/>
      <c r="F117" s="271"/>
      <c r="G117" s="271"/>
      <c r="H117" s="271"/>
      <c r="I117" s="271"/>
    </row>
    <row r="118" spans="1:9" ht="47.25" customHeight="1">
      <c r="A118" s="266" t="s">
        <v>17</v>
      </c>
      <c r="B118" s="266"/>
      <c r="C118" s="266"/>
      <c r="D118" s="266"/>
      <c r="E118" s="266"/>
      <c r="F118" s="266"/>
      <c r="G118" s="266"/>
      <c r="H118" s="266"/>
      <c r="I118" s="266"/>
    </row>
    <row r="119" spans="1:9" ht="31.5" customHeight="1">
      <c r="A119" s="266" t="s">
        <v>18</v>
      </c>
      <c r="B119" s="266"/>
      <c r="C119" s="266"/>
      <c r="D119" s="266"/>
      <c r="E119" s="266"/>
      <c r="F119" s="266"/>
      <c r="G119" s="266"/>
      <c r="H119" s="266"/>
      <c r="I119" s="266"/>
    </row>
    <row r="120" spans="1:9" ht="31.5" customHeight="1">
      <c r="A120" s="266" t="s">
        <v>23</v>
      </c>
      <c r="B120" s="266"/>
      <c r="C120" s="266"/>
      <c r="D120" s="266"/>
      <c r="E120" s="266"/>
      <c r="F120" s="266"/>
      <c r="G120" s="266"/>
      <c r="H120" s="266"/>
      <c r="I120" s="266"/>
    </row>
    <row r="121" spans="1:9" ht="15.75">
      <c r="A121" s="266" t="s">
        <v>22</v>
      </c>
      <c r="B121" s="266"/>
      <c r="C121" s="266"/>
      <c r="D121" s="266"/>
      <c r="E121" s="266"/>
      <c r="F121" s="266"/>
      <c r="G121" s="266"/>
      <c r="H121" s="266"/>
      <c r="I121" s="266"/>
    </row>
  </sheetData>
  <autoFilter ref="I12:I62"/>
  <mergeCells count="28">
    <mergeCell ref="A118:I118"/>
    <mergeCell ref="A119:I119"/>
    <mergeCell ref="A120:I120"/>
    <mergeCell ref="A121:I121"/>
    <mergeCell ref="A109:I109"/>
    <mergeCell ref="C111:E111"/>
    <mergeCell ref="C112:E112"/>
    <mergeCell ref="C114:E114"/>
    <mergeCell ref="C115:E115"/>
    <mergeCell ref="A117:I117"/>
    <mergeCell ref="A107:I107"/>
    <mergeCell ref="A15:I15"/>
    <mergeCell ref="A27:I27"/>
    <mergeCell ref="A45:I45"/>
    <mergeCell ref="A56:I56"/>
    <mergeCell ref="A101:I101"/>
    <mergeCell ref="B102:G102"/>
    <mergeCell ref="B103:G103"/>
    <mergeCell ref="A105:I105"/>
    <mergeCell ref="A106:I106"/>
    <mergeCell ref="R67:U67"/>
    <mergeCell ref="A82:I82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17"/>
  <sheetViews>
    <sheetView workbookViewId="0">
      <selection activeCell="A8" sqref="A8:I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3" t="s">
        <v>120</v>
      </c>
      <c r="I1" s="42"/>
      <c r="J1" s="1"/>
      <c r="K1" s="1"/>
      <c r="L1" s="1"/>
      <c r="M1" s="1"/>
    </row>
    <row r="2" spans="1:13" ht="15.75" customHeight="1">
      <c r="A2" s="44" t="s">
        <v>79</v>
      </c>
      <c r="J2" s="2"/>
      <c r="K2" s="2"/>
      <c r="L2" s="2"/>
      <c r="M2" s="2"/>
    </row>
    <row r="3" spans="1:13" ht="15.75" customHeight="1">
      <c r="A3" s="253" t="s">
        <v>272</v>
      </c>
      <c r="B3" s="253"/>
      <c r="C3" s="253"/>
      <c r="D3" s="253"/>
      <c r="E3" s="253"/>
      <c r="F3" s="253"/>
      <c r="G3" s="253"/>
      <c r="H3" s="253"/>
      <c r="I3" s="253"/>
      <c r="J3" s="3"/>
      <c r="K3" s="3"/>
      <c r="L3" s="3"/>
    </row>
    <row r="4" spans="1:13" ht="31.5" customHeight="1">
      <c r="A4" s="254" t="s">
        <v>204</v>
      </c>
      <c r="B4" s="254"/>
      <c r="C4" s="254"/>
      <c r="D4" s="254"/>
      <c r="E4" s="254"/>
      <c r="F4" s="254"/>
      <c r="G4" s="254"/>
      <c r="H4" s="254"/>
      <c r="I4" s="254"/>
    </row>
    <row r="5" spans="1:13" ht="15.75">
      <c r="A5" s="253" t="s">
        <v>77</v>
      </c>
      <c r="B5" s="255"/>
      <c r="C5" s="255"/>
      <c r="D5" s="255"/>
      <c r="E5" s="255"/>
      <c r="F5" s="255"/>
      <c r="G5" s="255"/>
      <c r="H5" s="255"/>
      <c r="I5" s="255"/>
      <c r="J5" s="2"/>
      <c r="K5" s="2"/>
      <c r="L5" s="2"/>
      <c r="M5" s="2"/>
    </row>
    <row r="6" spans="1:13" ht="15.75">
      <c r="A6" s="2"/>
      <c r="B6" s="192"/>
      <c r="C6" s="192"/>
      <c r="D6" s="192"/>
      <c r="E6" s="192"/>
      <c r="F6" s="192"/>
      <c r="G6" s="192"/>
      <c r="H6" s="192"/>
      <c r="I6" s="52">
        <v>42613</v>
      </c>
      <c r="J6" s="2"/>
      <c r="K6" s="2"/>
      <c r="L6" s="2"/>
      <c r="M6" s="2"/>
    </row>
    <row r="7" spans="1:13" ht="15.75">
      <c r="B7" s="187"/>
      <c r="C7" s="187"/>
      <c r="D7" s="187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56" t="s">
        <v>283</v>
      </c>
      <c r="B8" s="256"/>
      <c r="C8" s="256"/>
      <c r="D8" s="256"/>
      <c r="E8" s="256"/>
      <c r="F8" s="256"/>
      <c r="G8" s="256"/>
      <c r="H8" s="256"/>
      <c r="I8" s="25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57" t="s">
        <v>205</v>
      </c>
      <c r="B10" s="257"/>
      <c r="C10" s="257"/>
      <c r="D10" s="257"/>
      <c r="E10" s="257"/>
      <c r="F10" s="257"/>
      <c r="G10" s="257"/>
      <c r="H10" s="257"/>
      <c r="I10" s="257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19</v>
      </c>
      <c r="E12" s="6" t="s">
        <v>20</v>
      </c>
      <c r="F12" s="6"/>
      <c r="G12" s="6" t="s">
        <v>24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52" t="s">
        <v>73</v>
      </c>
      <c r="B14" s="252"/>
      <c r="C14" s="252"/>
      <c r="D14" s="252"/>
      <c r="E14" s="252"/>
      <c r="F14" s="252"/>
      <c r="G14" s="252"/>
      <c r="H14" s="252"/>
      <c r="I14" s="252"/>
      <c r="J14" s="8"/>
      <c r="K14" s="8"/>
      <c r="L14" s="8"/>
      <c r="M14" s="8"/>
    </row>
    <row r="15" spans="1:13">
      <c r="A15" s="260" t="s">
        <v>4</v>
      </c>
      <c r="B15" s="260"/>
      <c r="C15" s="260"/>
      <c r="D15" s="260"/>
      <c r="E15" s="260"/>
      <c r="F15" s="260"/>
      <c r="G15" s="260"/>
      <c r="H15" s="260"/>
      <c r="I15" s="260"/>
      <c r="J15" s="8"/>
      <c r="K15" s="8"/>
      <c r="L15" s="8"/>
      <c r="M15" s="8"/>
    </row>
    <row r="16" spans="1:13" s="202" customFormat="1" ht="31.5" customHeight="1">
      <c r="A16" s="48">
        <v>1</v>
      </c>
      <c r="B16" s="205" t="s">
        <v>122</v>
      </c>
      <c r="C16" s="206" t="s">
        <v>158</v>
      </c>
      <c r="D16" s="205" t="s">
        <v>159</v>
      </c>
      <c r="E16" s="207">
        <v>95.04</v>
      </c>
      <c r="F16" s="208">
        <f>SUM(E16*156/100)</f>
        <v>148.26240000000001</v>
      </c>
      <c r="G16" s="208">
        <v>187.48</v>
      </c>
      <c r="H16" s="209">
        <f t="shared" ref="H16:H24" si="0">SUM(F16*G16/1000)</f>
        <v>27.796234752</v>
      </c>
      <c r="I16" s="18">
        <f>F16/12*G16</f>
        <v>2316.3528960000003</v>
      </c>
    </row>
    <row r="17" spans="1:10" s="202" customFormat="1" ht="31.5" customHeight="1">
      <c r="A17" s="48">
        <v>2</v>
      </c>
      <c r="B17" s="205" t="s">
        <v>154</v>
      </c>
      <c r="C17" s="206" t="s">
        <v>158</v>
      </c>
      <c r="D17" s="205" t="s">
        <v>160</v>
      </c>
      <c r="E17" s="207">
        <v>380.16</v>
      </c>
      <c r="F17" s="208">
        <f>SUM(E17*104/100)</f>
        <v>395.3664</v>
      </c>
      <c r="G17" s="208">
        <v>187.48</v>
      </c>
      <c r="H17" s="209">
        <f t="shared" si="0"/>
        <v>74.123292671999991</v>
      </c>
      <c r="I17" s="18">
        <f>F17/12*G17</f>
        <v>6176.9410559999997</v>
      </c>
      <c r="J17" s="203"/>
    </row>
    <row r="18" spans="1:10" s="202" customFormat="1" ht="31.5" customHeight="1">
      <c r="A18" s="48">
        <v>3</v>
      </c>
      <c r="B18" s="205" t="s">
        <v>155</v>
      </c>
      <c r="C18" s="206" t="s">
        <v>158</v>
      </c>
      <c r="D18" s="205" t="s">
        <v>206</v>
      </c>
      <c r="E18" s="207">
        <f>SUM(E16+E17)</f>
        <v>475.20000000000005</v>
      </c>
      <c r="F18" s="208">
        <f>SUM(E18*24/100)</f>
        <v>114.04800000000002</v>
      </c>
      <c r="G18" s="208">
        <v>539.30999999999995</v>
      </c>
      <c r="H18" s="209">
        <f t="shared" si="0"/>
        <v>61.507226880000005</v>
      </c>
      <c r="I18" s="18">
        <f>F18/12*G18</f>
        <v>5125.6022400000002</v>
      </c>
      <c r="J18" s="203"/>
    </row>
    <row r="19" spans="1:10" s="202" customFormat="1" ht="15.75" hidden="1" customHeight="1">
      <c r="A19" s="48"/>
      <c r="B19" s="205" t="s">
        <v>161</v>
      </c>
      <c r="C19" s="206" t="s">
        <v>162</v>
      </c>
      <c r="D19" s="205" t="s">
        <v>163</v>
      </c>
      <c r="E19" s="207">
        <v>93.4</v>
      </c>
      <c r="F19" s="208">
        <f>SUM(E19/10)</f>
        <v>9.34</v>
      </c>
      <c r="G19" s="208">
        <v>181.9</v>
      </c>
      <c r="H19" s="209">
        <f t="shared" si="0"/>
        <v>1.6989460000000001</v>
      </c>
      <c r="I19" s="18">
        <v>0</v>
      </c>
      <c r="J19" s="203"/>
    </row>
    <row r="20" spans="1:10" s="202" customFormat="1" ht="15.75" hidden="1" customHeight="1">
      <c r="A20" s="48"/>
      <c r="B20" s="205" t="s">
        <v>164</v>
      </c>
      <c r="C20" s="206" t="s">
        <v>158</v>
      </c>
      <c r="D20" s="205" t="s">
        <v>53</v>
      </c>
      <c r="E20" s="207">
        <v>43.2</v>
      </c>
      <c r="F20" s="208">
        <f>SUM(E20*2/100)</f>
        <v>0.8640000000000001</v>
      </c>
      <c r="G20" s="208">
        <v>232.91</v>
      </c>
      <c r="H20" s="209">
        <f t="shared" si="0"/>
        <v>0.20123424000000004</v>
      </c>
      <c r="I20" s="18">
        <v>0</v>
      </c>
      <c r="J20" s="203"/>
    </row>
    <row r="21" spans="1:10" s="202" customFormat="1" ht="15.75" hidden="1" customHeight="1">
      <c r="A21" s="48"/>
      <c r="B21" s="205" t="s">
        <v>165</v>
      </c>
      <c r="C21" s="206" t="s">
        <v>158</v>
      </c>
      <c r="D21" s="205" t="s">
        <v>53</v>
      </c>
      <c r="E21" s="207">
        <v>10.08</v>
      </c>
      <c r="F21" s="208">
        <f>SUM(E21*2/100)</f>
        <v>0.2016</v>
      </c>
      <c r="G21" s="208">
        <v>231.03</v>
      </c>
      <c r="H21" s="209">
        <f t="shared" si="0"/>
        <v>4.6575648000000004E-2</v>
      </c>
      <c r="I21" s="18">
        <v>0</v>
      </c>
      <c r="J21" s="203"/>
    </row>
    <row r="22" spans="1:10" s="202" customFormat="1" ht="15.75" hidden="1" customHeight="1">
      <c r="A22" s="48"/>
      <c r="B22" s="205" t="s">
        <v>166</v>
      </c>
      <c r="C22" s="206" t="s">
        <v>65</v>
      </c>
      <c r="D22" s="205" t="s">
        <v>163</v>
      </c>
      <c r="E22" s="207">
        <v>642.6</v>
      </c>
      <c r="F22" s="208">
        <f>SUM(E22/100)</f>
        <v>6.4260000000000002</v>
      </c>
      <c r="G22" s="208">
        <v>287.83999999999997</v>
      </c>
      <c r="H22" s="209">
        <f t="shared" si="0"/>
        <v>1.8496598399999997</v>
      </c>
      <c r="I22" s="18">
        <v>0</v>
      </c>
      <c r="J22" s="203"/>
    </row>
    <row r="23" spans="1:10" s="202" customFormat="1" ht="15.75" hidden="1" customHeight="1">
      <c r="A23" s="48"/>
      <c r="B23" s="205" t="s">
        <v>167</v>
      </c>
      <c r="C23" s="206" t="s">
        <v>65</v>
      </c>
      <c r="D23" s="205" t="s">
        <v>163</v>
      </c>
      <c r="E23" s="210">
        <v>35.28</v>
      </c>
      <c r="F23" s="208">
        <f>SUM(E23/100)</f>
        <v>0.3528</v>
      </c>
      <c r="G23" s="208">
        <v>47.35</v>
      </c>
      <c r="H23" s="209">
        <f t="shared" si="0"/>
        <v>1.6705080000000004E-2</v>
      </c>
      <c r="I23" s="18">
        <v>0</v>
      </c>
      <c r="J23" s="203"/>
    </row>
    <row r="24" spans="1:10" s="202" customFormat="1" ht="15.75" hidden="1" customHeight="1">
      <c r="A24" s="48"/>
      <c r="B24" s="205" t="s">
        <v>168</v>
      </c>
      <c r="C24" s="206" t="s">
        <v>65</v>
      </c>
      <c r="D24" s="205" t="s">
        <v>163</v>
      </c>
      <c r="E24" s="207">
        <v>28.8</v>
      </c>
      <c r="F24" s="208">
        <f>SUM(E24/100)</f>
        <v>0.28800000000000003</v>
      </c>
      <c r="G24" s="208">
        <v>556.74</v>
      </c>
      <c r="H24" s="209">
        <f t="shared" si="0"/>
        <v>0.16034112000000003</v>
      </c>
      <c r="I24" s="18">
        <v>0</v>
      </c>
      <c r="J24" s="203"/>
    </row>
    <row r="25" spans="1:10" s="202" customFormat="1" ht="15.75" customHeight="1">
      <c r="A25" s="48">
        <v>4</v>
      </c>
      <c r="B25" s="205" t="s">
        <v>81</v>
      </c>
      <c r="C25" s="206" t="s">
        <v>38</v>
      </c>
      <c r="D25" s="205" t="s">
        <v>217</v>
      </c>
      <c r="E25" s="207">
        <v>0.1</v>
      </c>
      <c r="F25" s="208">
        <f>SUM(E25*365)</f>
        <v>36.5</v>
      </c>
      <c r="G25" s="208">
        <v>157.18</v>
      </c>
      <c r="H25" s="209">
        <f>SUM(F25*G25/1000)</f>
        <v>5.737070000000001</v>
      </c>
      <c r="I25" s="18">
        <f>F25/12*G25</f>
        <v>478.08916666666664</v>
      </c>
      <c r="J25" s="203"/>
    </row>
    <row r="26" spans="1:10" s="202" customFormat="1" ht="15.75" customHeight="1">
      <c r="A26" s="48">
        <v>5</v>
      </c>
      <c r="B26" s="213" t="s">
        <v>25</v>
      </c>
      <c r="C26" s="206" t="s">
        <v>26</v>
      </c>
      <c r="D26" s="213" t="s">
        <v>218</v>
      </c>
      <c r="E26" s="207">
        <v>3931</v>
      </c>
      <c r="F26" s="208">
        <f>SUM(E26*12)</f>
        <v>47172</v>
      </c>
      <c r="G26" s="208">
        <v>5.33</v>
      </c>
      <c r="H26" s="209">
        <f>SUM(F26*G26/1000)</f>
        <v>251.42676</v>
      </c>
      <c r="I26" s="18">
        <f>F26/12*G26</f>
        <v>20952.23</v>
      </c>
      <c r="J26" s="203"/>
    </row>
    <row r="27" spans="1:10" s="202" customFormat="1" ht="15.75" customHeight="1">
      <c r="A27" s="261" t="s">
        <v>117</v>
      </c>
      <c r="B27" s="262"/>
      <c r="C27" s="262"/>
      <c r="D27" s="262"/>
      <c r="E27" s="262"/>
      <c r="F27" s="262"/>
      <c r="G27" s="262"/>
      <c r="H27" s="262"/>
      <c r="I27" s="263"/>
      <c r="J27" s="203"/>
    </row>
    <row r="28" spans="1:10" s="202" customFormat="1" ht="15.75" customHeight="1">
      <c r="A28" s="48"/>
      <c r="B28" s="238" t="s">
        <v>33</v>
      </c>
      <c r="C28" s="206"/>
      <c r="D28" s="205"/>
      <c r="E28" s="207"/>
      <c r="F28" s="208"/>
      <c r="G28" s="208"/>
      <c r="H28" s="209"/>
      <c r="I28" s="18"/>
      <c r="J28" s="203"/>
    </row>
    <row r="29" spans="1:10" s="202" customFormat="1" ht="31.5" customHeight="1">
      <c r="A29" s="48">
        <v>6</v>
      </c>
      <c r="B29" s="205" t="s">
        <v>169</v>
      </c>
      <c r="C29" s="206" t="s">
        <v>170</v>
      </c>
      <c r="D29" s="205" t="s">
        <v>215</v>
      </c>
      <c r="E29" s="208">
        <v>1116.27</v>
      </c>
      <c r="F29" s="208">
        <f>SUM(E29*52/1000)</f>
        <v>58.046039999999998</v>
      </c>
      <c r="G29" s="208">
        <v>166.65</v>
      </c>
      <c r="H29" s="209">
        <f t="shared" ref="H29:H35" si="1">SUM(F29*G29/1000)</f>
        <v>9.6733725659999994</v>
      </c>
      <c r="I29" s="18">
        <f>F29/6*G29</f>
        <v>1612.2287609999998</v>
      </c>
      <c r="J29" s="203"/>
    </row>
    <row r="30" spans="1:10" s="202" customFormat="1" ht="31.5" customHeight="1">
      <c r="A30" s="48">
        <v>7</v>
      </c>
      <c r="B30" s="205" t="s">
        <v>244</v>
      </c>
      <c r="C30" s="206" t="s">
        <v>170</v>
      </c>
      <c r="D30" s="205" t="s">
        <v>216</v>
      </c>
      <c r="E30" s="208">
        <v>89.03</v>
      </c>
      <c r="F30" s="208">
        <f>SUM(E30*78/1000)</f>
        <v>6.9443400000000004</v>
      </c>
      <c r="G30" s="208">
        <v>276.48</v>
      </c>
      <c r="H30" s="209">
        <f t="shared" si="1"/>
        <v>1.9199711232000003</v>
      </c>
      <c r="I30" s="18">
        <f t="shared" ref="I30:I33" si="2">F30/6*G30</f>
        <v>319.99518720000003</v>
      </c>
      <c r="J30" s="203"/>
    </row>
    <row r="31" spans="1:10" s="202" customFormat="1" ht="15.75" hidden="1" customHeight="1">
      <c r="A31" s="48"/>
      <c r="B31" s="205" t="s">
        <v>32</v>
      </c>
      <c r="C31" s="206" t="s">
        <v>170</v>
      </c>
      <c r="D31" s="205" t="s">
        <v>66</v>
      </c>
      <c r="E31" s="208">
        <v>1116.27</v>
      </c>
      <c r="F31" s="208">
        <f>SUM(E31/1000)</f>
        <v>1.1162699999999999</v>
      </c>
      <c r="G31" s="208">
        <v>3228.73</v>
      </c>
      <c r="H31" s="209">
        <f t="shared" si="1"/>
        <v>3.6041344370999995</v>
      </c>
      <c r="I31" s="18">
        <f t="shared" si="2"/>
        <v>600.68907285</v>
      </c>
      <c r="J31" s="203"/>
    </row>
    <row r="32" spans="1:10" s="202" customFormat="1" ht="15.75" customHeight="1">
      <c r="A32" s="48">
        <v>8</v>
      </c>
      <c r="B32" s="205" t="s">
        <v>174</v>
      </c>
      <c r="C32" s="206" t="s">
        <v>49</v>
      </c>
      <c r="D32" s="205" t="s">
        <v>80</v>
      </c>
      <c r="E32" s="208">
        <v>6</v>
      </c>
      <c r="F32" s="208">
        <v>9.3000000000000007</v>
      </c>
      <c r="G32" s="208">
        <v>1391.86</v>
      </c>
      <c r="H32" s="209">
        <f>G32*F32/1000</f>
        <v>12.944298</v>
      </c>
      <c r="I32" s="18">
        <f t="shared" si="2"/>
        <v>2157.3829999999998</v>
      </c>
      <c r="J32" s="203"/>
    </row>
    <row r="33" spans="1:14" s="202" customFormat="1" ht="15.75" customHeight="1">
      <c r="A33" s="48">
        <v>9</v>
      </c>
      <c r="B33" s="205" t="s">
        <v>175</v>
      </c>
      <c r="C33" s="206" t="s">
        <v>36</v>
      </c>
      <c r="D33" s="205" t="s">
        <v>80</v>
      </c>
      <c r="E33" s="212">
        <v>0.33333333333333331</v>
      </c>
      <c r="F33" s="208">
        <f>155/3</f>
        <v>51.666666666666664</v>
      </c>
      <c r="G33" s="208">
        <v>60.6</v>
      </c>
      <c r="H33" s="209">
        <f>SUM(G33*155/3/1000)</f>
        <v>3.1309999999999998</v>
      </c>
      <c r="I33" s="18">
        <f t="shared" si="2"/>
        <v>521.83333333333337</v>
      </c>
      <c r="J33" s="203"/>
    </row>
    <row r="34" spans="1:14" s="202" customFormat="1" ht="15.75" hidden="1" customHeight="1">
      <c r="A34" s="48"/>
      <c r="B34" s="205" t="s">
        <v>82</v>
      </c>
      <c r="C34" s="206" t="s">
        <v>38</v>
      </c>
      <c r="D34" s="205" t="s">
        <v>84</v>
      </c>
      <c r="E34" s="207"/>
      <c r="F34" s="208">
        <v>3</v>
      </c>
      <c r="G34" s="208">
        <v>204.52</v>
      </c>
      <c r="H34" s="209">
        <f t="shared" si="1"/>
        <v>0.61356000000000011</v>
      </c>
      <c r="I34" s="18">
        <v>0</v>
      </c>
      <c r="J34" s="203"/>
    </row>
    <row r="35" spans="1:14" s="202" customFormat="1" ht="15.75" hidden="1" customHeight="1">
      <c r="A35" s="48"/>
      <c r="B35" s="205" t="s">
        <v>83</v>
      </c>
      <c r="C35" s="206" t="s">
        <v>37</v>
      </c>
      <c r="D35" s="205" t="s">
        <v>84</v>
      </c>
      <c r="E35" s="207"/>
      <c r="F35" s="208">
        <v>2</v>
      </c>
      <c r="G35" s="208">
        <v>1136.33</v>
      </c>
      <c r="H35" s="209">
        <f t="shared" si="1"/>
        <v>2.2726599999999997</v>
      </c>
      <c r="I35" s="18">
        <v>0</v>
      </c>
      <c r="J35" s="203"/>
    </row>
    <row r="36" spans="1:14" s="202" customFormat="1" ht="15.75" hidden="1" customHeight="1">
      <c r="A36" s="48"/>
      <c r="B36" s="238" t="s">
        <v>5</v>
      </c>
      <c r="C36" s="206"/>
      <c r="D36" s="205"/>
      <c r="E36" s="207"/>
      <c r="F36" s="208"/>
      <c r="G36" s="208"/>
      <c r="H36" s="209" t="s">
        <v>218</v>
      </c>
      <c r="I36" s="18"/>
      <c r="J36" s="203"/>
    </row>
    <row r="37" spans="1:14" s="202" customFormat="1" ht="15.75" hidden="1" customHeight="1">
      <c r="A37" s="48">
        <v>6</v>
      </c>
      <c r="B37" s="205" t="s">
        <v>30</v>
      </c>
      <c r="C37" s="206" t="s">
        <v>37</v>
      </c>
      <c r="D37" s="205"/>
      <c r="E37" s="207"/>
      <c r="F37" s="208">
        <v>8</v>
      </c>
      <c r="G37" s="208">
        <v>1632.6</v>
      </c>
      <c r="H37" s="209">
        <f t="shared" ref="H37:H44" si="3">SUM(F37*G37/1000)</f>
        <v>13.060799999999999</v>
      </c>
      <c r="I37" s="18">
        <f>F37/6*G37</f>
        <v>2176.7999999999997</v>
      </c>
      <c r="J37" s="203"/>
    </row>
    <row r="38" spans="1:14" s="202" customFormat="1" ht="15.75" hidden="1" customHeight="1">
      <c r="A38" s="48">
        <v>7</v>
      </c>
      <c r="B38" s="205" t="s">
        <v>133</v>
      </c>
      <c r="C38" s="206" t="s">
        <v>34</v>
      </c>
      <c r="D38" s="205" t="s">
        <v>176</v>
      </c>
      <c r="E38" s="207">
        <v>461.12</v>
      </c>
      <c r="F38" s="208">
        <f>E38*12/1000</f>
        <v>5.5334400000000006</v>
      </c>
      <c r="G38" s="208">
        <v>2247.8000000000002</v>
      </c>
      <c r="H38" s="209">
        <f>G38*F38/1000</f>
        <v>12.438066432000001</v>
      </c>
      <c r="I38" s="18">
        <f>F38/6*G38</f>
        <v>2073.0110720000002</v>
      </c>
      <c r="J38" s="203"/>
    </row>
    <row r="39" spans="1:14" s="202" customFormat="1" ht="15.75" hidden="1" customHeight="1">
      <c r="A39" s="48">
        <v>8</v>
      </c>
      <c r="B39" s="205" t="s">
        <v>177</v>
      </c>
      <c r="C39" s="206" t="s">
        <v>34</v>
      </c>
      <c r="D39" s="205" t="s">
        <v>178</v>
      </c>
      <c r="E39" s="207">
        <v>89.03</v>
      </c>
      <c r="F39" s="208">
        <f>E39*30/1000</f>
        <v>2.6709000000000001</v>
      </c>
      <c r="G39" s="208">
        <v>2247.8000000000002</v>
      </c>
      <c r="H39" s="209">
        <f>G39*F39/1000</f>
        <v>6.003649020000001</v>
      </c>
      <c r="I39" s="18">
        <f>F39/6*G39</f>
        <v>1000.6081700000001</v>
      </c>
      <c r="J39" s="203"/>
    </row>
    <row r="40" spans="1:14" s="202" customFormat="1" ht="15.75" hidden="1" customHeight="1">
      <c r="A40" s="48"/>
      <c r="B40" s="205" t="s">
        <v>179</v>
      </c>
      <c r="C40" s="206" t="s">
        <v>180</v>
      </c>
      <c r="D40" s="205" t="s">
        <v>84</v>
      </c>
      <c r="E40" s="207"/>
      <c r="F40" s="208">
        <v>135</v>
      </c>
      <c r="G40" s="208">
        <v>213.2</v>
      </c>
      <c r="H40" s="209">
        <f>G40*F40/1000</f>
        <v>28.782</v>
      </c>
      <c r="I40" s="18">
        <v>0</v>
      </c>
      <c r="J40" s="203"/>
      <c r="L40" s="27"/>
      <c r="M40" s="28"/>
      <c r="N40" s="54"/>
    </row>
    <row r="41" spans="1:14" s="202" customFormat="1" ht="15.75" hidden="1" customHeight="1">
      <c r="A41" s="48">
        <v>9</v>
      </c>
      <c r="B41" s="205" t="s">
        <v>85</v>
      </c>
      <c r="C41" s="206" t="s">
        <v>34</v>
      </c>
      <c r="D41" s="205" t="s">
        <v>181</v>
      </c>
      <c r="E41" s="208">
        <v>89.03</v>
      </c>
      <c r="F41" s="208">
        <f>SUM(E41*155/1000)</f>
        <v>13.79965</v>
      </c>
      <c r="G41" s="208">
        <v>374.95</v>
      </c>
      <c r="H41" s="209">
        <f t="shared" si="3"/>
        <v>5.1741787674999999</v>
      </c>
      <c r="I41" s="18">
        <f>F41/6*G41</f>
        <v>862.36312791666671</v>
      </c>
      <c r="J41" s="203"/>
      <c r="L41" s="27"/>
      <c r="M41" s="28"/>
      <c r="N41" s="54"/>
    </row>
    <row r="42" spans="1:14" s="202" customFormat="1" ht="15.75" hidden="1" customHeight="1">
      <c r="A42" s="48">
        <v>10</v>
      </c>
      <c r="B42" s="205" t="s">
        <v>111</v>
      </c>
      <c r="C42" s="206" t="s">
        <v>170</v>
      </c>
      <c r="D42" s="205" t="s">
        <v>182</v>
      </c>
      <c r="E42" s="208">
        <v>89.03</v>
      </c>
      <c r="F42" s="208">
        <f>SUM(E42*24/1000)</f>
        <v>2.1367200000000004</v>
      </c>
      <c r="G42" s="208">
        <v>6203.71</v>
      </c>
      <c r="H42" s="209">
        <f t="shared" si="3"/>
        <v>13.255591231200002</v>
      </c>
      <c r="I42" s="18">
        <f>F42/6*G42</f>
        <v>2209.2652052000003</v>
      </c>
      <c r="J42" s="203"/>
      <c r="L42" s="27"/>
      <c r="M42" s="28"/>
      <c r="N42" s="54"/>
    </row>
    <row r="43" spans="1:14" s="202" customFormat="1" ht="15.75" hidden="1" customHeight="1">
      <c r="A43" s="48">
        <v>11</v>
      </c>
      <c r="B43" s="205" t="s">
        <v>183</v>
      </c>
      <c r="C43" s="206" t="s">
        <v>170</v>
      </c>
      <c r="D43" s="205" t="s">
        <v>86</v>
      </c>
      <c r="E43" s="208">
        <v>89.03</v>
      </c>
      <c r="F43" s="208">
        <f>SUM(E43*45/1000)</f>
        <v>4.0063500000000003</v>
      </c>
      <c r="G43" s="208">
        <v>458.28</v>
      </c>
      <c r="H43" s="209">
        <f t="shared" si="3"/>
        <v>1.8360300780000001</v>
      </c>
      <c r="I43" s="18">
        <f>F43/6*G43</f>
        <v>306.00501299999996</v>
      </c>
      <c r="J43" s="203"/>
      <c r="L43" s="27"/>
      <c r="M43" s="28"/>
      <c r="N43" s="54"/>
    </row>
    <row r="44" spans="1:14" s="202" customFormat="1" ht="15.75" hidden="1" customHeight="1">
      <c r="A44" s="48">
        <v>12</v>
      </c>
      <c r="B44" s="205" t="s">
        <v>87</v>
      </c>
      <c r="C44" s="206" t="s">
        <v>38</v>
      </c>
      <c r="D44" s="205"/>
      <c r="E44" s="207"/>
      <c r="F44" s="208">
        <v>0.9</v>
      </c>
      <c r="G44" s="208">
        <v>798</v>
      </c>
      <c r="H44" s="209">
        <f t="shared" si="3"/>
        <v>0.71820000000000006</v>
      </c>
      <c r="I44" s="18">
        <f>F44/6*G44</f>
        <v>119.69999999999999</v>
      </c>
      <c r="J44" s="203"/>
      <c r="L44" s="27"/>
      <c r="M44" s="28"/>
      <c r="N44" s="54"/>
    </row>
    <row r="45" spans="1:14" s="202" customFormat="1" ht="15.75" customHeight="1">
      <c r="A45" s="261" t="s">
        <v>247</v>
      </c>
      <c r="B45" s="262"/>
      <c r="C45" s="262"/>
      <c r="D45" s="262"/>
      <c r="E45" s="262"/>
      <c r="F45" s="262"/>
      <c r="G45" s="262"/>
      <c r="H45" s="262"/>
      <c r="I45" s="263"/>
      <c r="J45" s="203"/>
      <c r="L45" s="27"/>
      <c r="M45" s="28"/>
      <c r="N45" s="54"/>
    </row>
    <row r="46" spans="1:14" s="202" customFormat="1" ht="15.75" hidden="1" customHeight="1">
      <c r="A46" s="48"/>
      <c r="B46" s="205" t="s">
        <v>184</v>
      </c>
      <c r="C46" s="206" t="s">
        <v>170</v>
      </c>
      <c r="D46" s="205" t="s">
        <v>53</v>
      </c>
      <c r="E46" s="207">
        <v>1032.5</v>
      </c>
      <c r="F46" s="208">
        <f>SUM(E46*2/1000)</f>
        <v>2.0649999999999999</v>
      </c>
      <c r="G46" s="18">
        <v>908.1</v>
      </c>
      <c r="H46" s="209">
        <f t="shared" ref="H46:H55" si="4">SUM(F46*G46/1000)</f>
        <v>1.8752264999999999</v>
      </c>
      <c r="I46" s="18">
        <v>0</v>
      </c>
      <c r="J46" s="203"/>
      <c r="L46" s="27"/>
      <c r="M46" s="28"/>
      <c r="N46" s="54"/>
    </row>
    <row r="47" spans="1:14" s="202" customFormat="1" ht="15.75" hidden="1" customHeight="1">
      <c r="A47" s="48"/>
      <c r="B47" s="205" t="s">
        <v>42</v>
      </c>
      <c r="C47" s="206" t="s">
        <v>170</v>
      </c>
      <c r="D47" s="205" t="s">
        <v>53</v>
      </c>
      <c r="E47" s="207">
        <v>132</v>
      </c>
      <c r="F47" s="208">
        <f>E47*2/1000</f>
        <v>0.26400000000000001</v>
      </c>
      <c r="G47" s="18">
        <v>619.46</v>
      </c>
      <c r="H47" s="209">
        <f t="shared" si="4"/>
        <v>0.16353744000000001</v>
      </c>
      <c r="I47" s="18">
        <v>0</v>
      </c>
      <c r="J47" s="203"/>
      <c r="L47" s="27"/>
      <c r="M47" s="28"/>
      <c r="N47" s="54"/>
    </row>
    <row r="48" spans="1:14" s="202" customFormat="1" ht="15.75" hidden="1" customHeight="1">
      <c r="A48" s="48"/>
      <c r="B48" s="205" t="s">
        <v>43</v>
      </c>
      <c r="C48" s="206" t="s">
        <v>170</v>
      </c>
      <c r="D48" s="205" t="s">
        <v>53</v>
      </c>
      <c r="E48" s="207">
        <v>4248.22</v>
      </c>
      <c r="F48" s="208">
        <f>SUM(E48*2/1000)</f>
        <v>8.4964399999999998</v>
      </c>
      <c r="G48" s="18">
        <v>619.46</v>
      </c>
      <c r="H48" s="209">
        <f t="shared" si="4"/>
        <v>5.2632047223999994</v>
      </c>
      <c r="I48" s="18">
        <v>0</v>
      </c>
      <c r="J48" s="203"/>
      <c r="L48" s="27"/>
      <c r="M48" s="28"/>
      <c r="N48" s="54"/>
    </row>
    <row r="49" spans="1:22" s="202" customFormat="1" ht="15.75" hidden="1" customHeight="1">
      <c r="A49" s="48"/>
      <c r="B49" s="205" t="s">
        <v>44</v>
      </c>
      <c r="C49" s="206" t="s">
        <v>170</v>
      </c>
      <c r="D49" s="205" t="s">
        <v>53</v>
      </c>
      <c r="E49" s="207">
        <v>2163.66</v>
      </c>
      <c r="F49" s="208">
        <f>SUM(E49*2/1000)</f>
        <v>4.3273199999999994</v>
      </c>
      <c r="G49" s="18">
        <v>648.64</v>
      </c>
      <c r="H49" s="209">
        <f t="shared" si="4"/>
        <v>2.8068728447999995</v>
      </c>
      <c r="I49" s="18">
        <v>0</v>
      </c>
      <c r="J49" s="203"/>
      <c r="L49" s="27"/>
      <c r="M49" s="28"/>
      <c r="N49" s="54"/>
    </row>
    <row r="50" spans="1:22" s="202" customFormat="1" ht="31.5" hidden="1" customHeight="1">
      <c r="A50" s="48">
        <v>13</v>
      </c>
      <c r="B50" s="205" t="s">
        <v>70</v>
      </c>
      <c r="C50" s="206" t="s">
        <v>170</v>
      </c>
      <c r="D50" s="205" t="s">
        <v>246</v>
      </c>
      <c r="E50" s="207">
        <v>1017.5</v>
      </c>
      <c r="F50" s="208">
        <f>SUM(E50*5/1000)</f>
        <v>5.0875000000000004</v>
      </c>
      <c r="G50" s="18">
        <v>1297.28</v>
      </c>
      <c r="H50" s="209">
        <f t="shared" si="4"/>
        <v>6.5999120000000007</v>
      </c>
      <c r="I50" s="18">
        <f>F50/5*G50</f>
        <v>1319.9824000000001</v>
      </c>
      <c r="J50" s="203"/>
      <c r="L50" s="27"/>
      <c r="M50" s="28"/>
      <c r="N50" s="54"/>
    </row>
    <row r="51" spans="1:22" s="202" customFormat="1" ht="31.5" hidden="1" customHeight="1">
      <c r="A51" s="48"/>
      <c r="B51" s="205" t="s">
        <v>186</v>
      </c>
      <c r="C51" s="206" t="s">
        <v>170</v>
      </c>
      <c r="D51" s="205" t="s">
        <v>53</v>
      </c>
      <c r="E51" s="207">
        <v>1017.5</v>
      </c>
      <c r="F51" s="208">
        <f>SUM(E51*2/1000)</f>
        <v>2.0350000000000001</v>
      </c>
      <c r="G51" s="18">
        <v>1297.28</v>
      </c>
      <c r="H51" s="209">
        <f t="shared" si="4"/>
        <v>2.6399648</v>
      </c>
      <c r="I51" s="18">
        <v>0</v>
      </c>
      <c r="J51" s="203"/>
      <c r="L51" s="27"/>
      <c r="M51" s="28"/>
      <c r="N51" s="54"/>
    </row>
    <row r="52" spans="1:22" s="202" customFormat="1" ht="31.5" hidden="1" customHeight="1">
      <c r="A52" s="48"/>
      <c r="B52" s="205" t="s">
        <v>187</v>
      </c>
      <c r="C52" s="206" t="s">
        <v>47</v>
      </c>
      <c r="D52" s="205" t="s">
        <v>53</v>
      </c>
      <c r="E52" s="207">
        <v>30</v>
      </c>
      <c r="F52" s="208">
        <f>SUM(E52*2/100)</f>
        <v>0.6</v>
      </c>
      <c r="G52" s="18">
        <v>2918.89</v>
      </c>
      <c r="H52" s="209">
        <f t="shared" si="4"/>
        <v>1.7513339999999997</v>
      </c>
      <c r="I52" s="18">
        <v>0</v>
      </c>
      <c r="J52" s="203"/>
      <c r="L52" s="27"/>
      <c r="M52" s="28"/>
      <c r="N52" s="54"/>
    </row>
    <row r="53" spans="1:22" s="202" customFormat="1" ht="15.75" hidden="1" customHeight="1">
      <c r="A53" s="48"/>
      <c r="B53" s="205" t="s">
        <v>48</v>
      </c>
      <c r="C53" s="206" t="s">
        <v>49</v>
      </c>
      <c r="D53" s="205" t="s">
        <v>53</v>
      </c>
      <c r="E53" s="207">
        <v>1</v>
      </c>
      <c r="F53" s="208">
        <v>0.02</v>
      </c>
      <c r="G53" s="18">
        <v>6042.13</v>
      </c>
      <c r="H53" s="209">
        <f t="shared" si="4"/>
        <v>0.12084260000000001</v>
      </c>
      <c r="I53" s="18">
        <v>0</v>
      </c>
      <c r="J53" s="203"/>
      <c r="L53" s="27"/>
      <c r="M53" s="28"/>
      <c r="N53" s="54"/>
    </row>
    <row r="54" spans="1:22" s="202" customFormat="1" ht="15.75" customHeight="1">
      <c r="A54" s="48">
        <v>10</v>
      </c>
      <c r="B54" s="205" t="s">
        <v>188</v>
      </c>
      <c r="C54" s="206" t="s">
        <v>140</v>
      </c>
      <c r="D54" s="205" t="s">
        <v>88</v>
      </c>
      <c r="E54" s="207">
        <v>90</v>
      </c>
      <c r="F54" s="208">
        <f>E54*4</f>
        <v>360</v>
      </c>
      <c r="G54" s="18">
        <v>150.86000000000001</v>
      </c>
      <c r="H54" s="209">
        <f>F54*G54/1000</f>
        <v>54.309600000000003</v>
      </c>
      <c r="I54" s="18">
        <f>G54*E54</f>
        <v>13577.400000000001</v>
      </c>
      <c r="J54" s="203"/>
      <c r="L54" s="27"/>
      <c r="M54" s="28"/>
      <c r="N54" s="54"/>
    </row>
    <row r="55" spans="1:22" s="202" customFormat="1" ht="15.75" customHeight="1">
      <c r="A55" s="48">
        <v>11</v>
      </c>
      <c r="B55" s="205" t="s">
        <v>52</v>
      </c>
      <c r="C55" s="206" t="s">
        <v>140</v>
      </c>
      <c r="D55" s="205" t="s">
        <v>88</v>
      </c>
      <c r="E55" s="207">
        <v>180</v>
      </c>
      <c r="F55" s="208">
        <f>SUM(E55)*3</f>
        <v>540</v>
      </c>
      <c r="G55" s="18">
        <v>70.2</v>
      </c>
      <c r="H55" s="209">
        <f t="shared" si="4"/>
        <v>37.908000000000001</v>
      </c>
      <c r="I55" s="18">
        <f>G55*E55</f>
        <v>12636</v>
      </c>
      <c r="J55" s="203"/>
      <c r="L55" s="27"/>
      <c r="M55" s="28"/>
      <c r="N55" s="54"/>
    </row>
    <row r="56" spans="1:22" s="202" customFormat="1" ht="15.75" customHeight="1">
      <c r="A56" s="261" t="s">
        <v>248</v>
      </c>
      <c r="B56" s="262"/>
      <c r="C56" s="262"/>
      <c r="D56" s="262"/>
      <c r="E56" s="262"/>
      <c r="F56" s="262"/>
      <c r="G56" s="262"/>
      <c r="H56" s="262"/>
      <c r="I56" s="263"/>
      <c r="J56" s="203"/>
      <c r="L56" s="27"/>
      <c r="M56" s="28"/>
      <c r="N56" s="54"/>
    </row>
    <row r="57" spans="1:22" s="202" customFormat="1" ht="15.75" hidden="1" customHeight="1">
      <c r="A57" s="48"/>
      <c r="B57" s="238" t="s">
        <v>54</v>
      </c>
      <c r="C57" s="206"/>
      <c r="D57" s="205"/>
      <c r="E57" s="207"/>
      <c r="F57" s="208"/>
      <c r="G57" s="208"/>
      <c r="H57" s="209"/>
      <c r="I57" s="18"/>
      <c r="J57" s="203"/>
      <c r="L57" s="27"/>
      <c r="M57" s="28"/>
      <c r="N57" s="54"/>
    </row>
    <row r="58" spans="1:22" s="202" customFormat="1" ht="31.5" hidden="1" customHeight="1">
      <c r="A58" s="48">
        <v>16</v>
      </c>
      <c r="B58" s="205" t="s">
        <v>207</v>
      </c>
      <c r="C58" s="206" t="s">
        <v>158</v>
      </c>
      <c r="D58" s="205" t="s">
        <v>189</v>
      </c>
      <c r="E58" s="207">
        <v>103.25</v>
      </c>
      <c r="F58" s="208">
        <f>SUM(E58*6/100)</f>
        <v>6.1950000000000003</v>
      </c>
      <c r="G58" s="18">
        <v>1654.04</v>
      </c>
      <c r="H58" s="209">
        <f>SUM(F58*G58/1000)</f>
        <v>10.2467778</v>
      </c>
      <c r="I58" s="18">
        <f>F58/6*G58</f>
        <v>1707.7963</v>
      </c>
      <c r="J58" s="203"/>
      <c r="L58" s="27"/>
      <c r="M58" s="28"/>
      <c r="N58" s="54"/>
    </row>
    <row r="59" spans="1:22" s="202" customFormat="1" ht="31.5" hidden="1" customHeight="1">
      <c r="A59" s="48">
        <v>17</v>
      </c>
      <c r="B59" s="205" t="s">
        <v>138</v>
      </c>
      <c r="C59" s="206" t="s">
        <v>158</v>
      </c>
      <c r="D59" s="205" t="s">
        <v>139</v>
      </c>
      <c r="E59" s="207">
        <v>39.700000000000003</v>
      </c>
      <c r="F59" s="208">
        <f>SUM(E59*12/100)</f>
        <v>4.7640000000000002</v>
      </c>
      <c r="G59" s="18">
        <v>1654.04</v>
      </c>
      <c r="H59" s="209">
        <f>SUM(F59*G59/1000)</f>
        <v>7.8798465599999998</v>
      </c>
      <c r="I59" s="18">
        <f>F59/6*G59</f>
        <v>1313.3077600000001</v>
      </c>
      <c r="J59" s="203"/>
      <c r="L59" s="27"/>
      <c r="M59" s="28"/>
      <c r="N59" s="54"/>
    </row>
    <row r="60" spans="1:22" s="202" customFormat="1" ht="15.75" hidden="1" customHeight="1">
      <c r="A60" s="48">
        <v>18</v>
      </c>
      <c r="B60" s="214" t="s">
        <v>190</v>
      </c>
      <c r="C60" s="215" t="s">
        <v>191</v>
      </c>
      <c r="D60" s="214" t="s">
        <v>53</v>
      </c>
      <c r="E60" s="216">
        <v>8</v>
      </c>
      <c r="F60" s="217">
        <v>16</v>
      </c>
      <c r="G60" s="18">
        <v>193.25</v>
      </c>
      <c r="H60" s="218">
        <f>F60*G60/1000</f>
        <v>3.0920000000000001</v>
      </c>
      <c r="I60" s="18">
        <f>F60/2*G60</f>
        <v>1546</v>
      </c>
      <c r="J60" s="203"/>
      <c r="L60" s="27"/>
    </row>
    <row r="61" spans="1:22" s="202" customFormat="1" ht="15.75" hidden="1" customHeight="1">
      <c r="A61" s="48">
        <v>19</v>
      </c>
      <c r="B61" s="205" t="s">
        <v>192</v>
      </c>
      <c r="C61" s="206" t="s">
        <v>158</v>
      </c>
      <c r="D61" s="205" t="s">
        <v>189</v>
      </c>
      <c r="E61" s="207">
        <v>41.73</v>
      </c>
      <c r="F61" s="208">
        <f>SUM(E61*6/100)</f>
        <v>2.5038</v>
      </c>
      <c r="G61" s="18">
        <v>1654.04</v>
      </c>
      <c r="H61" s="209">
        <f>SUM(F61*G61/1000)</f>
        <v>4.1413853520000004</v>
      </c>
      <c r="I61" s="18">
        <f>F61/6*G61</f>
        <v>690.23089200000004</v>
      </c>
      <c r="J61" s="203"/>
      <c r="L61" s="27"/>
    </row>
    <row r="62" spans="1:22" s="202" customFormat="1" ht="15.75" customHeight="1">
      <c r="A62" s="48"/>
      <c r="B62" s="239" t="s">
        <v>55</v>
      </c>
      <c r="C62" s="215"/>
      <c r="D62" s="214"/>
      <c r="E62" s="216"/>
      <c r="F62" s="217"/>
      <c r="G62" s="18"/>
      <c r="H62" s="218"/>
      <c r="I62" s="18"/>
    </row>
    <row r="63" spans="1:22" s="202" customFormat="1" ht="15.75" hidden="1" customHeight="1">
      <c r="A63" s="48"/>
      <c r="B63" s="214" t="s">
        <v>219</v>
      </c>
      <c r="C63" s="215" t="s">
        <v>65</v>
      </c>
      <c r="D63" s="214" t="s">
        <v>66</v>
      </c>
      <c r="E63" s="216">
        <v>1017.5</v>
      </c>
      <c r="F63" s="217">
        <v>10.154</v>
      </c>
      <c r="G63" s="18">
        <v>848.37</v>
      </c>
      <c r="H63" s="218">
        <f>F63*G63/1000</f>
        <v>8.6143489800000008</v>
      </c>
      <c r="I63" s="18">
        <v>0</v>
      </c>
    </row>
    <row r="64" spans="1:22" s="202" customFormat="1" ht="15.75" customHeight="1">
      <c r="A64" s="48">
        <v>12</v>
      </c>
      <c r="B64" s="214" t="s">
        <v>142</v>
      </c>
      <c r="C64" s="215" t="s">
        <v>28</v>
      </c>
      <c r="D64" s="214" t="s">
        <v>35</v>
      </c>
      <c r="E64" s="216">
        <v>203.5</v>
      </c>
      <c r="F64" s="219">
        <f>E64*12</f>
        <v>2442</v>
      </c>
      <c r="G64" s="197">
        <v>2.6</v>
      </c>
      <c r="H64" s="217">
        <f>F64*G64/1000</f>
        <v>6.3491999999999997</v>
      </c>
      <c r="I64" s="18">
        <f>F64/12*G64</f>
        <v>529.1</v>
      </c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1"/>
    </row>
    <row r="65" spans="1:21" s="202" customFormat="1" ht="15.75" hidden="1" customHeight="1">
      <c r="A65" s="48"/>
      <c r="B65" s="239" t="s">
        <v>57</v>
      </c>
      <c r="C65" s="215"/>
      <c r="D65" s="214"/>
      <c r="E65" s="216"/>
      <c r="F65" s="219"/>
      <c r="G65" s="219"/>
      <c r="H65" s="217" t="s">
        <v>218</v>
      </c>
      <c r="I65" s="18"/>
      <c r="J65" s="222"/>
      <c r="K65" s="222"/>
      <c r="L65" s="220"/>
      <c r="M65" s="220"/>
      <c r="N65" s="220"/>
      <c r="O65" s="220"/>
      <c r="P65" s="220"/>
      <c r="Q65" s="220"/>
      <c r="R65" s="220"/>
      <c r="S65" s="220"/>
      <c r="T65" s="220"/>
      <c r="U65" s="220"/>
    </row>
    <row r="66" spans="1:21" s="202" customFormat="1" ht="15.75" hidden="1" customHeight="1">
      <c r="A66" s="48"/>
      <c r="B66" s="20" t="s">
        <v>58</v>
      </c>
      <c r="C66" s="22" t="s">
        <v>140</v>
      </c>
      <c r="D66" s="20" t="s">
        <v>84</v>
      </c>
      <c r="E66" s="25">
        <v>10</v>
      </c>
      <c r="F66" s="208">
        <v>10</v>
      </c>
      <c r="G66" s="18">
        <v>237.75</v>
      </c>
      <c r="H66" s="223">
        <f t="shared" ref="H66:H79" si="5">SUM(F66*G66/1000)</f>
        <v>2.3774999999999999</v>
      </c>
      <c r="I66" s="18">
        <v>0</v>
      </c>
      <c r="J66" s="220"/>
      <c r="K66" s="220"/>
      <c r="L66" s="220"/>
      <c r="M66" s="220"/>
      <c r="N66" s="220"/>
      <c r="O66" s="220"/>
      <c r="P66" s="220"/>
      <c r="Q66" s="220"/>
      <c r="S66" s="220"/>
      <c r="T66" s="220"/>
      <c r="U66" s="220"/>
    </row>
    <row r="67" spans="1:21" s="202" customFormat="1" ht="15.75" hidden="1" customHeight="1">
      <c r="A67" s="48"/>
      <c r="B67" s="20" t="s">
        <v>59</v>
      </c>
      <c r="C67" s="22" t="s">
        <v>140</v>
      </c>
      <c r="D67" s="20" t="s">
        <v>84</v>
      </c>
      <c r="E67" s="25">
        <v>5</v>
      </c>
      <c r="F67" s="208">
        <v>5</v>
      </c>
      <c r="G67" s="18">
        <v>81.510000000000005</v>
      </c>
      <c r="H67" s="223">
        <f t="shared" si="5"/>
        <v>0.40755000000000002</v>
      </c>
      <c r="I67" s="18">
        <v>0</v>
      </c>
      <c r="J67" s="224"/>
      <c r="K67" s="224"/>
      <c r="L67" s="224"/>
      <c r="M67" s="224"/>
      <c r="N67" s="224"/>
      <c r="O67" s="224"/>
      <c r="P67" s="224"/>
      <c r="Q67" s="224"/>
      <c r="R67" s="264"/>
      <c r="S67" s="264"/>
      <c r="T67" s="264"/>
      <c r="U67" s="264"/>
    </row>
    <row r="68" spans="1:21" s="202" customFormat="1" ht="15.75" hidden="1" customHeight="1">
      <c r="A68" s="48"/>
      <c r="B68" s="20" t="s">
        <v>60</v>
      </c>
      <c r="C68" s="22" t="s">
        <v>193</v>
      </c>
      <c r="D68" s="20" t="s">
        <v>66</v>
      </c>
      <c r="E68" s="207">
        <v>14347</v>
      </c>
      <c r="F68" s="18">
        <f>SUM(E68/100)</f>
        <v>143.47</v>
      </c>
      <c r="G68" s="18">
        <v>226.79</v>
      </c>
      <c r="H68" s="223">
        <f t="shared" si="5"/>
        <v>32.5375613</v>
      </c>
      <c r="I68" s="18">
        <v>0</v>
      </c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</row>
    <row r="69" spans="1:21" s="202" customFormat="1" ht="15.75" hidden="1" customHeight="1">
      <c r="A69" s="48"/>
      <c r="B69" s="20" t="s">
        <v>61</v>
      </c>
      <c r="C69" s="22" t="s">
        <v>194</v>
      </c>
      <c r="D69" s="20" t="s">
        <v>66</v>
      </c>
      <c r="E69" s="207">
        <v>14347</v>
      </c>
      <c r="F69" s="18">
        <f>SUM(E69/1000)</f>
        <v>14.347</v>
      </c>
      <c r="G69" s="18">
        <v>176.61</v>
      </c>
      <c r="H69" s="223">
        <f t="shared" si="5"/>
        <v>2.5338236700000003</v>
      </c>
      <c r="I69" s="18">
        <v>0</v>
      </c>
    </row>
    <row r="70" spans="1:21" s="202" customFormat="1" ht="15.75" hidden="1" customHeight="1">
      <c r="A70" s="48"/>
      <c r="B70" s="20" t="s">
        <v>62</v>
      </c>
      <c r="C70" s="22" t="s">
        <v>94</v>
      </c>
      <c r="D70" s="20" t="s">
        <v>66</v>
      </c>
      <c r="E70" s="207">
        <v>2244</v>
      </c>
      <c r="F70" s="18">
        <f>SUM(E70/100)</f>
        <v>22.44</v>
      </c>
      <c r="G70" s="18">
        <v>2217.7800000000002</v>
      </c>
      <c r="H70" s="223">
        <f t="shared" si="5"/>
        <v>49.766983200000013</v>
      </c>
      <c r="I70" s="18">
        <v>0</v>
      </c>
    </row>
    <row r="71" spans="1:21" s="202" customFormat="1" ht="15.75" hidden="1" customHeight="1">
      <c r="A71" s="48"/>
      <c r="B71" s="225" t="s">
        <v>195</v>
      </c>
      <c r="C71" s="22" t="s">
        <v>38</v>
      </c>
      <c r="D71" s="20" t="s">
        <v>66</v>
      </c>
      <c r="E71" s="207">
        <v>12.48</v>
      </c>
      <c r="F71" s="18">
        <f>SUM(E71)</f>
        <v>12.48</v>
      </c>
      <c r="G71" s="18">
        <v>42.67</v>
      </c>
      <c r="H71" s="223">
        <f t="shared" si="5"/>
        <v>0.53252160000000004</v>
      </c>
      <c r="I71" s="18">
        <v>0</v>
      </c>
    </row>
    <row r="72" spans="1:21" s="202" customFormat="1" ht="15.75" hidden="1" customHeight="1">
      <c r="A72" s="48"/>
      <c r="B72" s="225" t="s">
        <v>196</v>
      </c>
      <c r="C72" s="22" t="s">
        <v>38</v>
      </c>
      <c r="D72" s="20" t="s">
        <v>66</v>
      </c>
      <c r="E72" s="207">
        <v>12.48</v>
      </c>
      <c r="F72" s="18">
        <f>SUM(E72)</f>
        <v>12.48</v>
      </c>
      <c r="G72" s="18">
        <v>39.81</v>
      </c>
      <c r="H72" s="223">
        <f t="shared" si="5"/>
        <v>0.49682880000000007</v>
      </c>
      <c r="I72" s="18">
        <v>0</v>
      </c>
    </row>
    <row r="73" spans="1:21" s="202" customFormat="1" ht="15.75" hidden="1" customHeight="1">
      <c r="A73" s="48"/>
      <c r="B73" s="20" t="s">
        <v>71</v>
      </c>
      <c r="C73" s="22" t="s">
        <v>72</v>
      </c>
      <c r="D73" s="20" t="s">
        <v>66</v>
      </c>
      <c r="E73" s="25">
        <v>5</v>
      </c>
      <c r="F73" s="208">
        <v>5</v>
      </c>
      <c r="G73" s="18">
        <v>53.32</v>
      </c>
      <c r="H73" s="223">
        <f t="shared" si="5"/>
        <v>0.2666</v>
      </c>
      <c r="I73" s="18">
        <v>0</v>
      </c>
    </row>
    <row r="74" spans="1:21" s="202" customFormat="1" ht="15.75" hidden="1" customHeight="1">
      <c r="A74" s="48"/>
      <c r="B74" s="193" t="s">
        <v>89</v>
      </c>
      <c r="C74" s="22"/>
      <c r="D74" s="20"/>
      <c r="E74" s="25"/>
      <c r="F74" s="18"/>
      <c r="G74" s="18"/>
      <c r="H74" s="223" t="s">
        <v>218</v>
      </c>
      <c r="I74" s="18"/>
    </row>
    <row r="75" spans="1:21" s="202" customFormat="1" ht="15.75" hidden="1" customHeight="1">
      <c r="A75" s="48"/>
      <c r="B75" s="20" t="s">
        <v>90</v>
      </c>
      <c r="C75" s="22" t="s">
        <v>92</v>
      </c>
      <c r="D75" s="20"/>
      <c r="E75" s="25">
        <v>2</v>
      </c>
      <c r="F75" s="18">
        <v>0.2</v>
      </c>
      <c r="G75" s="18">
        <v>536.23</v>
      </c>
      <c r="H75" s="223">
        <f t="shared" si="5"/>
        <v>0.10724600000000001</v>
      </c>
      <c r="I75" s="18">
        <v>0</v>
      </c>
    </row>
    <row r="76" spans="1:21" s="202" customFormat="1" ht="15.75" hidden="1" customHeight="1">
      <c r="A76" s="48">
        <v>21</v>
      </c>
      <c r="B76" s="20" t="s">
        <v>91</v>
      </c>
      <c r="C76" s="22" t="s">
        <v>36</v>
      </c>
      <c r="D76" s="20"/>
      <c r="E76" s="25">
        <v>1</v>
      </c>
      <c r="F76" s="197">
        <v>1</v>
      </c>
      <c r="G76" s="18">
        <v>911.85</v>
      </c>
      <c r="H76" s="223">
        <f>F76*G76/1000</f>
        <v>0.91185000000000005</v>
      </c>
      <c r="I76" s="18">
        <f>G76</f>
        <v>911.85</v>
      </c>
    </row>
    <row r="77" spans="1:21" s="202" customFormat="1" ht="15.75" hidden="1" customHeight="1">
      <c r="A77" s="48"/>
      <c r="B77" s="20" t="s">
        <v>199</v>
      </c>
      <c r="C77" s="22" t="s">
        <v>36</v>
      </c>
      <c r="D77" s="20"/>
      <c r="E77" s="25">
        <v>1</v>
      </c>
      <c r="F77" s="18">
        <v>1</v>
      </c>
      <c r="G77" s="18">
        <v>383.25</v>
      </c>
      <c r="H77" s="223">
        <f>G77*F77/1000</f>
        <v>0.38324999999999998</v>
      </c>
      <c r="I77" s="18">
        <v>0</v>
      </c>
    </row>
    <row r="78" spans="1:21" s="202" customFormat="1" ht="15.75" hidden="1" customHeight="1">
      <c r="A78" s="48"/>
      <c r="B78" s="227" t="s">
        <v>93</v>
      </c>
      <c r="C78" s="22"/>
      <c r="D78" s="20"/>
      <c r="E78" s="25"/>
      <c r="F78" s="18"/>
      <c r="G78" s="18" t="s">
        <v>218</v>
      </c>
      <c r="H78" s="223" t="s">
        <v>218</v>
      </c>
      <c r="I78" s="18"/>
    </row>
    <row r="79" spans="1:21" s="202" customFormat="1" ht="15.75" hidden="1" customHeight="1">
      <c r="A79" s="48"/>
      <c r="B79" s="86" t="s">
        <v>200</v>
      </c>
      <c r="C79" s="22" t="s">
        <v>94</v>
      </c>
      <c r="D79" s="20"/>
      <c r="E79" s="25"/>
      <c r="F79" s="18">
        <v>1</v>
      </c>
      <c r="G79" s="18">
        <v>2949.84</v>
      </c>
      <c r="H79" s="223">
        <f t="shared" si="5"/>
        <v>2.94984</v>
      </c>
      <c r="I79" s="18">
        <v>0</v>
      </c>
    </row>
    <row r="80" spans="1:21" s="202" customFormat="1" ht="15.75" hidden="1" customHeight="1">
      <c r="A80" s="48"/>
      <c r="B80" s="193" t="s">
        <v>197</v>
      </c>
      <c r="C80" s="227"/>
      <c r="D80" s="53"/>
      <c r="E80" s="58"/>
      <c r="F80" s="211"/>
      <c r="G80" s="211"/>
      <c r="H80" s="228">
        <f>SUM(H58:H79)</f>
        <v>133.59511326200004</v>
      </c>
      <c r="I80" s="211"/>
    </row>
    <row r="81" spans="1:9" s="202" customFormat="1" ht="15.75" hidden="1" customHeight="1">
      <c r="A81" s="242"/>
      <c r="B81" s="214" t="s">
        <v>198</v>
      </c>
      <c r="C81" s="243"/>
      <c r="D81" s="244"/>
      <c r="E81" s="198"/>
      <c r="F81" s="230">
        <v>1</v>
      </c>
      <c r="G81" s="230">
        <v>27922</v>
      </c>
      <c r="H81" s="245">
        <f>G81*F81/1000</f>
        <v>27.922000000000001</v>
      </c>
      <c r="I81" s="230">
        <v>0</v>
      </c>
    </row>
    <row r="82" spans="1:9" s="202" customFormat="1" ht="15.75" customHeight="1">
      <c r="A82" s="274" t="s">
        <v>249</v>
      </c>
      <c r="B82" s="275"/>
      <c r="C82" s="275"/>
      <c r="D82" s="275"/>
      <c r="E82" s="275"/>
      <c r="F82" s="275"/>
      <c r="G82" s="275"/>
      <c r="H82" s="275"/>
      <c r="I82" s="276"/>
    </row>
    <row r="83" spans="1:9" s="202" customFormat="1" ht="15.75" customHeight="1">
      <c r="A83" s="246">
        <v>13</v>
      </c>
      <c r="B83" s="247" t="s">
        <v>201</v>
      </c>
      <c r="C83" s="248" t="s">
        <v>67</v>
      </c>
      <c r="D83" s="249" t="s">
        <v>68</v>
      </c>
      <c r="E83" s="250">
        <v>3931</v>
      </c>
      <c r="F83" s="250">
        <f>SUM(E83*12)</f>
        <v>47172</v>
      </c>
      <c r="G83" s="250">
        <v>2.2400000000000002</v>
      </c>
      <c r="H83" s="251">
        <f>SUM(F83*G83/1000)</f>
        <v>105.66528000000001</v>
      </c>
      <c r="I83" s="250">
        <f>F83/12*G83</f>
        <v>8805.44</v>
      </c>
    </row>
    <row r="84" spans="1:9" s="202" customFormat="1" ht="31.5" customHeight="1">
      <c r="A84" s="48">
        <v>14</v>
      </c>
      <c r="B84" s="20" t="s">
        <v>95</v>
      </c>
      <c r="C84" s="22"/>
      <c r="D84" s="229" t="s">
        <v>68</v>
      </c>
      <c r="E84" s="207">
        <f>E83</f>
        <v>3931</v>
      </c>
      <c r="F84" s="18">
        <f>E84*12</f>
        <v>47172</v>
      </c>
      <c r="G84" s="18">
        <v>1.74</v>
      </c>
      <c r="H84" s="223">
        <f>F84*G84/1000</f>
        <v>82.079279999999997</v>
      </c>
      <c r="I84" s="18">
        <f>F84/12*G84</f>
        <v>6839.94</v>
      </c>
    </row>
    <row r="85" spans="1:9" s="202" customFormat="1" ht="15.75" customHeight="1">
      <c r="A85" s="48"/>
      <c r="B85" s="73" t="s">
        <v>101</v>
      </c>
      <c r="C85" s="227"/>
      <c r="D85" s="226"/>
      <c r="E85" s="211"/>
      <c r="F85" s="211"/>
      <c r="G85" s="211"/>
      <c r="H85" s="228">
        <f>H84</f>
        <v>82.079279999999997</v>
      </c>
      <c r="I85" s="211">
        <f>I16+I17+I18+I25+I26+I29+I30+I32+I33+I54+I55+I64+I83+I84</f>
        <v>82048.535640200018</v>
      </c>
    </row>
    <row r="86" spans="1:9" s="202" customFormat="1" ht="15.75" customHeight="1">
      <c r="A86" s="48"/>
      <c r="B86" s="180" t="s">
        <v>74</v>
      </c>
      <c r="C86" s="22"/>
      <c r="D86" s="86"/>
      <c r="E86" s="18"/>
      <c r="F86" s="18"/>
      <c r="G86" s="18"/>
      <c r="H86" s="18"/>
      <c r="I86" s="18"/>
    </row>
    <row r="87" spans="1:9" s="202" customFormat="1" ht="15.75" customHeight="1">
      <c r="A87" s="48">
        <v>15</v>
      </c>
      <c r="B87" s="232" t="s">
        <v>106</v>
      </c>
      <c r="C87" s="184" t="s">
        <v>140</v>
      </c>
      <c r="D87" s="20"/>
      <c r="E87" s="25"/>
      <c r="F87" s="18">
        <v>8</v>
      </c>
      <c r="G87" s="18">
        <v>180.15</v>
      </c>
      <c r="H87" s="223">
        <f t="shared" ref="H87" si="6">G87*F87/1000</f>
        <v>1.4412</v>
      </c>
      <c r="I87" s="230">
        <f>G87</f>
        <v>180.15</v>
      </c>
    </row>
    <row r="88" spans="1:9" s="202" customFormat="1" ht="15.75" customHeight="1">
      <c r="A88" s="48">
        <v>16</v>
      </c>
      <c r="B88" s="232" t="s">
        <v>232</v>
      </c>
      <c r="C88" s="184" t="s">
        <v>103</v>
      </c>
      <c r="D88" s="86"/>
      <c r="E88" s="18"/>
      <c r="F88" s="18">
        <v>2</v>
      </c>
      <c r="G88" s="18">
        <v>778.86</v>
      </c>
      <c r="H88" s="223">
        <f t="shared" ref="H88:H90" si="7">G88*F88/1000</f>
        <v>1.55772</v>
      </c>
      <c r="I88" s="230">
        <f>G88*2</f>
        <v>1557.72</v>
      </c>
    </row>
    <row r="89" spans="1:9" s="202" customFormat="1" ht="15.75" customHeight="1">
      <c r="A89" s="48">
        <v>17</v>
      </c>
      <c r="B89" s="232" t="s">
        <v>233</v>
      </c>
      <c r="C89" s="184" t="s">
        <v>140</v>
      </c>
      <c r="D89" s="86"/>
      <c r="E89" s="18"/>
      <c r="F89" s="18">
        <v>1</v>
      </c>
      <c r="G89" s="18">
        <v>109.73</v>
      </c>
      <c r="H89" s="223">
        <f t="shared" si="7"/>
        <v>0.10973000000000001</v>
      </c>
      <c r="I89" s="230">
        <f>G89</f>
        <v>109.73</v>
      </c>
    </row>
    <row r="90" spans="1:9" s="202" customFormat="1" ht="15.75" customHeight="1">
      <c r="A90" s="48">
        <v>18</v>
      </c>
      <c r="B90" s="232" t="s">
        <v>234</v>
      </c>
      <c r="C90" s="184" t="s">
        <v>140</v>
      </c>
      <c r="D90" s="86"/>
      <c r="E90" s="18"/>
      <c r="F90" s="18">
        <v>1</v>
      </c>
      <c r="G90" s="18">
        <v>78.89</v>
      </c>
      <c r="H90" s="223">
        <f t="shared" si="7"/>
        <v>7.8890000000000002E-2</v>
      </c>
      <c r="I90" s="230">
        <f>G90</f>
        <v>78.89</v>
      </c>
    </row>
    <row r="91" spans="1:9" s="202" customFormat="1" ht="15.75" customHeight="1">
      <c r="A91" s="48">
        <v>19</v>
      </c>
      <c r="B91" s="232" t="s">
        <v>235</v>
      </c>
      <c r="C91" s="204" t="s">
        <v>236</v>
      </c>
      <c r="D91" s="86"/>
      <c r="E91" s="18"/>
      <c r="F91" s="18">
        <v>0.5</v>
      </c>
      <c r="G91" s="18">
        <f>228.27</f>
        <v>228.27</v>
      </c>
      <c r="H91" s="223">
        <f>G91*F91/1000</f>
        <v>0.114135</v>
      </c>
      <c r="I91" s="230">
        <f>G91*0.5</f>
        <v>114.13500000000001</v>
      </c>
    </row>
    <row r="92" spans="1:9" s="202" customFormat="1" ht="15.75" customHeight="1">
      <c r="A92" s="48">
        <v>20</v>
      </c>
      <c r="B92" s="232" t="s">
        <v>237</v>
      </c>
      <c r="C92" s="184" t="s">
        <v>140</v>
      </c>
      <c r="D92" s="86"/>
      <c r="E92" s="18"/>
      <c r="F92" s="18">
        <v>2</v>
      </c>
      <c r="G92" s="18">
        <v>446.12</v>
      </c>
      <c r="H92" s="223">
        <f>G92*F92/1000</f>
        <v>0.89224000000000003</v>
      </c>
      <c r="I92" s="230">
        <f>G92*2</f>
        <v>892.24</v>
      </c>
    </row>
    <row r="93" spans="1:9" s="202" customFormat="1" ht="15.75" customHeight="1">
      <c r="A93" s="48">
        <v>21</v>
      </c>
      <c r="B93" s="232" t="s">
        <v>238</v>
      </c>
      <c r="C93" s="184" t="s">
        <v>239</v>
      </c>
      <c r="D93" s="86"/>
      <c r="E93" s="18"/>
      <c r="F93" s="18">
        <v>0.5</v>
      </c>
      <c r="G93" s="18">
        <v>1501</v>
      </c>
      <c r="H93" s="223">
        <f>G93*F93/1000</f>
        <v>0.75049999999999994</v>
      </c>
      <c r="I93" s="230">
        <f>G93*0.5</f>
        <v>750.5</v>
      </c>
    </row>
    <row r="94" spans="1:9" ht="15.75" customHeight="1">
      <c r="A94" s="48"/>
      <c r="B94" s="237" t="s">
        <v>63</v>
      </c>
      <c r="C94" s="76"/>
      <c r="D94" s="130"/>
      <c r="E94" s="76">
        <v>1</v>
      </c>
      <c r="F94" s="76"/>
      <c r="G94" s="76"/>
      <c r="H94" s="76"/>
      <c r="I94" s="58">
        <f>SUM(I87:I93)</f>
        <v>3683.3650000000002</v>
      </c>
    </row>
    <row r="95" spans="1:9" ht="15.75" customHeight="1">
      <c r="A95" s="48"/>
      <c r="B95" s="86" t="s">
        <v>96</v>
      </c>
      <c r="C95" s="21"/>
      <c r="D95" s="21"/>
      <c r="E95" s="77"/>
      <c r="F95" s="77"/>
      <c r="G95" s="78"/>
      <c r="H95" s="78"/>
      <c r="I95" s="24">
        <v>0</v>
      </c>
    </row>
    <row r="96" spans="1:9" ht="15.75" customHeight="1">
      <c r="A96" s="131"/>
      <c r="B96" s="81" t="s">
        <v>64</v>
      </c>
      <c r="C96" s="64"/>
      <c r="D96" s="64"/>
      <c r="E96" s="64"/>
      <c r="F96" s="64"/>
      <c r="G96" s="64"/>
      <c r="H96" s="64"/>
      <c r="I96" s="79">
        <f>I85+I94</f>
        <v>85731.900640200023</v>
      </c>
    </row>
    <row r="97" spans="1:9" ht="15.75">
      <c r="A97" s="265" t="s">
        <v>273</v>
      </c>
      <c r="B97" s="265"/>
      <c r="C97" s="265"/>
      <c r="D97" s="265"/>
      <c r="E97" s="265"/>
      <c r="F97" s="265"/>
      <c r="G97" s="265"/>
      <c r="H97" s="265"/>
      <c r="I97" s="265"/>
    </row>
    <row r="98" spans="1:9" ht="15.75">
      <c r="A98" s="188"/>
      <c r="B98" s="272" t="s">
        <v>274</v>
      </c>
      <c r="C98" s="272"/>
      <c r="D98" s="272"/>
      <c r="E98" s="272"/>
      <c r="F98" s="272"/>
      <c r="G98" s="272"/>
      <c r="H98" s="201"/>
      <c r="I98" s="3"/>
    </row>
    <row r="99" spans="1:9">
      <c r="A99" s="191"/>
      <c r="B99" s="268" t="s">
        <v>6</v>
      </c>
      <c r="C99" s="268"/>
      <c r="D99" s="268"/>
      <c r="E99" s="268"/>
      <c r="F99" s="268"/>
      <c r="G99" s="268"/>
      <c r="H99" s="38"/>
      <c r="I99" s="5"/>
    </row>
    <row r="100" spans="1:9" ht="7.5" customHeight="1">
      <c r="A100" s="11"/>
      <c r="B100" s="11"/>
      <c r="C100" s="11"/>
      <c r="D100" s="11"/>
      <c r="E100" s="11"/>
      <c r="F100" s="11"/>
      <c r="G100" s="11"/>
      <c r="H100" s="11"/>
      <c r="I100" s="11"/>
    </row>
    <row r="101" spans="1:9" ht="15.75">
      <c r="A101" s="273" t="s">
        <v>7</v>
      </c>
      <c r="B101" s="273"/>
      <c r="C101" s="273"/>
      <c r="D101" s="273"/>
      <c r="E101" s="273"/>
      <c r="F101" s="273"/>
      <c r="G101" s="273"/>
      <c r="H101" s="273"/>
      <c r="I101" s="273"/>
    </row>
    <row r="102" spans="1:9" ht="15.75">
      <c r="A102" s="273" t="s">
        <v>8</v>
      </c>
      <c r="B102" s="273"/>
      <c r="C102" s="273"/>
      <c r="D102" s="273"/>
      <c r="E102" s="273"/>
      <c r="F102" s="273"/>
      <c r="G102" s="273"/>
      <c r="H102" s="273"/>
      <c r="I102" s="273"/>
    </row>
    <row r="103" spans="1:9" ht="15.75">
      <c r="A103" s="258" t="s">
        <v>76</v>
      </c>
      <c r="B103" s="258"/>
      <c r="C103" s="258"/>
      <c r="D103" s="258"/>
      <c r="E103" s="258"/>
      <c r="F103" s="258"/>
      <c r="G103" s="258"/>
      <c r="H103" s="258"/>
      <c r="I103" s="258"/>
    </row>
    <row r="104" spans="1:9" ht="15.75">
      <c r="A104" s="12"/>
    </row>
    <row r="105" spans="1:9" ht="15.75">
      <c r="A105" s="259" t="s">
        <v>10</v>
      </c>
      <c r="B105" s="259"/>
      <c r="C105" s="259"/>
      <c r="D105" s="259"/>
      <c r="E105" s="259"/>
      <c r="F105" s="259"/>
      <c r="G105" s="259"/>
      <c r="H105" s="259"/>
      <c r="I105" s="259"/>
    </row>
    <row r="106" spans="1:9" ht="15.75">
      <c r="A106" s="4"/>
    </row>
    <row r="107" spans="1:9" ht="15.75">
      <c r="B107" s="187" t="s">
        <v>11</v>
      </c>
      <c r="C107" s="267" t="s">
        <v>203</v>
      </c>
      <c r="D107" s="267"/>
      <c r="E107" s="267"/>
      <c r="F107" s="199"/>
      <c r="I107" s="190"/>
    </row>
    <row r="108" spans="1:9">
      <c r="A108" s="191"/>
      <c r="C108" s="268" t="s">
        <v>12</v>
      </c>
      <c r="D108" s="268"/>
      <c r="E108" s="268"/>
      <c r="F108" s="38"/>
      <c r="I108" s="189" t="s">
        <v>13</v>
      </c>
    </row>
    <row r="109" spans="1:9" ht="15.75">
      <c r="A109" s="39"/>
      <c r="C109" s="13"/>
      <c r="D109" s="13"/>
      <c r="G109" s="13"/>
      <c r="H109" s="13"/>
    </row>
    <row r="110" spans="1:9" ht="15.75">
      <c r="B110" s="187" t="s">
        <v>14</v>
      </c>
      <c r="C110" s="269"/>
      <c r="D110" s="269"/>
      <c r="E110" s="269"/>
      <c r="F110" s="200"/>
      <c r="I110" s="190"/>
    </row>
    <row r="111" spans="1:9">
      <c r="A111" s="191"/>
      <c r="C111" s="270" t="s">
        <v>12</v>
      </c>
      <c r="D111" s="270"/>
      <c r="E111" s="270"/>
      <c r="F111" s="191"/>
      <c r="I111" s="189" t="s">
        <v>13</v>
      </c>
    </row>
    <row r="112" spans="1:9" ht="15.75">
      <c r="A112" s="4" t="s">
        <v>15</v>
      </c>
    </row>
    <row r="113" spans="1:9">
      <c r="A113" s="271" t="s">
        <v>16</v>
      </c>
      <c r="B113" s="271"/>
      <c r="C113" s="271"/>
      <c r="D113" s="271"/>
      <c r="E113" s="271"/>
      <c r="F113" s="271"/>
      <c r="G113" s="271"/>
      <c r="H113" s="271"/>
      <c r="I113" s="271"/>
    </row>
    <row r="114" spans="1:9" ht="47.25" customHeight="1">
      <c r="A114" s="266" t="s">
        <v>17</v>
      </c>
      <c r="B114" s="266"/>
      <c r="C114" s="266"/>
      <c r="D114" s="266"/>
      <c r="E114" s="266"/>
      <c r="F114" s="266"/>
      <c r="G114" s="266"/>
      <c r="H114" s="266"/>
      <c r="I114" s="266"/>
    </row>
    <row r="115" spans="1:9" ht="31.5" customHeight="1">
      <c r="A115" s="266" t="s">
        <v>18</v>
      </c>
      <c r="B115" s="266"/>
      <c r="C115" s="266"/>
      <c r="D115" s="266"/>
      <c r="E115" s="266"/>
      <c r="F115" s="266"/>
      <c r="G115" s="266"/>
      <c r="H115" s="266"/>
      <c r="I115" s="266"/>
    </row>
    <row r="116" spans="1:9" ht="31.5" customHeight="1">
      <c r="A116" s="266" t="s">
        <v>23</v>
      </c>
      <c r="B116" s="266"/>
      <c r="C116" s="266"/>
      <c r="D116" s="266"/>
      <c r="E116" s="266"/>
      <c r="F116" s="266"/>
      <c r="G116" s="266"/>
      <c r="H116" s="266"/>
      <c r="I116" s="266"/>
    </row>
    <row r="117" spans="1:9" ht="15.75">
      <c r="A117" s="266" t="s">
        <v>22</v>
      </c>
      <c r="B117" s="266"/>
      <c r="C117" s="266"/>
      <c r="D117" s="266"/>
      <c r="E117" s="266"/>
      <c r="F117" s="266"/>
      <c r="G117" s="266"/>
      <c r="H117" s="266"/>
      <c r="I117" s="266"/>
    </row>
  </sheetData>
  <autoFilter ref="I12:I62"/>
  <mergeCells count="28">
    <mergeCell ref="A114:I114"/>
    <mergeCell ref="A115:I115"/>
    <mergeCell ref="A116:I116"/>
    <mergeCell ref="A117:I117"/>
    <mergeCell ref="A105:I105"/>
    <mergeCell ref="C107:E107"/>
    <mergeCell ref="C108:E108"/>
    <mergeCell ref="C110:E110"/>
    <mergeCell ref="C111:E111"/>
    <mergeCell ref="A113:I113"/>
    <mergeCell ref="A103:I103"/>
    <mergeCell ref="A15:I15"/>
    <mergeCell ref="A27:I27"/>
    <mergeCell ref="A45:I45"/>
    <mergeCell ref="A56:I56"/>
    <mergeCell ref="A97:I97"/>
    <mergeCell ref="B98:G98"/>
    <mergeCell ref="B99:G99"/>
    <mergeCell ref="A101:I101"/>
    <mergeCell ref="A102:I102"/>
    <mergeCell ref="R67:U67"/>
    <mergeCell ref="A82:I82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4"/>
  <sheetViews>
    <sheetView workbookViewId="0">
      <selection activeCell="A8" sqref="A8:I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3" t="s">
        <v>120</v>
      </c>
      <c r="I1" s="42"/>
      <c r="J1" s="1"/>
      <c r="K1" s="1"/>
      <c r="L1" s="1"/>
      <c r="M1" s="1"/>
    </row>
    <row r="2" spans="1:13" ht="15.75" customHeight="1">
      <c r="A2" s="44" t="s">
        <v>79</v>
      </c>
      <c r="J2" s="2"/>
      <c r="K2" s="2"/>
      <c r="L2" s="2"/>
      <c r="M2" s="2"/>
    </row>
    <row r="3" spans="1:13" ht="15.75" customHeight="1">
      <c r="A3" s="253" t="s">
        <v>275</v>
      </c>
      <c r="B3" s="253"/>
      <c r="C3" s="253"/>
      <c r="D3" s="253"/>
      <c r="E3" s="253"/>
      <c r="F3" s="253"/>
      <c r="G3" s="253"/>
      <c r="H3" s="253"/>
      <c r="I3" s="253"/>
      <c r="J3" s="3"/>
      <c r="K3" s="3"/>
      <c r="L3" s="3"/>
    </row>
    <row r="4" spans="1:13" ht="31.5" customHeight="1">
      <c r="A4" s="254" t="s">
        <v>204</v>
      </c>
      <c r="B4" s="254"/>
      <c r="C4" s="254"/>
      <c r="D4" s="254"/>
      <c r="E4" s="254"/>
      <c r="F4" s="254"/>
      <c r="G4" s="254"/>
      <c r="H4" s="254"/>
      <c r="I4" s="254"/>
    </row>
    <row r="5" spans="1:13" ht="15.75">
      <c r="A5" s="253" t="s">
        <v>109</v>
      </c>
      <c r="B5" s="255"/>
      <c r="C5" s="255"/>
      <c r="D5" s="255"/>
      <c r="E5" s="255"/>
      <c r="F5" s="255"/>
      <c r="G5" s="255"/>
      <c r="H5" s="255"/>
      <c r="I5" s="255"/>
      <c r="J5" s="2"/>
      <c r="K5" s="2"/>
      <c r="L5" s="2"/>
      <c r="M5" s="2"/>
    </row>
    <row r="6" spans="1:13" ht="15.75">
      <c r="A6" s="2"/>
      <c r="B6" s="192"/>
      <c r="C6" s="192"/>
      <c r="D6" s="192"/>
      <c r="E6" s="192"/>
      <c r="F6" s="192"/>
      <c r="G6" s="192"/>
      <c r="H6" s="192"/>
      <c r="I6" s="52">
        <v>42643</v>
      </c>
      <c r="J6" s="2"/>
      <c r="K6" s="2"/>
      <c r="L6" s="2"/>
      <c r="M6" s="2"/>
    </row>
    <row r="7" spans="1:13" ht="15.75">
      <c r="B7" s="187"/>
      <c r="C7" s="187"/>
      <c r="D7" s="187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56" t="s">
        <v>283</v>
      </c>
      <c r="B8" s="256"/>
      <c r="C8" s="256"/>
      <c r="D8" s="256"/>
      <c r="E8" s="256"/>
      <c r="F8" s="256"/>
      <c r="G8" s="256"/>
      <c r="H8" s="256"/>
      <c r="I8" s="25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57" t="s">
        <v>205</v>
      </c>
      <c r="B10" s="257"/>
      <c r="C10" s="257"/>
      <c r="D10" s="257"/>
      <c r="E10" s="257"/>
      <c r="F10" s="257"/>
      <c r="G10" s="257"/>
      <c r="H10" s="257"/>
      <c r="I10" s="257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19</v>
      </c>
      <c r="E12" s="6" t="s">
        <v>20</v>
      </c>
      <c r="F12" s="6"/>
      <c r="G12" s="6" t="s">
        <v>24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52" t="s">
        <v>73</v>
      </c>
      <c r="B14" s="252"/>
      <c r="C14" s="252"/>
      <c r="D14" s="252"/>
      <c r="E14" s="252"/>
      <c r="F14" s="252"/>
      <c r="G14" s="252"/>
      <c r="H14" s="252"/>
      <c r="I14" s="252"/>
      <c r="J14" s="8"/>
      <c r="K14" s="8"/>
      <c r="L14" s="8"/>
      <c r="M14" s="8"/>
    </row>
    <row r="15" spans="1:13">
      <c r="A15" s="260" t="s">
        <v>4</v>
      </c>
      <c r="B15" s="260"/>
      <c r="C15" s="260"/>
      <c r="D15" s="260"/>
      <c r="E15" s="260"/>
      <c r="F15" s="260"/>
      <c r="G15" s="260"/>
      <c r="H15" s="260"/>
      <c r="I15" s="260"/>
      <c r="J15" s="8"/>
      <c r="K15" s="8"/>
      <c r="L15" s="8"/>
      <c r="M15" s="8"/>
    </row>
    <row r="16" spans="1:13" s="202" customFormat="1" ht="31.5" customHeight="1">
      <c r="A16" s="48">
        <v>1</v>
      </c>
      <c r="B16" s="205" t="s">
        <v>122</v>
      </c>
      <c r="C16" s="206" t="s">
        <v>158</v>
      </c>
      <c r="D16" s="205" t="s">
        <v>159</v>
      </c>
      <c r="E16" s="207">
        <v>95.04</v>
      </c>
      <c r="F16" s="208">
        <f>SUM(E16*156/100)</f>
        <v>148.26240000000001</v>
      </c>
      <c r="G16" s="208">
        <v>187.48</v>
      </c>
      <c r="H16" s="209">
        <f t="shared" ref="H16:H24" si="0">SUM(F16*G16/1000)</f>
        <v>27.796234752</v>
      </c>
      <c r="I16" s="18">
        <f>F16/12*G16</f>
        <v>2316.3528960000003</v>
      </c>
    </row>
    <row r="17" spans="1:10" s="202" customFormat="1" ht="31.5" customHeight="1">
      <c r="A17" s="48">
        <v>2</v>
      </c>
      <c r="B17" s="205" t="s">
        <v>154</v>
      </c>
      <c r="C17" s="206" t="s">
        <v>158</v>
      </c>
      <c r="D17" s="205" t="s">
        <v>160</v>
      </c>
      <c r="E17" s="207">
        <v>380.16</v>
      </c>
      <c r="F17" s="208">
        <f>SUM(E17*104/100)</f>
        <v>395.3664</v>
      </c>
      <c r="G17" s="208">
        <v>187.48</v>
      </c>
      <c r="H17" s="209">
        <f t="shared" si="0"/>
        <v>74.123292671999991</v>
      </c>
      <c r="I17" s="18">
        <f>F17/12*G17</f>
        <v>6176.9410559999997</v>
      </c>
      <c r="J17" s="203"/>
    </row>
    <row r="18" spans="1:10" s="202" customFormat="1" ht="31.5" customHeight="1">
      <c r="A18" s="48">
        <v>3</v>
      </c>
      <c r="B18" s="205" t="s">
        <v>155</v>
      </c>
      <c r="C18" s="206" t="s">
        <v>158</v>
      </c>
      <c r="D18" s="205" t="s">
        <v>206</v>
      </c>
      <c r="E18" s="207">
        <f>SUM(E16+E17)</f>
        <v>475.20000000000005</v>
      </c>
      <c r="F18" s="208">
        <f>SUM(E18*24/100)</f>
        <v>114.04800000000002</v>
      </c>
      <c r="G18" s="208">
        <v>539.30999999999995</v>
      </c>
      <c r="H18" s="209">
        <f t="shared" si="0"/>
        <v>61.507226880000005</v>
      </c>
      <c r="I18" s="18">
        <f>F18/12*G18</f>
        <v>5125.6022400000002</v>
      </c>
      <c r="J18" s="203"/>
    </row>
    <row r="19" spans="1:10" s="202" customFormat="1" ht="15.75" hidden="1" customHeight="1">
      <c r="A19" s="48"/>
      <c r="B19" s="205" t="s">
        <v>161</v>
      </c>
      <c r="C19" s="206" t="s">
        <v>162</v>
      </c>
      <c r="D19" s="205" t="s">
        <v>163</v>
      </c>
      <c r="E19" s="207">
        <v>93.4</v>
      </c>
      <c r="F19" s="208">
        <f>SUM(E19/10)</f>
        <v>9.34</v>
      </c>
      <c r="G19" s="208">
        <v>181.9</v>
      </c>
      <c r="H19" s="209">
        <f t="shared" si="0"/>
        <v>1.6989460000000001</v>
      </c>
      <c r="I19" s="18">
        <f t="shared" ref="I19" si="1">F19/12*G19</f>
        <v>141.57883333333334</v>
      </c>
      <c r="J19" s="203"/>
    </row>
    <row r="20" spans="1:10" s="202" customFormat="1" ht="15.75" customHeight="1">
      <c r="A20" s="48">
        <v>4</v>
      </c>
      <c r="B20" s="205" t="s">
        <v>164</v>
      </c>
      <c r="C20" s="206" t="s">
        <v>158</v>
      </c>
      <c r="D20" s="205" t="s">
        <v>53</v>
      </c>
      <c r="E20" s="207">
        <v>43.2</v>
      </c>
      <c r="F20" s="208">
        <f>SUM(E20*2/100)</f>
        <v>0.8640000000000001</v>
      </c>
      <c r="G20" s="208">
        <v>232.91</v>
      </c>
      <c r="H20" s="209">
        <f t="shared" si="0"/>
        <v>0.20123424000000004</v>
      </c>
      <c r="I20" s="18">
        <f>F20/2*G20</f>
        <v>100.61712000000001</v>
      </c>
      <c r="J20" s="203"/>
    </row>
    <row r="21" spans="1:10" s="202" customFormat="1" ht="15.75" customHeight="1">
      <c r="A21" s="48">
        <v>5</v>
      </c>
      <c r="B21" s="205" t="s">
        <v>165</v>
      </c>
      <c r="C21" s="206" t="s">
        <v>158</v>
      </c>
      <c r="D21" s="205" t="s">
        <v>53</v>
      </c>
      <c r="E21" s="207">
        <v>10.08</v>
      </c>
      <c r="F21" s="208">
        <f>SUM(E21*2/100)</f>
        <v>0.2016</v>
      </c>
      <c r="G21" s="208">
        <v>231.03</v>
      </c>
      <c r="H21" s="209">
        <f t="shared" si="0"/>
        <v>4.6575648000000004E-2</v>
      </c>
      <c r="I21" s="18">
        <f>F21/2*G21</f>
        <v>23.287824000000001</v>
      </c>
      <c r="J21" s="203"/>
    </row>
    <row r="22" spans="1:10" s="202" customFormat="1" ht="15.75" hidden="1" customHeight="1">
      <c r="A22" s="48"/>
      <c r="B22" s="205" t="s">
        <v>166</v>
      </c>
      <c r="C22" s="206" t="s">
        <v>65</v>
      </c>
      <c r="D22" s="205" t="s">
        <v>163</v>
      </c>
      <c r="E22" s="207">
        <v>642.6</v>
      </c>
      <c r="F22" s="208">
        <f>SUM(E22/100)</f>
        <v>6.4260000000000002</v>
      </c>
      <c r="G22" s="208">
        <v>287.83999999999997</v>
      </c>
      <c r="H22" s="209">
        <f t="shared" si="0"/>
        <v>1.8496598399999997</v>
      </c>
      <c r="I22" s="18">
        <v>0</v>
      </c>
      <c r="J22" s="203"/>
    </row>
    <row r="23" spans="1:10" s="202" customFormat="1" ht="15.75" hidden="1" customHeight="1">
      <c r="A23" s="48"/>
      <c r="B23" s="205" t="s">
        <v>167</v>
      </c>
      <c r="C23" s="206" t="s">
        <v>65</v>
      </c>
      <c r="D23" s="205" t="s">
        <v>163</v>
      </c>
      <c r="E23" s="210">
        <v>35.28</v>
      </c>
      <c r="F23" s="208">
        <f>SUM(E23/100)</f>
        <v>0.3528</v>
      </c>
      <c r="G23" s="208">
        <v>47.35</v>
      </c>
      <c r="H23" s="209">
        <f t="shared" si="0"/>
        <v>1.6705080000000004E-2</v>
      </c>
      <c r="I23" s="18">
        <v>0</v>
      </c>
      <c r="J23" s="203"/>
    </row>
    <row r="24" spans="1:10" s="202" customFormat="1" ht="15.75" hidden="1" customHeight="1">
      <c r="A24" s="48"/>
      <c r="B24" s="205" t="s">
        <v>168</v>
      </c>
      <c r="C24" s="206" t="s">
        <v>65</v>
      </c>
      <c r="D24" s="205" t="s">
        <v>163</v>
      </c>
      <c r="E24" s="207">
        <v>28.8</v>
      </c>
      <c r="F24" s="208">
        <f>SUM(E24/100)</f>
        <v>0.28800000000000003</v>
      </c>
      <c r="G24" s="208">
        <v>556.74</v>
      </c>
      <c r="H24" s="209">
        <f t="shared" si="0"/>
        <v>0.16034112000000003</v>
      </c>
      <c r="I24" s="18">
        <v>0</v>
      </c>
      <c r="J24" s="203"/>
    </row>
    <row r="25" spans="1:10" s="202" customFormat="1" ht="15.75" customHeight="1">
      <c r="A25" s="48">
        <v>6</v>
      </c>
      <c r="B25" s="205" t="s">
        <v>81</v>
      </c>
      <c r="C25" s="206" t="s">
        <v>38</v>
      </c>
      <c r="D25" s="205" t="s">
        <v>217</v>
      </c>
      <c r="E25" s="207">
        <v>0.1</v>
      </c>
      <c r="F25" s="208">
        <f>SUM(E25*365)</f>
        <v>36.5</v>
      </c>
      <c r="G25" s="208">
        <v>157.18</v>
      </c>
      <c r="H25" s="209">
        <f>SUM(F25*G25/1000)</f>
        <v>5.737070000000001</v>
      </c>
      <c r="I25" s="18">
        <f>F25/12*G25</f>
        <v>478.08916666666664</v>
      </c>
      <c r="J25" s="203"/>
    </row>
    <row r="26" spans="1:10" s="202" customFormat="1" ht="15.75" customHeight="1">
      <c r="A26" s="48">
        <v>7</v>
      </c>
      <c r="B26" s="213" t="s">
        <v>25</v>
      </c>
      <c r="C26" s="206" t="s">
        <v>26</v>
      </c>
      <c r="D26" s="213" t="s">
        <v>218</v>
      </c>
      <c r="E26" s="207">
        <v>3931</v>
      </c>
      <c r="F26" s="208">
        <f>SUM(E26*12)</f>
        <v>47172</v>
      </c>
      <c r="G26" s="208">
        <v>5.33</v>
      </c>
      <c r="H26" s="209">
        <f>SUM(F26*G26/1000)</f>
        <v>251.42676</v>
      </c>
      <c r="I26" s="18">
        <f>F26/12*G26</f>
        <v>20952.23</v>
      </c>
      <c r="J26" s="203"/>
    </row>
    <row r="27" spans="1:10" s="202" customFormat="1" ht="15.75" customHeight="1">
      <c r="A27" s="261" t="s">
        <v>117</v>
      </c>
      <c r="B27" s="262"/>
      <c r="C27" s="262"/>
      <c r="D27" s="262"/>
      <c r="E27" s="262"/>
      <c r="F27" s="262"/>
      <c r="G27" s="262"/>
      <c r="H27" s="262"/>
      <c r="I27" s="263"/>
      <c r="J27" s="203"/>
    </row>
    <row r="28" spans="1:10" s="202" customFormat="1" ht="15.75" customHeight="1">
      <c r="A28" s="48"/>
      <c r="B28" s="238" t="s">
        <v>33</v>
      </c>
      <c r="C28" s="206"/>
      <c r="D28" s="205"/>
      <c r="E28" s="207"/>
      <c r="F28" s="208"/>
      <c r="G28" s="208"/>
      <c r="H28" s="209"/>
      <c r="I28" s="18"/>
      <c r="J28" s="203"/>
    </row>
    <row r="29" spans="1:10" s="202" customFormat="1" ht="31.5" customHeight="1">
      <c r="A29" s="48">
        <v>6</v>
      </c>
      <c r="B29" s="205" t="s">
        <v>169</v>
      </c>
      <c r="C29" s="206" t="s">
        <v>170</v>
      </c>
      <c r="D29" s="205" t="s">
        <v>215</v>
      </c>
      <c r="E29" s="208">
        <v>1116.27</v>
      </c>
      <c r="F29" s="208">
        <f>SUM(E29*52/1000)</f>
        <v>58.046039999999998</v>
      </c>
      <c r="G29" s="208">
        <v>166.65</v>
      </c>
      <c r="H29" s="209">
        <f t="shared" ref="H29:H35" si="2">SUM(F29*G29/1000)</f>
        <v>9.6733725659999994</v>
      </c>
      <c r="I29" s="18">
        <f>F29/6*G29</f>
        <v>1612.2287609999998</v>
      </c>
      <c r="J29" s="203"/>
    </row>
    <row r="30" spans="1:10" s="202" customFormat="1" ht="31.5" customHeight="1">
      <c r="A30" s="48">
        <v>7</v>
      </c>
      <c r="B30" s="205" t="s">
        <v>244</v>
      </c>
      <c r="C30" s="206" t="s">
        <v>170</v>
      </c>
      <c r="D30" s="205" t="s">
        <v>216</v>
      </c>
      <c r="E30" s="208">
        <v>89.03</v>
      </c>
      <c r="F30" s="208">
        <f>SUM(E30*78/1000)</f>
        <v>6.9443400000000004</v>
      </c>
      <c r="G30" s="208">
        <v>276.48</v>
      </c>
      <c r="H30" s="209">
        <f t="shared" si="2"/>
        <v>1.9199711232000003</v>
      </c>
      <c r="I30" s="18">
        <f t="shared" ref="I30:I33" si="3">F30/6*G30</f>
        <v>319.99518720000003</v>
      </c>
      <c r="J30" s="203"/>
    </row>
    <row r="31" spans="1:10" s="202" customFormat="1" ht="15.75" hidden="1" customHeight="1">
      <c r="A31" s="48"/>
      <c r="B31" s="205" t="s">
        <v>32</v>
      </c>
      <c r="C31" s="206" t="s">
        <v>170</v>
      </c>
      <c r="D31" s="205" t="s">
        <v>66</v>
      </c>
      <c r="E31" s="208">
        <v>1116.27</v>
      </c>
      <c r="F31" s="208">
        <f>SUM(E31/1000)</f>
        <v>1.1162699999999999</v>
      </c>
      <c r="G31" s="208">
        <v>3228.73</v>
      </c>
      <c r="H31" s="209">
        <f t="shared" si="2"/>
        <v>3.6041344370999995</v>
      </c>
      <c r="I31" s="18">
        <f t="shared" si="3"/>
        <v>600.68907285</v>
      </c>
      <c r="J31" s="203"/>
    </row>
    <row r="32" spans="1:10" s="202" customFormat="1" ht="15.75" customHeight="1">
      <c r="A32" s="48">
        <v>8</v>
      </c>
      <c r="B32" s="205" t="s">
        <v>174</v>
      </c>
      <c r="C32" s="206" t="s">
        <v>49</v>
      </c>
      <c r="D32" s="205" t="s">
        <v>80</v>
      </c>
      <c r="E32" s="208">
        <v>6</v>
      </c>
      <c r="F32" s="208">
        <v>9.3000000000000007</v>
      </c>
      <c r="G32" s="208">
        <v>1391.86</v>
      </c>
      <c r="H32" s="209">
        <f>G32*F32/1000</f>
        <v>12.944298</v>
      </c>
      <c r="I32" s="18">
        <f t="shared" si="3"/>
        <v>2157.3829999999998</v>
      </c>
      <c r="J32" s="203"/>
    </row>
    <row r="33" spans="1:14" s="202" customFormat="1" ht="15.75" customHeight="1">
      <c r="A33" s="48">
        <v>9</v>
      </c>
      <c r="B33" s="205" t="s">
        <v>175</v>
      </c>
      <c r="C33" s="206" t="s">
        <v>36</v>
      </c>
      <c r="D33" s="205" t="s">
        <v>80</v>
      </c>
      <c r="E33" s="212">
        <v>0.33333333333333331</v>
      </c>
      <c r="F33" s="208">
        <f>155/3</f>
        <v>51.666666666666664</v>
      </c>
      <c r="G33" s="208">
        <v>60.6</v>
      </c>
      <c r="H33" s="209">
        <f>SUM(G33*155/3/1000)</f>
        <v>3.1309999999999998</v>
      </c>
      <c r="I33" s="18">
        <f t="shared" si="3"/>
        <v>521.83333333333337</v>
      </c>
      <c r="J33" s="203"/>
    </row>
    <row r="34" spans="1:14" s="202" customFormat="1" ht="15.75" hidden="1" customHeight="1">
      <c r="A34" s="48"/>
      <c r="B34" s="205" t="s">
        <v>82</v>
      </c>
      <c r="C34" s="206" t="s">
        <v>38</v>
      </c>
      <c r="D34" s="205" t="s">
        <v>84</v>
      </c>
      <c r="E34" s="207"/>
      <c r="F34" s="208">
        <v>3</v>
      </c>
      <c r="G34" s="208">
        <v>204.52</v>
      </c>
      <c r="H34" s="209">
        <f t="shared" si="2"/>
        <v>0.61356000000000011</v>
      </c>
      <c r="I34" s="18">
        <v>0</v>
      </c>
      <c r="J34" s="203"/>
    </row>
    <row r="35" spans="1:14" s="202" customFormat="1" ht="15.75" hidden="1" customHeight="1">
      <c r="A35" s="48"/>
      <c r="B35" s="205" t="s">
        <v>83</v>
      </c>
      <c r="C35" s="206" t="s">
        <v>37</v>
      </c>
      <c r="D35" s="205" t="s">
        <v>84</v>
      </c>
      <c r="E35" s="207"/>
      <c r="F35" s="208">
        <v>2</v>
      </c>
      <c r="G35" s="208">
        <v>1136.33</v>
      </c>
      <c r="H35" s="209">
        <f t="shared" si="2"/>
        <v>2.2726599999999997</v>
      </c>
      <c r="I35" s="18">
        <v>0</v>
      </c>
      <c r="J35" s="203"/>
    </row>
    <row r="36" spans="1:14" s="202" customFormat="1" ht="15.75" hidden="1" customHeight="1">
      <c r="A36" s="48"/>
      <c r="B36" s="238" t="s">
        <v>5</v>
      </c>
      <c r="C36" s="206"/>
      <c r="D36" s="205"/>
      <c r="E36" s="207"/>
      <c r="F36" s="208"/>
      <c r="G36" s="208"/>
      <c r="H36" s="209" t="s">
        <v>218</v>
      </c>
      <c r="I36" s="18"/>
      <c r="J36" s="203"/>
    </row>
    <row r="37" spans="1:14" s="202" customFormat="1" ht="15.75" hidden="1" customHeight="1">
      <c r="A37" s="48">
        <v>6</v>
      </c>
      <c r="B37" s="205" t="s">
        <v>30</v>
      </c>
      <c r="C37" s="206" t="s">
        <v>37</v>
      </c>
      <c r="D37" s="205"/>
      <c r="E37" s="207"/>
      <c r="F37" s="208">
        <v>8</v>
      </c>
      <c r="G37" s="208">
        <v>1632.6</v>
      </c>
      <c r="H37" s="209">
        <f t="shared" ref="H37:H44" si="4">SUM(F37*G37/1000)</f>
        <v>13.060799999999999</v>
      </c>
      <c r="I37" s="18">
        <f>F37/6*G37</f>
        <v>2176.7999999999997</v>
      </c>
      <c r="J37" s="203"/>
    </row>
    <row r="38" spans="1:14" s="202" customFormat="1" ht="15.75" hidden="1" customHeight="1">
      <c r="A38" s="48">
        <v>7</v>
      </c>
      <c r="B38" s="205" t="s">
        <v>133</v>
      </c>
      <c r="C38" s="206" t="s">
        <v>34</v>
      </c>
      <c r="D38" s="205" t="s">
        <v>176</v>
      </c>
      <c r="E38" s="207">
        <v>461.12</v>
      </c>
      <c r="F38" s="208">
        <f>E38*12/1000</f>
        <v>5.5334400000000006</v>
      </c>
      <c r="G38" s="208">
        <v>2247.8000000000002</v>
      </c>
      <c r="H38" s="209">
        <f>G38*F38/1000</f>
        <v>12.438066432000001</v>
      </c>
      <c r="I38" s="18">
        <f>F38/6*G38</f>
        <v>2073.0110720000002</v>
      </c>
      <c r="J38" s="203"/>
    </row>
    <row r="39" spans="1:14" s="202" customFormat="1" ht="15.75" hidden="1" customHeight="1">
      <c r="A39" s="48">
        <v>8</v>
      </c>
      <c r="B39" s="205" t="s">
        <v>177</v>
      </c>
      <c r="C39" s="206" t="s">
        <v>34</v>
      </c>
      <c r="D39" s="205" t="s">
        <v>178</v>
      </c>
      <c r="E39" s="207">
        <v>89.03</v>
      </c>
      <c r="F39" s="208">
        <f>E39*30/1000</f>
        <v>2.6709000000000001</v>
      </c>
      <c r="G39" s="208">
        <v>2247.8000000000002</v>
      </c>
      <c r="H39" s="209">
        <f>G39*F39/1000</f>
        <v>6.003649020000001</v>
      </c>
      <c r="I39" s="18">
        <f>F39/6*G39</f>
        <v>1000.6081700000001</v>
      </c>
      <c r="J39" s="203"/>
    </row>
    <row r="40" spans="1:14" s="202" customFormat="1" ht="15.75" hidden="1" customHeight="1">
      <c r="A40" s="48"/>
      <c r="B40" s="205" t="s">
        <v>179</v>
      </c>
      <c r="C40" s="206" t="s">
        <v>180</v>
      </c>
      <c r="D40" s="205" t="s">
        <v>84</v>
      </c>
      <c r="E40" s="207"/>
      <c r="F40" s="208">
        <v>135</v>
      </c>
      <c r="G40" s="208">
        <v>213.2</v>
      </c>
      <c r="H40" s="209">
        <f>G40*F40/1000</f>
        <v>28.782</v>
      </c>
      <c r="I40" s="18">
        <v>0</v>
      </c>
      <c r="J40" s="203"/>
      <c r="L40" s="27"/>
      <c r="M40" s="28"/>
      <c r="N40" s="54"/>
    </row>
    <row r="41" spans="1:14" s="202" customFormat="1" ht="15.75" hidden="1" customHeight="1">
      <c r="A41" s="48">
        <v>9</v>
      </c>
      <c r="B41" s="205" t="s">
        <v>85</v>
      </c>
      <c r="C41" s="206" t="s">
        <v>34</v>
      </c>
      <c r="D41" s="205" t="s">
        <v>181</v>
      </c>
      <c r="E41" s="208">
        <v>89.03</v>
      </c>
      <c r="F41" s="208">
        <f>SUM(E41*155/1000)</f>
        <v>13.79965</v>
      </c>
      <c r="G41" s="208">
        <v>374.95</v>
      </c>
      <c r="H41" s="209">
        <f t="shared" si="4"/>
        <v>5.1741787674999999</v>
      </c>
      <c r="I41" s="18">
        <f>F41/6*G41</f>
        <v>862.36312791666671</v>
      </c>
      <c r="J41" s="203"/>
      <c r="L41" s="27"/>
      <c r="M41" s="28"/>
      <c r="N41" s="54"/>
    </row>
    <row r="42" spans="1:14" s="202" customFormat="1" ht="15.75" hidden="1" customHeight="1">
      <c r="A42" s="48">
        <v>10</v>
      </c>
      <c r="B42" s="205" t="s">
        <v>111</v>
      </c>
      <c r="C42" s="206" t="s">
        <v>170</v>
      </c>
      <c r="D42" s="205" t="s">
        <v>182</v>
      </c>
      <c r="E42" s="208">
        <v>89.03</v>
      </c>
      <c r="F42" s="208">
        <f>SUM(E42*24/1000)</f>
        <v>2.1367200000000004</v>
      </c>
      <c r="G42" s="208">
        <v>6203.71</v>
      </c>
      <c r="H42" s="209">
        <f t="shared" si="4"/>
        <v>13.255591231200002</v>
      </c>
      <c r="I42" s="18">
        <f>F42/6*G42</f>
        <v>2209.2652052000003</v>
      </c>
      <c r="J42" s="203"/>
      <c r="L42" s="27"/>
      <c r="M42" s="28"/>
      <c r="N42" s="54"/>
    </row>
    <row r="43" spans="1:14" s="202" customFormat="1" ht="15.75" hidden="1" customHeight="1">
      <c r="A43" s="48">
        <v>11</v>
      </c>
      <c r="B43" s="205" t="s">
        <v>183</v>
      </c>
      <c r="C43" s="206" t="s">
        <v>170</v>
      </c>
      <c r="D43" s="205" t="s">
        <v>86</v>
      </c>
      <c r="E43" s="208">
        <v>89.03</v>
      </c>
      <c r="F43" s="208">
        <f>SUM(E43*45/1000)</f>
        <v>4.0063500000000003</v>
      </c>
      <c r="G43" s="208">
        <v>458.28</v>
      </c>
      <c r="H43" s="209">
        <f t="shared" si="4"/>
        <v>1.8360300780000001</v>
      </c>
      <c r="I43" s="18">
        <f>F43/6*G43</f>
        <v>306.00501299999996</v>
      </c>
      <c r="J43" s="203"/>
      <c r="L43" s="27"/>
      <c r="M43" s="28"/>
      <c r="N43" s="54"/>
    </row>
    <row r="44" spans="1:14" s="202" customFormat="1" ht="15.75" hidden="1" customHeight="1">
      <c r="A44" s="48">
        <v>12</v>
      </c>
      <c r="B44" s="205" t="s">
        <v>87</v>
      </c>
      <c r="C44" s="206" t="s">
        <v>38</v>
      </c>
      <c r="D44" s="205"/>
      <c r="E44" s="207"/>
      <c r="F44" s="208">
        <v>0.9</v>
      </c>
      <c r="G44" s="208">
        <v>798</v>
      </c>
      <c r="H44" s="209">
        <f t="shared" si="4"/>
        <v>0.71820000000000006</v>
      </c>
      <c r="I44" s="18">
        <f>F44/6*G44</f>
        <v>119.69999999999999</v>
      </c>
      <c r="J44" s="203"/>
      <c r="L44" s="27"/>
      <c r="M44" s="28"/>
      <c r="N44" s="54"/>
    </row>
    <row r="45" spans="1:14" s="202" customFormat="1" ht="15.75" customHeight="1">
      <c r="A45" s="261" t="s">
        <v>247</v>
      </c>
      <c r="B45" s="262"/>
      <c r="C45" s="262"/>
      <c r="D45" s="262"/>
      <c r="E45" s="262"/>
      <c r="F45" s="262"/>
      <c r="G45" s="262"/>
      <c r="H45" s="262"/>
      <c r="I45" s="263"/>
      <c r="J45" s="203"/>
      <c r="L45" s="27"/>
      <c r="M45" s="28"/>
      <c r="N45" s="54"/>
    </row>
    <row r="46" spans="1:14" s="202" customFormat="1" ht="15.75" customHeight="1">
      <c r="A46" s="48">
        <v>10</v>
      </c>
      <c r="B46" s="205" t="s">
        <v>184</v>
      </c>
      <c r="C46" s="206" t="s">
        <v>170</v>
      </c>
      <c r="D46" s="205" t="s">
        <v>53</v>
      </c>
      <c r="E46" s="207">
        <v>1032.5</v>
      </c>
      <c r="F46" s="208">
        <f>SUM(E46*2/1000)</f>
        <v>2.0649999999999999</v>
      </c>
      <c r="G46" s="18">
        <v>908.1</v>
      </c>
      <c r="H46" s="209">
        <f t="shared" ref="H46:H55" si="5">SUM(F46*G46/1000)</f>
        <v>1.8752264999999999</v>
      </c>
      <c r="I46" s="18">
        <f t="shared" ref="I46:I48" si="6">F46/2*G46</f>
        <v>937.61324999999999</v>
      </c>
      <c r="J46" s="203"/>
      <c r="L46" s="27"/>
      <c r="M46" s="28"/>
      <c r="N46" s="54"/>
    </row>
    <row r="47" spans="1:14" s="202" customFormat="1" ht="15.75" customHeight="1">
      <c r="A47" s="48">
        <v>11</v>
      </c>
      <c r="B47" s="205" t="s">
        <v>42</v>
      </c>
      <c r="C47" s="206" t="s">
        <v>170</v>
      </c>
      <c r="D47" s="205" t="s">
        <v>53</v>
      </c>
      <c r="E47" s="207">
        <v>132</v>
      </c>
      <c r="F47" s="208">
        <f>E47*2/1000</f>
        <v>0.26400000000000001</v>
      </c>
      <c r="G47" s="18">
        <v>619.46</v>
      </c>
      <c r="H47" s="209">
        <f t="shared" si="5"/>
        <v>0.16353744000000001</v>
      </c>
      <c r="I47" s="18">
        <f t="shared" si="6"/>
        <v>81.768720000000002</v>
      </c>
      <c r="J47" s="203"/>
      <c r="L47" s="27"/>
      <c r="M47" s="28"/>
      <c r="N47" s="54"/>
    </row>
    <row r="48" spans="1:14" s="202" customFormat="1" ht="15.75" customHeight="1">
      <c r="A48" s="48">
        <v>12</v>
      </c>
      <c r="B48" s="205" t="s">
        <v>43</v>
      </c>
      <c r="C48" s="206" t="s">
        <v>170</v>
      </c>
      <c r="D48" s="205" t="s">
        <v>53</v>
      </c>
      <c r="E48" s="207">
        <v>4248.22</v>
      </c>
      <c r="F48" s="208">
        <f>SUM(E48*2/1000)</f>
        <v>8.4964399999999998</v>
      </c>
      <c r="G48" s="18">
        <v>619.46</v>
      </c>
      <c r="H48" s="209">
        <f t="shared" si="5"/>
        <v>5.2632047223999994</v>
      </c>
      <c r="I48" s="18">
        <f t="shared" si="6"/>
        <v>2631.6023611999999</v>
      </c>
      <c r="J48" s="203"/>
      <c r="L48" s="27"/>
      <c r="M48" s="28"/>
      <c r="N48" s="54"/>
    </row>
    <row r="49" spans="1:22" s="202" customFormat="1" ht="15.75" customHeight="1">
      <c r="A49" s="48">
        <v>13</v>
      </c>
      <c r="B49" s="205" t="s">
        <v>44</v>
      </c>
      <c r="C49" s="206" t="s">
        <v>170</v>
      </c>
      <c r="D49" s="205" t="s">
        <v>53</v>
      </c>
      <c r="E49" s="207">
        <v>2163.66</v>
      </c>
      <c r="F49" s="208">
        <f>SUM(E49*2/1000)</f>
        <v>4.3273199999999994</v>
      </c>
      <c r="G49" s="18">
        <v>648.64</v>
      </c>
      <c r="H49" s="209">
        <f t="shared" si="5"/>
        <v>2.8068728447999995</v>
      </c>
      <c r="I49" s="18">
        <f>F49/2*G49</f>
        <v>1403.4364223999999</v>
      </c>
      <c r="J49" s="203"/>
      <c r="L49" s="27"/>
      <c r="M49" s="28"/>
      <c r="N49" s="54"/>
    </row>
    <row r="50" spans="1:22" s="202" customFormat="1" ht="31.5" customHeight="1">
      <c r="A50" s="48">
        <v>14</v>
      </c>
      <c r="B50" s="205" t="s">
        <v>70</v>
      </c>
      <c r="C50" s="206" t="s">
        <v>170</v>
      </c>
      <c r="D50" s="205" t="s">
        <v>246</v>
      </c>
      <c r="E50" s="207">
        <v>1017.5</v>
      </c>
      <c r="F50" s="208">
        <f>SUM(E50*5/1000)</f>
        <v>5.0875000000000004</v>
      </c>
      <c r="G50" s="18">
        <v>1297.28</v>
      </c>
      <c r="H50" s="209">
        <f t="shared" si="5"/>
        <v>6.5999120000000007</v>
      </c>
      <c r="I50" s="18">
        <f>F50/5*G50</f>
        <v>1319.9824000000001</v>
      </c>
      <c r="J50" s="203"/>
      <c r="L50" s="27"/>
      <c r="M50" s="28"/>
      <c r="N50" s="54"/>
    </row>
    <row r="51" spans="1:22" s="202" customFormat="1" ht="31.5" customHeight="1">
      <c r="A51" s="48">
        <v>15</v>
      </c>
      <c r="B51" s="205" t="s">
        <v>186</v>
      </c>
      <c r="C51" s="206" t="s">
        <v>170</v>
      </c>
      <c r="D51" s="205" t="s">
        <v>53</v>
      </c>
      <c r="E51" s="207">
        <v>1017.5</v>
      </c>
      <c r="F51" s="208">
        <f>SUM(E51*2/1000)</f>
        <v>2.0350000000000001</v>
      </c>
      <c r="G51" s="18">
        <v>1297.28</v>
      </c>
      <c r="H51" s="209">
        <f t="shared" si="5"/>
        <v>2.6399648</v>
      </c>
      <c r="I51" s="18">
        <f>F51/2*G51</f>
        <v>1319.9824000000001</v>
      </c>
      <c r="J51" s="203"/>
      <c r="L51" s="27"/>
      <c r="M51" s="28"/>
      <c r="N51" s="54"/>
    </row>
    <row r="52" spans="1:22" s="202" customFormat="1" ht="31.5" customHeight="1">
      <c r="A52" s="48">
        <v>16</v>
      </c>
      <c r="B52" s="205" t="s">
        <v>187</v>
      </c>
      <c r="C52" s="206" t="s">
        <v>47</v>
      </c>
      <c r="D52" s="205" t="s">
        <v>53</v>
      </c>
      <c r="E52" s="207">
        <v>30</v>
      </c>
      <c r="F52" s="208">
        <f>SUM(E52*2/100)</f>
        <v>0.6</v>
      </c>
      <c r="G52" s="18">
        <v>2918.89</v>
      </c>
      <c r="H52" s="209">
        <f t="shared" si="5"/>
        <v>1.7513339999999997</v>
      </c>
      <c r="I52" s="18">
        <f t="shared" ref="I52:I53" si="7">F52/2*G52</f>
        <v>875.66699999999992</v>
      </c>
      <c r="J52" s="203"/>
      <c r="L52" s="27"/>
      <c r="M52" s="28"/>
      <c r="N52" s="54"/>
    </row>
    <row r="53" spans="1:22" s="202" customFormat="1" ht="15.75" customHeight="1">
      <c r="A53" s="48">
        <v>17</v>
      </c>
      <c r="B53" s="205" t="s">
        <v>48</v>
      </c>
      <c r="C53" s="206" t="s">
        <v>49</v>
      </c>
      <c r="D53" s="205" t="s">
        <v>53</v>
      </c>
      <c r="E53" s="207">
        <v>1</v>
      </c>
      <c r="F53" s="208">
        <v>0.02</v>
      </c>
      <c r="G53" s="18">
        <v>6042.13</v>
      </c>
      <c r="H53" s="209">
        <f t="shared" si="5"/>
        <v>0.12084260000000001</v>
      </c>
      <c r="I53" s="18">
        <f t="shared" si="7"/>
        <v>60.421300000000002</v>
      </c>
      <c r="J53" s="203"/>
      <c r="L53" s="27"/>
      <c r="M53" s="28"/>
      <c r="N53" s="54"/>
    </row>
    <row r="54" spans="1:22" s="202" customFormat="1" ht="15.75" hidden="1" customHeight="1">
      <c r="A54" s="48">
        <v>14</v>
      </c>
      <c r="B54" s="205" t="s">
        <v>188</v>
      </c>
      <c r="C54" s="206" t="s">
        <v>140</v>
      </c>
      <c r="D54" s="205" t="s">
        <v>88</v>
      </c>
      <c r="E54" s="207">
        <v>90</v>
      </c>
      <c r="F54" s="208">
        <f>E54*4</f>
        <v>360</v>
      </c>
      <c r="G54" s="18">
        <v>150.86000000000001</v>
      </c>
      <c r="H54" s="209">
        <f>F54*G54/1000</f>
        <v>54.309600000000003</v>
      </c>
      <c r="I54" s="18">
        <f>G54*E54</f>
        <v>13577.400000000001</v>
      </c>
      <c r="J54" s="203"/>
      <c r="L54" s="27"/>
      <c r="M54" s="28"/>
      <c r="N54" s="54"/>
    </row>
    <row r="55" spans="1:22" s="202" customFormat="1" ht="15.75" hidden="1" customHeight="1">
      <c r="A55" s="48">
        <v>15</v>
      </c>
      <c r="B55" s="205" t="s">
        <v>52</v>
      </c>
      <c r="C55" s="206" t="s">
        <v>140</v>
      </c>
      <c r="D55" s="205" t="s">
        <v>88</v>
      </c>
      <c r="E55" s="207">
        <v>180</v>
      </c>
      <c r="F55" s="208">
        <f>SUM(E55)*3</f>
        <v>540</v>
      </c>
      <c r="G55" s="18">
        <v>70.2</v>
      </c>
      <c r="H55" s="209">
        <f t="shared" si="5"/>
        <v>37.908000000000001</v>
      </c>
      <c r="I55" s="18">
        <f>G55*E55</f>
        <v>12636</v>
      </c>
      <c r="J55" s="203"/>
      <c r="L55" s="27"/>
      <c r="M55" s="28"/>
      <c r="N55" s="54"/>
    </row>
    <row r="56" spans="1:22" s="202" customFormat="1" ht="15.75" customHeight="1">
      <c r="A56" s="261" t="s">
        <v>248</v>
      </c>
      <c r="B56" s="262"/>
      <c r="C56" s="262"/>
      <c r="D56" s="262"/>
      <c r="E56" s="262"/>
      <c r="F56" s="262"/>
      <c r="G56" s="262"/>
      <c r="H56" s="262"/>
      <c r="I56" s="263"/>
      <c r="J56" s="203"/>
      <c r="L56" s="27"/>
      <c r="M56" s="28"/>
      <c r="N56" s="54"/>
    </row>
    <row r="57" spans="1:22" s="202" customFormat="1" ht="15.75" hidden="1" customHeight="1">
      <c r="A57" s="48"/>
      <c r="B57" s="238" t="s">
        <v>54</v>
      </c>
      <c r="C57" s="206"/>
      <c r="D57" s="205"/>
      <c r="E57" s="207"/>
      <c r="F57" s="208"/>
      <c r="G57" s="208"/>
      <c r="H57" s="209"/>
      <c r="I57" s="18"/>
      <c r="J57" s="203"/>
      <c r="L57" s="27"/>
      <c r="M57" s="28"/>
      <c r="N57" s="54"/>
    </row>
    <row r="58" spans="1:22" s="202" customFormat="1" ht="31.5" hidden="1" customHeight="1">
      <c r="A58" s="48">
        <v>16</v>
      </c>
      <c r="B58" s="205" t="s">
        <v>207</v>
      </c>
      <c r="C58" s="206" t="s">
        <v>158</v>
      </c>
      <c r="D58" s="205" t="s">
        <v>189</v>
      </c>
      <c r="E58" s="207">
        <v>103.25</v>
      </c>
      <c r="F58" s="208">
        <f>SUM(E58*6/100)</f>
        <v>6.1950000000000003</v>
      </c>
      <c r="G58" s="18">
        <v>1654.04</v>
      </c>
      <c r="H58" s="209">
        <f>SUM(F58*G58/1000)</f>
        <v>10.2467778</v>
      </c>
      <c r="I58" s="18">
        <f>F58/6*G58</f>
        <v>1707.7963</v>
      </c>
      <c r="J58" s="203"/>
      <c r="L58" s="27"/>
      <c r="M58" s="28"/>
      <c r="N58" s="54"/>
    </row>
    <row r="59" spans="1:22" s="202" customFormat="1" ht="31.5" hidden="1" customHeight="1">
      <c r="A59" s="48">
        <v>17</v>
      </c>
      <c r="B59" s="205" t="s">
        <v>138</v>
      </c>
      <c r="C59" s="206" t="s">
        <v>158</v>
      </c>
      <c r="D59" s="205" t="s">
        <v>139</v>
      </c>
      <c r="E59" s="207">
        <v>39.700000000000003</v>
      </c>
      <c r="F59" s="208">
        <f>SUM(E59*12/100)</f>
        <v>4.7640000000000002</v>
      </c>
      <c r="G59" s="18">
        <v>1654.04</v>
      </c>
      <c r="H59" s="209">
        <f>SUM(F59*G59/1000)</f>
        <v>7.8798465599999998</v>
      </c>
      <c r="I59" s="18">
        <f>F59/6*G59</f>
        <v>1313.3077600000001</v>
      </c>
      <c r="J59" s="203"/>
      <c r="L59" s="27"/>
      <c r="M59" s="28"/>
      <c r="N59" s="54"/>
    </row>
    <row r="60" spans="1:22" s="202" customFormat="1" ht="15.75" hidden="1" customHeight="1">
      <c r="A60" s="48">
        <v>18</v>
      </c>
      <c r="B60" s="214" t="s">
        <v>190</v>
      </c>
      <c r="C60" s="215" t="s">
        <v>191</v>
      </c>
      <c r="D60" s="214" t="s">
        <v>53</v>
      </c>
      <c r="E60" s="216">
        <v>8</v>
      </c>
      <c r="F60" s="217">
        <v>16</v>
      </c>
      <c r="G60" s="18">
        <v>193.25</v>
      </c>
      <c r="H60" s="218">
        <f>F60*G60/1000</f>
        <v>3.0920000000000001</v>
      </c>
      <c r="I60" s="18">
        <f>F60/2*G60</f>
        <v>1546</v>
      </c>
      <c r="J60" s="203"/>
      <c r="L60" s="27"/>
    </row>
    <row r="61" spans="1:22" s="202" customFormat="1" ht="15.75" hidden="1" customHeight="1">
      <c r="A61" s="48">
        <v>19</v>
      </c>
      <c r="B61" s="205" t="s">
        <v>192</v>
      </c>
      <c r="C61" s="206" t="s">
        <v>158</v>
      </c>
      <c r="D61" s="205" t="s">
        <v>189</v>
      </c>
      <c r="E61" s="207">
        <v>41.73</v>
      </c>
      <c r="F61" s="208">
        <f>SUM(E61*6/100)</f>
        <v>2.5038</v>
      </c>
      <c r="G61" s="18">
        <v>1654.04</v>
      </c>
      <c r="H61" s="209">
        <f>SUM(F61*G61/1000)</f>
        <v>4.1413853520000004</v>
      </c>
      <c r="I61" s="18">
        <f>F61/6*G61</f>
        <v>690.23089200000004</v>
      </c>
      <c r="J61" s="203"/>
      <c r="L61" s="27"/>
    </row>
    <row r="62" spans="1:22" s="202" customFormat="1" ht="15.75" customHeight="1">
      <c r="A62" s="48"/>
      <c r="B62" s="239" t="s">
        <v>55</v>
      </c>
      <c r="C62" s="215"/>
      <c r="D62" s="214"/>
      <c r="E62" s="216"/>
      <c r="F62" s="217"/>
      <c r="G62" s="18"/>
      <c r="H62" s="218"/>
      <c r="I62" s="18"/>
    </row>
    <row r="63" spans="1:22" s="202" customFormat="1" ht="15.75" hidden="1" customHeight="1">
      <c r="A63" s="48"/>
      <c r="B63" s="214" t="s">
        <v>219</v>
      </c>
      <c r="C63" s="215" t="s">
        <v>65</v>
      </c>
      <c r="D63" s="214" t="s">
        <v>66</v>
      </c>
      <c r="E63" s="216">
        <v>1017.5</v>
      </c>
      <c r="F63" s="217">
        <v>10.154</v>
      </c>
      <c r="G63" s="18">
        <v>848.37</v>
      </c>
      <c r="H63" s="218">
        <f>F63*G63/1000</f>
        <v>8.6143489800000008</v>
      </c>
      <c r="I63" s="18">
        <v>0</v>
      </c>
    </row>
    <row r="64" spans="1:22" s="202" customFormat="1" ht="15.75" customHeight="1">
      <c r="A64" s="48">
        <v>18</v>
      </c>
      <c r="B64" s="214" t="s">
        <v>142</v>
      </c>
      <c r="C64" s="215" t="s">
        <v>28</v>
      </c>
      <c r="D64" s="214" t="s">
        <v>35</v>
      </c>
      <c r="E64" s="216">
        <v>203.5</v>
      </c>
      <c r="F64" s="219">
        <f>E64*12</f>
        <v>2442</v>
      </c>
      <c r="G64" s="197">
        <v>2.6</v>
      </c>
      <c r="H64" s="217">
        <f>F64*G64/1000</f>
        <v>6.3491999999999997</v>
      </c>
      <c r="I64" s="18">
        <f>F64/12*G64</f>
        <v>529.1</v>
      </c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1"/>
    </row>
    <row r="65" spans="1:21" s="202" customFormat="1" ht="15.75" customHeight="1">
      <c r="A65" s="48"/>
      <c r="B65" s="239" t="s">
        <v>57</v>
      </c>
      <c r="C65" s="215"/>
      <c r="D65" s="214"/>
      <c r="E65" s="216"/>
      <c r="F65" s="219"/>
      <c r="G65" s="219"/>
      <c r="H65" s="217" t="s">
        <v>218</v>
      </c>
      <c r="I65" s="18"/>
      <c r="J65" s="222"/>
      <c r="K65" s="222"/>
      <c r="L65" s="220"/>
      <c r="M65" s="220"/>
      <c r="N65" s="220"/>
      <c r="O65" s="220"/>
      <c r="P65" s="220"/>
      <c r="Q65" s="220"/>
      <c r="R65" s="220"/>
      <c r="S65" s="220"/>
      <c r="T65" s="220"/>
      <c r="U65" s="220"/>
    </row>
    <row r="66" spans="1:21" s="202" customFormat="1" ht="15.75" customHeight="1">
      <c r="A66" s="48">
        <v>19</v>
      </c>
      <c r="B66" s="20" t="s">
        <v>58</v>
      </c>
      <c r="C66" s="22" t="s">
        <v>140</v>
      </c>
      <c r="D66" s="20" t="s">
        <v>84</v>
      </c>
      <c r="E66" s="25">
        <v>10</v>
      </c>
      <c r="F66" s="208">
        <v>10</v>
      </c>
      <c r="G66" s="18">
        <v>237.75</v>
      </c>
      <c r="H66" s="223">
        <f t="shared" ref="H66:H79" si="8">SUM(F66*G66/1000)</f>
        <v>2.3774999999999999</v>
      </c>
      <c r="I66" s="18">
        <f>G66*2</f>
        <v>475.5</v>
      </c>
      <c r="J66" s="220"/>
      <c r="K66" s="220"/>
      <c r="L66" s="220"/>
      <c r="M66" s="220"/>
      <c r="N66" s="220"/>
      <c r="O66" s="220"/>
      <c r="P66" s="220"/>
      <c r="Q66" s="220"/>
      <c r="S66" s="220"/>
      <c r="T66" s="220"/>
      <c r="U66" s="220"/>
    </row>
    <row r="67" spans="1:21" s="202" customFormat="1" ht="15.75" hidden="1" customHeight="1">
      <c r="A67" s="48"/>
      <c r="B67" s="20" t="s">
        <v>59</v>
      </c>
      <c r="C67" s="22" t="s">
        <v>140</v>
      </c>
      <c r="D67" s="20" t="s">
        <v>84</v>
      </c>
      <c r="E67" s="25">
        <v>5</v>
      </c>
      <c r="F67" s="208">
        <v>5</v>
      </c>
      <c r="G67" s="18">
        <v>81.510000000000005</v>
      </c>
      <c r="H67" s="223">
        <f t="shared" si="8"/>
        <v>0.40755000000000002</v>
      </c>
      <c r="I67" s="18">
        <v>0</v>
      </c>
      <c r="J67" s="224"/>
      <c r="K67" s="224"/>
      <c r="L67" s="224"/>
      <c r="M67" s="224"/>
      <c r="N67" s="224"/>
      <c r="O67" s="224"/>
      <c r="P67" s="224"/>
      <c r="Q67" s="224"/>
      <c r="R67" s="264"/>
      <c r="S67" s="264"/>
      <c r="T67" s="264"/>
      <c r="U67" s="264"/>
    </row>
    <row r="68" spans="1:21" s="202" customFormat="1" ht="15.75" hidden="1" customHeight="1">
      <c r="A68" s="48"/>
      <c r="B68" s="20" t="s">
        <v>60</v>
      </c>
      <c r="C68" s="22" t="s">
        <v>193</v>
      </c>
      <c r="D68" s="20" t="s">
        <v>66</v>
      </c>
      <c r="E68" s="207">
        <v>14347</v>
      </c>
      <c r="F68" s="18">
        <f>SUM(E68/100)</f>
        <v>143.47</v>
      </c>
      <c r="G68" s="18">
        <v>226.79</v>
      </c>
      <c r="H68" s="223">
        <f t="shared" si="8"/>
        <v>32.5375613</v>
      </c>
      <c r="I68" s="18">
        <v>0</v>
      </c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</row>
    <row r="69" spans="1:21" s="202" customFormat="1" ht="15.75" hidden="1" customHeight="1">
      <c r="A69" s="48"/>
      <c r="B69" s="20" t="s">
        <v>61</v>
      </c>
      <c r="C69" s="22" t="s">
        <v>194</v>
      </c>
      <c r="D69" s="20" t="s">
        <v>66</v>
      </c>
      <c r="E69" s="207">
        <v>14347</v>
      </c>
      <c r="F69" s="18">
        <f>SUM(E69/1000)</f>
        <v>14.347</v>
      </c>
      <c r="G69" s="18">
        <v>176.61</v>
      </c>
      <c r="H69" s="223">
        <f t="shared" si="8"/>
        <v>2.5338236700000003</v>
      </c>
      <c r="I69" s="18">
        <v>0</v>
      </c>
    </row>
    <row r="70" spans="1:21" s="202" customFormat="1" ht="15.75" hidden="1" customHeight="1">
      <c r="A70" s="48"/>
      <c r="B70" s="20" t="s">
        <v>62</v>
      </c>
      <c r="C70" s="22" t="s">
        <v>94</v>
      </c>
      <c r="D70" s="20" t="s">
        <v>66</v>
      </c>
      <c r="E70" s="207">
        <v>2244</v>
      </c>
      <c r="F70" s="18">
        <f>SUM(E70/100)</f>
        <v>22.44</v>
      </c>
      <c r="G70" s="18">
        <v>2217.7800000000002</v>
      </c>
      <c r="H70" s="223">
        <f t="shared" si="8"/>
        <v>49.766983200000013</v>
      </c>
      <c r="I70" s="18">
        <v>0</v>
      </c>
    </row>
    <row r="71" spans="1:21" s="202" customFormat="1" ht="15.75" hidden="1" customHeight="1">
      <c r="A71" s="48"/>
      <c r="B71" s="225" t="s">
        <v>195</v>
      </c>
      <c r="C71" s="22" t="s">
        <v>38</v>
      </c>
      <c r="D71" s="20" t="s">
        <v>66</v>
      </c>
      <c r="E71" s="207">
        <v>12.48</v>
      </c>
      <c r="F71" s="18">
        <f>SUM(E71)</f>
        <v>12.48</v>
      </c>
      <c r="G71" s="18">
        <v>42.67</v>
      </c>
      <c r="H71" s="223">
        <f t="shared" si="8"/>
        <v>0.53252160000000004</v>
      </c>
      <c r="I71" s="18">
        <v>0</v>
      </c>
    </row>
    <row r="72" spans="1:21" s="202" customFormat="1" ht="15.75" hidden="1" customHeight="1">
      <c r="A72" s="48"/>
      <c r="B72" s="225" t="s">
        <v>196</v>
      </c>
      <c r="C72" s="22" t="s">
        <v>38</v>
      </c>
      <c r="D72" s="20" t="s">
        <v>66</v>
      </c>
      <c r="E72" s="207">
        <v>12.48</v>
      </c>
      <c r="F72" s="18">
        <f>SUM(E72)</f>
        <v>12.48</v>
      </c>
      <c r="G72" s="18">
        <v>39.81</v>
      </c>
      <c r="H72" s="223">
        <f t="shared" si="8"/>
        <v>0.49682880000000007</v>
      </c>
      <c r="I72" s="18">
        <v>0</v>
      </c>
    </row>
    <row r="73" spans="1:21" s="202" customFormat="1" ht="15.75" customHeight="1">
      <c r="A73" s="48">
        <v>20</v>
      </c>
      <c r="B73" s="20" t="s">
        <v>71</v>
      </c>
      <c r="C73" s="22" t="s">
        <v>72</v>
      </c>
      <c r="D73" s="20" t="s">
        <v>66</v>
      </c>
      <c r="E73" s="25">
        <v>5</v>
      </c>
      <c r="F73" s="208">
        <v>5</v>
      </c>
      <c r="G73" s="18">
        <v>53.32</v>
      </c>
      <c r="H73" s="223">
        <f t="shared" si="8"/>
        <v>0.2666</v>
      </c>
      <c r="I73" s="18">
        <f>F73*G73</f>
        <v>266.60000000000002</v>
      </c>
    </row>
    <row r="74" spans="1:21" s="202" customFormat="1" ht="15.75" hidden="1" customHeight="1">
      <c r="A74" s="48"/>
      <c r="B74" s="193" t="s">
        <v>89</v>
      </c>
      <c r="C74" s="22"/>
      <c r="D74" s="20"/>
      <c r="E74" s="25"/>
      <c r="F74" s="18"/>
      <c r="G74" s="18"/>
      <c r="H74" s="223" t="s">
        <v>218</v>
      </c>
      <c r="I74" s="18"/>
    </row>
    <row r="75" spans="1:21" s="202" customFormat="1" ht="15.75" hidden="1" customHeight="1">
      <c r="A75" s="48"/>
      <c r="B75" s="20" t="s">
        <v>90</v>
      </c>
      <c r="C75" s="22" t="s">
        <v>92</v>
      </c>
      <c r="D75" s="20"/>
      <c r="E75" s="25">
        <v>2</v>
      </c>
      <c r="F75" s="18">
        <v>0.2</v>
      </c>
      <c r="G75" s="18">
        <v>536.23</v>
      </c>
      <c r="H75" s="223">
        <f t="shared" si="8"/>
        <v>0.10724600000000001</v>
      </c>
      <c r="I75" s="18">
        <v>0</v>
      </c>
    </row>
    <row r="76" spans="1:21" s="202" customFormat="1" ht="15.75" hidden="1" customHeight="1">
      <c r="A76" s="48">
        <v>21</v>
      </c>
      <c r="B76" s="20" t="s">
        <v>91</v>
      </c>
      <c r="C76" s="22" t="s">
        <v>36</v>
      </c>
      <c r="D76" s="20"/>
      <c r="E76" s="25">
        <v>1</v>
      </c>
      <c r="F76" s="197">
        <v>1</v>
      </c>
      <c r="G76" s="18">
        <v>911.85</v>
      </c>
      <c r="H76" s="223">
        <f>F76*G76/1000</f>
        <v>0.91185000000000005</v>
      </c>
      <c r="I76" s="18">
        <f>G76</f>
        <v>911.85</v>
      </c>
    </row>
    <row r="77" spans="1:21" s="202" customFormat="1" ht="15.75" hidden="1" customHeight="1">
      <c r="A77" s="48"/>
      <c r="B77" s="20" t="s">
        <v>199</v>
      </c>
      <c r="C77" s="22" t="s">
        <v>36</v>
      </c>
      <c r="D77" s="20"/>
      <c r="E77" s="25">
        <v>1</v>
      </c>
      <c r="F77" s="18">
        <v>1</v>
      </c>
      <c r="G77" s="18">
        <v>383.25</v>
      </c>
      <c r="H77" s="223">
        <f>G77*F77/1000</f>
        <v>0.38324999999999998</v>
      </c>
      <c r="I77" s="18">
        <v>0</v>
      </c>
    </row>
    <row r="78" spans="1:21" s="202" customFormat="1" ht="15.75" hidden="1" customHeight="1">
      <c r="A78" s="48"/>
      <c r="B78" s="227" t="s">
        <v>93</v>
      </c>
      <c r="C78" s="22"/>
      <c r="D78" s="20"/>
      <c r="E78" s="25"/>
      <c r="F78" s="18"/>
      <c r="G78" s="18" t="s">
        <v>218</v>
      </c>
      <c r="H78" s="223" t="s">
        <v>218</v>
      </c>
      <c r="I78" s="18"/>
    </row>
    <row r="79" spans="1:21" s="202" customFormat="1" ht="15.75" hidden="1" customHeight="1">
      <c r="A79" s="48"/>
      <c r="B79" s="86" t="s">
        <v>200</v>
      </c>
      <c r="C79" s="22" t="s">
        <v>94</v>
      </c>
      <c r="D79" s="20"/>
      <c r="E79" s="25"/>
      <c r="F79" s="18">
        <v>1</v>
      </c>
      <c r="G79" s="18">
        <v>2949.84</v>
      </c>
      <c r="H79" s="223">
        <f t="shared" si="8"/>
        <v>2.94984</v>
      </c>
      <c r="I79" s="18">
        <v>0</v>
      </c>
    </row>
    <row r="80" spans="1:21" s="202" customFormat="1" ht="15.75" hidden="1" customHeight="1">
      <c r="A80" s="48"/>
      <c r="B80" s="193" t="s">
        <v>197</v>
      </c>
      <c r="C80" s="227"/>
      <c r="D80" s="53"/>
      <c r="E80" s="58"/>
      <c r="F80" s="211"/>
      <c r="G80" s="211"/>
      <c r="H80" s="228">
        <f>SUM(H58:H79)</f>
        <v>133.59511326200004</v>
      </c>
      <c r="I80" s="211"/>
    </row>
    <row r="81" spans="1:9" s="202" customFormat="1" ht="15.75" hidden="1" customHeight="1">
      <c r="A81" s="48"/>
      <c r="B81" s="205" t="s">
        <v>198</v>
      </c>
      <c r="C81" s="22"/>
      <c r="D81" s="20"/>
      <c r="E81" s="198"/>
      <c r="F81" s="18">
        <v>1</v>
      </c>
      <c r="G81" s="18">
        <v>27922</v>
      </c>
      <c r="H81" s="223">
        <f>G81*F81/1000</f>
        <v>27.922000000000001</v>
      </c>
      <c r="I81" s="18">
        <v>0</v>
      </c>
    </row>
    <row r="82" spans="1:9" s="202" customFormat="1" ht="15.75" customHeight="1">
      <c r="A82" s="261" t="s">
        <v>249</v>
      </c>
      <c r="B82" s="262"/>
      <c r="C82" s="262"/>
      <c r="D82" s="262"/>
      <c r="E82" s="262"/>
      <c r="F82" s="262"/>
      <c r="G82" s="262"/>
      <c r="H82" s="262"/>
      <c r="I82" s="263"/>
    </row>
    <row r="83" spans="1:9" s="202" customFormat="1" ht="15.75" customHeight="1">
      <c r="A83" s="48">
        <v>22</v>
      </c>
      <c r="B83" s="205" t="s">
        <v>201</v>
      </c>
      <c r="C83" s="22" t="s">
        <v>67</v>
      </c>
      <c r="D83" s="229" t="s">
        <v>68</v>
      </c>
      <c r="E83" s="18">
        <v>3931</v>
      </c>
      <c r="F83" s="18">
        <f>SUM(E83*12)</f>
        <v>47172</v>
      </c>
      <c r="G83" s="18">
        <v>2.2400000000000002</v>
      </c>
      <c r="H83" s="223">
        <f>SUM(F83*G83/1000)</f>
        <v>105.66528000000001</v>
      </c>
      <c r="I83" s="18">
        <f>F83/12*G83</f>
        <v>8805.44</v>
      </c>
    </row>
    <row r="84" spans="1:9" s="202" customFormat="1" ht="31.5" customHeight="1">
      <c r="A84" s="48">
        <v>23</v>
      </c>
      <c r="B84" s="20" t="s">
        <v>95</v>
      </c>
      <c r="C84" s="22"/>
      <c r="D84" s="229" t="s">
        <v>68</v>
      </c>
      <c r="E84" s="207">
        <f>E83</f>
        <v>3931</v>
      </c>
      <c r="F84" s="18">
        <f>E84*12</f>
        <v>47172</v>
      </c>
      <c r="G84" s="18">
        <v>1.74</v>
      </c>
      <c r="H84" s="223">
        <f>F84*G84/1000</f>
        <v>82.079279999999997</v>
      </c>
      <c r="I84" s="18">
        <f>F84/12*G84</f>
        <v>6839.94</v>
      </c>
    </row>
    <row r="85" spans="1:9" s="202" customFormat="1" ht="15.75" customHeight="1">
      <c r="A85" s="48"/>
      <c r="B85" s="73" t="s">
        <v>101</v>
      </c>
      <c r="C85" s="227"/>
      <c r="D85" s="226"/>
      <c r="E85" s="211"/>
      <c r="F85" s="211"/>
      <c r="G85" s="211"/>
      <c r="H85" s="228">
        <f>H84</f>
        <v>82.079279999999997</v>
      </c>
      <c r="I85" s="211">
        <f>I16+I17+I18+I20+I21+I25+I26+I29+I30+I32+I33+I46+I47+I48+I49+I50+I51+I52+I53+I64+I66+I73+I83+I84</f>
        <v>65331.614437800017</v>
      </c>
    </row>
    <row r="86" spans="1:9" s="202" customFormat="1" ht="15.75" customHeight="1">
      <c r="A86" s="48"/>
      <c r="B86" s="180" t="s">
        <v>74</v>
      </c>
      <c r="C86" s="22"/>
      <c r="D86" s="86"/>
      <c r="E86" s="18"/>
      <c r="F86" s="18"/>
      <c r="G86" s="18"/>
      <c r="H86" s="18"/>
      <c r="I86" s="18"/>
    </row>
    <row r="87" spans="1:9" s="202" customFormat="1" ht="31.5" customHeight="1">
      <c r="A87" s="48">
        <v>24</v>
      </c>
      <c r="B87" s="232" t="s">
        <v>100</v>
      </c>
      <c r="C87" s="184" t="s">
        <v>140</v>
      </c>
      <c r="D87" s="20"/>
      <c r="E87" s="25"/>
      <c r="F87" s="18">
        <v>8</v>
      </c>
      <c r="G87" s="18">
        <v>79.09</v>
      </c>
      <c r="H87" s="223">
        <f t="shared" ref="H87" si="9">G87*F87/1000</f>
        <v>0.63272000000000006</v>
      </c>
      <c r="I87" s="230">
        <f>G87*3</f>
        <v>237.27</v>
      </c>
    </row>
    <row r="88" spans="1:9" s="202" customFormat="1" ht="31.5" customHeight="1">
      <c r="A88" s="48">
        <v>25</v>
      </c>
      <c r="B88" s="232" t="s">
        <v>228</v>
      </c>
      <c r="C88" s="184" t="s">
        <v>229</v>
      </c>
      <c r="D88" s="20"/>
      <c r="E88" s="25"/>
      <c r="F88" s="18">
        <v>3</v>
      </c>
      <c r="G88" s="18">
        <v>195.95</v>
      </c>
      <c r="H88" s="223">
        <f t="shared" ref="H88" si="10">G88*F88/1000</f>
        <v>0.58784999999999987</v>
      </c>
      <c r="I88" s="230">
        <f>G88*2</f>
        <v>391.9</v>
      </c>
    </row>
    <row r="89" spans="1:9" s="202" customFormat="1" ht="31.5" customHeight="1">
      <c r="A89" s="48">
        <v>26</v>
      </c>
      <c r="B89" s="232" t="s">
        <v>209</v>
      </c>
      <c r="C89" s="184" t="s">
        <v>210</v>
      </c>
      <c r="D89" s="86"/>
      <c r="E89" s="18"/>
      <c r="F89" s="18">
        <v>2</v>
      </c>
      <c r="G89" s="18">
        <v>51.39</v>
      </c>
      <c r="H89" s="223">
        <f>G89*F89/1000</f>
        <v>0.10278</v>
      </c>
      <c r="I89" s="230">
        <f>G89</f>
        <v>51.39</v>
      </c>
    </row>
    <row r="90" spans="1:9" s="202" customFormat="1" ht="15.75" customHeight="1">
      <c r="A90" s="48">
        <v>27</v>
      </c>
      <c r="B90" s="232" t="s">
        <v>240</v>
      </c>
      <c r="C90" s="184" t="s">
        <v>227</v>
      </c>
      <c r="D90" s="20"/>
      <c r="E90" s="25"/>
      <c r="F90" s="18">
        <v>1</v>
      </c>
      <c r="G90" s="18">
        <v>195.95</v>
      </c>
      <c r="H90" s="223">
        <f t="shared" ref="H90" si="11">G90*F90/1000</f>
        <v>0.19594999999999999</v>
      </c>
      <c r="I90" s="230">
        <f>G90</f>
        <v>195.95</v>
      </c>
    </row>
    <row r="91" spans="1:9" ht="15.75" customHeight="1">
      <c r="A91" s="48"/>
      <c r="B91" s="237" t="s">
        <v>63</v>
      </c>
      <c r="C91" s="76"/>
      <c r="D91" s="130"/>
      <c r="E91" s="76">
        <v>1</v>
      </c>
      <c r="F91" s="76"/>
      <c r="G91" s="76"/>
      <c r="H91" s="76"/>
      <c r="I91" s="58">
        <f>SUM(I87:I90)</f>
        <v>876.51</v>
      </c>
    </row>
    <row r="92" spans="1:9" ht="15.75" customHeight="1">
      <c r="A92" s="48"/>
      <c r="B92" s="86" t="s">
        <v>96</v>
      </c>
      <c r="C92" s="21"/>
      <c r="D92" s="21"/>
      <c r="E92" s="77"/>
      <c r="F92" s="77"/>
      <c r="G92" s="78"/>
      <c r="H92" s="78"/>
      <c r="I92" s="24">
        <v>0</v>
      </c>
    </row>
    <row r="93" spans="1:9" ht="15.75" customHeight="1">
      <c r="A93" s="131"/>
      <c r="B93" s="81" t="s">
        <v>64</v>
      </c>
      <c r="C93" s="64"/>
      <c r="D93" s="64"/>
      <c r="E93" s="64"/>
      <c r="F93" s="64"/>
      <c r="G93" s="64"/>
      <c r="H93" s="64"/>
      <c r="I93" s="79">
        <f>I85+I91</f>
        <v>66208.124437800012</v>
      </c>
    </row>
    <row r="94" spans="1:9" ht="15.75">
      <c r="A94" s="265" t="s">
        <v>276</v>
      </c>
      <c r="B94" s="265"/>
      <c r="C94" s="265"/>
      <c r="D94" s="265"/>
      <c r="E94" s="265"/>
      <c r="F94" s="265"/>
      <c r="G94" s="265"/>
      <c r="H94" s="265"/>
      <c r="I94" s="265"/>
    </row>
    <row r="95" spans="1:9" ht="15.75">
      <c r="A95" s="188"/>
      <c r="B95" s="272" t="s">
        <v>277</v>
      </c>
      <c r="C95" s="272"/>
      <c r="D95" s="272"/>
      <c r="E95" s="272"/>
      <c r="F95" s="272"/>
      <c r="G95" s="272"/>
      <c r="H95" s="201"/>
      <c r="I95" s="3"/>
    </row>
    <row r="96" spans="1:9">
      <c r="A96" s="191"/>
      <c r="B96" s="268" t="s">
        <v>6</v>
      </c>
      <c r="C96" s="268"/>
      <c r="D96" s="268"/>
      <c r="E96" s="268"/>
      <c r="F96" s="268"/>
      <c r="G96" s="268"/>
      <c r="H96" s="38"/>
      <c r="I96" s="5"/>
    </row>
    <row r="97" spans="1:9" ht="7.5" customHeight="1">
      <c r="A97" s="11"/>
      <c r="B97" s="11"/>
      <c r="C97" s="11"/>
      <c r="D97" s="11"/>
      <c r="E97" s="11"/>
      <c r="F97" s="11"/>
      <c r="G97" s="11"/>
      <c r="H97" s="11"/>
      <c r="I97" s="11"/>
    </row>
    <row r="98" spans="1:9" ht="15.75">
      <c r="A98" s="273" t="s">
        <v>7</v>
      </c>
      <c r="B98" s="273"/>
      <c r="C98" s="273"/>
      <c r="D98" s="273"/>
      <c r="E98" s="273"/>
      <c r="F98" s="273"/>
      <c r="G98" s="273"/>
      <c r="H98" s="273"/>
      <c r="I98" s="273"/>
    </row>
    <row r="99" spans="1:9" ht="15.75">
      <c r="A99" s="273" t="s">
        <v>8</v>
      </c>
      <c r="B99" s="273"/>
      <c r="C99" s="273"/>
      <c r="D99" s="273"/>
      <c r="E99" s="273"/>
      <c r="F99" s="273"/>
      <c r="G99" s="273"/>
      <c r="H99" s="273"/>
      <c r="I99" s="273"/>
    </row>
    <row r="100" spans="1:9" ht="15.75">
      <c r="A100" s="258" t="s">
        <v>76</v>
      </c>
      <c r="B100" s="258"/>
      <c r="C100" s="258"/>
      <c r="D100" s="258"/>
      <c r="E100" s="258"/>
      <c r="F100" s="258"/>
      <c r="G100" s="258"/>
      <c r="H100" s="258"/>
      <c r="I100" s="258"/>
    </row>
    <row r="101" spans="1:9" ht="15.75">
      <c r="A101" s="12"/>
    </row>
    <row r="102" spans="1:9" ht="15.75">
      <c r="A102" s="259" t="s">
        <v>10</v>
      </c>
      <c r="B102" s="259"/>
      <c r="C102" s="259"/>
      <c r="D102" s="259"/>
      <c r="E102" s="259"/>
      <c r="F102" s="259"/>
      <c r="G102" s="259"/>
      <c r="H102" s="259"/>
      <c r="I102" s="259"/>
    </row>
    <row r="103" spans="1:9" ht="15.75">
      <c r="A103" s="4"/>
    </row>
    <row r="104" spans="1:9" ht="15.75">
      <c r="B104" s="187" t="s">
        <v>11</v>
      </c>
      <c r="C104" s="267" t="s">
        <v>203</v>
      </c>
      <c r="D104" s="267"/>
      <c r="E104" s="267"/>
      <c r="F104" s="199"/>
      <c r="I104" s="190"/>
    </row>
    <row r="105" spans="1:9">
      <c r="A105" s="191"/>
      <c r="C105" s="268" t="s">
        <v>12</v>
      </c>
      <c r="D105" s="268"/>
      <c r="E105" s="268"/>
      <c r="F105" s="38"/>
      <c r="I105" s="189" t="s">
        <v>13</v>
      </c>
    </row>
    <row r="106" spans="1:9" ht="15.75">
      <c r="A106" s="39"/>
      <c r="C106" s="13"/>
      <c r="D106" s="13"/>
      <c r="G106" s="13"/>
      <c r="H106" s="13"/>
    </row>
    <row r="107" spans="1:9" ht="15.75">
      <c r="B107" s="187" t="s">
        <v>14</v>
      </c>
      <c r="C107" s="269"/>
      <c r="D107" s="269"/>
      <c r="E107" s="269"/>
      <c r="F107" s="200"/>
      <c r="I107" s="190"/>
    </row>
    <row r="108" spans="1:9">
      <c r="A108" s="191"/>
      <c r="C108" s="270" t="s">
        <v>12</v>
      </c>
      <c r="D108" s="270"/>
      <c r="E108" s="270"/>
      <c r="F108" s="191"/>
      <c r="I108" s="189" t="s">
        <v>13</v>
      </c>
    </row>
    <row r="109" spans="1:9" ht="15.75">
      <c r="A109" s="4" t="s">
        <v>15</v>
      </c>
    </row>
    <row r="110" spans="1:9">
      <c r="A110" s="271" t="s">
        <v>16</v>
      </c>
      <c r="B110" s="271"/>
      <c r="C110" s="271"/>
      <c r="D110" s="271"/>
      <c r="E110" s="271"/>
      <c r="F110" s="271"/>
      <c r="G110" s="271"/>
      <c r="H110" s="271"/>
      <c r="I110" s="271"/>
    </row>
    <row r="111" spans="1:9" ht="47.25" customHeight="1">
      <c r="A111" s="266" t="s">
        <v>17</v>
      </c>
      <c r="B111" s="266"/>
      <c r="C111" s="266"/>
      <c r="D111" s="266"/>
      <c r="E111" s="266"/>
      <c r="F111" s="266"/>
      <c r="G111" s="266"/>
      <c r="H111" s="266"/>
      <c r="I111" s="266"/>
    </row>
    <row r="112" spans="1:9" ht="31.5" customHeight="1">
      <c r="A112" s="266" t="s">
        <v>18</v>
      </c>
      <c r="B112" s="266"/>
      <c r="C112" s="266"/>
      <c r="D112" s="266"/>
      <c r="E112" s="266"/>
      <c r="F112" s="266"/>
      <c r="G112" s="266"/>
      <c r="H112" s="266"/>
      <c r="I112" s="266"/>
    </row>
    <row r="113" spans="1:9" ht="31.5" customHeight="1">
      <c r="A113" s="266" t="s">
        <v>23</v>
      </c>
      <c r="B113" s="266"/>
      <c r="C113" s="266"/>
      <c r="D113" s="266"/>
      <c r="E113" s="266"/>
      <c r="F113" s="266"/>
      <c r="G113" s="266"/>
      <c r="H113" s="266"/>
      <c r="I113" s="266"/>
    </row>
    <row r="114" spans="1:9" ht="15.75">
      <c r="A114" s="266" t="s">
        <v>22</v>
      </c>
      <c r="B114" s="266"/>
      <c r="C114" s="266"/>
      <c r="D114" s="266"/>
      <c r="E114" s="266"/>
      <c r="F114" s="266"/>
      <c r="G114" s="266"/>
      <c r="H114" s="266"/>
      <c r="I114" s="266"/>
    </row>
  </sheetData>
  <autoFilter ref="I12:I62"/>
  <mergeCells count="28">
    <mergeCell ref="A111:I111"/>
    <mergeCell ref="A112:I112"/>
    <mergeCell ref="A113:I113"/>
    <mergeCell ref="A114:I114"/>
    <mergeCell ref="A102:I102"/>
    <mergeCell ref="C104:E104"/>
    <mergeCell ref="C105:E105"/>
    <mergeCell ref="C107:E107"/>
    <mergeCell ref="C108:E108"/>
    <mergeCell ref="A110:I110"/>
    <mergeCell ref="A100:I100"/>
    <mergeCell ref="A15:I15"/>
    <mergeCell ref="A27:I27"/>
    <mergeCell ref="A45:I45"/>
    <mergeCell ref="A56:I56"/>
    <mergeCell ref="A94:I94"/>
    <mergeCell ref="B95:G95"/>
    <mergeCell ref="B96:G96"/>
    <mergeCell ref="A98:I98"/>
    <mergeCell ref="A99:I99"/>
    <mergeCell ref="R67:U67"/>
    <mergeCell ref="A82:I82"/>
    <mergeCell ref="A3:I3"/>
    <mergeCell ref="A4:I4"/>
    <mergeCell ref="A5:I5"/>
    <mergeCell ref="A8:I8"/>
    <mergeCell ref="A10:I10"/>
    <mergeCell ref="A14:I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14</vt:i4>
      </vt:variant>
    </vt:vector>
  </HeadingPairs>
  <TitlesOfParts>
    <vt:vector size="27" baseType="lpstr">
      <vt:lpstr>01.16</vt:lpstr>
      <vt:lpstr>02.16</vt:lpstr>
      <vt:lpstr>03.16</vt:lpstr>
      <vt:lpstr>04.16</vt:lpstr>
      <vt:lpstr>05.16</vt:lpstr>
      <vt:lpstr>06.16</vt:lpstr>
      <vt:lpstr>07.16</vt:lpstr>
      <vt:lpstr>08.16</vt:lpstr>
      <vt:lpstr>09.16</vt:lpstr>
      <vt:lpstr>10.16</vt:lpstr>
      <vt:lpstr>11.16</vt:lpstr>
      <vt:lpstr>12.16</vt:lpstr>
      <vt:lpstr>Лист1</vt:lpstr>
      <vt:lpstr>'05.16'!Заголовки_для_печати</vt:lpstr>
      <vt:lpstr>'11.16'!Заголовки_для_печати</vt:lpstr>
      <vt:lpstr>'01.16'!Область_печати</vt:lpstr>
      <vt:lpstr>'02.16'!Область_печати</vt:lpstr>
      <vt:lpstr>'03.16'!Область_печати</vt:lpstr>
      <vt:lpstr>'04.16'!Область_печати</vt:lpstr>
      <vt:lpstr>'05.16'!Область_печати</vt:lpstr>
      <vt:lpstr>'06.16'!Область_печати</vt:lpstr>
      <vt:lpstr>'07.16'!Область_печати</vt:lpstr>
      <vt:lpstr>'08.16'!Область_печати</vt:lpstr>
      <vt:lpstr>'09.16'!Область_печати</vt:lpstr>
      <vt:lpstr>'10.16'!Область_печати</vt:lpstr>
      <vt:lpstr>'11.16'!Область_печати</vt:lpstr>
      <vt:lpstr>'12.16'!Область_печати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2017-04-10T05:38:08Z</cp:lastPrinted>
  <dcterms:created xsi:type="dcterms:W3CDTF">2016-03-25T08:33:47Z</dcterms:created>
  <dcterms:modified xsi:type="dcterms:W3CDTF">2017-04-13T08:14:00Z</dcterms:modified>
</cp:coreProperties>
</file>