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150" windowWidth="20130" windowHeight="8070"/>
  </bookViews>
  <sheets>
    <sheet name="Стр.,11" sheetId="1" r:id="rId1"/>
  </sheets>
  <definedNames>
    <definedName name="_xlnm.Print_Area" localSheetId="0">'Стр.,11'!$A$1:$U$123</definedName>
  </definedNames>
  <calcPr calcId="124519"/>
</workbook>
</file>

<file path=xl/calcChain.xml><?xml version="1.0" encoding="utf-8"?>
<calcChain xmlns="http://schemas.openxmlformats.org/spreadsheetml/2006/main">
  <c r="L38" i="1"/>
  <c r="K38"/>
  <c r="F38"/>
  <c r="C121"/>
  <c r="C118"/>
  <c r="T92"/>
  <c r="F108"/>
  <c r="H108" s="1"/>
  <c r="R108" l="1"/>
  <c r="U108" s="1"/>
  <c r="R92" l="1"/>
  <c r="R107"/>
  <c r="H107"/>
  <c r="U107"/>
  <c r="T102" l="1"/>
  <c r="S102"/>
  <c r="T110"/>
  <c r="F110"/>
  <c r="H110" s="1"/>
  <c r="T95"/>
  <c r="U110"/>
  <c r="S98" l="1"/>
  <c r="U109"/>
  <c r="S109"/>
  <c r="H109"/>
  <c r="U56" l="1"/>
  <c r="U57"/>
  <c r="U61"/>
  <c r="U69"/>
  <c r="U70"/>
  <c r="U71"/>
  <c r="U73"/>
  <c r="U29"/>
  <c r="U30"/>
  <c r="Q60" l="1"/>
  <c r="Q88"/>
  <c r="R88"/>
  <c r="S88"/>
  <c r="T88"/>
  <c r="N89"/>
  <c r="N99"/>
  <c r="P106"/>
  <c r="U106" s="1"/>
  <c r="F106"/>
  <c r="H106" s="1"/>
  <c r="F104" l="1"/>
  <c r="O104" s="1"/>
  <c r="U104" s="1"/>
  <c r="O94"/>
  <c r="K94"/>
  <c r="U94" s="1"/>
  <c r="F94"/>
  <c r="P102"/>
  <c r="P93"/>
  <c r="P97"/>
  <c r="O102"/>
  <c r="O93"/>
  <c r="P88"/>
  <c r="O88"/>
  <c r="N88"/>
  <c r="M88"/>
  <c r="N102"/>
  <c r="P105"/>
  <c r="U105" s="1"/>
  <c r="H105"/>
  <c r="O100"/>
  <c r="O60"/>
  <c r="O89"/>
  <c r="O99"/>
  <c r="U99" s="1"/>
  <c r="O103"/>
  <c r="U103" s="1"/>
  <c r="H103"/>
  <c r="O98"/>
  <c r="N101"/>
  <c r="U101" s="1"/>
  <c r="H101"/>
  <c r="U102" l="1"/>
  <c r="H104"/>
  <c r="N100"/>
  <c r="U100" s="1"/>
  <c r="H100" l="1"/>
  <c r="H99" l="1"/>
  <c r="N98"/>
  <c r="U98" s="1"/>
  <c r="H98"/>
  <c r="N60"/>
  <c r="H94"/>
  <c r="K92"/>
  <c r="L88"/>
  <c r="L97"/>
  <c r="U97" s="1"/>
  <c r="H97"/>
  <c r="L93" l="1"/>
  <c r="L96"/>
  <c r="U96" s="1"/>
  <c r="H96"/>
  <c r="K90"/>
  <c r="K88"/>
  <c r="K93"/>
  <c r="U93" s="1"/>
  <c r="H93"/>
  <c r="M60"/>
  <c r="U60" s="1"/>
  <c r="L95"/>
  <c r="U95" s="1"/>
  <c r="H95"/>
  <c r="J92"/>
  <c r="U92" s="1"/>
  <c r="H92"/>
  <c r="J91"/>
  <c r="U91" s="1"/>
  <c r="F91"/>
  <c r="H91" s="1"/>
  <c r="J88"/>
  <c r="J90"/>
  <c r="U90" s="1"/>
  <c r="H90"/>
  <c r="H89"/>
  <c r="J89"/>
  <c r="U89" s="1"/>
  <c r="I88"/>
  <c r="U88" s="1"/>
  <c r="H88"/>
  <c r="I87"/>
  <c r="U87" s="1"/>
  <c r="H87"/>
  <c r="I86" l="1"/>
  <c r="U86" s="1"/>
  <c r="H86"/>
  <c r="U111" l="1"/>
  <c r="C120" s="1"/>
  <c r="H56"/>
  <c r="T51"/>
  <c r="F49" l="1"/>
  <c r="L49" s="1"/>
  <c r="P51"/>
  <c r="L51"/>
  <c r="Q50"/>
  <c r="L47"/>
  <c r="U51" l="1"/>
  <c r="U49"/>
  <c r="Q49"/>
  <c r="H102" l="1"/>
  <c r="F48"/>
  <c r="L48" l="1"/>
  <c r="Q48"/>
  <c r="K75"/>
  <c r="U75" s="1"/>
  <c r="T39"/>
  <c r="S39"/>
  <c r="T34"/>
  <c r="S34"/>
  <c r="Q67"/>
  <c r="U67" s="1"/>
  <c r="R26"/>
  <c r="Q26"/>
  <c r="P26"/>
  <c r="O26"/>
  <c r="N26"/>
  <c r="F27"/>
  <c r="Q27" s="1"/>
  <c r="M26"/>
  <c r="L39"/>
  <c r="L34"/>
  <c r="K39"/>
  <c r="K34"/>
  <c r="H75"/>
  <c r="J39"/>
  <c r="J34"/>
  <c r="K50"/>
  <c r="U50" s="1"/>
  <c r="I39"/>
  <c r="U39" s="1"/>
  <c r="I34"/>
  <c r="F58"/>
  <c r="H58" s="1"/>
  <c r="H57"/>
  <c r="U34" l="1"/>
  <c r="U26"/>
  <c r="U48"/>
  <c r="M27"/>
  <c r="H111"/>
  <c r="M58"/>
  <c r="N27"/>
  <c r="P27"/>
  <c r="R27"/>
  <c r="N58"/>
  <c r="P58"/>
  <c r="R58"/>
  <c r="T58"/>
  <c r="O27"/>
  <c r="O58"/>
  <c r="Q58"/>
  <c r="S58"/>
  <c r="K58"/>
  <c r="L58"/>
  <c r="J58"/>
  <c r="I58"/>
  <c r="F43"/>
  <c r="F37"/>
  <c r="F35"/>
  <c r="H35" s="1"/>
  <c r="H26"/>
  <c r="F16"/>
  <c r="U58" l="1"/>
  <c r="U27"/>
  <c r="T16"/>
  <c r="R16"/>
  <c r="P16"/>
  <c r="N16"/>
  <c r="M16"/>
  <c r="S16"/>
  <c r="Q16"/>
  <c r="O16"/>
  <c r="M43"/>
  <c r="Q43"/>
  <c r="S37"/>
  <c r="T37"/>
  <c r="S35"/>
  <c r="T35"/>
  <c r="I16"/>
  <c r="L16"/>
  <c r="J16"/>
  <c r="K16"/>
  <c r="I35"/>
  <c r="L35"/>
  <c r="K35"/>
  <c r="J35"/>
  <c r="I37"/>
  <c r="L37"/>
  <c r="K37"/>
  <c r="J37"/>
  <c r="U37" l="1"/>
  <c r="U35"/>
  <c r="U16"/>
  <c r="U43"/>
  <c r="F15"/>
  <c r="H71"/>
  <c r="F46"/>
  <c r="M46" l="1"/>
  <c r="Q46"/>
  <c r="T15"/>
  <c r="R15"/>
  <c r="P15"/>
  <c r="N15"/>
  <c r="S15"/>
  <c r="Q15"/>
  <c r="O15"/>
  <c r="M15"/>
  <c r="I15"/>
  <c r="L15"/>
  <c r="K15"/>
  <c r="J15"/>
  <c r="H46"/>
  <c r="H70"/>
  <c r="F51"/>
  <c r="U15" l="1"/>
  <c r="U46"/>
  <c r="F14"/>
  <c r="M14" s="1"/>
  <c r="U14" s="1"/>
  <c r="F17"/>
  <c r="F18"/>
  <c r="F19"/>
  <c r="M19" l="1"/>
  <c r="U19" s="1"/>
  <c r="M17"/>
  <c r="U17" s="1"/>
  <c r="M18"/>
  <c r="U18" s="1"/>
  <c r="F114"/>
  <c r="H113"/>
  <c r="E78"/>
  <c r="H82" s="1"/>
  <c r="F76"/>
  <c r="H73"/>
  <c r="H69"/>
  <c r="H67"/>
  <c r="F66"/>
  <c r="F65"/>
  <c r="F64"/>
  <c r="F63"/>
  <c r="F62"/>
  <c r="H61"/>
  <c r="H60"/>
  <c r="F54"/>
  <c r="H51"/>
  <c r="H50"/>
  <c r="F47"/>
  <c r="F45"/>
  <c r="F44"/>
  <c r="H43"/>
  <c r="F42"/>
  <c r="H39"/>
  <c r="H37"/>
  <c r="F36"/>
  <c r="H34"/>
  <c r="F31"/>
  <c r="H30"/>
  <c r="H29"/>
  <c r="F28"/>
  <c r="H27"/>
  <c r="F25"/>
  <c r="F24"/>
  <c r="F23"/>
  <c r="F20"/>
  <c r="H18"/>
  <c r="H17"/>
  <c r="H14"/>
  <c r="E13"/>
  <c r="F13" s="1"/>
  <c r="F12"/>
  <c r="F11"/>
  <c r="S13" l="1"/>
  <c r="Q13"/>
  <c r="O13"/>
  <c r="M13"/>
  <c r="T13"/>
  <c r="R13"/>
  <c r="P13"/>
  <c r="N13"/>
  <c r="S12"/>
  <c r="Q12"/>
  <c r="O12"/>
  <c r="M12"/>
  <c r="T12"/>
  <c r="R12"/>
  <c r="P12"/>
  <c r="N12"/>
  <c r="M45"/>
  <c r="Q45"/>
  <c r="S11"/>
  <c r="Q11"/>
  <c r="O11"/>
  <c r="M11"/>
  <c r="T11"/>
  <c r="R11"/>
  <c r="P11"/>
  <c r="N11"/>
  <c r="M20"/>
  <c r="U20" s="1"/>
  <c r="M42"/>
  <c r="U42" s="1"/>
  <c r="Q42"/>
  <c r="M44"/>
  <c r="U44" s="1"/>
  <c r="Q44"/>
  <c r="Q47"/>
  <c r="T47"/>
  <c r="M47"/>
  <c r="H24"/>
  <c r="R24"/>
  <c r="P24"/>
  <c r="N24"/>
  <c r="Q24"/>
  <c r="O24"/>
  <c r="M24"/>
  <c r="H23"/>
  <c r="Q23"/>
  <c r="O23"/>
  <c r="M23"/>
  <c r="R23"/>
  <c r="P23"/>
  <c r="N23"/>
  <c r="H25"/>
  <c r="M25"/>
  <c r="U25" s="1"/>
  <c r="T28"/>
  <c r="R28"/>
  <c r="P28"/>
  <c r="N28"/>
  <c r="S28"/>
  <c r="Q28"/>
  <c r="O28"/>
  <c r="M28"/>
  <c r="S54"/>
  <c r="T54"/>
  <c r="H63"/>
  <c r="M63"/>
  <c r="U63" s="1"/>
  <c r="H65"/>
  <c r="M65"/>
  <c r="U65" s="1"/>
  <c r="H20"/>
  <c r="T31"/>
  <c r="Q31"/>
  <c r="O31"/>
  <c r="M31"/>
  <c r="S31"/>
  <c r="R31"/>
  <c r="P31"/>
  <c r="N31"/>
  <c r="S36"/>
  <c r="T36"/>
  <c r="H62"/>
  <c r="M62"/>
  <c r="U62" s="1"/>
  <c r="H64"/>
  <c r="M64"/>
  <c r="U64" s="1"/>
  <c r="H66"/>
  <c r="M66"/>
  <c r="U66" s="1"/>
  <c r="S76"/>
  <c r="R76"/>
  <c r="P76"/>
  <c r="N76"/>
  <c r="T76"/>
  <c r="Q76"/>
  <c r="O76"/>
  <c r="M76"/>
  <c r="I13"/>
  <c r="J13"/>
  <c r="L13"/>
  <c r="K13"/>
  <c r="L12"/>
  <c r="K12"/>
  <c r="J12"/>
  <c r="I28"/>
  <c r="K28"/>
  <c r="J28"/>
  <c r="L28"/>
  <c r="H45"/>
  <c r="L54"/>
  <c r="K54"/>
  <c r="J54"/>
  <c r="I11"/>
  <c r="J11"/>
  <c r="L11"/>
  <c r="K11"/>
  <c r="L31"/>
  <c r="K31"/>
  <c r="J31"/>
  <c r="K36"/>
  <c r="J36"/>
  <c r="L36"/>
  <c r="H42"/>
  <c r="H44"/>
  <c r="I47"/>
  <c r="U47" s="1"/>
  <c r="J47"/>
  <c r="I76"/>
  <c r="L76"/>
  <c r="K76"/>
  <c r="J76"/>
  <c r="H31"/>
  <c r="I31"/>
  <c r="H36"/>
  <c r="I36"/>
  <c r="H38"/>
  <c r="H40" s="1"/>
  <c r="H49"/>
  <c r="I12"/>
  <c r="U12" s="1"/>
  <c r="H48"/>
  <c r="H54"/>
  <c r="H74" s="1"/>
  <c r="I54"/>
  <c r="U54" s="1"/>
  <c r="H76"/>
  <c r="H77" s="1"/>
  <c r="H28"/>
  <c r="H32" s="1"/>
  <c r="H47"/>
  <c r="H11"/>
  <c r="H12"/>
  <c r="H16"/>
  <c r="H13"/>
  <c r="H15"/>
  <c r="F78"/>
  <c r="H19"/>
  <c r="U38" l="1"/>
  <c r="U36"/>
  <c r="U31"/>
  <c r="U11"/>
  <c r="U28"/>
  <c r="U23"/>
  <c r="U24"/>
  <c r="U45"/>
  <c r="U52" s="1"/>
  <c r="U76"/>
  <c r="U13"/>
  <c r="U77"/>
  <c r="S78"/>
  <c r="S114" s="1"/>
  <c r="Q78"/>
  <c r="O78"/>
  <c r="M78"/>
  <c r="M114" s="1"/>
  <c r="T78"/>
  <c r="T114" s="1"/>
  <c r="R78"/>
  <c r="R114" s="1"/>
  <c r="P78"/>
  <c r="N78"/>
  <c r="N114" s="1"/>
  <c r="O114"/>
  <c r="P114"/>
  <c r="Q114"/>
  <c r="U74"/>
  <c r="I78"/>
  <c r="J78"/>
  <c r="J114" s="1"/>
  <c r="L78"/>
  <c r="L114" s="1"/>
  <c r="K78"/>
  <c r="K114" s="1"/>
  <c r="H52"/>
  <c r="H78"/>
  <c r="H79" s="1"/>
  <c r="H21"/>
  <c r="U78" l="1"/>
  <c r="U40"/>
  <c r="U21"/>
  <c r="U32"/>
  <c r="U79"/>
  <c r="I114"/>
  <c r="H80"/>
  <c r="H83" s="1"/>
  <c r="G114" s="1"/>
  <c r="H114" s="1"/>
  <c r="U80" l="1"/>
  <c r="U114" s="1"/>
  <c r="C123" l="1"/>
  <c r="C119"/>
</calcChain>
</file>

<file path=xl/sharedStrings.xml><?xml version="1.0" encoding="utf-8"?>
<sst xmlns="http://schemas.openxmlformats.org/spreadsheetml/2006/main" count="336" uniqueCount="249">
  <si>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</si>
  <si>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</si>
  <si>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</si>
  <si>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</si>
  <si>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</si>
  <si>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</si>
  <si>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</si>
  <si>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</si>
  <si>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</si>
  <si>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</si>
  <si>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</si>
  <si>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</si>
  <si>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</si>
  <si>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</si>
  <si>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</si>
  <si>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</si>
  <si>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</si>
  <si>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</si>
  <si>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</si>
  <si>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</si>
  <si>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</si>
  <si>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</si>
  <si>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</si>
  <si>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</si>
  <si>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</si>
  <si>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</si>
  <si>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</si>
  <si>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</si>
  <si>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</si>
  <si>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</si>
  <si>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</si>
  <si>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</si>
  <si>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</si>
  <si>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</si>
  <si>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</si>
  <si>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</si>
  <si>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</si>
  <si>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</si>
  <si>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</si>
  <si>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</si>
  <si>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</si>
  <si>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</si>
  <si>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</si>
  <si>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</si>
  <si>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</si>
  <si>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</si>
  <si>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</si>
  <si>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</si>
  <si>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</si>
  <si>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</si>
  <si>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</si>
  <si>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</si>
  <si>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</si>
  <si>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</si>
  <si>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</si>
  <si>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</si>
  <si>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</si>
  <si>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</si>
  <si>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</si>
  <si>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</si>
  <si>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</si>
  <si>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</si>
  <si>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</si>
  <si>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</si>
  <si>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</si>
  <si>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</si>
  <si>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</si>
  <si>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</si>
  <si>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</si>
  <si>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</si>
  <si>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</si>
  <si>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</si>
  <si>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</si>
  <si>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</si>
  <si>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</si>
  <si>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</si>
  <si>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</si>
  <si>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</si>
  <si>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</si>
  <si>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</si>
  <si>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</si>
  <si>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</si>
  <si>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</si>
  <si>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</si>
  <si>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</si>
  <si>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</si>
  <si>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</si>
  <si>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</si>
  <si>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</si>
  <si>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</si>
  <si>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</si>
  <si>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</si>
  <si>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</si>
  <si>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</si>
  <si>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</si>
  <si>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</si>
  <si>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</si>
  <si>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</si>
  <si>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</si>
  <si>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</si>
  <si>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3 раза в год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</si>
  <si>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</si>
  <si>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</si>
  <si>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</si>
  <si>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</si>
  <si>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</si>
  <si>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</si>
  <si>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Замена ламп ДРЛ</t>
  </si>
  <si>
    <t xml:space="preserve">1 раз в месяц </t>
  </si>
  <si>
    <t>1 раз в месяц</t>
  </si>
  <si>
    <t>Очистка урн от мусора</t>
  </si>
  <si>
    <t>20 раз за сезон</t>
  </si>
  <si>
    <t>50 раз за сезон</t>
  </si>
  <si>
    <t>Очистка подвала от мусора</t>
  </si>
  <si>
    <t>Дератизация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</si>
  <si>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</si>
  <si>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</si>
  <si>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</si>
  <si>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</si>
  <si>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</si>
  <si>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</si>
  <si>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</si>
  <si>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</si>
  <si>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</si>
  <si>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</si>
  <si>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</si>
  <si>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</si>
  <si>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</si>
  <si>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>С учетом показателя инфляции ( К=1,064)</t>
  </si>
  <si>
    <t>калькуляция</t>
  </si>
  <si>
    <t>Работа автовышки</t>
  </si>
  <si>
    <t>маш/час</t>
  </si>
  <si>
    <t>5 этажей, 4 подъезда</t>
  </si>
  <si>
    <t>Стоимость (руб.)</t>
  </si>
  <si>
    <t>договор</t>
  </si>
  <si>
    <t>ТО внутридомового газ.оборудования</t>
  </si>
  <si>
    <t>Ремонт групповых щитков на лестничной клетке без ремонта автоматов</t>
  </si>
  <si>
    <t>1 шт</t>
  </si>
  <si>
    <t>100шт</t>
  </si>
  <si>
    <t>Внеплановый осмотр электросетей, армазуры и электрооборудования на лестничных клетках</t>
  </si>
  <si>
    <t>Внеплановый осмотр вводных электрических щитков</t>
  </si>
  <si>
    <t>10 м2</t>
  </si>
  <si>
    <t>Смена арматуры - вентилей и клапанов обратных муфтовых диаметром до 20 мм</t>
  </si>
  <si>
    <t>место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</si>
  <si>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</si>
  <si>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</si>
  <si>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</si>
  <si>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</si>
  <si>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</si>
  <si>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</si>
  <si>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</si>
  <si>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</si>
  <si>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</si>
  <si>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</si>
  <si>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Устройство хомута диаметром до 50 мм</t>
  </si>
  <si>
    <t>1 сгон</t>
  </si>
  <si>
    <t>Подключение и отключение сварочного аппарата</t>
  </si>
  <si>
    <t>Смена дверных приборов (замки навесные)</t>
  </si>
  <si>
    <t>3м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</si>
  <si>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</si>
  <si>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</si>
  <si>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</si>
  <si>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</si>
  <si>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</si>
  <si>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</si>
  <si>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</si>
  <si>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</si>
  <si>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</si>
  <si>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</si>
  <si>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</si>
  <si>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</si>
  <si>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</si>
  <si>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</si>
  <si>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</si>
  <si>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</si>
  <si>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</si>
  <si>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</si>
  <si>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</si>
  <si>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</si>
  <si>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Осмотр шиферной кровли</t>
  </si>
  <si>
    <t>ТЕР 3-7-1в</t>
  </si>
  <si>
    <t>ТЕР 42-003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</si>
  <si>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</si>
  <si>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</si>
  <si>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</si>
  <si>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</si>
  <si>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</si>
  <si>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</si>
  <si>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</si>
  <si>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пр.ТЕР 54-041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</si>
  <si>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</si>
  <si>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</si>
  <si>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</si>
  <si>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</si>
  <si>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</si>
  <si>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</si>
  <si>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</si>
  <si>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</si>
  <si>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</si>
  <si>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</si>
  <si>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33-037</t>
  </si>
  <si>
    <t>ТЕР 33-030</t>
  </si>
  <si>
    <t>ТЕР 32-027</t>
  </si>
  <si>
    <t>пр.ТЕР 32-098</t>
  </si>
  <si>
    <t>пр.ТЕР 12-001</t>
  </si>
  <si>
    <t>пр.ТЕР 33-023</t>
  </si>
  <si>
    <t>ТЕР 33-060</t>
  </si>
  <si>
    <t>ТЕР 15-051</t>
  </si>
  <si>
    <t>1 м</t>
  </si>
  <si>
    <t>Смена стекол в деревянных переплетах при площади стекла до 1,0 м2</t>
  </si>
  <si>
    <t>ТЕР 15-009</t>
  </si>
  <si>
    <t>Баланс выполненных работ на 01.01.2017 г. ( -долг за предприятием, +долг за населением)</t>
  </si>
  <si>
    <t>Очистка подвала от чердака</t>
  </si>
  <si>
    <t>Смена сгонов у трубопроводов диаметром до 32 мм</t>
  </si>
  <si>
    <t xml:space="preserve">ТЕР 31-010 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</si>
  <si>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</si>
  <si>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</si>
  <si>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</si>
  <si>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</si>
  <si>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11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</si>
  <si>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С учетом показателя инфляции (К=1,054)</t>
  </si>
  <si>
    <t>пр.ТЕР 32-097</t>
  </si>
  <si>
    <t>Устройство хомута диаметром от 51 до 75 мм</t>
  </si>
  <si>
    <t>Ремонт силового предохранительного шкафа (без стоимости материалов)</t>
  </si>
  <si>
    <t>ТЕР 33-032</t>
  </si>
  <si>
    <t>Заделка "шахты" после работ ВДИС</t>
  </si>
  <si>
    <t xml:space="preserve">ТЕР 31-009 </t>
  </si>
  <si>
    <t>Смена сгонов у трубопроводов диаметром до 20 мм</t>
  </si>
  <si>
    <t>смета</t>
  </si>
  <si>
    <t>Смена трубопроводов на полипропиленовые трубы PN25 диаметром 20 мм</t>
  </si>
  <si>
    <t>Снятие секций радиаторов одной или двух крайних</t>
  </si>
  <si>
    <t>радиатор</t>
  </si>
  <si>
    <t>ТЕР 31-030</t>
  </si>
  <si>
    <t>Смена сгонов у трубопроводов диаметром до 50 мм</t>
  </si>
  <si>
    <t>ТЕР 31-011</t>
  </si>
  <si>
    <t>Ремонт штукатурки внугренних стен по камню известковым раствором площадью до 1 м2 толщиной слоя до 20 мм</t>
  </si>
  <si>
    <t>ТЕР 21-001</t>
  </si>
  <si>
    <t>пр.ТЕР 22-038</t>
  </si>
  <si>
    <t>Простая масляная окраска ранее окрашенных входных металлических дверей (I, II, III под.)</t>
  </si>
  <si>
    <t>1шт.</t>
  </si>
  <si>
    <t>Ремонт и регулировка доводчика (со стоимостью доводчика)</t>
  </si>
  <si>
    <t>Смена светодиодных светильников в.о.</t>
  </si>
  <si>
    <t>пр.ТЕР 32-101</t>
  </si>
  <si>
    <t>Прочистка засоров канализации</t>
  </si>
  <si>
    <t>ТЕР 17-006</t>
  </si>
  <si>
    <t>Ремонт отдельных мест покрытия из асбоцементных листов обыкновенного профиля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</si>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</sst>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0" fillId="8" borderId="0" xfId="0" applyFill="1" applyBorder="1"/>
    <xf numFmtId="0" fontId="0" fillId="2" borderId="0" xfId="0" applyFill="1" applyBorder="1"/>
    <xf numFmtId="0" fontId="0" fillId="9" borderId="0" xfId="0" applyFill="1" applyBorder="1"/>
    <xf numFmtId="0" fontId="0" fillId="3" borderId="0" xfId="0" applyFill="1" applyBorder="1"/>
    <xf numFmtId="0" fontId="0" fillId="5" borderId="0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7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0" borderId="0" xfId="0" applyFont="1"/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8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" fontId="4" fillId="12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2" fillId="4" borderId="10" xfId="0" applyFont="1" applyFill="1" applyBorder="1" applyAlignment="1">
      <alignment horizontal="left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5" borderId="19" xfId="0" applyFont="1" applyFill="1" applyBorder="1"/>
    <xf numFmtId="0" fontId="2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 applyProtection="1">
      <alignment horizontal="center" vertical="center" wrapText="1"/>
    </xf>
    <xf numFmtId="0" fontId="2" fillId="0" borderId="3" xfId="0" applyFont="1" applyBorder="1"/>
    <xf numFmtId="4" fontId="2" fillId="2" borderId="21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4" fontId="2" fillId="4" borderId="12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>
      <alignment horizontal="left" vertical="center" wrapText="1"/>
    </xf>
    <xf numFmtId="4" fontId="2" fillId="4" borderId="2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0" fillId="13" borderId="0" xfId="0" applyFill="1"/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27"/>
  <sheetViews>
    <sheetView tabSelected="1" view="pageBreakPreview" zoomScaleNormal="75" zoomScaleSheetLayoutView="100" workbookViewId="0">
      <pane ySplit="7" topLeftCell="A119" activePane="bottomLeft" state="frozen"/>
      <selection activeCell="B1" sqref="B1"/>
      <selection pane="bottomLeft" activeCell="B124" sqref="B124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3" ht="14.25" customHeight="1">
      <c r="A1" s="156"/>
    </row>
    <row r="3" spans="1:23" ht="18">
      <c r="A3" s="1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23" ht="34.5" customHeight="1">
      <c r="B4" s="176" t="s">
        <v>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1:23" ht="18">
      <c r="B5" s="176" t="s">
        <v>219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23" ht="14.25">
      <c r="B6" s="177" t="s">
        <v>132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23" ht="54.75" customHeight="1">
      <c r="A7" s="143" t="s">
        <v>2</v>
      </c>
      <c r="B7" s="144" t="s">
        <v>3</v>
      </c>
      <c r="C7" s="144" t="s">
        <v>4</v>
      </c>
      <c r="D7" s="144" t="s">
        <v>5</v>
      </c>
      <c r="E7" s="144" t="s">
        <v>6</v>
      </c>
      <c r="F7" s="144" t="s">
        <v>7</v>
      </c>
      <c r="G7" s="144" t="s">
        <v>8</v>
      </c>
      <c r="H7" s="145" t="s">
        <v>9</v>
      </c>
      <c r="I7" s="24" t="s">
        <v>115</v>
      </c>
      <c r="J7" s="24" t="s">
        <v>116</v>
      </c>
      <c r="K7" s="24" t="s">
        <v>117</v>
      </c>
      <c r="L7" s="24" t="s">
        <v>118</v>
      </c>
      <c r="M7" s="24" t="s">
        <v>119</v>
      </c>
      <c r="N7" s="25" t="s">
        <v>120</v>
      </c>
      <c r="O7" s="25" t="s">
        <v>121</v>
      </c>
      <c r="P7" s="25" t="s">
        <v>122</v>
      </c>
      <c r="Q7" s="25" t="s">
        <v>123</v>
      </c>
      <c r="R7" s="25" t="s">
        <v>124</v>
      </c>
      <c r="S7" s="25" t="s">
        <v>125</v>
      </c>
      <c r="T7" s="25" t="s">
        <v>126</v>
      </c>
      <c r="U7" s="25" t="s">
        <v>133</v>
      </c>
      <c r="V7" s="26"/>
      <c r="W7" s="26"/>
    </row>
    <row r="8" spans="1:23">
      <c r="A8" s="146">
        <v>1</v>
      </c>
      <c r="B8" s="8">
        <v>2</v>
      </c>
      <c r="C8" s="32">
        <v>3</v>
      </c>
      <c r="D8" s="8">
        <v>4</v>
      </c>
      <c r="E8" s="8">
        <v>5</v>
      </c>
      <c r="F8" s="32">
        <v>6</v>
      </c>
      <c r="G8" s="32">
        <v>7</v>
      </c>
      <c r="H8" s="33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27"/>
      <c r="W8" s="26"/>
    </row>
    <row r="9" spans="1:23" ht="38.25">
      <c r="A9" s="146"/>
      <c r="B9" s="10" t="s">
        <v>10</v>
      </c>
      <c r="C9" s="32"/>
      <c r="D9" s="11"/>
      <c r="E9" s="11"/>
      <c r="F9" s="32"/>
      <c r="G9" s="32"/>
      <c r="H9" s="35"/>
      <c r="I9" s="36"/>
      <c r="J9" s="36"/>
      <c r="K9" s="36"/>
      <c r="L9" s="36"/>
      <c r="M9" s="37"/>
      <c r="N9" s="38"/>
      <c r="O9" s="38"/>
      <c r="P9" s="38"/>
      <c r="Q9" s="38"/>
      <c r="R9" s="38"/>
      <c r="S9" s="38"/>
      <c r="T9" s="38"/>
      <c r="U9" s="38"/>
      <c r="V9" s="27"/>
      <c r="W9" s="26"/>
    </row>
    <row r="10" spans="1:23">
      <c r="A10" s="146"/>
      <c r="B10" s="10" t="s">
        <v>11</v>
      </c>
      <c r="C10" s="32"/>
      <c r="D10" s="11"/>
      <c r="E10" s="11"/>
      <c r="F10" s="32"/>
      <c r="G10" s="32"/>
      <c r="H10" s="35"/>
      <c r="I10" s="36"/>
      <c r="J10" s="36"/>
      <c r="K10" s="36"/>
      <c r="L10" s="36"/>
      <c r="M10" s="37"/>
      <c r="N10" s="38"/>
      <c r="O10" s="38"/>
      <c r="P10" s="38"/>
      <c r="Q10" s="38"/>
      <c r="R10" s="38"/>
      <c r="S10" s="38"/>
      <c r="T10" s="38"/>
      <c r="U10" s="38"/>
      <c r="V10" s="27"/>
      <c r="W10" s="26"/>
    </row>
    <row r="11" spans="1:23" ht="25.5">
      <c r="A11" s="146" t="s">
        <v>159</v>
      </c>
      <c r="B11" s="11" t="s">
        <v>12</v>
      </c>
      <c r="C11" s="32" t="s">
        <v>13</v>
      </c>
      <c r="D11" s="11" t="s">
        <v>14</v>
      </c>
      <c r="E11" s="39">
        <v>66</v>
      </c>
      <c r="F11" s="40">
        <f>SUM(E11*156/100)</f>
        <v>102.96</v>
      </c>
      <c r="G11" s="40">
        <v>175.38</v>
      </c>
      <c r="H11" s="41">
        <f t="shared" ref="H11:H20" si="0">SUM(F11*G11/1000)</f>
        <v>18.057124799999997</v>
      </c>
      <c r="I11" s="42">
        <f>F11/12*G11</f>
        <v>1504.7603999999999</v>
      </c>
      <c r="J11" s="42">
        <f>F11/12*G11</f>
        <v>1504.7603999999999</v>
      </c>
      <c r="K11" s="42">
        <f>F11/12*G11</f>
        <v>1504.7603999999999</v>
      </c>
      <c r="L11" s="42">
        <f>F11/12*G11</f>
        <v>1504.7603999999999</v>
      </c>
      <c r="M11" s="42">
        <f>F11/12*G11</f>
        <v>1504.7603999999999</v>
      </c>
      <c r="N11" s="42">
        <f>F11/12*G11</f>
        <v>1504.7603999999999</v>
      </c>
      <c r="O11" s="42">
        <f>F11/12*G11</f>
        <v>1504.7603999999999</v>
      </c>
      <c r="P11" s="42">
        <f>F11/12*G11</f>
        <v>1504.7603999999999</v>
      </c>
      <c r="Q11" s="42">
        <f>F11/12*G11</f>
        <v>1504.7603999999999</v>
      </c>
      <c r="R11" s="42">
        <f>F11/12*G11</f>
        <v>1504.7603999999999</v>
      </c>
      <c r="S11" s="42">
        <f>F11/12*G11</f>
        <v>1504.7603999999999</v>
      </c>
      <c r="T11" s="42">
        <f>F11/12*G11</f>
        <v>1504.7603999999999</v>
      </c>
      <c r="U11" s="42">
        <f>SUM(I11:T11)</f>
        <v>18057.124799999994</v>
      </c>
      <c r="V11" s="27"/>
      <c r="W11" s="26"/>
    </row>
    <row r="12" spans="1:23" ht="25.5">
      <c r="A12" s="146" t="s">
        <v>159</v>
      </c>
      <c r="B12" s="11" t="s">
        <v>15</v>
      </c>
      <c r="C12" s="32" t="s">
        <v>13</v>
      </c>
      <c r="D12" s="11" t="s">
        <v>16</v>
      </c>
      <c r="E12" s="39">
        <v>264</v>
      </c>
      <c r="F12" s="40">
        <f>SUM(E12*104/100)</f>
        <v>274.56</v>
      </c>
      <c r="G12" s="40">
        <v>175.38</v>
      </c>
      <c r="H12" s="41">
        <f t="shared" si="0"/>
        <v>48.152332799999996</v>
      </c>
      <c r="I12" s="42">
        <f>F12/12*G12</f>
        <v>4012.6943999999999</v>
      </c>
      <c r="J12" s="42">
        <f>F12/12*G12</f>
        <v>4012.6943999999999</v>
      </c>
      <c r="K12" s="42">
        <f>F12/12*G12</f>
        <v>4012.6943999999999</v>
      </c>
      <c r="L12" s="42">
        <f>F12/12*G12</f>
        <v>4012.6943999999999</v>
      </c>
      <c r="M12" s="42">
        <f>F12/12*G12</f>
        <v>4012.6943999999999</v>
      </c>
      <c r="N12" s="42">
        <f>F12/12*G12</f>
        <v>4012.6943999999999</v>
      </c>
      <c r="O12" s="42">
        <f>F12/12*G12</f>
        <v>4012.6943999999999</v>
      </c>
      <c r="P12" s="42">
        <f>F12/12*G12</f>
        <v>4012.6943999999999</v>
      </c>
      <c r="Q12" s="42">
        <f>F12/12*G12</f>
        <v>4012.6943999999999</v>
      </c>
      <c r="R12" s="42">
        <f>F12/12*G12</f>
        <v>4012.6943999999999</v>
      </c>
      <c r="S12" s="42">
        <f>F12/12*G12</f>
        <v>4012.6943999999999</v>
      </c>
      <c r="T12" s="42">
        <f>F12/12*G12</f>
        <v>4012.6943999999999</v>
      </c>
      <c r="U12" s="42">
        <f t="shared" ref="U12:U20" si="1">SUM(I12:T12)</f>
        <v>48152.332799999996</v>
      </c>
      <c r="V12" s="27"/>
      <c r="W12" s="26"/>
    </row>
    <row r="13" spans="1:23" ht="25.5">
      <c r="A13" s="146" t="s">
        <v>160</v>
      </c>
      <c r="B13" s="11" t="s">
        <v>17</v>
      </c>
      <c r="C13" s="32" t="s">
        <v>13</v>
      </c>
      <c r="D13" s="11" t="s">
        <v>18</v>
      </c>
      <c r="E13" s="39">
        <f>SUM(E11+E12)</f>
        <v>330</v>
      </c>
      <c r="F13" s="40">
        <f>SUM(E13*24/100)</f>
        <v>79.2</v>
      </c>
      <c r="G13" s="40">
        <v>504.5</v>
      </c>
      <c r="H13" s="41">
        <f t="shared" si="0"/>
        <v>39.956400000000002</v>
      </c>
      <c r="I13" s="42">
        <f>F13/12*G13</f>
        <v>3329.7000000000003</v>
      </c>
      <c r="J13" s="42">
        <f>F13/12*G13</f>
        <v>3329.7000000000003</v>
      </c>
      <c r="K13" s="42">
        <f>F13/12*G13</f>
        <v>3329.7000000000003</v>
      </c>
      <c r="L13" s="42">
        <f>F13/12*G13</f>
        <v>3329.7000000000003</v>
      </c>
      <c r="M13" s="42">
        <f>F13/12*G13</f>
        <v>3329.7000000000003</v>
      </c>
      <c r="N13" s="42">
        <f>F13/12*G13</f>
        <v>3329.7000000000003</v>
      </c>
      <c r="O13" s="42">
        <f>F13/12*G13</f>
        <v>3329.7000000000003</v>
      </c>
      <c r="P13" s="42">
        <f>F13/12*G13</f>
        <v>3329.7000000000003</v>
      </c>
      <c r="Q13" s="42">
        <f>F13/12*G13</f>
        <v>3329.7000000000003</v>
      </c>
      <c r="R13" s="42">
        <f>F13/12*G13</f>
        <v>3329.7000000000003</v>
      </c>
      <c r="S13" s="42">
        <f>F13/12*G13</f>
        <v>3329.7000000000003</v>
      </c>
      <c r="T13" s="42">
        <f>F13/12*G13</f>
        <v>3329.7000000000003</v>
      </c>
      <c r="U13" s="42">
        <f t="shared" si="1"/>
        <v>39956.399999999994</v>
      </c>
      <c r="V13" s="27"/>
      <c r="W13" s="26"/>
    </row>
    <row r="14" spans="1:23">
      <c r="A14" s="146" t="s">
        <v>161</v>
      </c>
      <c r="B14" s="11" t="s">
        <v>19</v>
      </c>
      <c r="C14" s="32" t="s">
        <v>20</v>
      </c>
      <c r="D14" s="11" t="s">
        <v>98</v>
      </c>
      <c r="E14" s="39">
        <v>28.16</v>
      </c>
      <c r="F14" s="40">
        <f>SUM(E14/10)</f>
        <v>2.8159999999999998</v>
      </c>
      <c r="G14" s="40">
        <v>170.16</v>
      </c>
      <c r="H14" s="41">
        <f t="shared" si="0"/>
        <v>0.47917055999999997</v>
      </c>
      <c r="I14" s="42">
        <v>0</v>
      </c>
      <c r="J14" s="42">
        <v>0</v>
      </c>
      <c r="K14" s="42">
        <v>0</v>
      </c>
      <c r="L14" s="42">
        <v>0</v>
      </c>
      <c r="M14" s="42">
        <f>F14/2*G14</f>
        <v>239.58527999999998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f t="shared" si="1"/>
        <v>239.58527999999998</v>
      </c>
      <c r="V14" s="27"/>
      <c r="W14" s="26"/>
    </row>
    <row r="15" spans="1:23">
      <c r="A15" s="146" t="s">
        <v>162</v>
      </c>
      <c r="B15" s="11" t="s">
        <v>21</v>
      </c>
      <c r="C15" s="32" t="s">
        <v>13</v>
      </c>
      <c r="D15" s="11" t="s">
        <v>108</v>
      </c>
      <c r="E15" s="39">
        <v>14</v>
      </c>
      <c r="F15" s="40">
        <f>SUM(E15*12/100)</f>
        <v>1.68</v>
      </c>
      <c r="G15" s="40">
        <v>217.88</v>
      </c>
      <c r="H15" s="41">
        <f t="shared" si="0"/>
        <v>0.36603839999999999</v>
      </c>
      <c r="I15" s="42">
        <f>F15/12*G15</f>
        <v>30.503199999999996</v>
      </c>
      <c r="J15" s="42">
        <f>F15/12*G15</f>
        <v>30.503199999999996</v>
      </c>
      <c r="K15" s="42">
        <f>F15/12*G15</f>
        <v>30.503199999999996</v>
      </c>
      <c r="L15" s="42">
        <f>F15/12*G15</f>
        <v>30.503199999999996</v>
      </c>
      <c r="M15" s="42">
        <f>F15/12*G15</f>
        <v>30.503199999999996</v>
      </c>
      <c r="N15" s="42">
        <f>F15/12*G15</f>
        <v>30.503199999999996</v>
      </c>
      <c r="O15" s="42">
        <f>F15/12*G15</f>
        <v>30.503199999999996</v>
      </c>
      <c r="P15" s="42">
        <f>F15/12*G15</f>
        <v>30.503199999999996</v>
      </c>
      <c r="Q15" s="42">
        <f>F15/12*G15</f>
        <v>30.503199999999996</v>
      </c>
      <c r="R15" s="42">
        <f>F15/12*G15</f>
        <v>30.503199999999996</v>
      </c>
      <c r="S15" s="42">
        <f>F15/12*G15</f>
        <v>30.503199999999996</v>
      </c>
      <c r="T15" s="42">
        <f>F15/12*G15</f>
        <v>30.503199999999996</v>
      </c>
      <c r="U15" s="42">
        <f t="shared" si="1"/>
        <v>366.03839999999997</v>
      </c>
      <c r="V15" s="27"/>
      <c r="W15" s="26"/>
    </row>
    <row r="16" spans="1:23">
      <c r="A16" s="146" t="s">
        <v>163</v>
      </c>
      <c r="B16" s="11" t="s">
        <v>22</v>
      </c>
      <c r="C16" s="32" t="s">
        <v>13</v>
      </c>
      <c r="D16" s="11" t="s">
        <v>109</v>
      </c>
      <c r="E16" s="39">
        <v>3.6</v>
      </c>
      <c r="F16" s="40">
        <f>SUM(E16*12/100)</f>
        <v>0.43200000000000005</v>
      </c>
      <c r="G16" s="40">
        <v>216.12</v>
      </c>
      <c r="H16" s="41">
        <f t="shared" si="0"/>
        <v>9.3363840000000003E-2</v>
      </c>
      <c r="I16" s="42">
        <f>F16/12*G16</f>
        <v>7.7803200000000015</v>
      </c>
      <c r="J16" s="42">
        <f>F16/12*G16</f>
        <v>7.7803200000000015</v>
      </c>
      <c r="K16" s="42">
        <f>F16/12*G16</f>
        <v>7.7803200000000015</v>
      </c>
      <c r="L16" s="42">
        <f>F16/12*G16</f>
        <v>7.7803200000000015</v>
      </c>
      <c r="M16" s="42">
        <f>F16/12*G16</f>
        <v>7.7803200000000015</v>
      </c>
      <c r="N16" s="42">
        <f>F16/12*G16</f>
        <v>7.7803200000000015</v>
      </c>
      <c r="O16" s="42">
        <f>F16/12*G16</f>
        <v>7.7803200000000015</v>
      </c>
      <c r="P16" s="42">
        <f>F16/12*G16</f>
        <v>7.7803200000000015</v>
      </c>
      <c r="Q16" s="42">
        <f>F16/12*G16</f>
        <v>7.7803200000000015</v>
      </c>
      <c r="R16" s="42">
        <f>F16/12*G16</f>
        <v>7.7803200000000015</v>
      </c>
      <c r="S16" s="42">
        <f>F16/12*G16</f>
        <v>7.7803200000000015</v>
      </c>
      <c r="T16" s="42">
        <f>F16/12*G16</f>
        <v>7.7803200000000015</v>
      </c>
      <c r="U16" s="42">
        <f t="shared" si="1"/>
        <v>93.363840000000025</v>
      </c>
      <c r="V16" s="27"/>
      <c r="W16" s="26"/>
    </row>
    <row r="17" spans="1:23">
      <c r="A17" s="146" t="s">
        <v>164</v>
      </c>
      <c r="B17" s="11" t="s">
        <v>23</v>
      </c>
      <c r="C17" s="32" t="s">
        <v>24</v>
      </c>
      <c r="D17" s="11" t="s">
        <v>98</v>
      </c>
      <c r="E17" s="39">
        <v>357</v>
      </c>
      <c r="F17" s="40">
        <f>SUM(E17/100)</f>
        <v>3.57</v>
      </c>
      <c r="G17" s="40">
        <v>269.26</v>
      </c>
      <c r="H17" s="41">
        <f t="shared" si="0"/>
        <v>0.96125819999999984</v>
      </c>
      <c r="I17" s="42">
        <v>0</v>
      </c>
      <c r="J17" s="42">
        <v>0</v>
      </c>
      <c r="K17" s="42">
        <v>0</v>
      </c>
      <c r="L17" s="42">
        <v>0</v>
      </c>
      <c r="M17" s="42">
        <f>F17*G17</f>
        <v>961.25819999999987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f t="shared" si="1"/>
        <v>961.25819999999987</v>
      </c>
      <c r="V17" s="27"/>
      <c r="W17" s="26"/>
    </row>
    <row r="18" spans="1:23">
      <c r="A18" s="146" t="s">
        <v>165</v>
      </c>
      <c r="B18" s="11" t="s">
        <v>25</v>
      </c>
      <c r="C18" s="32" t="s">
        <v>24</v>
      </c>
      <c r="D18" s="11" t="s">
        <v>98</v>
      </c>
      <c r="E18" s="44">
        <v>48.3</v>
      </c>
      <c r="F18" s="40">
        <f>SUM(E18/100)</f>
        <v>0.48299999999999998</v>
      </c>
      <c r="G18" s="40">
        <v>44.29</v>
      </c>
      <c r="H18" s="41">
        <f t="shared" si="0"/>
        <v>2.1392069999999999E-2</v>
      </c>
      <c r="I18" s="42">
        <v>0</v>
      </c>
      <c r="J18" s="42">
        <v>0</v>
      </c>
      <c r="K18" s="42">
        <v>0</v>
      </c>
      <c r="L18" s="42">
        <v>0</v>
      </c>
      <c r="M18" s="42">
        <f>F18*G18</f>
        <v>21.39207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f t="shared" si="1"/>
        <v>21.39207</v>
      </c>
      <c r="V18" s="27"/>
      <c r="W18" s="26"/>
    </row>
    <row r="19" spans="1:23">
      <c r="A19" s="146" t="s">
        <v>166</v>
      </c>
      <c r="B19" s="11" t="s">
        <v>26</v>
      </c>
      <c r="C19" s="32" t="s">
        <v>24</v>
      </c>
      <c r="D19" s="11" t="s">
        <v>99</v>
      </c>
      <c r="E19" s="39">
        <v>20</v>
      </c>
      <c r="F19" s="40">
        <f>E19/100</f>
        <v>0.2</v>
      </c>
      <c r="G19" s="40">
        <v>389.72</v>
      </c>
      <c r="H19" s="41">
        <f t="shared" si="0"/>
        <v>7.7944000000000013E-2</v>
      </c>
      <c r="I19" s="42">
        <v>0</v>
      </c>
      <c r="J19" s="42">
        <v>0</v>
      </c>
      <c r="K19" s="42">
        <v>0</v>
      </c>
      <c r="L19" s="42">
        <v>0</v>
      </c>
      <c r="M19" s="42">
        <f>F19*G19</f>
        <v>77.944000000000017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f t="shared" si="1"/>
        <v>77.944000000000017</v>
      </c>
      <c r="V19" s="27"/>
      <c r="W19" s="26"/>
    </row>
    <row r="20" spans="1:23">
      <c r="A20" s="146" t="s">
        <v>167</v>
      </c>
      <c r="B20" s="11" t="s">
        <v>27</v>
      </c>
      <c r="C20" s="32" t="s">
        <v>24</v>
      </c>
      <c r="D20" s="11" t="s">
        <v>98</v>
      </c>
      <c r="E20" s="39">
        <v>8.5</v>
      </c>
      <c r="F20" s="40">
        <f>SUM(E20/100)</f>
        <v>8.5000000000000006E-2</v>
      </c>
      <c r="G20" s="40">
        <v>520.79999999999995</v>
      </c>
      <c r="H20" s="41">
        <f t="shared" si="0"/>
        <v>4.4268000000000002E-2</v>
      </c>
      <c r="I20" s="42">
        <v>0</v>
      </c>
      <c r="J20" s="42">
        <v>0</v>
      </c>
      <c r="K20" s="42">
        <v>0</v>
      </c>
      <c r="L20" s="42">
        <v>0</v>
      </c>
      <c r="M20" s="42">
        <f>F20*G20</f>
        <v>44.268000000000001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f t="shared" si="1"/>
        <v>44.268000000000001</v>
      </c>
      <c r="V20" s="27"/>
      <c r="W20" s="26"/>
    </row>
    <row r="21" spans="1:23" s="19" customFormat="1">
      <c r="A21" s="147"/>
      <c r="B21" s="20" t="s">
        <v>28</v>
      </c>
      <c r="C21" s="45"/>
      <c r="D21" s="20"/>
      <c r="E21" s="46"/>
      <c r="F21" s="47"/>
      <c r="G21" s="47"/>
      <c r="H21" s="48">
        <f>SUM(H11:H20)</f>
        <v>108.20929267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f>SUM(U11:U20)</f>
        <v>107969.70739</v>
      </c>
      <c r="V21" s="27"/>
      <c r="W21" s="28"/>
    </row>
    <row r="22" spans="1:23">
      <c r="A22" s="146"/>
      <c r="B22" s="12" t="s">
        <v>29</v>
      </c>
      <c r="C22" s="32"/>
      <c r="D22" s="11"/>
      <c r="E22" s="39"/>
      <c r="F22" s="40"/>
      <c r="G22" s="40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27"/>
      <c r="W22" s="26"/>
    </row>
    <row r="23" spans="1:23" ht="25.5" customHeight="1">
      <c r="A23" s="146" t="s">
        <v>168</v>
      </c>
      <c r="B23" s="11" t="s">
        <v>144</v>
      </c>
      <c r="C23" s="32" t="s">
        <v>31</v>
      </c>
      <c r="D23" s="11" t="s">
        <v>30</v>
      </c>
      <c r="E23" s="40">
        <v>667.1</v>
      </c>
      <c r="F23" s="40">
        <f>SUM(E23*52/1000)</f>
        <v>34.689200000000007</v>
      </c>
      <c r="G23" s="40">
        <v>155.88999999999999</v>
      </c>
      <c r="H23" s="41">
        <f t="shared" ref="H23:H31" si="2">SUM(F23*G23/1000)</f>
        <v>5.4076993880000011</v>
      </c>
      <c r="I23" s="42">
        <v>0</v>
      </c>
      <c r="J23" s="42">
        <v>0</v>
      </c>
      <c r="K23" s="42">
        <v>0</v>
      </c>
      <c r="L23" s="42">
        <v>0</v>
      </c>
      <c r="M23" s="42">
        <f>F23/6*G23</f>
        <v>901.28323133333345</v>
      </c>
      <c r="N23" s="42">
        <f>F23/6*G23</f>
        <v>901.28323133333345</v>
      </c>
      <c r="O23" s="42">
        <f>F23/6*G23</f>
        <v>901.28323133333345</v>
      </c>
      <c r="P23" s="42">
        <f>F23/6*G23</f>
        <v>901.28323133333345</v>
      </c>
      <c r="Q23" s="42">
        <f>F23/6*G23</f>
        <v>901.28323133333345</v>
      </c>
      <c r="R23" s="42">
        <f>F23/6*G23</f>
        <v>901.28323133333345</v>
      </c>
      <c r="S23" s="42">
        <v>0</v>
      </c>
      <c r="T23" s="42">
        <v>0</v>
      </c>
      <c r="U23" s="42">
        <f t="shared" ref="U23:U31" si="3">SUM(I23:T23)</f>
        <v>5407.6993880000009</v>
      </c>
      <c r="V23" s="27"/>
      <c r="W23" s="26"/>
    </row>
    <row r="24" spans="1:23" ht="38.25" customHeight="1">
      <c r="A24" s="146" t="s">
        <v>169</v>
      </c>
      <c r="B24" s="11" t="s">
        <v>145</v>
      </c>
      <c r="C24" s="32" t="s">
        <v>31</v>
      </c>
      <c r="D24" s="11" t="s">
        <v>32</v>
      </c>
      <c r="E24" s="40">
        <v>457.48</v>
      </c>
      <c r="F24" s="40">
        <f>SUM(E24*78/1000)</f>
        <v>35.683440000000004</v>
      </c>
      <c r="G24" s="40">
        <v>258.63</v>
      </c>
      <c r="H24" s="41">
        <f t="shared" si="2"/>
        <v>9.2288080872000009</v>
      </c>
      <c r="I24" s="42">
        <v>0</v>
      </c>
      <c r="J24" s="42">
        <v>0</v>
      </c>
      <c r="K24" s="42">
        <v>0</v>
      </c>
      <c r="L24" s="42">
        <v>0</v>
      </c>
      <c r="M24" s="42">
        <f>F24/6*G24</f>
        <v>1538.1346812000002</v>
      </c>
      <c r="N24" s="42">
        <f>F24/6*G24</f>
        <v>1538.1346812000002</v>
      </c>
      <c r="O24" s="42">
        <f>F24/6*G24</f>
        <v>1538.1346812000002</v>
      </c>
      <c r="P24" s="42">
        <f>F24/6*G24</f>
        <v>1538.1346812000002</v>
      </c>
      <c r="Q24" s="42">
        <f>F24/6*G24</f>
        <v>1538.1346812000002</v>
      </c>
      <c r="R24" s="42">
        <f>F24/6*G24</f>
        <v>1538.1346812000002</v>
      </c>
      <c r="S24" s="42">
        <v>0</v>
      </c>
      <c r="T24" s="42">
        <v>0</v>
      </c>
      <c r="U24" s="42">
        <f t="shared" si="3"/>
        <v>9228.808087200001</v>
      </c>
      <c r="V24" s="27"/>
      <c r="W24" s="26"/>
    </row>
    <row r="25" spans="1:23">
      <c r="A25" s="146" t="s">
        <v>170</v>
      </c>
      <c r="B25" s="11" t="s">
        <v>33</v>
      </c>
      <c r="C25" s="32" t="s">
        <v>31</v>
      </c>
      <c r="D25" s="11" t="s">
        <v>34</v>
      </c>
      <c r="E25" s="40">
        <v>667.1</v>
      </c>
      <c r="F25" s="40">
        <f>SUM(E25/1000)</f>
        <v>0.66710000000000003</v>
      </c>
      <c r="G25" s="40">
        <v>3020.33</v>
      </c>
      <c r="H25" s="41">
        <f t="shared" si="2"/>
        <v>2.0148621430000002</v>
      </c>
      <c r="I25" s="42">
        <v>0</v>
      </c>
      <c r="J25" s="42">
        <v>0</v>
      </c>
      <c r="K25" s="42">
        <v>0</v>
      </c>
      <c r="L25" s="42">
        <v>0</v>
      </c>
      <c r="M25" s="42">
        <f>F25*G25</f>
        <v>2014.8621430000001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f t="shared" si="3"/>
        <v>2014.8621430000001</v>
      </c>
      <c r="V25" s="27"/>
      <c r="W25" s="26"/>
    </row>
    <row r="26" spans="1:23">
      <c r="A26" s="146" t="s">
        <v>171</v>
      </c>
      <c r="B26" s="11" t="s">
        <v>110</v>
      </c>
      <c r="C26" s="32" t="s">
        <v>61</v>
      </c>
      <c r="D26" s="11" t="s">
        <v>37</v>
      </c>
      <c r="E26" s="40">
        <v>1</v>
      </c>
      <c r="F26" s="40">
        <v>1.55</v>
      </c>
      <c r="G26" s="40">
        <v>1302.02</v>
      </c>
      <c r="H26" s="41">
        <f>G26*F26/1000</f>
        <v>2.0181309999999999</v>
      </c>
      <c r="I26" s="42">
        <v>0</v>
      </c>
      <c r="J26" s="42">
        <v>0</v>
      </c>
      <c r="K26" s="42">
        <v>0</v>
      </c>
      <c r="L26" s="42">
        <v>0</v>
      </c>
      <c r="M26" s="42">
        <f>F26/6*G26</f>
        <v>336.35516666666672</v>
      </c>
      <c r="N26" s="42">
        <f>F26/6*G26</f>
        <v>336.35516666666672</v>
      </c>
      <c r="O26" s="42">
        <f>F26/6*G26</f>
        <v>336.35516666666672</v>
      </c>
      <c r="P26" s="42">
        <f>F26/6*G26</f>
        <v>336.35516666666672</v>
      </c>
      <c r="Q26" s="42">
        <f>F26/6*G26</f>
        <v>336.35516666666672</v>
      </c>
      <c r="R26" s="42">
        <f>F26/6*G26</f>
        <v>336.35516666666672</v>
      </c>
      <c r="S26" s="42">
        <v>0</v>
      </c>
      <c r="T26" s="42">
        <v>0</v>
      </c>
      <c r="U26" s="42">
        <f t="shared" si="3"/>
        <v>2018.1310000000003</v>
      </c>
      <c r="V26" s="27"/>
      <c r="W26" s="26"/>
    </row>
    <row r="27" spans="1:23">
      <c r="A27" s="146" t="s">
        <v>172</v>
      </c>
      <c r="B27" s="11" t="s">
        <v>35</v>
      </c>
      <c r="C27" s="32" t="s">
        <v>36</v>
      </c>
      <c r="D27" s="11" t="s">
        <v>37</v>
      </c>
      <c r="E27" s="51">
        <v>0.33333333333333331</v>
      </c>
      <c r="F27" s="40">
        <f>155/3</f>
        <v>51.666666666666664</v>
      </c>
      <c r="G27" s="40">
        <v>56.69</v>
      </c>
      <c r="H27" s="41">
        <f>SUM(G27*155/3/1000)</f>
        <v>2.9289833333333331</v>
      </c>
      <c r="I27" s="42">
        <v>0</v>
      </c>
      <c r="J27" s="42">
        <v>0</v>
      </c>
      <c r="K27" s="42">
        <v>0</v>
      </c>
      <c r="L27" s="42">
        <v>0</v>
      </c>
      <c r="M27" s="42">
        <f>F27/6*G27</f>
        <v>488.16388888888883</v>
      </c>
      <c r="N27" s="42">
        <f>F27/6*G27</f>
        <v>488.16388888888883</v>
      </c>
      <c r="O27" s="42">
        <f>F27/6*G27</f>
        <v>488.16388888888883</v>
      </c>
      <c r="P27" s="42">
        <f>F27/6*G27</f>
        <v>488.16388888888883</v>
      </c>
      <c r="Q27" s="42">
        <f>F27/6*G27</f>
        <v>488.16388888888883</v>
      </c>
      <c r="R27" s="42">
        <f>F27/6*G27</f>
        <v>488.16388888888883</v>
      </c>
      <c r="S27" s="42">
        <v>0</v>
      </c>
      <c r="T27" s="42">
        <v>0</v>
      </c>
      <c r="U27" s="42">
        <f t="shared" si="3"/>
        <v>2928.9833333333331</v>
      </c>
      <c r="V27" s="27"/>
      <c r="W27" s="26"/>
    </row>
    <row r="28" spans="1:23" ht="12.75" customHeight="1">
      <c r="A28" s="146" t="s">
        <v>173</v>
      </c>
      <c r="B28" s="11" t="s">
        <v>38</v>
      </c>
      <c r="C28" s="32" t="s">
        <v>39</v>
      </c>
      <c r="D28" s="11" t="s">
        <v>40</v>
      </c>
      <c r="E28" s="52">
        <v>0.1</v>
      </c>
      <c r="F28" s="40">
        <f>SUM(E28*365)</f>
        <v>36.5</v>
      </c>
      <c r="G28" s="40">
        <v>147.03</v>
      </c>
      <c r="H28" s="41">
        <f t="shared" si="2"/>
        <v>5.3665950000000002</v>
      </c>
      <c r="I28" s="42">
        <f>F28/12*G28</f>
        <v>447.21625</v>
      </c>
      <c r="J28" s="42">
        <f>F28/12*G28</f>
        <v>447.21625</v>
      </c>
      <c r="K28" s="42">
        <f>F28/12*G28</f>
        <v>447.21625</v>
      </c>
      <c r="L28" s="42">
        <f>F28/12*G28</f>
        <v>447.21625</v>
      </c>
      <c r="M28" s="42">
        <f>F28/12*G28</f>
        <v>447.21625</v>
      </c>
      <c r="N28" s="42">
        <f>F28/12*G28</f>
        <v>447.21625</v>
      </c>
      <c r="O28" s="42">
        <f>F28/12*G28</f>
        <v>447.21625</v>
      </c>
      <c r="P28" s="42">
        <f>F28/12*G28</f>
        <v>447.21625</v>
      </c>
      <c r="Q28" s="42">
        <f>F28/12*G28</f>
        <v>447.21625</v>
      </c>
      <c r="R28" s="42">
        <f>F28/12*G28</f>
        <v>447.21625</v>
      </c>
      <c r="S28" s="42">
        <f>F28/12*G28</f>
        <v>447.21625</v>
      </c>
      <c r="T28" s="42">
        <f>F28/12*G28</f>
        <v>447.21625</v>
      </c>
      <c r="U28" s="42">
        <f t="shared" si="3"/>
        <v>5366.5950000000012</v>
      </c>
      <c r="V28" s="27"/>
      <c r="W28" s="26"/>
    </row>
    <row r="29" spans="1:23" ht="12.75" customHeight="1">
      <c r="A29" s="146" t="s">
        <v>174</v>
      </c>
      <c r="B29" s="11" t="s">
        <v>146</v>
      </c>
      <c r="C29" s="32" t="s">
        <v>39</v>
      </c>
      <c r="D29" s="11" t="s">
        <v>41</v>
      </c>
      <c r="E29" s="39"/>
      <c r="F29" s="40">
        <v>3</v>
      </c>
      <c r="G29" s="40">
        <v>191.32</v>
      </c>
      <c r="H29" s="41">
        <f t="shared" si="2"/>
        <v>0.57396000000000003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f t="shared" si="3"/>
        <v>0</v>
      </c>
      <c r="V29" s="27"/>
      <c r="W29" s="26"/>
    </row>
    <row r="30" spans="1:23" ht="12.75" customHeight="1">
      <c r="A30" s="146" t="s">
        <v>129</v>
      </c>
      <c r="B30" s="11" t="s">
        <v>147</v>
      </c>
      <c r="C30" s="32" t="s">
        <v>42</v>
      </c>
      <c r="D30" s="11" t="s">
        <v>41</v>
      </c>
      <c r="E30" s="39"/>
      <c r="F30" s="40">
        <v>2</v>
      </c>
      <c r="G30" s="40">
        <v>1136.33</v>
      </c>
      <c r="H30" s="41">
        <f t="shared" si="2"/>
        <v>2.2726599999999997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f t="shared" si="3"/>
        <v>0</v>
      </c>
      <c r="V30" s="27"/>
      <c r="W30" s="26"/>
    </row>
    <row r="31" spans="1:23">
      <c r="A31" s="146"/>
      <c r="B31" s="53" t="s">
        <v>43</v>
      </c>
      <c r="C31" s="32" t="s">
        <v>44</v>
      </c>
      <c r="D31" s="53" t="s">
        <v>45</v>
      </c>
      <c r="E31" s="39">
        <v>3382.7</v>
      </c>
      <c r="F31" s="40">
        <f>SUM(E31*12)</f>
        <v>40592.399999999994</v>
      </c>
      <c r="G31" s="40">
        <v>4.42</v>
      </c>
      <c r="H31" s="41">
        <f t="shared" si="2"/>
        <v>179.41840799999997</v>
      </c>
      <c r="I31" s="42">
        <f>F31/12*G31</f>
        <v>14951.533999999998</v>
      </c>
      <c r="J31" s="42">
        <f>F31/12*G31</f>
        <v>14951.533999999998</v>
      </c>
      <c r="K31" s="42">
        <f>F31/12*G31</f>
        <v>14951.533999999998</v>
      </c>
      <c r="L31" s="42">
        <f>F31/12*G31</f>
        <v>14951.533999999998</v>
      </c>
      <c r="M31" s="42">
        <f>F31/12*G31</f>
        <v>14951.533999999998</v>
      </c>
      <c r="N31" s="42">
        <f>F31/12*G31</f>
        <v>14951.533999999998</v>
      </c>
      <c r="O31" s="42">
        <f>F31/12*G31</f>
        <v>14951.533999999998</v>
      </c>
      <c r="P31" s="42">
        <f>F31/12*G31</f>
        <v>14951.533999999998</v>
      </c>
      <c r="Q31" s="42">
        <f>F31/12*G31</f>
        <v>14951.533999999998</v>
      </c>
      <c r="R31" s="42">
        <f>F31/12*G31</f>
        <v>14951.533999999998</v>
      </c>
      <c r="S31" s="42">
        <f>F31/12*G31</f>
        <v>14951.533999999998</v>
      </c>
      <c r="T31" s="42">
        <f>F31/12*G31</f>
        <v>14951.533999999998</v>
      </c>
      <c r="U31" s="42">
        <f t="shared" si="3"/>
        <v>179418.40799999994</v>
      </c>
      <c r="V31" s="27"/>
      <c r="W31" s="26"/>
    </row>
    <row r="32" spans="1:23" s="19" customFormat="1">
      <c r="A32" s="147"/>
      <c r="B32" s="20" t="s">
        <v>28</v>
      </c>
      <c r="C32" s="45"/>
      <c r="D32" s="20"/>
      <c r="E32" s="46"/>
      <c r="F32" s="47"/>
      <c r="G32" s="47"/>
      <c r="H32" s="54">
        <f>SUM(H23:H31)</f>
        <v>209.23010695153329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>
        <f>SUM(U23:U31)</f>
        <v>206383.48695153327</v>
      </c>
      <c r="V32" s="27"/>
      <c r="W32" s="28"/>
    </row>
    <row r="33" spans="1:23">
      <c r="A33" s="146"/>
      <c r="B33" s="12" t="s">
        <v>46</v>
      </c>
      <c r="C33" s="32"/>
      <c r="D33" s="11"/>
      <c r="E33" s="39"/>
      <c r="F33" s="40"/>
      <c r="G33" s="40"/>
      <c r="H33" s="41" t="s">
        <v>45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7"/>
      <c r="W33" s="26"/>
    </row>
    <row r="34" spans="1:23" ht="12.75" customHeight="1">
      <c r="A34" s="146" t="s">
        <v>129</v>
      </c>
      <c r="B34" s="13" t="s">
        <v>47</v>
      </c>
      <c r="C34" s="32" t="s">
        <v>42</v>
      </c>
      <c r="D34" s="11"/>
      <c r="E34" s="39"/>
      <c r="F34" s="40">
        <v>10</v>
      </c>
      <c r="G34" s="40">
        <v>1527.22</v>
      </c>
      <c r="H34" s="41">
        <f t="shared" ref="H34:H39" si="4">SUM(F34*G34/1000)</f>
        <v>15.272200000000002</v>
      </c>
      <c r="I34" s="42">
        <f t="shared" ref="I34:I39" si="5">F34/6*G34</f>
        <v>2545.3666666666668</v>
      </c>
      <c r="J34" s="42">
        <f t="shared" ref="J34:J39" si="6">F34/6*G34</f>
        <v>2545.3666666666668</v>
      </c>
      <c r="K34" s="42">
        <f t="shared" ref="K34:K39" si="7">F34/6*G34</f>
        <v>2545.3666666666668</v>
      </c>
      <c r="L34" s="42">
        <f t="shared" ref="L34:L39" si="8">F34/6*G34</f>
        <v>2545.3666666666668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f t="shared" ref="S34:S39" si="9">F34/6*G34</f>
        <v>2545.3666666666668</v>
      </c>
      <c r="T34" s="42">
        <f t="shared" ref="T34:T39" si="10">F34/6*G34</f>
        <v>2545.3666666666668</v>
      </c>
      <c r="U34" s="42">
        <f t="shared" ref="U34:U39" si="11">SUM(I34:T34)</f>
        <v>15272.2</v>
      </c>
      <c r="V34" s="27"/>
      <c r="W34" s="26"/>
    </row>
    <row r="35" spans="1:23" ht="25.5">
      <c r="A35" s="148" t="s">
        <v>175</v>
      </c>
      <c r="B35" s="13" t="s">
        <v>148</v>
      </c>
      <c r="C35" s="56" t="s">
        <v>48</v>
      </c>
      <c r="D35" s="11" t="s">
        <v>111</v>
      </c>
      <c r="E35" s="39">
        <v>457.48</v>
      </c>
      <c r="F35" s="55">
        <f>E35*20/1000</f>
        <v>9.1495999999999995</v>
      </c>
      <c r="G35" s="40">
        <v>2102.71</v>
      </c>
      <c r="H35" s="41">
        <f t="shared" si="4"/>
        <v>19.238955416</v>
      </c>
      <c r="I35" s="42">
        <f t="shared" si="5"/>
        <v>3206.492569333333</v>
      </c>
      <c r="J35" s="42">
        <f t="shared" si="6"/>
        <v>3206.492569333333</v>
      </c>
      <c r="K35" s="42">
        <f t="shared" si="7"/>
        <v>3206.492569333333</v>
      </c>
      <c r="L35" s="42">
        <f t="shared" si="8"/>
        <v>3206.492569333333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f t="shared" si="9"/>
        <v>3206.492569333333</v>
      </c>
      <c r="T35" s="42">
        <f t="shared" si="10"/>
        <v>3206.492569333333</v>
      </c>
      <c r="U35" s="42">
        <f t="shared" si="11"/>
        <v>19238.955415999997</v>
      </c>
      <c r="V35" s="27"/>
      <c r="W35" s="26"/>
    </row>
    <row r="36" spans="1:23" ht="25.5" customHeight="1">
      <c r="A36" s="146" t="s">
        <v>176</v>
      </c>
      <c r="B36" s="11" t="s">
        <v>149</v>
      </c>
      <c r="C36" s="32" t="s">
        <v>48</v>
      </c>
      <c r="D36" s="11" t="s">
        <v>49</v>
      </c>
      <c r="E36" s="40">
        <v>107.36</v>
      </c>
      <c r="F36" s="55">
        <f>SUM(E36*155/1000)</f>
        <v>16.640799999999999</v>
      </c>
      <c r="G36" s="40">
        <v>350.75</v>
      </c>
      <c r="H36" s="41">
        <f t="shared" si="4"/>
        <v>5.8367605999999999</v>
      </c>
      <c r="I36" s="42">
        <f t="shared" si="5"/>
        <v>972.79343333333316</v>
      </c>
      <c r="J36" s="42">
        <f t="shared" si="6"/>
        <v>972.79343333333316</v>
      </c>
      <c r="K36" s="42">
        <f t="shared" si="7"/>
        <v>972.79343333333316</v>
      </c>
      <c r="L36" s="42">
        <f t="shared" si="8"/>
        <v>972.79343333333316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f t="shared" si="9"/>
        <v>972.79343333333316</v>
      </c>
      <c r="T36" s="42">
        <f t="shared" si="10"/>
        <v>972.79343333333316</v>
      </c>
      <c r="U36" s="42">
        <f t="shared" si="11"/>
        <v>5836.7605999999987</v>
      </c>
      <c r="V36" s="27"/>
      <c r="W36" s="26"/>
    </row>
    <row r="37" spans="1:23" ht="51" customHeight="1">
      <c r="A37" s="146" t="s">
        <v>177</v>
      </c>
      <c r="B37" s="11" t="s">
        <v>150</v>
      </c>
      <c r="C37" s="32" t="s">
        <v>31</v>
      </c>
      <c r="D37" s="11" t="s">
        <v>112</v>
      </c>
      <c r="E37" s="40">
        <v>24</v>
      </c>
      <c r="F37" s="55">
        <f>SUM(E37*50/1000)</f>
        <v>1.2</v>
      </c>
      <c r="G37" s="40">
        <v>5803.28</v>
      </c>
      <c r="H37" s="41">
        <f t="shared" si="4"/>
        <v>6.9639359999999995</v>
      </c>
      <c r="I37" s="42">
        <f t="shared" si="5"/>
        <v>1160.6559999999999</v>
      </c>
      <c r="J37" s="42">
        <f t="shared" si="6"/>
        <v>1160.6559999999999</v>
      </c>
      <c r="K37" s="42">
        <f t="shared" si="7"/>
        <v>1160.6559999999999</v>
      </c>
      <c r="L37" s="42">
        <f t="shared" si="8"/>
        <v>1160.6559999999999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f t="shared" si="9"/>
        <v>1160.6559999999999</v>
      </c>
      <c r="T37" s="42">
        <f t="shared" si="10"/>
        <v>1160.6559999999999</v>
      </c>
      <c r="U37" s="42">
        <f t="shared" si="11"/>
        <v>6963.9359999999997</v>
      </c>
      <c r="V37" s="27"/>
      <c r="W37" s="26"/>
    </row>
    <row r="38" spans="1:23" ht="12.75" customHeight="1">
      <c r="A38" s="146" t="s">
        <v>178</v>
      </c>
      <c r="B38" s="11" t="s">
        <v>151</v>
      </c>
      <c r="C38" s="32" t="s">
        <v>31</v>
      </c>
      <c r="D38" s="11" t="s">
        <v>248</v>
      </c>
      <c r="E38" s="40">
        <v>123.36</v>
      </c>
      <c r="F38" s="55">
        <f>SUM(E38*15/1000)</f>
        <v>1.8504</v>
      </c>
      <c r="G38" s="40">
        <v>428.7</v>
      </c>
      <c r="H38" s="41">
        <f t="shared" si="4"/>
        <v>0.79326648</v>
      </c>
      <c r="I38" s="42">
        <v>0</v>
      </c>
      <c r="J38" s="42">
        <v>0</v>
      </c>
      <c r="K38" s="42">
        <f>F38/2*G38</f>
        <v>396.63324</v>
      </c>
      <c r="L38" s="42">
        <f>F38/2*G38</f>
        <v>396.63324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f t="shared" si="11"/>
        <v>793.26648</v>
      </c>
      <c r="V38" s="27"/>
      <c r="W38" s="26"/>
    </row>
    <row r="39" spans="1:23" s="2" customFormat="1">
      <c r="A39" s="148"/>
      <c r="B39" s="13" t="s">
        <v>152</v>
      </c>
      <c r="C39" s="56" t="s">
        <v>39</v>
      </c>
      <c r="D39" s="13"/>
      <c r="E39" s="52"/>
      <c r="F39" s="55">
        <v>0.9</v>
      </c>
      <c r="G39" s="55">
        <v>798</v>
      </c>
      <c r="H39" s="41">
        <f t="shared" si="4"/>
        <v>0.71820000000000006</v>
      </c>
      <c r="I39" s="57">
        <f t="shared" si="5"/>
        <v>119.69999999999999</v>
      </c>
      <c r="J39" s="57">
        <f t="shared" si="6"/>
        <v>119.69999999999999</v>
      </c>
      <c r="K39" s="57">
        <f t="shared" si="7"/>
        <v>119.69999999999999</v>
      </c>
      <c r="L39" s="57">
        <f t="shared" si="8"/>
        <v>119.69999999999999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f t="shared" si="9"/>
        <v>119.69999999999999</v>
      </c>
      <c r="T39" s="57">
        <f t="shared" si="10"/>
        <v>119.69999999999999</v>
      </c>
      <c r="U39" s="42">
        <f t="shared" si="11"/>
        <v>718.2</v>
      </c>
      <c r="V39" s="29"/>
      <c r="W39" s="30"/>
    </row>
    <row r="40" spans="1:23" s="19" customFormat="1">
      <c r="A40" s="147"/>
      <c r="B40" s="20" t="s">
        <v>28</v>
      </c>
      <c r="C40" s="45"/>
      <c r="D40" s="20"/>
      <c r="E40" s="46"/>
      <c r="F40" s="47" t="s">
        <v>45</v>
      </c>
      <c r="G40" s="47"/>
      <c r="H40" s="54">
        <f>SUM(H34:H39)</f>
        <v>48.823318495999999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>
        <f>SUM(U34:U39)</f>
        <v>48823.318495999993</v>
      </c>
      <c r="V40" s="27"/>
      <c r="W40" s="28"/>
    </row>
    <row r="41" spans="1:23">
      <c r="A41" s="146"/>
      <c r="B41" s="14" t="s">
        <v>50</v>
      </c>
      <c r="C41" s="32"/>
      <c r="D41" s="11"/>
      <c r="E41" s="39"/>
      <c r="F41" s="40"/>
      <c r="G41" s="40"/>
      <c r="H41" s="41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27"/>
      <c r="W41" s="26"/>
    </row>
    <row r="42" spans="1:23">
      <c r="A42" s="146" t="s">
        <v>180</v>
      </c>
      <c r="B42" s="11" t="s">
        <v>179</v>
      </c>
      <c r="C42" s="32" t="s">
        <v>31</v>
      </c>
      <c r="D42" s="11" t="s">
        <v>51</v>
      </c>
      <c r="E42" s="39">
        <v>1197.75</v>
      </c>
      <c r="F42" s="40">
        <f>SUM(E42*2/1000)</f>
        <v>2.3955000000000002</v>
      </c>
      <c r="G42" s="58">
        <v>809.74</v>
      </c>
      <c r="H42" s="41">
        <f t="shared" ref="H42:H51" si="12">SUM(F42*G42/1000)</f>
        <v>1.9397321700000003</v>
      </c>
      <c r="I42" s="42">
        <v>0</v>
      </c>
      <c r="J42" s="42">
        <v>0</v>
      </c>
      <c r="K42" s="42">
        <v>0</v>
      </c>
      <c r="L42" s="42">
        <v>0</v>
      </c>
      <c r="M42" s="42">
        <f>F42/2*G42</f>
        <v>969.86608500000011</v>
      </c>
      <c r="N42" s="42">
        <v>0</v>
      </c>
      <c r="O42" s="42">
        <v>0</v>
      </c>
      <c r="P42" s="42">
        <v>0</v>
      </c>
      <c r="Q42" s="42">
        <f>F42/2*G42</f>
        <v>969.86608500000011</v>
      </c>
      <c r="R42" s="42">
        <v>0</v>
      </c>
      <c r="S42" s="42">
        <v>0</v>
      </c>
      <c r="T42" s="42">
        <v>0</v>
      </c>
      <c r="U42" s="42">
        <f t="shared" ref="U42:U51" si="13">SUM(I42:T42)</f>
        <v>1939.7321700000002</v>
      </c>
      <c r="V42" s="27"/>
      <c r="W42" s="26"/>
    </row>
    <row r="43" spans="1:23">
      <c r="A43" s="146" t="s">
        <v>182</v>
      </c>
      <c r="B43" s="11" t="s">
        <v>52</v>
      </c>
      <c r="C43" s="32" t="s">
        <v>31</v>
      </c>
      <c r="D43" s="11" t="s">
        <v>51</v>
      </c>
      <c r="E43" s="39">
        <v>52</v>
      </c>
      <c r="F43" s="40">
        <f>E43*2/1000</f>
        <v>0.104</v>
      </c>
      <c r="G43" s="58">
        <v>457.4</v>
      </c>
      <c r="H43" s="41">
        <f t="shared" si="12"/>
        <v>4.7569599999999997E-2</v>
      </c>
      <c r="I43" s="42">
        <v>0</v>
      </c>
      <c r="J43" s="42">
        <v>0</v>
      </c>
      <c r="K43" s="42">
        <v>0</v>
      </c>
      <c r="L43" s="42">
        <v>0</v>
      </c>
      <c r="M43" s="42">
        <f>F43/2*G43</f>
        <v>23.784799999999997</v>
      </c>
      <c r="N43" s="42">
        <v>0</v>
      </c>
      <c r="O43" s="42">
        <v>0</v>
      </c>
      <c r="P43" s="42">
        <v>0</v>
      </c>
      <c r="Q43" s="42">
        <f>F43/2*G43</f>
        <v>23.784799999999997</v>
      </c>
      <c r="R43" s="42">
        <v>0</v>
      </c>
      <c r="S43" s="42">
        <v>0</v>
      </c>
      <c r="T43" s="42">
        <v>0</v>
      </c>
      <c r="U43" s="42">
        <f t="shared" si="13"/>
        <v>47.569599999999994</v>
      </c>
      <c r="V43" s="27"/>
      <c r="W43" s="26"/>
    </row>
    <row r="44" spans="1:23" ht="12.75" customHeight="1">
      <c r="A44" s="146" t="s">
        <v>183</v>
      </c>
      <c r="B44" s="11" t="s">
        <v>53</v>
      </c>
      <c r="C44" s="32" t="s">
        <v>31</v>
      </c>
      <c r="D44" s="11" t="s">
        <v>51</v>
      </c>
      <c r="E44" s="39">
        <v>1056.5999999999999</v>
      </c>
      <c r="F44" s="40">
        <f>SUM(E44*2/1000)</f>
        <v>2.1132</v>
      </c>
      <c r="G44" s="58">
        <v>579.48</v>
      </c>
      <c r="H44" s="41">
        <f t="shared" si="12"/>
        <v>1.224557136</v>
      </c>
      <c r="I44" s="42">
        <v>0</v>
      </c>
      <c r="J44" s="42">
        <v>0</v>
      </c>
      <c r="K44" s="42">
        <v>0</v>
      </c>
      <c r="L44" s="42">
        <v>0</v>
      </c>
      <c r="M44" s="42">
        <f t="shared" ref="M44:M46" si="14">F44/2*G44</f>
        <v>612.27856800000006</v>
      </c>
      <c r="N44" s="42">
        <v>0</v>
      </c>
      <c r="O44" s="42">
        <v>0</v>
      </c>
      <c r="P44" s="42">
        <v>0</v>
      </c>
      <c r="Q44" s="42">
        <f>F44/2*G44</f>
        <v>612.27856800000006</v>
      </c>
      <c r="R44" s="42">
        <v>0</v>
      </c>
      <c r="S44" s="42">
        <v>0</v>
      </c>
      <c r="T44" s="42">
        <v>0</v>
      </c>
      <c r="U44" s="42">
        <f t="shared" si="13"/>
        <v>1224.5571360000001</v>
      </c>
      <c r="V44" s="27"/>
      <c r="W44" s="26"/>
    </row>
    <row r="45" spans="1:23">
      <c r="A45" s="146" t="s">
        <v>184</v>
      </c>
      <c r="B45" s="11" t="s">
        <v>54</v>
      </c>
      <c r="C45" s="32" t="s">
        <v>31</v>
      </c>
      <c r="D45" s="11" t="s">
        <v>51</v>
      </c>
      <c r="E45" s="39">
        <v>2582</v>
      </c>
      <c r="F45" s="40">
        <f>SUM(E45*2/1000)</f>
        <v>5.1639999999999997</v>
      </c>
      <c r="G45" s="58">
        <v>606.77</v>
      </c>
      <c r="H45" s="41">
        <f t="shared" si="12"/>
        <v>3.1333602799999998</v>
      </c>
      <c r="I45" s="42">
        <v>0</v>
      </c>
      <c r="J45" s="42">
        <v>0</v>
      </c>
      <c r="K45" s="42">
        <v>0</v>
      </c>
      <c r="L45" s="42">
        <v>0</v>
      </c>
      <c r="M45" s="42">
        <f t="shared" si="14"/>
        <v>1566.6801399999999</v>
      </c>
      <c r="N45" s="42">
        <v>0</v>
      </c>
      <c r="O45" s="42">
        <v>0</v>
      </c>
      <c r="P45" s="42">
        <v>0</v>
      </c>
      <c r="Q45" s="42">
        <f>F45/2*G45</f>
        <v>1566.6801399999999</v>
      </c>
      <c r="R45" s="42">
        <v>0</v>
      </c>
      <c r="S45" s="42">
        <v>0</v>
      </c>
      <c r="T45" s="42">
        <v>0</v>
      </c>
      <c r="U45" s="42">
        <f t="shared" si="13"/>
        <v>3133.3602799999999</v>
      </c>
      <c r="V45" s="27"/>
      <c r="W45" s="26"/>
    </row>
    <row r="46" spans="1:23">
      <c r="A46" s="146" t="s">
        <v>181</v>
      </c>
      <c r="B46" s="11" t="s">
        <v>105</v>
      </c>
      <c r="C46" s="32" t="s">
        <v>106</v>
      </c>
      <c r="D46" s="11" t="s">
        <v>51</v>
      </c>
      <c r="E46" s="39">
        <v>1676.85</v>
      </c>
      <c r="F46" s="40">
        <f>SUM(E46*2/100)</f>
        <v>33.536999999999999</v>
      </c>
      <c r="G46" s="58">
        <v>72.81</v>
      </c>
      <c r="H46" s="41">
        <f t="shared" si="12"/>
        <v>2.44182897</v>
      </c>
      <c r="I46" s="42">
        <v>0</v>
      </c>
      <c r="J46" s="42">
        <v>0</v>
      </c>
      <c r="K46" s="42">
        <v>0</v>
      </c>
      <c r="L46" s="42">
        <v>0</v>
      </c>
      <c r="M46" s="42">
        <f t="shared" si="14"/>
        <v>1220.914485</v>
      </c>
      <c r="N46" s="42">
        <v>0</v>
      </c>
      <c r="O46" s="42">
        <v>0</v>
      </c>
      <c r="P46" s="42">
        <v>0</v>
      </c>
      <c r="Q46" s="42">
        <f>F46/2*G46</f>
        <v>1220.914485</v>
      </c>
      <c r="R46" s="42">
        <v>0</v>
      </c>
      <c r="S46" s="42">
        <v>0</v>
      </c>
      <c r="T46" s="42">
        <v>0</v>
      </c>
      <c r="U46" s="42">
        <f t="shared" si="13"/>
        <v>2441.82897</v>
      </c>
      <c r="V46" s="27"/>
      <c r="W46" s="26"/>
    </row>
    <row r="47" spans="1:23" ht="25.5">
      <c r="A47" s="146" t="s">
        <v>185</v>
      </c>
      <c r="B47" s="11" t="s">
        <v>55</v>
      </c>
      <c r="C47" s="32" t="s">
        <v>31</v>
      </c>
      <c r="D47" s="11" t="s">
        <v>56</v>
      </c>
      <c r="E47" s="39">
        <v>1916.4</v>
      </c>
      <c r="F47" s="40">
        <f>SUM(E47*5/1000)</f>
        <v>9.5820000000000007</v>
      </c>
      <c r="G47" s="58">
        <v>1213.55</v>
      </c>
      <c r="H47" s="41">
        <f t="shared" si="12"/>
        <v>11.628236100000001</v>
      </c>
      <c r="I47" s="42">
        <f>F47/5*G47</f>
        <v>2325.6472199999998</v>
      </c>
      <c r="J47" s="42">
        <f>F47/5*G47</f>
        <v>2325.6472199999998</v>
      </c>
      <c r="K47" s="42">
        <v>0</v>
      </c>
      <c r="L47" s="42">
        <f>0</f>
        <v>0</v>
      </c>
      <c r="M47" s="42">
        <f>F47/5*G47</f>
        <v>2325.6472199999998</v>
      </c>
      <c r="N47" s="42">
        <v>0</v>
      </c>
      <c r="O47" s="42">
        <v>0</v>
      </c>
      <c r="P47" s="42">
        <v>0</v>
      </c>
      <c r="Q47" s="42">
        <f>F47/5*G47</f>
        <v>2325.6472199999998</v>
      </c>
      <c r="R47" s="42">
        <v>0</v>
      </c>
      <c r="S47" s="42">
        <v>0</v>
      </c>
      <c r="T47" s="42">
        <f>F47/5*G47</f>
        <v>2325.6472199999998</v>
      </c>
      <c r="U47" s="42">
        <f t="shared" si="13"/>
        <v>11628.236099999998</v>
      </c>
      <c r="V47" s="27"/>
      <c r="W47" s="26"/>
    </row>
    <row r="48" spans="1:23" ht="38.25" customHeight="1">
      <c r="A48" s="146" t="s">
        <v>186</v>
      </c>
      <c r="B48" s="11" t="s">
        <v>57</v>
      </c>
      <c r="C48" s="32" t="s">
        <v>31</v>
      </c>
      <c r="D48" s="11" t="s">
        <v>51</v>
      </c>
      <c r="E48" s="39">
        <v>1916.4</v>
      </c>
      <c r="F48" s="40">
        <f>SUM(E48*2/1000)</f>
        <v>3.8328000000000002</v>
      </c>
      <c r="G48" s="58">
        <v>1213.55</v>
      </c>
      <c r="H48" s="41">
        <f t="shared" si="12"/>
        <v>4.65129444</v>
      </c>
      <c r="I48" s="42">
        <v>0</v>
      </c>
      <c r="J48" s="42">
        <v>0</v>
      </c>
      <c r="K48" s="42">
        <v>0</v>
      </c>
      <c r="L48" s="42">
        <f>F48/2*G48</f>
        <v>2325.6472199999998</v>
      </c>
      <c r="M48" s="42">
        <v>0</v>
      </c>
      <c r="N48" s="42">
        <v>0</v>
      </c>
      <c r="O48" s="42">
        <v>0</v>
      </c>
      <c r="P48" s="42">
        <v>0</v>
      </c>
      <c r="Q48" s="42">
        <f>F48/2*G48</f>
        <v>2325.6472199999998</v>
      </c>
      <c r="R48" s="42">
        <v>0</v>
      </c>
      <c r="S48" s="42">
        <v>0</v>
      </c>
      <c r="T48" s="42">
        <v>0</v>
      </c>
      <c r="U48" s="42">
        <f t="shared" si="13"/>
        <v>4651.2944399999997</v>
      </c>
      <c r="V48" s="27"/>
      <c r="W48" s="26"/>
    </row>
    <row r="49" spans="1:23" ht="25.5" customHeight="1">
      <c r="A49" s="146" t="s">
        <v>187</v>
      </c>
      <c r="B49" s="11" t="s">
        <v>58</v>
      </c>
      <c r="C49" s="32" t="s">
        <v>59</v>
      </c>
      <c r="D49" s="11" t="s">
        <v>51</v>
      </c>
      <c r="E49" s="39">
        <v>20</v>
      </c>
      <c r="F49" s="40">
        <f>SUM(E49*2/100)</f>
        <v>0.4</v>
      </c>
      <c r="G49" s="58">
        <v>2730.49</v>
      </c>
      <c r="H49" s="41">
        <f t="shared" si="12"/>
        <v>1.0921959999999999</v>
      </c>
      <c r="I49" s="42">
        <v>0</v>
      </c>
      <c r="J49" s="42">
        <v>0</v>
      </c>
      <c r="K49" s="42">
        <v>0</v>
      </c>
      <c r="L49" s="42">
        <f>F49/2*G49</f>
        <v>546.09799999999996</v>
      </c>
      <c r="M49" s="42">
        <v>0</v>
      </c>
      <c r="N49" s="42">
        <v>0</v>
      </c>
      <c r="O49" s="42">
        <v>0</v>
      </c>
      <c r="P49" s="42">
        <v>0</v>
      </c>
      <c r="Q49" s="42">
        <f>F49/2*G49</f>
        <v>546.09799999999996</v>
      </c>
      <c r="R49" s="42">
        <v>0</v>
      </c>
      <c r="S49" s="42">
        <v>0</v>
      </c>
      <c r="T49" s="42">
        <v>0</v>
      </c>
      <c r="U49" s="42">
        <f t="shared" si="13"/>
        <v>1092.1959999999999</v>
      </c>
      <c r="V49" s="27"/>
      <c r="W49" s="26"/>
    </row>
    <row r="50" spans="1:23">
      <c r="A50" s="146" t="s">
        <v>188</v>
      </c>
      <c r="B50" s="11" t="s">
        <v>60</v>
      </c>
      <c r="C50" s="32" t="s">
        <v>61</v>
      </c>
      <c r="D50" s="11" t="s">
        <v>51</v>
      </c>
      <c r="E50" s="39">
        <v>1</v>
      </c>
      <c r="F50" s="40">
        <v>0.02</v>
      </c>
      <c r="G50" s="58">
        <v>5652.13</v>
      </c>
      <c r="H50" s="41">
        <f t="shared" si="12"/>
        <v>0.11304260000000001</v>
      </c>
      <c r="I50" s="42">
        <v>0</v>
      </c>
      <c r="J50" s="42">
        <v>0</v>
      </c>
      <c r="K50" s="42">
        <f>F50/2*G50</f>
        <v>56.521300000000004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f>F50/2*G50</f>
        <v>56.521300000000004</v>
      </c>
      <c r="R50" s="42">
        <v>0</v>
      </c>
      <c r="S50" s="42">
        <v>0</v>
      </c>
      <c r="T50" s="42">
        <v>0</v>
      </c>
      <c r="U50" s="42">
        <f t="shared" si="13"/>
        <v>113.04260000000001</v>
      </c>
      <c r="V50" s="27"/>
      <c r="W50" s="26"/>
    </row>
    <row r="51" spans="1:23" ht="13.5" customHeight="1">
      <c r="A51" s="146" t="s">
        <v>63</v>
      </c>
      <c r="B51" s="11" t="s">
        <v>64</v>
      </c>
      <c r="C51" s="32" t="s">
        <v>62</v>
      </c>
      <c r="D51" s="11" t="s">
        <v>100</v>
      </c>
      <c r="E51" s="39">
        <v>120</v>
      </c>
      <c r="F51" s="40">
        <f>SUM(E51)*3</f>
        <v>360</v>
      </c>
      <c r="G51" s="59">
        <v>65.67</v>
      </c>
      <c r="H51" s="41">
        <f t="shared" si="12"/>
        <v>23.641200000000001</v>
      </c>
      <c r="I51" s="42">
        <v>0</v>
      </c>
      <c r="J51" s="42">
        <v>0</v>
      </c>
      <c r="K51" s="42">
        <v>0</v>
      </c>
      <c r="L51" s="42">
        <f>E51*G51</f>
        <v>7880.4000000000005</v>
      </c>
      <c r="M51" s="42">
        <v>0</v>
      </c>
      <c r="N51" s="42">
        <v>0</v>
      </c>
      <c r="O51" s="42">
        <v>0</v>
      </c>
      <c r="P51" s="42">
        <f>E51*G51</f>
        <v>7880.4000000000005</v>
      </c>
      <c r="Q51" s="42">
        <v>0</v>
      </c>
      <c r="R51" s="42">
        <v>0</v>
      </c>
      <c r="S51" s="42">
        <v>0</v>
      </c>
      <c r="T51" s="42">
        <f>E51*G51</f>
        <v>7880.4000000000005</v>
      </c>
      <c r="U51" s="42">
        <f t="shared" si="13"/>
        <v>23641.200000000001</v>
      </c>
      <c r="V51" s="27"/>
      <c r="W51" s="26"/>
    </row>
    <row r="52" spans="1:23" s="21" customFormat="1">
      <c r="A52" s="147"/>
      <c r="B52" s="20" t="s">
        <v>28</v>
      </c>
      <c r="C52" s="60"/>
      <c r="D52" s="20"/>
      <c r="E52" s="61"/>
      <c r="F52" s="62"/>
      <c r="G52" s="62"/>
      <c r="H52" s="54">
        <f>SUM(H42:H51)</f>
        <v>49.913017296000007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>
        <f>SUM(U42:U51)</f>
        <v>49913.017295999998</v>
      </c>
      <c r="V52" s="29"/>
      <c r="W52" s="31"/>
    </row>
    <row r="53" spans="1:23">
      <c r="A53" s="146"/>
      <c r="B53" s="12" t="s">
        <v>65</v>
      </c>
      <c r="C53" s="32"/>
      <c r="D53" s="11"/>
      <c r="E53" s="39"/>
      <c r="F53" s="40"/>
      <c r="G53" s="40"/>
      <c r="H53" s="41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27"/>
      <c r="W53" s="26"/>
    </row>
    <row r="54" spans="1:23" ht="38.25" customHeight="1">
      <c r="A54" s="146" t="s">
        <v>189</v>
      </c>
      <c r="B54" s="11" t="s">
        <v>153</v>
      </c>
      <c r="C54" s="32" t="s">
        <v>13</v>
      </c>
      <c r="D54" s="11" t="s">
        <v>66</v>
      </c>
      <c r="E54" s="39">
        <v>131.77500000000001</v>
      </c>
      <c r="F54" s="40">
        <f>SUM(E54*6/100)</f>
        <v>7.9065000000000012</v>
      </c>
      <c r="G54" s="58">
        <v>1547.28</v>
      </c>
      <c r="H54" s="41">
        <f>SUM(F54*G54/1000)</f>
        <v>12.233569320000003</v>
      </c>
      <c r="I54" s="42">
        <f>F54/6*G54</f>
        <v>2038.9282200000002</v>
      </c>
      <c r="J54" s="42">
        <f>F54/6*G54</f>
        <v>2038.9282200000002</v>
      </c>
      <c r="K54" s="42">
        <f>F54/6*G54</f>
        <v>2038.9282200000002</v>
      </c>
      <c r="L54" s="42">
        <f>F54/6*G54</f>
        <v>2038.9282200000002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f>F54/6*G54</f>
        <v>2038.9282200000002</v>
      </c>
      <c r="T54" s="42">
        <f>F54/6*G54</f>
        <v>2038.9282200000002</v>
      </c>
      <c r="U54" s="42">
        <f t="shared" ref="U54:U78" si="15">SUM(I54:T54)</f>
        <v>12233.569320000001</v>
      </c>
      <c r="V54" s="27"/>
      <c r="W54" s="26"/>
    </row>
    <row r="55" spans="1:23" ht="12.75" customHeight="1">
      <c r="A55" s="149"/>
      <c r="B55" s="23" t="s">
        <v>67</v>
      </c>
      <c r="C55" s="64"/>
      <c r="D55" s="22"/>
      <c r="E55" s="65"/>
      <c r="F55" s="66"/>
      <c r="G55" s="67"/>
      <c r="H55" s="68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27"/>
      <c r="W55" s="26"/>
    </row>
    <row r="56" spans="1:23" ht="12.75" customHeight="1">
      <c r="A56" s="146" t="s">
        <v>190</v>
      </c>
      <c r="B56" s="22" t="s">
        <v>212</v>
      </c>
      <c r="C56" s="64" t="s">
        <v>24</v>
      </c>
      <c r="D56" s="22" t="s">
        <v>34</v>
      </c>
      <c r="E56" s="65">
        <v>890</v>
      </c>
      <c r="F56" s="68">
        <v>8.9</v>
      </c>
      <c r="G56" s="58">
        <v>793.61</v>
      </c>
      <c r="H56" s="69">
        <f>F56*G56/1000</f>
        <v>7.0631290000000009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f t="shared" si="15"/>
        <v>0</v>
      </c>
      <c r="V56" s="27"/>
      <c r="W56" s="26"/>
    </row>
    <row r="57" spans="1:23" ht="12.75" customHeight="1">
      <c r="A57" s="146" t="s">
        <v>190</v>
      </c>
      <c r="B57" s="22" t="s">
        <v>113</v>
      </c>
      <c r="C57" s="64" t="s">
        <v>24</v>
      </c>
      <c r="D57" s="22" t="s">
        <v>34</v>
      </c>
      <c r="E57" s="65">
        <v>890</v>
      </c>
      <c r="F57" s="68">
        <v>8.9</v>
      </c>
      <c r="G57" s="58">
        <v>793.61</v>
      </c>
      <c r="H57" s="69">
        <f>F57*G57/1000</f>
        <v>7.0631290000000009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f t="shared" si="15"/>
        <v>0</v>
      </c>
      <c r="V57" s="27"/>
      <c r="W57" s="26"/>
    </row>
    <row r="58" spans="1:23" ht="12.75" customHeight="1">
      <c r="A58" s="146"/>
      <c r="B58" s="22" t="s">
        <v>114</v>
      </c>
      <c r="C58" s="64" t="s">
        <v>68</v>
      </c>
      <c r="D58" s="22" t="s">
        <v>109</v>
      </c>
      <c r="E58" s="65">
        <v>158.19999999999999</v>
      </c>
      <c r="F58" s="66">
        <f>E58*12</f>
        <v>1898.3999999999999</v>
      </c>
      <c r="G58" s="67">
        <v>2.6</v>
      </c>
      <c r="H58" s="68">
        <f>F58*G58/1000</f>
        <v>4.9358399999999998</v>
      </c>
      <c r="I58" s="42">
        <f>F58/12*G58</f>
        <v>411.32</v>
      </c>
      <c r="J58" s="42">
        <f>F58/12*G58</f>
        <v>411.32</v>
      </c>
      <c r="K58" s="42">
        <f>F58/12*G58</f>
        <v>411.32</v>
      </c>
      <c r="L58" s="42">
        <f>F58/12*G58</f>
        <v>411.32</v>
      </c>
      <c r="M58" s="42">
        <f>F58/12*G58</f>
        <v>411.32</v>
      </c>
      <c r="N58" s="42">
        <f>F58/12*G58</f>
        <v>411.32</v>
      </c>
      <c r="O58" s="42">
        <f>F58/12*G58</f>
        <v>411.32</v>
      </c>
      <c r="P58" s="42">
        <f>F58/12*G58</f>
        <v>411.32</v>
      </c>
      <c r="Q58" s="42">
        <f>F58/12*G58</f>
        <v>411.32</v>
      </c>
      <c r="R58" s="42">
        <f>F58/12*G58</f>
        <v>411.32</v>
      </c>
      <c r="S58" s="42">
        <f>F58/12*G58</f>
        <v>411.32</v>
      </c>
      <c r="T58" s="42">
        <f>F58/12*G58</f>
        <v>411.32</v>
      </c>
      <c r="U58" s="42">
        <f t="shared" si="15"/>
        <v>4935.84</v>
      </c>
      <c r="V58" s="27"/>
      <c r="W58" s="26"/>
    </row>
    <row r="59" spans="1:23">
      <c r="A59" s="149"/>
      <c r="B59" s="15" t="s">
        <v>69</v>
      </c>
      <c r="C59" s="64"/>
      <c r="D59" s="22"/>
      <c r="E59" s="65"/>
      <c r="F59" s="66"/>
      <c r="G59" s="66"/>
      <c r="H59" s="68" t="s">
        <v>45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27"/>
      <c r="W59" s="26"/>
    </row>
    <row r="60" spans="1:23" ht="12.75" customHeight="1">
      <c r="A60" s="70" t="s">
        <v>191</v>
      </c>
      <c r="B60" s="16" t="s">
        <v>70</v>
      </c>
      <c r="C60" s="70" t="s">
        <v>62</v>
      </c>
      <c r="D60" s="9" t="s">
        <v>41</v>
      </c>
      <c r="E60" s="71">
        <v>15</v>
      </c>
      <c r="F60" s="40">
        <v>15</v>
      </c>
      <c r="G60" s="58">
        <v>222.4</v>
      </c>
      <c r="H60" s="128">
        <f t="shared" ref="H60:H73" si="16">SUM(F60*G60/1000)</f>
        <v>3.3359999999999999</v>
      </c>
      <c r="I60" s="42">
        <v>0</v>
      </c>
      <c r="J60" s="42">
        <v>0</v>
      </c>
      <c r="K60" s="42">
        <v>0</v>
      </c>
      <c r="L60" s="42">
        <v>0</v>
      </c>
      <c r="M60" s="42">
        <f>G60*3</f>
        <v>667.2</v>
      </c>
      <c r="N60" s="42">
        <f>G60*4</f>
        <v>889.6</v>
      </c>
      <c r="O60" s="42">
        <f>G60*6</f>
        <v>1334.4</v>
      </c>
      <c r="P60" s="42">
        <v>0</v>
      </c>
      <c r="Q60" s="42">
        <f>G60*3</f>
        <v>667.2</v>
      </c>
      <c r="R60" s="42">
        <v>0</v>
      </c>
      <c r="S60" s="42">
        <v>0</v>
      </c>
      <c r="T60" s="42">
        <v>0</v>
      </c>
      <c r="U60" s="42">
        <f t="shared" si="15"/>
        <v>3558.4000000000005</v>
      </c>
      <c r="V60" s="27"/>
      <c r="W60" s="26"/>
    </row>
    <row r="61" spans="1:23" ht="12.75" customHeight="1">
      <c r="A61" s="70" t="s">
        <v>192</v>
      </c>
      <c r="B61" s="16" t="s">
        <v>71</v>
      </c>
      <c r="C61" s="70" t="s">
        <v>62</v>
      </c>
      <c r="D61" s="9" t="s">
        <v>41</v>
      </c>
      <c r="E61" s="71">
        <v>8</v>
      </c>
      <c r="F61" s="40">
        <v>8</v>
      </c>
      <c r="G61" s="58">
        <v>76.25</v>
      </c>
      <c r="H61" s="128">
        <f t="shared" si="16"/>
        <v>0.61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f t="shared" si="15"/>
        <v>0</v>
      </c>
      <c r="V61" s="27"/>
      <c r="W61" s="26"/>
    </row>
    <row r="62" spans="1:23" s="2" customFormat="1">
      <c r="A62" s="72" t="s">
        <v>193</v>
      </c>
      <c r="B62" s="16" t="s">
        <v>72</v>
      </c>
      <c r="C62" s="72" t="s">
        <v>73</v>
      </c>
      <c r="D62" s="9" t="s">
        <v>34</v>
      </c>
      <c r="E62" s="39">
        <v>14220</v>
      </c>
      <c r="F62" s="59">
        <f>SUM(E62/100)</f>
        <v>142.19999999999999</v>
      </c>
      <c r="G62" s="58">
        <v>212.15</v>
      </c>
      <c r="H62" s="128">
        <f t="shared" si="16"/>
        <v>30.167729999999999</v>
      </c>
      <c r="I62" s="57">
        <v>0</v>
      </c>
      <c r="J62" s="57">
        <v>0</v>
      </c>
      <c r="K62" s="57">
        <v>0</v>
      </c>
      <c r="L62" s="57">
        <v>0</v>
      </c>
      <c r="M62" s="57">
        <f>F62*G62</f>
        <v>30167.73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42">
        <f t="shared" si="15"/>
        <v>30167.73</v>
      </c>
      <c r="V62" s="29"/>
      <c r="W62" s="30"/>
    </row>
    <row r="63" spans="1:23" ht="13.5" customHeight="1">
      <c r="A63" s="70" t="s">
        <v>194</v>
      </c>
      <c r="B63" s="16" t="s">
        <v>74</v>
      </c>
      <c r="C63" s="70" t="s">
        <v>75</v>
      </c>
      <c r="D63" s="9"/>
      <c r="E63" s="39">
        <v>14220</v>
      </c>
      <c r="F63" s="58">
        <f>SUM(E63/1000)</f>
        <v>14.22</v>
      </c>
      <c r="G63" s="58">
        <v>165.21</v>
      </c>
      <c r="H63" s="128">
        <f t="shared" si="16"/>
        <v>2.3492861999999999</v>
      </c>
      <c r="I63" s="42">
        <v>0</v>
      </c>
      <c r="J63" s="42">
        <v>0</v>
      </c>
      <c r="K63" s="42">
        <v>0</v>
      </c>
      <c r="L63" s="42">
        <v>0</v>
      </c>
      <c r="M63" s="42">
        <f>F63*G63</f>
        <v>2349.2862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f t="shared" si="15"/>
        <v>2349.2862</v>
      </c>
      <c r="V63" s="27"/>
      <c r="W63" s="26"/>
    </row>
    <row r="64" spans="1:23">
      <c r="A64" s="70" t="s">
        <v>195</v>
      </c>
      <c r="B64" s="16" t="s">
        <v>76</v>
      </c>
      <c r="C64" s="70" t="s">
        <v>77</v>
      </c>
      <c r="D64" s="9" t="s">
        <v>34</v>
      </c>
      <c r="E64" s="39">
        <v>2260</v>
      </c>
      <c r="F64" s="58">
        <f>SUM(E64/100)</f>
        <v>22.6</v>
      </c>
      <c r="G64" s="58">
        <v>2074.63</v>
      </c>
      <c r="H64" s="128">
        <f t="shared" si="16"/>
        <v>46.886638000000005</v>
      </c>
      <c r="I64" s="42">
        <v>0</v>
      </c>
      <c r="J64" s="42">
        <v>0</v>
      </c>
      <c r="K64" s="42">
        <v>0</v>
      </c>
      <c r="L64" s="42">
        <v>0</v>
      </c>
      <c r="M64" s="42">
        <f>F64*G64</f>
        <v>46886.638000000006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f t="shared" si="15"/>
        <v>46886.638000000006</v>
      </c>
      <c r="V64" s="27"/>
      <c r="W64" s="26"/>
    </row>
    <row r="65" spans="1:26">
      <c r="A65" s="70"/>
      <c r="B65" s="17" t="s">
        <v>101</v>
      </c>
      <c r="C65" s="70" t="s">
        <v>39</v>
      </c>
      <c r="D65" s="9"/>
      <c r="E65" s="39">
        <v>11</v>
      </c>
      <c r="F65" s="58">
        <f>SUM(E65)</f>
        <v>11</v>
      </c>
      <c r="G65" s="58">
        <v>45.32</v>
      </c>
      <c r="H65" s="128">
        <f t="shared" si="16"/>
        <v>0.49851999999999996</v>
      </c>
      <c r="I65" s="42">
        <v>0</v>
      </c>
      <c r="J65" s="42">
        <v>0</v>
      </c>
      <c r="K65" s="42">
        <v>0</v>
      </c>
      <c r="L65" s="42">
        <v>0</v>
      </c>
      <c r="M65" s="42">
        <f>F65*G65</f>
        <v>498.52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f t="shared" si="15"/>
        <v>498.52</v>
      </c>
      <c r="V65" s="27"/>
      <c r="W65" s="26"/>
    </row>
    <row r="66" spans="1:26" ht="12.75" customHeight="1">
      <c r="A66" s="150"/>
      <c r="B66" s="17" t="s">
        <v>102</v>
      </c>
      <c r="C66" s="70" t="s">
        <v>39</v>
      </c>
      <c r="D66" s="9"/>
      <c r="E66" s="39">
        <v>11</v>
      </c>
      <c r="F66" s="58">
        <f>SUM(E66)</f>
        <v>11</v>
      </c>
      <c r="G66" s="58">
        <v>42.28</v>
      </c>
      <c r="H66" s="128">
        <f t="shared" si="16"/>
        <v>0.46508000000000005</v>
      </c>
      <c r="I66" s="42">
        <v>0</v>
      </c>
      <c r="J66" s="42">
        <v>0</v>
      </c>
      <c r="K66" s="42">
        <v>0</v>
      </c>
      <c r="L66" s="42">
        <v>0</v>
      </c>
      <c r="M66" s="42">
        <f>F66*G66</f>
        <v>465.08000000000004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f t="shared" si="15"/>
        <v>465.08000000000004</v>
      </c>
      <c r="V66" s="27"/>
      <c r="W66" s="26"/>
    </row>
    <row r="67" spans="1:26">
      <c r="A67" s="70" t="s">
        <v>196</v>
      </c>
      <c r="B67" s="9" t="s">
        <v>78</v>
      </c>
      <c r="C67" s="70" t="s">
        <v>79</v>
      </c>
      <c r="D67" s="9" t="s">
        <v>34</v>
      </c>
      <c r="E67" s="71">
        <v>8</v>
      </c>
      <c r="F67" s="40">
        <v>8</v>
      </c>
      <c r="G67" s="58">
        <v>49.88</v>
      </c>
      <c r="H67" s="128">
        <f t="shared" si="16"/>
        <v>0.39904000000000001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f>F67*G67</f>
        <v>399.04</v>
      </c>
      <c r="R67" s="42">
        <v>0</v>
      </c>
      <c r="S67" s="42">
        <v>0</v>
      </c>
      <c r="T67" s="42">
        <v>0</v>
      </c>
      <c r="U67" s="42">
        <f t="shared" si="15"/>
        <v>399.04</v>
      </c>
      <c r="V67" s="27"/>
      <c r="W67" s="26"/>
    </row>
    <row r="68" spans="1:26">
      <c r="A68" s="150"/>
      <c r="B68" s="18" t="s">
        <v>80</v>
      </c>
      <c r="C68" s="70"/>
      <c r="D68" s="9"/>
      <c r="E68" s="71"/>
      <c r="F68" s="58"/>
      <c r="G68" s="58"/>
      <c r="H68" s="128" t="s">
        <v>45</v>
      </c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27"/>
      <c r="W68" s="26"/>
    </row>
    <row r="69" spans="1:26">
      <c r="A69" s="70" t="s">
        <v>197</v>
      </c>
      <c r="B69" s="9" t="s">
        <v>81</v>
      </c>
      <c r="C69" s="70" t="s">
        <v>82</v>
      </c>
      <c r="D69" s="9"/>
      <c r="E69" s="71">
        <v>2</v>
      </c>
      <c r="F69" s="58">
        <v>0.2</v>
      </c>
      <c r="G69" s="58">
        <v>501.62</v>
      </c>
      <c r="H69" s="128">
        <f t="shared" si="16"/>
        <v>0.10032400000000001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f t="shared" si="15"/>
        <v>0</v>
      </c>
      <c r="V69" s="27"/>
      <c r="W69" s="26"/>
    </row>
    <row r="70" spans="1:26">
      <c r="A70" s="70" t="s">
        <v>198</v>
      </c>
      <c r="B70" s="9" t="s">
        <v>103</v>
      </c>
      <c r="C70" s="70" t="s">
        <v>36</v>
      </c>
      <c r="D70" s="9"/>
      <c r="E70" s="71">
        <v>1</v>
      </c>
      <c r="F70" s="67">
        <v>1</v>
      </c>
      <c r="G70" s="58">
        <v>852.99</v>
      </c>
      <c r="H70" s="128">
        <f>F70*G70/1000</f>
        <v>0.85299000000000003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f t="shared" si="15"/>
        <v>0</v>
      </c>
      <c r="V70" s="27"/>
      <c r="W70" s="26"/>
    </row>
    <row r="71" spans="1:26">
      <c r="A71" s="70" t="s">
        <v>199</v>
      </c>
      <c r="B71" s="9" t="s">
        <v>107</v>
      </c>
      <c r="C71" s="70" t="s">
        <v>36</v>
      </c>
      <c r="D71" s="9"/>
      <c r="E71" s="71">
        <v>1</v>
      </c>
      <c r="F71" s="58">
        <v>1</v>
      </c>
      <c r="G71" s="58">
        <v>358.51</v>
      </c>
      <c r="H71" s="128">
        <f>G71*F71/1000</f>
        <v>0.35851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f t="shared" si="15"/>
        <v>0</v>
      </c>
      <c r="V71" s="27"/>
      <c r="W71" s="26"/>
    </row>
    <row r="72" spans="1:26">
      <c r="A72" s="150"/>
      <c r="B72" s="74" t="s">
        <v>83</v>
      </c>
      <c r="C72" s="70"/>
      <c r="D72" s="9"/>
      <c r="E72" s="71"/>
      <c r="F72" s="58"/>
      <c r="G72" s="58" t="s">
        <v>45</v>
      </c>
      <c r="H72" s="128" t="s">
        <v>45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27"/>
      <c r="W72" s="26"/>
    </row>
    <row r="73" spans="1:26" s="2" customFormat="1">
      <c r="A73" s="72" t="s">
        <v>84</v>
      </c>
      <c r="B73" s="75" t="s">
        <v>85</v>
      </c>
      <c r="C73" s="72" t="s">
        <v>77</v>
      </c>
      <c r="D73" s="16"/>
      <c r="E73" s="76"/>
      <c r="F73" s="59">
        <v>0.1</v>
      </c>
      <c r="G73" s="59">
        <v>2759.44</v>
      </c>
      <c r="H73" s="128">
        <f t="shared" si="16"/>
        <v>0.27594400000000002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42">
        <f t="shared" si="15"/>
        <v>0</v>
      </c>
      <c r="V73" s="29"/>
      <c r="W73" s="30"/>
    </row>
    <row r="74" spans="1:26" s="21" customFormat="1">
      <c r="A74" s="151"/>
      <c r="B74" s="20" t="s">
        <v>28</v>
      </c>
      <c r="C74" s="77"/>
      <c r="D74" s="78"/>
      <c r="E74" s="79"/>
      <c r="F74" s="63"/>
      <c r="G74" s="63"/>
      <c r="H74" s="80">
        <f>SUM(H54:H73)</f>
        <v>117.59572952000001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>
        <f>SUM(U54:U73)</f>
        <v>101494.10352</v>
      </c>
      <c r="V74" s="29"/>
      <c r="W74" s="31"/>
    </row>
    <row r="75" spans="1:26">
      <c r="A75" s="152" t="s">
        <v>134</v>
      </c>
      <c r="B75" s="11" t="s">
        <v>135</v>
      </c>
      <c r="C75" s="82"/>
      <c r="D75" s="83"/>
      <c r="E75" s="134"/>
      <c r="F75" s="84">
        <v>1</v>
      </c>
      <c r="G75" s="85">
        <v>11924.5</v>
      </c>
      <c r="H75" s="128">
        <f>G75*F75/1000</f>
        <v>11.9245</v>
      </c>
      <c r="I75" s="42">
        <v>0</v>
      </c>
      <c r="J75" s="42">
        <v>0</v>
      </c>
      <c r="K75" s="42">
        <f>G75</f>
        <v>11924.5</v>
      </c>
      <c r="L75" s="42">
        <v>0</v>
      </c>
      <c r="M75" s="43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f t="shared" si="15"/>
        <v>11924.5</v>
      </c>
      <c r="V75" s="27"/>
      <c r="W75" s="26"/>
    </row>
    <row r="76" spans="1:26" ht="12.75" customHeight="1">
      <c r="A76" s="70"/>
      <c r="B76" s="81" t="s">
        <v>86</v>
      </c>
      <c r="C76" s="70" t="s">
        <v>87</v>
      </c>
      <c r="D76" s="86"/>
      <c r="E76" s="58">
        <v>3382.7</v>
      </c>
      <c r="F76" s="58">
        <f>SUM(E76*12)</f>
        <v>40592.399999999994</v>
      </c>
      <c r="G76" s="87">
        <v>2.1</v>
      </c>
      <c r="H76" s="128">
        <f>SUM(F76*G76/1000)</f>
        <v>85.244039999999998</v>
      </c>
      <c r="I76" s="42">
        <f>F76/12*G76</f>
        <v>7103.6699999999992</v>
      </c>
      <c r="J76" s="42">
        <f>F76/12*G76</f>
        <v>7103.6699999999992</v>
      </c>
      <c r="K76" s="42">
        <f>F76/12*G76</f>
        <v>7103.6699999999992</v>
      </c>
      <c r="L76" s="42">
        <f>F76/12*G76</f>
        <v>7103.6699999999992</v>
      </c>
      <c r="M76" s="42">
        <f>F76/12*G76</f>
        <v>7103.6699999999992</v>
      </c>
      <c r="N76" s="42">
        <f>F76/12*G76</f>
        <v>7103.6699999999992</v>
      </c>
      <c r="O76" s="42">
        <f>F76/12*G76</f>
        <v>7103.6699999999992</v>
      </c>
      <c r="P76" s="42">
        <f>F76/12*G76</f>
        <v>7103.6699999999992</v>
      </c>
      <c r="Q76" s="42">
        <f>F76/12*G76</f>
        <v>7103.6699999999992</v>
      </c>
      <c r="R76" s="42">
        <f>F76/12*G76</f>
        <v>7103.6699999999992</v>
      </c>
      <c r="S76" s="42">
        <f>F76/12*G76</f>
        <v>7103.6699999999992</v>
      </c>
      <c r="T76" s="42">
        <f>F76/12*G76</f>
        <v>7103.6699999999992</v>
      </c>
      <c r="U76" s="42">
        <f t="shared" si="15"/>
        <v>85244.04</v>
      </c>
      <c r="V76" s="27"/>
      <c r="W76" s="26"/>
    </row>
    <row r="77" spans="1:26" s="19" customFormat="1">
      <c r="A77" s="88"/>
      <c r="B77" s="20" t="s">
        <v>28</v>
      </c>
      <c r="C77" s="89"/>
      <c r="D77" s="90"/>
      <c r="E77" s="91"/>
      <c r="F77" s="49"/>
      <c r="G77" s="92"/>
      <c r="H77" s="50">
        <f>SUM(H75:H76)</f>
        <v>97.168539999999993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>
        <f>SUM(U75:U76)</f>
        <v>97168.54</v>
      </c>
      <c r="V77" s="27"/>
      <c r="W77" s="28"/>
    </row>
    <row r="78" spans="1:26" ht="25.5" customHeight="1">
      <c r="A78" s="150"/>
      <c r="B78" s="9" t="s">
        <v>88</v>
      </c>
      <c r="C78" s="70"/>
      <c r="D78" s="93"/>
      <c r="E78" s="39">
        <f>E76</f>
        <v>3382.7</v>
      </c>
      <c r="F78" s="58">
        <f>E78*12</f>
        <v>40592.399999999994</v>
      </c>
      <c r="G78" s="58">
        <v>1.63</v>
      </c>
      <c r="H78" s="128">
        <f>F78*G78/1000</f>
        <v>66.165611999999982</v>
      </c>
      <c r="I78" s="42">
        <f>F78/12*G78</f>
        <v>5513.8009999999986</v>
      </c>
      <c r="J78" s="42">
        <f>F78/12*G78</f>
        <v>5513.8009999999986</v>
      </c>
      <c r="K78" s="42">
        <f>F78/12*G78</f>
        <v>5513.8009999999986</v>
      </c>
      <c r="L78" s="42">
        <f>F78/12*G78</f>
        <v>5513.8009999999986</v>
      </c>
      <c r="M78" s="42">
        <f>F78/12*G78</f>
        <v>5513.8009999999986</v>
      </c>
      <c r="N78" s="42">
        <f>F78/12*G78</f>
        <v>5513.8009999999986</v>
      </c>
      <c r="O78" s="42">
        <f>F78/12*G78</f>
        <v>5513.8009999999986</v>
      </c>
      <c r="P78" s="42">
        <f>F78/12*G78</f>
        <v>5513.8009999999986</v>
      </c>
      <c r="Q78" s="42">
        <f>F78/12*G78</f>
        <v>5513.8009999999986</v>
      </c>
      <c r="R78" s="42">
        <f>F78/12*G78</f>
        <v>5513.8009999999986</v>
      </c>
      <c r="S78" s="42">
        <f>F78/12*G78</f>
        <v>5513.8009999999986</v>
      </c>
      <c r="T78" s="42">
        <f>F78/12*G78</f>
        <v>5513.8009999999986</v>
      </c>
      <c r="U78" s="42">
        <f t="shared" si="15"/>
        <v>66165.611999999979</v>
      </c>
      <c r="V78" s="27"/>
      <c r="W78" s="26"/>
    </row>
    <row r="79" spans="1:26" s="19" customFormat="1">
      <c r="A79" s="88"/>
      <c r="B79" s="94" t="s">
        <v>89</v>
      </c>
      <c r="C79" s="95"/>
      <c r="D79" s="94"/>
      <c r="E79" s="49"/>
      <c r="F79" s="49"/>
      <c r="G79" s="49"/>
      <c r="H79" s="80">
        <f>H78</f>
        <v>66.165611999999982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130">
        <f>U78</f>
        <v>66165.611999999979</v>
      </c>
      <c r="V79" s="27"/>
      <c r="W79" s="174" t="s">
        <v>128</v>
      </c>
      <c r="X79" s="174"/>
      <c r="Y79" s="174"/>
      <c r="Z79" s="174"/>
    </row>
    <row r="80" spans="1:26" s="19" customFormat="1">
      <c r="A80" s="88"/>
      <c r="B80" s="94" t="s">
        <v>90</v>
      </c>
      <c r="C80" s="96"/>
      <c r="D80" s="97"/>
      <c r="E80" s="98"/>
      <c r="F80" s="98"/>
      <c r="G80" s="98"/>
      <c r="H80" s="80">
        <f>SUM(H79+H77+H74+H52+H40+H32+H21)</f>
        <v>697.10561693353327</v>
      </c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130">
        <f>SUM(U79+U77+U74+U52+U40+U32+U21)*1.054</f>
        <v>714525.34607882402</v>
      </c>
      <c r="V80" s="27"/>
      <c r="W80" s="28"/>
    </row>
    <row r="81" spans="1:23" s="126" customFormat="1" ht="51" customHeight="1">
      <c r="A81" s="153"/>
      <c r="B81" s="74"/>
      <c r="C81" s="70"/>
      <c r="D81" s="93"/>
      <c r="E81" s="58"/>
      <c r="F81" s="58"/>
      <c r="G81" s="58"/>
      <c r="H81" s="124"/>
      <c r="I81" s="58"/>
      <c r="J81" s="58"/>
      <c r="K81" s="58"/>
      <c r="L81" s="58"/>
      <c r="M81" s="58"/>
      <c r="N81" s="58"/>
      <c r="O81" s="58"/>
      <c r="P81" s="58"/>
      <c r="Q81" s="58"/>
      <c r="R81" s="136"/>
      <c r="S81" s="136"/>
      <c r="T81" s="136"/>
      <c r="U81" s="137" t="s">
        <v>220</v>
      </c>
      <c r="V81" s="125"/>
      <c r="W81" s="125"/>
    </row>
    <row r="82" spans="1:23">
      <c r="A82" s="154"/>
      <c r="B82" s="93" t="s">
        <v>91</v>
      </c>
      <c r="C82" s="70"/>
      <c r="D82" s="93"/>
      <c r="E82" s="58"/>
      <c r="F82" s="58"/>
      <c r="G82" s="58" t="s">
        <v>92</v>
      </c>
      <c r="H82" s="99">
        <f>E78</f>
        <v>3382.7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27"/>
      <c r="W82" s="26"/>
    </row>
    <row r="83" spans="1:23" s="19" customFormat="1">
      <c r="A83" s="88"/>
      <c r="B83" s="97" t="s">
        <v>93</v>
      </c>
      <c r="C83" s="96"/>
      <c r="D83" s="97"/>
      <c r="E83" s="98"/>
      <c r="F83" s="98"/>
      <c r="G83" s="98"/>
      <c r="H83" s="100">
        <f>SUM(H80/H82/12*1000)</f>
        <v>17.173303794147017</v>
      </c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131"/>
      <c r="V83" s="27"/>
      <c r="W83" s="28"/>
    </row>
    <row r="84" spans="1:23">
      <c r="A84" s="101"/>
      <c r="B84" s="93"/>
      <c r="C84" s="70"/>
      <c r="D84" s="93"/>
      <c r="E84" s="58"/>
      <c r="F84" s="58"/>
      <c r="G84" s="58"/>
      <c r="H84" s="10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132"/>
      <c r="V84" s="27"/>
      <c r="W84" s="26"/>
    </row>
    <row r="85" spans="1:23">
      <c r="A85" s="150"/>
      <c r="B85" s="74" t="s">
        <v>94</v>
      </c>
      <c r="C85" s="70"/>
      <c r="D85" s="93"/>
      <c r="E85" s="58"/>
      <c r="F85" s="58"/>
      <c r="G85" s="58"/>
      <c r="H85" s="58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27"/>
      <c r="W85" s="26"/>
    </row>
    <row r="86" spans="1:23" ht="25.5">
      <c r="A86" s="138" t="s">
        <v>214</v>
      </c>
      <c r="B86" s="139" t="s">
        <v>213</v>
      </c>
      <c r="C86" s="138" t="s">
        <v>155</v>
      </c>
      <c r="D86" s="157"/>
      <c r="E86" s="103"/>
      <c r="F86" s="103">
        <v>1</v>
      </c>
      <c r="G86" s="103">
        <v>306.37</v>
      </c>
      <c r="H86" s="68">
        <f t="shared" ref="H86:H98" si="17">SUM(F86*G86/1000)</f>
        <v>0.30637000000000003</v>
      </c>
      <c r="I86" s="104">
        <f>G86</f>
        <v>306.37</v>
      </c>
      <c r="J86" s="104">
        <v>0</v>
      </c>
      <c r="K86" s="104">
        <v>0</v>
      </c>
      <c r="L86" s="104">
        <v>0</v>
      </c>
      <c r="M86" s="104">
        <v>0</v>
      </c>
      <c r="N86" s="104">
        <v>0</v>
      </c>
      <c r="O86" s="104">
        <v>0</v>
      </c>
      <c r="P86" s="104">
        <v>0</v>
      </c>
      <c r="Q86" s="104">
        <v>0</v>
      </c>
      <c r="R86" s="104">
        <v>0</v>
      </c>
      <c r="S86" s="104">
        <v>0</v>
      </c>
      <c r="T86" s="104">
        <v>0</v>
      </c>
      <c r="U86" s="42">
        <f t="shared" ref="U86:U110" si="18">SUM(I86:T86)</f>
        <v>306.37</v>
      </c>
      <c r="V86" s="27"/>
      <c r="W86" s="26"/>
    </row>
    <row r="87" spans="1:23">
      <c r="A87" s="140" t="s">
        <v>205</v>
      </c>
      <c r="B87" s="139" t="s">
        <v>241</v>
      </c>
      <c r="C87" s="138" t="s">
        <v>62</v>
      </c>
      <c r="D87" s="93"/>
      <c r="E87" s="58"/>
      <c r="F87" s="58">
        <v>1</v>
      </c>
      <c r="G87" s="58">
        <v>1202.53</v>
      </c>
      <c r="H87" s="68">
        <f t="shared" si="17"/>
        <v>1.2025299999999999</v>
      </c>
      <c r="I87" s="104">
        <f>G87</f>
        <v>1202.53</v>
      </c>
      <c r="J87" s="104">
        <v>0</v>
      </c>
      <c r="K87" s="104">
        <v>0</v>
      </c>
      <c r="L87" s="104">
        <v>0</v>
      </c>
      <c r="M87" s="104">
        <v>0</v>
      </c>
      <c r="N87" s="104">
        <v>0</v>
      </c>
      <c r="O87" s="104">
        <v>0</v>
      </c>
      <c r="P87" s="104">
        <v>0</v>
      </c>
      <c r="Q87" s="104">
        <v>0</v>
      </c>
      <c r="R87" s="104">
        <v>0</v>
      </c>
      <c r="S87" s="104">
        <v>0</v>
      </c>
      <c r="T87" s="104">
        <v>0</v>
      </c>
      <c r="U87" s="42">
        <f t="shared" si="18"/>
        <v>1202.53</v>
      </c>
      <c r="V87" s="27"/>
      <c r="W87" s="26"/>
    </row>
    <row r="88" spans="1:23" ht="25.5" customHeight="1">
      <c r="A88" s="138" t="s">
        <v>200</v>
      </c>
      <c r="B88" s="139" t="s">
        <v>127</v>
      </c>
      <c r="C88" s="142" t="s">
        <v>62</v>
      </c>
      <c r="D88" s="22"/>
      <c r="E88" s="65"/>
      <c r="F88" s="66">
        <v>732</v>
      </c>
      <c r="G88" s="103">
        <v>53.42</v>
      </c>
      <c r="H88" s="68">
        <f t="shared" si="17"/>
        <v>39.103439999999999</v>
      </c>
      <c r="I88" s="104">
        <f>G88*61</f>
        <v>3258.62</v>
      </c>
      <c r="J88" s="104">
        <f>G88*61</f>
        <v>3258.62</v>
      </c>
      <c r="K88" s="104">
        <f>G88*61</f>
        <v>3258.62</v>
      </c>
      <c r="L88" s="104">
        <f>G88*61</f>
        <v>3258.62</v>
      </c>
      <c r="M88" s="104">
        <f>G88*61</f>
        <v>3258.62</v>
      </c>
      <c r="N88" s="104">
        <f>G88*61</f>
        <v>3258.62</v>
      </c>
      <c r="O88" s="104">
        <f>G88*61</f>
        <v>3258.62</v>
      </c>
      <c r="P88" s="104">
        <f>G88*61</f>
        <v>3258.62</v>
      </c>
      <c r="Q88" s="104">
        <f>G88*61</f>
        <v>3258.62</v>
      </c>
      <c r="R88" s="104">
        <f>G88*61</f>
        <v>3258.62</v>
      </c>
      <c r="S88" s="104">
        <f>G88*61</f>
        <v>3258.62</v>
      </c>
      <c r="T88" s="104">
        <f>G88*61</f>
        <v>3258.62</v>
      </c>
      <c r="U88" s="42">
        <f t="shared" si="18"/>
        <v>39103.439999999995</v>
      </c>
      <c r="V88" s="27"/>
      <c r="W88" s="26"/>
    </row>
    <row r="89" spans="1:23" ht="25.5" customHeight="1">
      <c r="A89" s="140" t="s">
        <v>202</v>
      </c>
      <c r="B89" s="139" t="s">
        <v>142</v>
      </c>
      <c r="C89" s="138" t="s">
        <v>137</v>
      </c>
      <c r="D89" s="127"/>
      <c r="E89" s="71"/>
      <c r="F89" s="135">
        <v>5</v>
      </c>
      <c r="G89" s="58">
        <v>589.84</v>
      </c>
      <c r="H89" s="68">
        <f t="shared" si="17"/>
        <v>2.9492000000000003</v>
      </c>
      <c r="I89" s="104">
        <v>0</v>
      </c>
      <c r="J89" s="104">
        <f>G89</f>
        <v>589.84</v>
      </c>
      <c r="K89" s="104">
        <v>0</v>
      </c>
      <c r="L89" s="104">
        <v>0</v>
      </c>
      <c r="M89" s="104">
        <v>0</v>
      </c>
      <c r="N89" s="104">
        <f>G89*(2+1)</f>
        <v>1769.52</v>
      </c>
      <c r="O89" s="104">
        <f>G89</f>
        <v>589.84</v>
      </c>
      <c r="P89" s="104">
        <v>0</v>
      </c>
      <c r="Q89" s="104">
        <v>0</v>
      </c>
      <c r="R89" s="104">
        <v>0</v>
      </c>
      <c r="S89" s="104">
        <v>0</v>
      </c>
      <c r="T89" s="104">
        <v>0</v>
      </c>
      <c r="U89" s="42">
        <f t="shared" si="18"/>
        <v>2949.2000000000003</v>
      </c>
      <c r="V89" s="27"/>
      <c r="W89" s="26"/>
    </row>
    <row r="90" spans="1:23" ht="25.5" customHeight="1">
      <c r="A90" s="138" t="s">
        <v>206</v>
      </c>
      <c r="B90" s="139" t="s">
        <v>156</v>
      </c>
      <c r="C90" s="138" t="s">
        <v>62</v>
      </c>
      <c r="D90" s="9"/>
      <c r="E90" s="71"/>
      <c r="F90" s="58">
        <v>2</v>
      </c>
      <c r="G90" s="58">
        <v>189.88</v>
      </c>
      <c r="H90" s="68">
        <f t="shared" si="17"/>
        <v>0.37975999999999999</v>
      </c>
      <c r="I90" s="42">
        <v>0</v>
      </c>
      <c r="J90" s="104">
        <f>G90</f>
        <v>189.88</v>
      </c>
      <c r="K90" s="104">
        <f>G90</f>
        <v>189.88</v>
      </c>
      <c r="L90" s="104">
        <v>0</v>
      </c>
      <c r="M90" s="104">
        <v>0</v>
      </c>
      <c r="N90" s="104">
        <v>0</v>
      </c>
      <c r="O90" s="104">
        <v>0</v>
      </c>
      <c r="P90" s="104">
        <v>0</v>
      </c>
      <c r="Q90" s="104">
        <v>0</v>
      </c>
      <c r="R90" s="104">
        <v>0</v>
      </c>
      <c r="S90" s="104">
        <v>0</v>
      </c>
      <c r="T90" s="104">
        <v>0</v>
      </c>
      <c r="U90" s="42">
        <f t="shared" si="18"/>
        <v>379.76</v>
      </c>
      <c r="V90" s="27"/>
      <c r="W90" s="26"/>
    </row>
    <row r="91" spans="1:23" ht="25.5" customHeight="1">
      <c r="A91" s="160" t="s">
        <v>210</v>
      </c>
      <c r="B91" s="161" t="s">
        <v>209</v>
      </c>
      <c r="C91" s="162" t="s">
        <v>141</v>
      </c>
      <c r="D91" s="159"/>
      <c r="E91" s="158"/>
      <c r="F91" s="103">
        <f>0.6/10</f>
        <v>0.06</v>
      </c>
      <c r="G91" s="103">
        <v>9397.7900000000009</v>
      </c>
      <c r="H91" s="68">
        <f t="shared" si="17"/>
        <v>0.56386740000000002</v>
      </c>
      <c r="I91" s="104">
        <v>0</v>
      </c>
      <c r="J91" s="104">
        <f>G91*0.06</f>
        <v>563.86739999999998</v>
      </c>
      <c r="K91" s="104">
        <v>0</v>
      </c>
      <c r="L91" s="104">
        <v>0</v>
      </c>
      <c r="M91" s="104">
        <v>0</v>
      </c>
      <c r="N91" s="104">
        <v>0</v>
      </c>
      <c r="O91" s="104">
        <v>0</v>
      </c>
      <c r="P91" s="104">
        <v>0</v>
      </c>
      <c r="Q91" s="104">
        <v>0</v>
      </c>
      <c r="R91" s="104">
        <v>0</v>
      </c>
      <c r="S91" s="104">
        <v>0</v>
      </c>
      <c r="T91" s="104">
        <v>0</v>
      </c>
      <c r="U91" s="42">
        <f t="shared" si="18"/>
        <v>563.86739999999998</v>
      </c>
      <c r="V91" s="27"/>
      <c r="W91" s="26"/>
    </row>
    <row r="92" spans="1:23">
      <c r="A92" s="138" t="s">
        <v>129</v>
      </c>
      <c r="B92" s="139" t="s">
        <v>130</v>
      </c>
      <c r="C92" s="138" t="s">
        <v>131</v>
      </c>
      <c r="D92" s="127"/>
      <c r="E92" s="71"/>
      <c r="F92" s="135">
        <v>7.5</v>
      </c>
      <c r="G92" s="58">
        <v>1582</v>
      </c>
      <c r="H92" s="68">
        <f t="shared" si="17"/>
        <v>11.865</v>
      </c>
      <c r="I92" s="104">
        <v>0</v>
      </c>
      <c r="J92" s="104">
        <f>G92*3</f>
        <v>4746</v>
      </c>
      <c r="K92" s="104">
        <f>G92*0.5</f>
        <v>791</v>
      </c>
      <c r="L92" s="104">
        <v>0</v>
      </c>
      <c r="M92" s="104">
        <v>0</v>
      </c>
      <c r="N92" s="104">
        <v>0</v>
      </c>
      <c r="O92" s="104">
        <v>0</v>
      </c>
      <c r="P92" s="104">
        <v>0</v>
      </c>
      <c r="Q92" s="104">
        <v>0</v>
      </c>
      <c r="R92" s="104">
        <f>G92*2</f>
        <v>3164</v>
      </c>
      <c r="S92" s="104">
        <v>0</v>
      </c>
      <c r="T92" s="104">
        <f>G92*2</f>
        <v>3164</v>
      </c>
      <c r="U92" s="42">
        <f t="shared" si="18"/>
        <v>11865</v>
      </c>
      <c r="V92" s="27"/>
      <c r="W92" s="26"/>
    </row>
    <row r="93" spans="1:23" ht="25.5" customHeight="1">
      <c r="A93" s="140" t="s">
        <v>201</v>
      </c>
      <c r="B93" s="139" t="s">
        <v>136</v>
      </c>
      <c r="C93" s="138" t="s">
        <v>36</v>
      </c>
      <c r="D93" s="127"/>
      <c r="E93" s="71"/>
      <c r="F93" s="135">
        <v>4</v>
      </c>
      <c r="G93" s="58">
        <v>83.36</v>
      </c>
      <c r="H93" s="68">
        <f t="shared" si="17"/>
        <v>0.33344000000000001</v>
      </c>
      <c r="I93" s="104">
        <v>0</v>
      </c>
      <c r="J93" s="104">
        <v>0</v>
      </c>
      <c r="K93" s="104">
        <f>G93</f>
        <v>83.36</v>
      </c>
      <c r="L93" s="104">
        <f>G93</f>
        <v>83.36</v>
      </c>
      <c r="M93" s="104">
        <v>0</v>
      </c>
      <c r="N93" s="104">
        <v>0</v>
      </c>
      <c r="O93" s="104">
        <f>G93</f>
        <v>83.36</v>
      </c>
      <c r="P93" s="104">
        <f>G93</f>
        <v>83.36</v>
      </c>
      <c r="Q93" s="104">
        <v>0</v>
      </c>
      <c r="R93" s="104">
        <v>0</v>
      </c>
      <c r="S93" s="104">
        <v>0</v>
      </c>
      <c r="T93" s="104">
        <v>0</v>
      </c>
      <c r="U93" s="42">
        <f t="shared" si="18"/>
        <v>333.44</v>
      </c>
      <c r="V93" s="27"/>
      <c r="W93" s="26"/>
    </row>
    <row r="94" spans="1:23" ht="12.75" customHeight="1">
      <c r="A94" s="166" t="s">
        <v>204</v>
      </c>
      <c r="B94" s="167" t="s">
        <v>225</v>
      </c>
      <c r="C94" s="168" t="s">
        <v>20</v>
      </c>
      <c r="D94" s="127"/>
      <c r="E94" s="71"/>
      <c r="F94" s="135">
        <f>1.22/10</f>
        <v>0.122</v>
      </c>
      <c r="G94" s="58">
        <v>29021.3</v>
      </c>
      <c r="H94" s="68">
        <f t="shared" si="17"/>
        <v>3.5405985999999996</v>
      </c>
      <c r="I94" s="104">
        <v>0</v>
      </c>
      <c r="J94" s="104">
        <v>0</v>
      </c>
      <c r="K94" s="104">
        <f>G94*(0.72/10)</f>
        <v>2089.5335999999998</v>
      </c>
      <c r="L94" s="104">
        <v>0</v>
      </c>
      <c r="M94" s="104">
        <v>0</v>
      </c>
      <c r="N94" s="104">
        <v>0</v>
      </c>
      <c r="O94" s="104">
        <f>G94*(0.5/10)</f>
        <v>1451.0650000000001</v>
      </c>
      <c r="P94" s="104">
        <v>0</v>
      </c>
      <c r="Q94" s="104">
        <v>0</v>
      </c>
      <c r="R94" s="104">
        <v>0</v>
      </c>
      <c r="S94" s="104">
        <v>0</v>
      </c>
      <c r="T94" s="104">
        <v>0</v>
      </c>
      <c r="U94" s="42">
        <f t="shared" si="18"/>
        <v>3540.5985999999998</v>
      </c>
      <c r="V94" s="27"/>
      <c r="W94" s="26"/>
    </row>
    <row r="95" spans="1:23">
      <c r="A95" s="165" t="s">
        <v>221</v>
      </c>
      <c r="B95" s="161" t="s">
        <v>222</v>
      </c>
      <c r="C95" s="165" t="s">
        <v>143</v>
      </c>
      <c r="D95" s="163"/>
      <c r="E95" s="158"/>
      <c r="F95" s="164">
        <v>2</v>
      </c>
      <c r="G95" s="103">
        <v>237.44</v>
      </c>
      <c r="H95" s="68">
        <f t="shared" si="17"/>
        <v>0.47487999999999997</v>
      </c>
      <c r="I95" s="104">
        <v>0</v>
      </c>
      <c r="J95" s="104">
        <v>0</v>
      </c>
      <c r="K95" s="104">
        <v>0</v>
      </c>
      <c r="L95" s="104">
        <f>G95</f>
        <v>237.44</v>
      </c>
      <c r="M95" s="104">
        <v>0</v>
      </c>
      <c r="N95" s="104">
        <v>0</v>
      </c>
      <c r="O95" s="104">
        <v>0</v>
      </c>
      <c r="P95" s="104">
        <v>0</v>
      </c>
      <c r="Q95" s="104">
        <v>0</v>
      </c>
      <c r="R95" s="104">
        <v>0</v>
      </c>
      <c r="S95" s="104">
        <v>0</v>
      </c>
      <c r="T95" s="104">
        <f>G95</f>
        <v>237.44</v>
      </c>
      <c r="U95" s="42">
        <f t="shared" si="18"/>
        <v>474.88</v>
      </c>
      <c r="V95" s="27"/>
      <c r="W95" s="26"/>
    </row>
    <row r="96" spans="1:23" ht="25.5">
      <c r="A96" s="162" t="s">
        <v>224</v>
      </c>
      <c r="B96" s="161" t="s">
        <v>223</v>
      </c>
      <c r="C96" s="165" t="s">
        <v>62</v>
      </c>
      <c r="D96" s="163"/>
      <c r="E96" s="158"/>
      <c r="F96" s="164">
        <v>1</v>
      </c>
      <c r="G96" s="103">
        <v>2297.02</v>
      </c>
      <c r="H96" s="68">
        <f t="shared" si="17"/>
        <v>2.2970199999999998</v>
      </c>
      <c r="I96" s="104">
        <v>0</v>
      </c>
      <c r="J96" s="104">
        <v>0</v>
      </c>
      <c r="K96" s="104">
        <v>0</v>
      </c>
      <c r="L96" s="104">
        <f>G96</f>
        <v>2297.02</v>
      </c>
      <c r="M96" s="104">
        <v>0</v>
      </c>
      <c r="N96" s="104">
        <v>0</v>
      </c>
      <c r="O96" s="104">
        <v>0</v>
      </c>
      <c r="P96" s="104">
        <v>0</v>
      </c>
      <c r="Q96" s="104">
        <v>0</v>
      </c>
      <c r="R96" s="104">
        <v>0</v>
      </c>
      <c r="S96" s="104">
        <v>0</v>
      </c>
      <c r="T96" s="104">
        <v>0</v>
      </c>
      <c r="U96" s="42">
        <f t="shared" si="18"/>
        <v>2297.02</v>
      </c>
      <c r="V96" s="27"/>
      <c r="W96" s="26"/>
    </row>
    <row r="97" spans="1:23" ht="25.5" customHeight="1">
      <c r="A97" s="138" t="s">
        <v>188</v>
      </c>
      <c r="B97" s="139" t="s">
        <v>140</v>
      </c>
      <c r="C97" s="138" t="s">
        <v>138</v>
      </c>
      <c r="D97" s="93"/>
      <c r="E97" s="58"/>
      <c r="F97" s="58">
        <v>0.03</v>
      </c>
      <c r="G97" s="58">
        <v>7412.92</v>
      </c>
      <c r="H97" s="68">
        <f t="shared" si="17"/>
        <v>0.22238759999999999</v>
      </c>
      <c r="I97" s="42">
        <v>0</v>
      </c>
      <c r="J97" s="42">
        <v>0</v>
      </c>
      <c r="K97" s="42">
        <v>0</v>
      </c>
      <c r="L97" s="42">
        <f>G97*0.02</f>
        <v>148.25839999999999</v>
      </c>
      <c r="M97" s="42">
        <v>0</v>
      </c>
      <c r="N97" s="42">
        <v>0</v>
      </c>
      <c r="O97" s="42">
        <v>0</v>
      </c>
      <c r="P97" s="42">
        <f>G97*0.01</f>
        <v>74.129199999999997</v>
      </c>
      <c r="Q97" s="104">
        <v>0</v>
      </c>
      <c r="R97" s="104">
        <v>0</v>
      </c>
      <c r="S97" s="104">
        <v>0</v>
      </c>
      <c r="T97" s="104">
        <v>0</v>
      </c>
      <c r="U97" s="42">
        <f t="shared" si="18"/>
        <v>222.38759999999999</v>
      </c>
    </row>
    <row r="98" spans="1:23">
      <c r="A98" s="138" t="s">
        <v>203</v>
      </c>
      <c r="B98" s="139" t="s">
        <v>154</v>
      </c>
      <c r="C98" s="138" t="s">
        <v>143</v>
      </c>
      <c r="D98" s="127"/>
      <c r="E98" s="71"/>
      <c r="F98" s="135">
        <v>3</v>
      </c>
      <c r="G98" s="58">
        <v>195.85</v>
      </c>
      <c r="H98" s="68">
        <f t="shared" si="17"/>
        <v>0.58754999999999991</v>
      </c>
      <c r="I98" s="104">
        <v>0</v>
      </c>
      <c r="J98" s="104">
        <v>0</v>
      </c>
      <c r="K98" s="104">
        <v>0</v>
      </c>
      <c r="L98" s="104">
        <v>0</v>
      </c>
      <c r="M98" s="104">
        <v>0</v>
      </c>
      <c r="N98" s="104">
        <f>G98</f>
        <v>195.85</v>
      </c>
      <c r="O98" s="104">
        <f>G98</f>
        <v>195.85</v>
      </c>
      <c r="P98" s="104">
        <v>0</v>
      </c>
      <c r="Q98" s="104">
        <v>0</v>
      </c>
      <c r="R98" s="104">
        <v>0</v>
      </c>
      <c r="S98" s="104">
        <f>G98</f>
        <v>195.85</v>
      </c>
      <c r="T98" s="104">
        <v>0</v>
      </c>
      <c r="U98" s="42">
        <f t="shared" si="18"/>
        <v>587.54999999999995</v>
      </c>
      <c r="V98" s="27"/>
      <c r="W98" s="26"/>
    </row>
    <row r="99" spans="1:23" ht="25.5">
      <c r="A99" s="138" t="s">
        <v>226</v>
      </c>
      <c r="B99" s="139" t="s">
        <v>227</v>
      </c>
      <c r="C99" s="138" t="s">
        <v>155</v>
      </c>
      <c r="D99" s="157"/>
      <c r="E99" s="103"/>
      <c r="F99" s="103">
        <v>5</v>
      </c>
      <c r="G99" s="103">
        <v>206.54</v>
      </c>
      <c r="H99" s="68">
        <f t="shared" ref="H99:H110" si="19">SUM(F99*G99/1000)</f>
        <v>1.0327</v>
      </c>
      <c r="I99" s="104">
        <v>0</v>
      </c>
      <c r="J99" s="104">
        <v>0</v>
      </c>
      <c r="K99" s="104">
        <v>0</v>
      </c>
      <c r="L99" s="104">
        <v>0</v>
      </c>
      <c r="M99" s="104">
        <v>0</v>
      </c>
      <c r="N99" s="104">
        <f>G99*(1+2+1)</f>
        <v>826.16</v>
      </c>
      <c r="O99" s="104">
        <f>G99</f>
        <v>206.54</v>
      </c>
      <c r="P99" s="104">
        <v>0</v>
      </c>
      <c r="Q99" s="104">
        <v>0</v>
      </c>
      <c r="R99" s="104">
        <v>0</v>
      </c>
      <c r="S99" s="104">
        <v>0</v>
      </c>
      <c r="T99" s="104">
        <v>0</v>
      </c>
      <c r="U99" s="42">
        <f t="shared" si="18"/>
        <v>1032.7</v>
      </c>
      <c r="V99" s="27"/>
      <c r="W99" s="26"/>
    </row>
    <row r="100" spans="1:23" ht="25.5">
      <c r="A100" s="138" t="s">
        <v>206</v>
      </c>
      <c r="B100" s="139" t="s">
        <v>156</v>
      </c>
      <c r="C100" s="138" t="s">
        <v>62</v>
      </c>
      <c r="D100" s="9"/>
      <c r="E100" s="71"/>
      <c r="F100" s="58">
        <v>2</v>
      </c>
      <c r="G100" s="58">
        <v>189.88</v>
      </c>
      <c r="H100" s="68">
        <f t="shared" si="19"/>
        <v>0.37975999999999999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f>G100</f>
        <v>189.88</v>
      </c>
      <c r="O100" s="42">
        <f>G100</f>
        <v>189.88</v>
      </c>
      <c r="P100" s="42">
        <v>0</v>
      </c>
      <c r="Q100" s="104">
        <v>0</v>
      </c>
      <c r="R100" s="104">
        <v>0</v>
      </c>
      <c r="S100" s="104">
        <v>0</v>
      </c>
      <c r="T100" s="104">
        <v>0</v>
      </c>
      <c r="U100" s="42">
        <f t="shared" si="18"/>
        <v>379.76</v>
      </c>
    </row>
    <row r="101" spans="1:23" ht="25.5">
      <c r="A101" s="166" t="s">
        <v>228</v>
      </c>
      <c r="B101" s="167" t="s">
        <v>229</v>
      </c>
      <c r="C101" s="168" t="s">
        <v>208</v>
      </c>
      <c r="D101" s="9"/>
      <c r="E101" s="71"/>
      <c r="F101" s="58">
        <v>0.5</v>
      </c>
      <c r="G101" s="169">
        <v>1187</v>
      </c>
      <c r="H101" s="68">
        <f t="shared" si="19"/>
        <v>0.59350000000000003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f>G101*0.5</f>
        <v>593.5</v>
      </c>
      <c r="O101" s="42">
        <v>0</v>
      </c>
      <c r="P101" s="42">
        <v>0</v>
      </c>
      <c r="Q101" s="104">
        <v>0</v>
      </c>
      <c r="R101" s="104">
        <v>0</v>
      </c>
      <c r="S101" s="104">
        <v>0</v>
      </c>
      <c r="T101" s="104">
        <v>0</v>
      </c>
      <c r="U101" s="42">
        <f t="shared" si="18"/>
        <v>593.5</v>
      </c>
    </row>
    <row r="102" spans="1:23" ht="25.5" customHeight="1">
      <c r="A102" s="138" t="s">
        <v>187</v>
      </c>
      <c r="B102" s="139" t="s">
        <v>139</v>
      </c>
      <c r="C102" s="138" t="s">
        <v>59</v>
      </c>
      <c r="D102" s="9"/>
      <c r="E102" s="71"/>
      <c r="F102" s="58">
        <v>0.09</v>
      </c>
      <c r="G102" s="58">
        <v>3581.13</v>
      </c>
      <c r="H102" s="68">
        <f>SUM(F102*G102/1000)</f>
        <v>0.32230169999999997</v>
      </c>
      <c r="I102" s="104">
        <v>0</v>
      </c>
      <c r="J102" s="104">
        <v>0</v>
      </c>
      <c r="K102" s="104">
        <v>0</v>
      </c>
      <c r="L102" s="104">
        <v>0</v>
      </c>
      <c r="M102" s="104">
        <v>0</v>
      </c>
      <c r="N102" s="104">
        <f>G102*0.02</f>
        <v>71.622600000000006</v>
      </c>
      <c r="O102" s="104">
        <f>G102*0.03</f>
        <v>107.43389999999999</v>
      </c>
      <c r="P102" s="104">
        <f>G102*0.02</f>
        <v>71.622600000000006</v>
      </c>
      <c r="Q102" s="104">
        <v>0</v>
      </c>
      <c r="R102" s="104">
        <v>0</v>
      </c>
      <c r="S102" s="104">
        <f>G102*0.01</f>
        <v>35.811300000000003</v>
      </c>
      <c r="T102" s="104">
        <f>G102*0.01</f>
        <v>35.811300000000003</v>
      </c>
      <c r="U102" s="42">
        <f t="shared" si="18"/>
        <v>322.30170000000004</v>
      </c>
      <c r="V102" s="27"/>
      <c r="W102" s="26"/>
    </row>
    <row r="103" spans="1:23" ht="25.5">
      <c r="A103" s="165" t="s">
        <v>232</v>
      </c>
      <c r="B103" s="161" t="s">
        <v>230</v>
      </c>
      <c r="C103" s="165" t="s">
        <v>231</v>
      </c>
      <c r="D103" s="159"/>
      <c r="E103" s="158"/>
      <c r="F103" s="103">
        <v>1</v>
      </c>
      <c r="G103" s="170">
        <v>898.56</v>
      </c>
      <c r="H103" s="68">
        <f t="shared" si="19"/>
        <v>0.89855999999999991</v>
      </c>
      <c r="I103" s="104">
        <v>0</v>
      </c>
      <c r="J103" s="104">
        <v>0</v>
      </c>
      <c r="K103" s="104">
        <v>0</v>
      </c>
      <c r="L103" s="104">
        <v>0</v>
      </c>
      <c r="M103" s="104">
        <v>0</v>
      </c>
      <c r="N103" s="104">
        <v>0</v>
      </c>
      <c r="O103" s="104">
        <f>G103</f>
        <v>898.56</v>
      </c>
      <c r="P103" s="104">
        <v>0</v>
      </c>
      <c r="Q103" s="104">
        <v>0</v>
      </c>
      <c r="R103" s="104">
        <v>0</v>
      </c>
      <c r="S103" s="104">
        <v>0</v>
      </c>
      <c r="T103" s="104">
        <v>0</v>
      </c>
      <c r="U103" s="42">
        <f t="shared" si="18"/>
        <v>898.56</v>
      </c>
    </row>
    <row r="104" spans="1:23" ht="38.25">
      <c r="A104" s="160" t="s">
        <v>236</v>
      </c>
      <c r="B104" s="161" t="s">
        <v>235</v>
      </c>
      <c r="C104" s="165" t="s">
        <v>141</v>
      </c>
      <c r="D104" s="159"/>
      <c r="E104" s="158"/>
      <c r="F104" s="103">
        <f>0.5/10</f>
        <v>0.05</v>
      </c>
      <c r="G104" s="170">
        <v>9833.11</v>
      </c>
      <c r="H104" s="68">
        <f t="shared" si="19"/>
        <v>0.49165550000000008</v>
      </c>
      <c r="I104" s="104">
        <v>0</v>
      </c>
      <c r="J104" s="104">
        <v>0</v>
      </c>
      <c r="K104" s="104">
        <v>0</v>
      </c>
      <c r="L104" s="104">
        <v>0</v>
      </c>
      <c r="M104" s="104">
        <v>0</v>
      </c>
      <c r="N104" s="104">
        <v>0</v>
      </c>
      <c r="O104" s="104">
        <f>G104*F104</f>
        <v>491.65550000000007</v>
      </c>
      <c r="P104" s="104">
        <v>0</v>
      </c>
      <c r="Q104" s="104">
        <v>0</v>
      </c>
      <c r="R104" s="104">
        <v>0</v>
      </c>
      <c r="S104" s="104">
        <v>0</v>
      </c>
      <c r="T104" s="104">
        <v>0</v>
      </c>
      <c r="U104" s="42">
        <f t="shared" si="18"/>
        <v>491.65550000000007</v>
      </c>
    </row>
    <row r="105" spans="1:23" ht="25.5">
      <c r="A105" s="138" t="s">
        <v>234</v>
      </c>
      <c r="B105" s="139" t="s">
        <v>233</v>
      </c>
      <c r="C105" s="138" t="s">
        <v>155</v>
      </c>
      <c r="D105" s="159"/>
      <c r="E105" s="158"/>
      <c r="F105" s="103">
        <v>1</v>
      </c>
      <c r="G105" s="170">
        <v>520.51</v>
      </c>
      <c r="H105" s="68">
        <f t="shared" si="19"/>
        <v>0.52051000000000003</v>
      </c>
      <c r="I105" s="104">
        <v>0</v>
      </c>
      <c r="J105" s="104">
        <v>0</v>
      </c>
      <c r="K105" s="104">
        <v>0</v>
      </c>
      <c r="L105" s="104">
        <v>0</v>
      </c>
      <c r="M105" s="104">
        <v>0</v>
      </c>
      <c r="N105" s="104">
        <v>0</v>
      </c>
      <c r="O105" s="104">
        <v>0</v>
      </c>
      <c r="P105" s="104">
        <f>G105</f>
        <v>520.51</v>
      </c>
      <c r="Q105" s="104">
        <v>0</v>
      </c>
      <c r="R105" s="104">
        <v>0</v>
      </c>
      <c r="S105" s="104">
        <v>0</v>
      </c>
      <c r="T105" s="104">
        <v>0</v>
      </c>
      <c r="U105" s="42">
        <f t="shared" si="18"/>
        <v>520.51</v>
      </c>
    </row>
    <row r="106" spans="1:23" s="171" customFormat="1" ht="25.5">
      <c r="A106" s="138" t="s">
        <v>237</v>
      </c>
      <c r="B106" s="139" t="s">
        <v>238</v>
      </c>
      <c r="C106" s="138" t="s">
        <v>141</v>
      </c>
      <c r="D106" s="93"/>
      <c r="E106" s="58"/>
      <c r="F106" s="58">
        <f>12/10</f>
        <v>1.2</v>
      </c>
      <c r="G106" s="58">
        <v>2064.25</v>
      </c>
      <c r="H106" s="68">
        <f t="shared" si="19"/>
        <v>2.4771000000000001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104">
        <v>0</v>
      </c>
      <c r="P106" s="42">
        <f>G106*1.2</f>
        <v>2477.1</v>
      </c>
      <c r="Q106" s="104">
        <v>0</v>
      </c>
      <c r="R106" s="104">
        <v>0</v>
      </c>
      <c r="S106" s="104">
        <v>0</v>
      </c>
      <c r="T106" s="104">
        <v>0</v>
      </c>
      <c r="U106" s="42">
        <f t="shared" si="18"/>
        <v>2477.1</v>
      </c>
    </row>
    <row r="107" spans="1:23">
      <c r="A107" s="166" t="s">
        <v>207</v>
      </c>
      <c r="B107" s="173" t="s">
        <v>157</v>
      </c>
      <c r="C107" s="138" t="s">
        <v>62</v>
      </c>
      <c r="D107" s="9"/>
      <c r="E107" s="71"/>
      <c r="F107" s="58">
        <v>1</v>
      </c>
      <c r="G107" s="58">
        <v>189.67</v>
      </c>
      <c r="H107" s="68">
        <f t="shared" si="19"/>
        <v>0.18966999999999998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f>G107</f>
        <v>189.67</v>
      </c>
      <c r="S107" s="42">
        <v>0</v>
      </c>
      <c r="T107" s="42">
        <v>0</v>
      </c>
      <c r="U107" s="42">
        <f t="shared" si="18"/>
        <v>189.67</v>
      </c>
    </row>
    <row r="108" spans="1:23" ht="25.5" customHeight="1">
      <c r="A108" s="165" t="s">
        <v>244</v>
      </c>
      <c r="B108" s="161" t="s">
        <v>245</v>
      </c>
      <c r="C108" s="165" t="s">
        <v>141</v>
      </c>
      <c r="D108" s="9"/>
      <c r="E108" s="71"/>
      <c r="F108" s="58">
        <f>(1.545)/10</f>
        <v>0.1545</v>
      </c>
      <c r="G108" s="58">
        <v>5945.91</v>
      </c>
      <c r="H108" s="68">
        <f t="shared" si="19"/>
        <v>0.91864309499999997</v>
      </c>
      <c r="I108" s="104">
        <v>0</v>
      </c>
      <c r="J108" s="104">
        <v>0</v>
      </c>
      <c r="K108" s="104">
        <v>0</v>
      </c>
      <c r="L108" s="104">
        <v>0</v>
      </c>
      <c r="M108" s="104">
        <v>0</v>
      </c>
      <c r="N108" s="104">
        <v>0</v>
      </c>
      <c r="O108" s="104">
        <v>0</v>
      </c>
      <c r="P108" s="104">
        <v>0</v>
      </c>
      <c r="Q108" s="104">
        <v>0</v>
      </c>
      <c r="R108" s="42">
        <f>G108*F108</f>
        <v>918.64309500000002</v>
      </c>
      <c r="S108" s="42">
        <v>0</v>
      </c>
      <c r="T108" s="42">
        <v>0</v>
      </c>
      <c r="U108" s="42">
        <f t="shared" si="18"/>
        <v>918.64309500000002</v>
      </c>
    </row>
    <row r="109" spans="1:23" ht="25.5">
      <c r="A109" s="166" t="s">
        <v>129</v>
      </c>
      <c r="B109" s="167" t="s">
        <v>240</v>
      </c>
      <c r="C109" s="168" t="s">
        <v>239</v>
      </c>
      <c r="D109" s="9"/>
      <c r="E109" s="71"/>
      <c r="F109" s="58">
        <v>1</v>
      </c>
      <c r="G109" s="58">
        <v>1934.94</v>
      </c>
      <c r="H109" s="68">
        <f t="shared" si="19"/>
        <v>1.9349400000000001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f>G109</f>
        <v>1934.94</v>
      </c>
      <c r="T109" s="42">
        <v>0</v>
      </c>
      <c r="U109" s="42">
        <f t="shared" si="18"/>
        <v>1934.94</v>
      </c>
    </row>
    <row r="110" spans="1:23" ht="12.75" customHeight="1">
      <c r="A110" s="142" t="s">
        <v>242</v>
      </c>
      <c r="B110" s="172" t="s">
        <v>243</v>
      </c>
      <c r="C110" s="142" t="s">
        <v>158</v>
      </c>
      <c r="D110" s="93"/>
      <c r="E110" s="58"/>
      <c r="F110" s="58">
        <f>6/3</f>
        <v>2</v>
      </c>
      <c r="G110" s="58">
        <v>1120.8900000000001</v>
      </c>
      <c r="H110" s="68">
        <f t="shared" si="19"/>
        <v>2.2417800000000003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f>G110*2</f>
        <v>2241.7800000000002</v>
      </c>
      <c r="U110" s="42">
        <f t="shared" si="18"/>
        <v>2241.7800000000002</v>
      </c>
    </row>
    <row r="111" spans="1:23" s="19" customFormat="1">
      <c r="A111" s="105"/>
      <c r="B111" s="106" t="s">
        <v>95</v>
      </c>
      <c r="C111" s="105"/>
      <c r="D111" s="105"/>
      <c r="E111" s="98"/>
      <c r="F111" s="98"/>
      <c r="G111" s="98"/>
      <c r="H111" s="50">
        <f>SUM(H85:H110)</f>
        <v>75.827163894999998</v>
      </c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49">
        <f>SUM(U85:U110)</f>
        <v>75827.163894999991</v>
      </c>
      <c r="V111" s="27"/>
      <c r="W111" s="28"/>
    </row>
    <row r="112" spans="1:23">
      <c r="A112" s="101"/>
      <c r="B112" s="107"/>
      <c r="C112" s="108"/>
      <c r="D112" s="108"/>
      <c r="E112" s="58"/>
      <c r="F112" s="58"/>
      <c r="G112" s="58"/>
      <c r="H112" s="109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133"/>
      <c r="V112" s="26"/>
      <c r="W112" s="26"/>
    </row>
    <row r="113" spans="1:23" ht="25.5">
      <c r="A113" s="150"/>
      <c r="B113" s="18" t="s">
        <v>96</v>
      </c>
      <c r="C113" s="70"/>
      <c r="D113" s="93"/>
      <c r="E113" s="58"/>
      <c r="F113" s="58"/>
      <c r="G113" s="58"/>
      <c r="H113" s="110">
        <f>H111/E114/12*1000</f>
        <v>1.8680138128073238</v>
      </c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133"/>
      <c r="V113" s="26"/>
      <c r="W113" s="26"/>
    </row>
    <row r="114" spans="1:23">
      <c r="A114" s="88"/>
      <c r="B114" s="111" t="s">
        <v>97</v>
      </c>
      <c r="C114" s="112"/>
      <c r="D114" s="111"/>
      <c r="E114" s="155">
        <v>3382.7</v>
      </c>
      <c r="F114" s="113">
        <f>SUM(E114*12)</f>
        <v>40592.399999999994</v>
      </c>
      <c r="G114" s="114">
        <f>H83+H113</f>
        <v>19.04131760695434</v>
      </c>
      <c r="H114" s="115">
        <f>SUM(F114*G114/1000)</f>
        <v>772.93278082853328</v>
      </c>
      <c r="I114" s="98">
        <f>SUM(I11:I113)</f>
        <v>54450.083679333336</v>
      </c>
      <c r="J114" s="98">
        <f>SUM(J11:J113)</f>
        <v>59030.771079333332</v>
      </c>
      <c r="K114" s="98">
        <f>SUM(K11:K113)</f>
        <v>66146.964599333325</v>
      </c>
      <c r="L114" s="98">
        <f t="shared" ref="L114:T114" si="20">SUM(L11:L113)</f>
        <v>64530.393319333329</v>
      </c>
      <c r="M114" s="98">
        <f t="shared" si="20"/>
        <v>134948.47172908889</v>
      </c>
      <c r="N114" s="98">
        <f t="shared" si="20"/>
        <v>48371.669138088881</v>
      </c>
      <c r="O114" s="98">
        <f t="shared" si="20"/>
        <v>49384.120938088883</v>
      </c>
      <c r="P114" s="98">
        <f t="shared" si="20"/>
        <v>54942.658338088891</v>
      </c>
      <c r="Q114" s="98">
        <f t="shared" si="20"/>
        <v>54549.214356088887</v>
      </c>
      <c r="R114" s="98">
        <f t="shared" si="20"/>
        <v>48107.849633088881</v>
      </c>
      <c r="S114" s="98">
        <f t="shared" si="20"/>
        <v>52782.137759333331</v>
      </c>
      <c r="T114" s="98">
        <f t="shared" si="20"/>
        <v>66500.614979333346</v>
      </c>
      <c r="U114" s="49">
        <f>U80+U111</f>
        <v>790352.50997382402</v>
      </c>
    </row>
    <row r="115" spans="1:23">
      <c r="A115" s="73"/>
      <c r="B115" s="73"/>
      <c r="C115" s="73"/>
      <c r="D115" s="73"/>
      <c r="E115" s="116"/>
      <c r="F115" s="116"/>
      <c r="G115" s="116"/>
      <c r="H115" s="116"/>
      <c r="I115" s="116"/>
      <c r="J115" s="116"/>
      <c r="K115" s="116"/>
      <c r="L115" s="116"/>
      <c r="M115" s="73"/>
      <c r="N115" s="116"/>
      <c r="O115" s="73"/>
      <c r="P115" s="73"/>
      <c r="Q115" s="73"/>
      <c r="R115" s="73"/>
      <c r="S115" s="73"/>
      <c r="T115" s="73"/>
      <c r="U115" s="73"/>
    </row>
    <row r="116" spans="1:23">
      <c r="A116" s="73"/>
      <c r="B116" s="73"/>
      <c r="C116" s="73"/>
      <c r="D116" s="73"/>
      <c r="E116" s="116"/>
      <c r="F116" s="116"/>
      <c r="G116" s="116"/>
      <c r="H116" s="116"/>
      <c r="I116" s="116"/>
      <c r="J116" s="117"/>
      <c r="K116" s="118"/>
      <c r="L116" s="117"/>
      <c r="M116" s="116"/>
      <c r="N116" s="73"/>
      <c r="O116" s="73"/>
      <c r="P116" s="73"/>
      <c r="Q116" s="73"/>
      <c r="R116" s="73"/>
      <c r="S116" s="73"/>
      <c r="T116" s="73"/>
      <c r="U116" s="73"/>
    </row>
    <row r="117" spans="1:23" ht="45">
      <c r="A117" s="73"/>
      <c r="B117" s="123" t="s">
        <v>211</v>
      </c>
      <c r="C117" s="178">
        <v>154285.48000000001</v>
      </c>
      <c r="D117" s="179"/>
      <c r="E117" s="179"/>
      <c r="F117" s="180"/>
      <c r="G117" s="116"/>
      <c r="H117" s="116"/>
      <c r="I117" s="116"/>
      <c r="J117" s="117"/>
      <c r="K117" s="118"/>
      <c r="L117" s="117"/>
      <c r="M117" s="116"/>
      <c r="N117" s="73"/>
      <c r="O117" s="73"/>
      <c r="P117" s="73"/>
      <c r="Q117" s="73"/>
      <c r="R117" s="73"/>
      <c r="S117" s="73"/>
      <c r="T117" s="73"/>
      <c r="U117" s="73"/>
    </row>
    <row r="118" spans="1:23" ht="30">
      <c r="A118" s="73"/>
      <c r="B118" s="123" t="s">
        <v>215</v>
      </c>
      <c r="C118" s="182">
        <f>69180.43*12</f>
        <v>830165.15999999992</v>
      </c>
      <c r="D118" s="183"/>
      <c r="E118" s="183"/>
      <c r="F118" s="184"/>
      <c r="G118" s="116"/>
      <c r="H118" s="116"/>
      <c r="I118" s="116"/>
      <c r="J118" s="117"/>
      <c r="K118" s="118"/>
      <c r="L118" s="117"/>
      <c r="M118" s="116"/>
      <c r="N118" s="73"/>
      <c r="O118" s="73"/>
      <c r="P118" s="73"/>
      <c r="Q118" s="73"/>
      <c r="R118" s="73"/>
      <c r="S118" s="73"/>
      <c r="T118" s="73"/>
      <c r="U118" s="73"/>
    </row>
    <row r="119" spans="1:23" ht="30">
      <c r="A119" s="73"/>
      <c r="B119" s="123" t="s">
        <v>216</v>
      </c>
      <c r="C119" s="182">
        <f>SUM(U114-U111)</f>
        <v>714525.34607882402</v>
      </c>
      <c r="D119" s="183"/>
      <c r="E119" s="183"/>
      <c r="F119" s="184"/>
      <c r="G119" s="116"/>
      <c r="H119" s="116"/>
      <c r="I119" s="116"/>
      <c r="J119" s="117"/>
      <c r="K119" s="118"/>
      <c r="L119" s="117"/>
      <c r="M119" s="116"/>
      <c r="N119" s="73"/>
      <c r="O119" s="73"/>
      <c r="P119" s="73"/>
      <c r="Q119" s="73"/>
      <c r="R119" s="73"/>
      <c r="S119" s="73"/>
      <c r="T119" s="73"/>
      <c r="U119" s="73"/>
    </row>
    <row r="120" spans="1:23" ht="30">
      <c r="A120" s="73"/>
      <c r="B120" s="123" t="s">
        <v>217</v>
      </c>
      <c r="C120" s="182">
        <f>SUM(U111)</f>
        <v>75827.163894999991</v>
      </c>
      <c r="D120" s="183"/>
      <c r="E120" s="183"/>
      <c r="F120" s="184"/>
      <c r="G120" s="116"/>
      <c r="H120" s="116"/>
      <c r="I120" s="116"/>
      <c r="J120" s="117"/>
      <c r="K120" s="118"/>
      <c r="L120" s="117"/>
      <c r="M120" s="116"/>
      <c r="N120" s="73"/>
      <c r="O120" s="73"/>
      <c r="P120" s="73"/>
      <c r="Q120" s="73"/>
      <c r="R120" s="73"/>
      <c r="S120" s="73"/>
      <c r="T120" s="73"/>
      <c r="U120" s="73"/>
    </row>
    <row r="121" spans="1:23" ht="18">
      <c r="A121" s="73"/>
      <c r="B121" s="129" t="s">
        <v>218</v>
      </c>
      <c r="C121" s="178">
        <f>93391.67+62977.49+74707.38+77550.63+70445.85+63184.68+69362.14+68412.49+64604.36+68760.8+67634.19+78012.77</f>
        <v>859044.45000000019</v>
      </c>
      <c r="D121" s="179"/>
      <c r="E121" s="179"/>
      <c r="F121" s="180"/>
      <c r="I121" s="119" t="s">
        <v>104</v>
      </c>
      <c r="J121" s="120"/>
      <c r="K121" s="121"/>
      <c r="L121" s="122"/>
      <c r="M121" s="119"/>
      <c r="N121" s="119"/>
      <c r="O121" s="73"/>
      <c r="P121" s="73"/>
      <c r="Q121" s="73"/>
      <c r="R121" s="73"/>
      <c r="S121" s="73"/>
      <c r="T121" s="73"/>
      <c r="U121" s="73"/>
    </row>
    <row r="122" spans="1:23" ht="78.75">
      <c r="A122" s="73"/>
      <c r="B122" s="141" t="s">
        <v>246</v>
      </c>
      <c r="C122" s="185">
        <v>145817.68</v>
      </c>
      <c r="D122" s="186"/>
      <c r="E122" s="186"/>
      <c r="F122" s="187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</row>
    <row r="123" spans="1:23" ht="45">
      <c r="A123" s="73"/>
      <c r="B123" s="123" t="s">
        <v>247</v>
      </c>
      <c r="C123" s="181">
        <f>(SUM(U114-C118)+C117)-10041</f>
        <v>104431.82997382412</v>
      </c>
      <c r="D123" s="179"/>
      <c r="E123" s="179"/>
      <c r="F123" s="180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</row>
    <row r="125" spans="1:23">
      <c r="J125" s="4"/>
      <c r="K125" s="5"/>
      <c r="L125" s="5"/>
      <c r="M125" s="3"/>
    </row>
    <row r="126" spans="1:23">
      <c r="G126" s="6"/>
      <c r="H126" s="6"/>
    </row>
    <row r="127" spans="1:23">
      <c r="G127" s="7"/>
    </row>
  </sheetData>
  <mergeCells count="12">
    <mergeCell ref="C117:F117"/>
    <mergeCell ref="C123:F123"/>
    <mergeCell ref="C118:F118"/>
    <mergeCell ref="C119:F119"/>
    <mergeCell ref="C120:F120"/>
    <mergeCell ref="C121:F121"/>
    <mergeCell ref="C122:F122"/>
    <mergeCell ref="W79:Z79"/>
    <mergeCell ref="B3:L3"/>
    <mergeCell ref="B4:L4"/>
    <mergeCell ref="B5:L5"/>
    <mergeCell ref="B6:L6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Стр.,11</vt:lpstr>
      <vt:lpstr>'Стр.,11'!Область_печати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2018-03-21T07:42:32Z</cp:lastPrinted>
  <dcterms:created xsi:type="dcterms:W3CDTF">2014-02-05T12:20:20Z</dcterms:created>
  <dcterms:modified xsi:type="dcterms:W3CDTF">2018-03-27T12:55:39Z</dcterms:modified>
</cp:coreProperties>
</file>