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9" r:id="rId12"/>
  </sheets>
  <definedNames>
    <definedName name="_xlnm._FilterDatabase" localSheetId="0" hidden="1">'01.17'!$I$12:$I$62</definedName>
    <definedName name="_xlnm._FilterDatabase" localSheetId="1" hidden="1">'02.17'!$I$12:$I$62</definedName>
    <definedName name="_xlnm._FilterDatabase" localSheetId="2" hidden="1">'03.17'!$I$12:$I$61</definedName>
    <definedName name="_xlnm._FilterDatabase" localSheetId="3" hidden="1">'04.17'!$I$12:$I$62</definedName>
    <definedName name="_xlnm._FilterDatabase" localSheetId="4" hidden="1">'05.17'!$I$12:$I$62</definedName>
    <definedName name="_xlnm._FilterDatabase" localSheetId="5" hidden="1">'06.17'!$I$12:$I$62</definedName>
    <definedName name="_xlnm._FilterDatabase" localSheetId="6" hidden="1">'07.17'!$I$12:$I$62</definedName>
    <definedName name="_xlnm._FilterDatabase" localSheetId="7" hidden="1">'08.17'!$I$12:$I$62</definedName>
    <definedName name="_xlnm._FilterDatabase" localSheetId="8" hidden="1">'09.17'!$I$12:$I$62</definedName>
    <definedName name="_xlnm._FilterDatabase" localSheetId="9" hidden="1">'10.17'!$I$12:$I$62</definedName>
    <definedName name="_xlnm._FilterDatabase" localSheetId="10" hidden="1">'11.17'!$I$12:$I$60</definedName>
    <definedName name="_xlnm._FilterDatabase" localSheetId="11" hidden="1">'12.17'!$I$12:$I$60</definedName>
    <definedName name="_xlnm.Print_Area" localSheetId="0">'01.17'!$A$1:$I$113</definedName>
    <definedName name="_xlnm.Print_Area" localSheetId="1">'02.17'!$A$1:$I$115</definedName>
    <definedName name="_xlnm.Print_Area" localSheetId="2">'03.17'!$A$1:$I$111</definedName>
    <definedName name="_xlnm.Print_Area" localSheetId="3">'04.17'!$A$1:$I$111</definedName>
    <definedName name="_xlnm.Print_Area" localSheetId="4">'05.17'!$A$1:$I$114</definedName>
    <definedName name="_xlnm.Print_Area" localSheetId="5">'06.17'!$A$1:$I$111</definedName>
    <definedName name="_xlnm.Print_Area" localSheetId="6">'07.17'!$A$1:$I$116</definedName>
    <definedName name="_xlnm.Print_Area" localSheetId="7">'08.17'!$A$1:$I$114</definedName>
    <definedName name="_xlnm.Print_Area" localSheetId="8">'09.17'!$A$1:$I$110</definedName>
    <definedName name="_xlnm.Print_Area" localSheetId="9">'10.17'!$A$1:$I$118</definedName>
    <definedName name="_xlnm.Print_Area" localSheetId="10">'11.17'!$A$1:$I$121</definedName>
    <definedName name="_xlnm.Print_Area" localSheetId="11">'12.17'!$A$1:$I$120</definedName>
  </definedNames>
  <calcPr calcId="124519"/>
</workbook>
</file>

<file path=xl/calcChain.xml><?xml version="1.0" encoding="utf-8"?>
<calcChain xmlns="http://schemas.openxmlformats.org/spreadsheetml/2006/main">
  <c r="I92" i="29"/>
  <c r="I90"/>
  <c r="I90" i="27"/>
  <c r="I98"/>
  <c r="I95"/>
  <c r="F44" i="20" l="1"/>
  <c r="H44" s="1"/>
  <c r="I44" i="19"/>
  <c r="F44"/>
  <c r="H44" s="1"/>
  <c r="I84" i="18"/>
  <c r="I84" i="17"/>
  <c r="I44" i="20" l="1"/>
  <c r="I93" i="29" l="1"/>
  <c r="I97" s="1"/>
  <c r="I96"/>
  <c r="I94"/>
  <c r="H96"/>
  <c r="H95"/>
  <c r="H94"/>
  <c r="H93"/>
  <c r="I95" l="1"/>
  <c r="H92"/>
  <c r="E89"/>
  <c r="F89" s="1"/>
  <c r="F88"/>
  <c r="I88" s="1"/>
  <c r="H86"/>
  <c r="H84"/>
  <c r="F82"/>
  <c r="H82" s="1"/>
  <c r="I80"/>
  <c r="H80"/>
  <c r="H90" s="1"/>
  <c r="H79"/>
  <c r="F79"/>
  <c r="I79" s="1"/>
  <c r="H78"/>
  <c r="F77"/>
  <c r="H77" s="1"/>
  <c r="I76"/>
  <c r="F76"/>
  <c r="H76" s="1"/>
  <c r="H75"/>
  <c r="F73"/>
  <c r="H73" s="1"/>
  <c r="H72"/>
  <c r="F72"/>
  <c r="H71"/>
  <c r="F71"/>
  <c r="H70"/>
  <c r="F70"/>
  <c r="F69"/>
  <c r="H69" s="1"/>
  <c r="F68"/>
  <c r="H68" s="1"/>
  <c r="F67"/>
  <c r="H67" s="1"/>
  <c r="F66"/>
  <c r="H66" s="1"/>
  <c r="H64"/>
  <c r="F64"/>
  <c r="I64" s="1"/>
  <c r="F63"/>
  <c r="H63" s="1"/>
  <c r="I61"/>
  <c r="H61"/>
  <c r="F60"/>
  <c r="H60" s="1"/>
  <c r="F57"/>
  <c r="I57" s="1"/>
  <c r="I56"/>
  <c r="H56"/>
  <c r="F55"/>
  <c r="H55" s="1"/>
  <c r="F54"/>
  <c r="I54" s="1"/>
  <c r="F53"/>
  <c r="I53" s="1"/>
  <c r="I52"/>
  <c r="H52"/>
  <c r="F51"/>
  <c r="I51" s="1"/>
  <c r="F50"/>
  <c r="I50" s="1"/>
  <c r="F49"/>
  <c r="I49" s="1"/>
  <c r="F48"/>
  <c r="I48" s="1"/>
  <c r="F46"/>
  <c r="I46" s="1"/>
  <c r="I45"/>
  <c r="H45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E35"/>
  <c r="H34"/>
  <c r="F34"/>
  <c r="I34" s="1"/>
  <c r="F33"/>
  <c r="H33" s="1"/>
  <c r="F32"/>
  <c r="I32" s="1"/>
  <c r="F31"/>
  <c r="I31" s="1"/>
  <c r="F28"/>
  <c r="I28" s="1"/>
  <c r="F27"/>
  <c r="I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97" i="27"/>
  <c r="I94"/>
  <c r="I96"/>
  <c r="I93"/>
  <c r="I92"/>
  <c r="H97"/>
  <c r="F97"/>
  <c r="H96"/>
  <c r="H95"/>
  <c r="H94"/>
  <c r="H93"/>
  <c r="H92"/>
  <c r="I89"/>
  <c r="I88"/>
  <c r="I82"/>
  <c r="I80"/>
  <c r="I79"/>
  <c r="I76"/>
  <c r="I64"/>
  <c r="I61"/>
  <c r="I60"/>
  <c r="I56"/>
  <c r="I52"/>
  <c r="I45"/>
  <c r="I39"/>
  <c r="E89"/>
  <c r="F89" s="1"/>
  <c r="H89" s="1"/>
  <c r="F88"/>
  <c r="H88" s="1"/>
  <c r="H86"/>
  <c r="H84"/>
  <c r="F82"/>
  <c r="H82" s="1"/>
  <c r="H80"/>
  <c r="F79"/>
  <c r="H79" s="1"/>
  <c r="H78"/>
  <c r="F77"/>
  <c r="H77" s="1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H64" s="1"/>
  <c r="F63"/>
  <c r="H63" s="1"/>
  <c r="H61"/>
  <c r="F60"/>
  <c r="H60" s="1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F46"/>
  <c r="H46" s="1"/>
  <c r="H45"/>
  <c r="F44"/>
  <c r="H44" s="1"/>
  <c r="F43"/>
  <c r="H43" s="1"/>
  <c r="H42"/>
  <c r="F41"/>
  <c r="H41" s="1"/>
  <c r="F40"/>
  <c r="H40" s="1"/>
  <c r="H39"/>
  <c r="F28"/>
  <c r="H28" s="1"/>
  <c r="H37"/>
  <c r="H36"/>
  <c r="F27"/>
  <c r="H27" s="1"/>
  <c r="H35"/>
  <c r="F35"/>
  <c r="I35" s="1"/>
  <c r="E35"/>
  <c r="F34"/>
  <c r="H34" s="1"/>
  <c r="F33"/>
  <c r="H33" s="1"/>
  <c r="F32"/>
  <c r="H32" s="1"/>
  <c r="F31"/>
  <c r="H31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H17" i="29" l="1"/>
  <c r="H27"/>
  <c r="H43"/>
  <c r="H88"/>
  <c r="H20"/>
  <c r="H31"/>
  <c r="H41"/>
  <c r="H50"/>
  <c r="H48"/>
  <c r="H53"/>
  <c r="H57"/>
  <c r="I89"/>
  <c r="H89"/>
  <c r="I16"/>
  <c r="I18"/>
  <c r="I21"/>
  <c r="H28"/>
  <c r="H32"/>
  <c r="I33"/>
  <c r="I40"/>
  <c r="I44"/>
  <c r="H46"/>
  <c r="H49"/>
  <c r="H51"/>
  <c r="H54"/>
  <c r="I55"/>
  <c r="I60"/>
  <c r="I82"/>
  <c r="I50" i="27"/>
  <c r="I48"/>
  <c r="I57"/>
  <c r="I53"/>
  <c r="I51"/>
  <c r="I49"/>
  <c r="I54"/>
  <c r="I55"/>
  <c r="I43"/>
  <c r="I40"/>
  <c r="I46"/>
  <c r="I44"/>
  <c r="I33"/>
  <c r="I28"/>
  <c r="I31"/>
  <c r="I34"/>
  <c r="I27"/>
  <c r="I99" i="29" l="1"/>
  <c r="I100" i="27" l="1"/>
  <c r="I41"/>
  <c r="I32"/>
  <c r="I21"/>
  <c r="I20"/>
  <c r="I18"/>
  <c r="I17"/>
  <c r="I16"/>
  <c r="I95" i="26"/>
  <c r="I94"/>
  <c r="I93"/>
  <c r="H94"/>
  <c r="H93"/>
  <c r="I92"/>
  <c r="I91"/>
  <c r="H92"/>
  <c r="H91"/>
  <c r="I90"/>
  <c r="H90"/>
  <c r="I89"/>
  <c r="H89"/>
  <c r="I87"/>
  <c r="I88"/>
  <c r="H88"/>
  <c r="H87"/>
  <c r="I84"/>
  <c r="I65"/>
  <c r="I87" i="21"/>
  <c r="H87"/>
  <c r="I91" i="18"/>
  <c r="H91"/>
  <c r="I92"/>
  <c r="H90" i="27" l="1"/>
  <c r="I90" i="24" l="1"/>
  <c r="I91" s="1"/>
  <c r="I89"/>
  <c r="H90"/>
  <c r="H89"/>
  <c r="I88"/>
  <c r="H88"/>
  <c r="I87"/>
  <c r="H87"/>
  <c r="I74"/>
  <c r="I93" i="23"/>
  <c r="I92"/>
  <c r="I90"/>
  <c r="I91"/>
  <c r="I89"/>
  <c r="F92"/>
  <c r="H92" s="1"/>
  <c r="H91"/>
  <c r="H90"/>
  <c r="H89"/>
  <c r="I88"/>
  <c r="H88"/>
  <c r="I87"/>
  <c r="H87"/>
  <c r="I87" i="22"/>
  <c r="H87"/>
  <c r="I89" i="21"/>
  <c r="I88"/>
  <c r="H90"/>
  <c r="H89"/>
  <c r="H88"/>
  <c r="I41" i="20"/>
  <c r="I87"/>
  <c r="H87"/>
  <c r="I87" i="19"/>
  <c r="I86"/>
  <c r="H87"/>
  <c r="H86"/>
  <c r="I55"/>
  <c r="I89" i="18"/>
  <c r="I88"/>
  <c r="I90"/>
  <c r="I87"/>
  <c r="H90"/>
  <c r="H89"/>
  <c r="H88"/>
  <c r="H87"/>
  <c r="I89" i="17"/>
  <c r="H89"/>
  <c r="I88"/>
  <c r="H88"/>
  <c r="I87"/>
  <c r="H87"/>
  <c r="I86"/>
  <c r="H86"/>
  <c r="I74"/>
  <c r="I86" i="26" l="1"/>
  <c r="H86"/>
  <c r="E83"/>
  <c r="F83" s="1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H66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I45"/>
  <c r="H45"/>
  <c r="F44"/>
  <c r="I44" s="1"/>
  <c r="F43"/>
  <c r="H43" s="1"/>
  <c r="F42"/>
  <c r="I42" s="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72" i="25"/>
  <c r="I56"/>
  <c r="I52"/>
  <c r="I86"/>
  <c r="H86"/>
  <c r="I87"/>
  <c r="E83"/>
  <c r="F83" s="1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H66"/>
  <c r="I65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I45"/>
  <c r="H45"/>
  <c r="F44"/>
  <c r="I44" s="1"/>
  <c r="F43"/>
  <c r="H43" s="1"/>
  <c r="F42"/>
  <c r="I42" s="1"/>
  <c r="H41"/>
  <c r="H40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6" i="24"/>
  <c r="H86"/>
  <c r="E83"/>
  <c r="F83" s="1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H66"/>
  <c r="I65"/>
  <c r="H65"/>
  <c r="F63"/>
  <c r="I63" s="1"/>
  <c r="F62"/>
  <c r="H62" s="1"/>
  <c r="F60"/>
  <c r="I60" s="1"/>
  <c r="I57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I45"/>
  <c r="H45"/>
  <c r="F44"/>
  <c r="I44" s="1"/>
  <c r="F43"/>
  <c r="H43" s="1"/>
  <c r="F42"/>
  <c r="I42" s="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6" i="23"/>
  <c r="H86"/>
  <c r="E83"/>
  <c r="F83" s="1"/>
  <c r="H82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H66"/>
  <c r="I65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I45"/>
  <c r="H45"/>
  <c r="F44"/>
  <c r="I44" s="1"/>
  <c r="F43"/>
  <c r="H43" s="1"/>
  <c r="F42"/>
  <c r="I42" s="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40" i="26" l="1"/>
  <c r="H34"/>
  <c r="I83"/>
  <c r="H83"/>
  <c r="H84" s="1"/>
  <c r="I16"/>
  <c r="H17"/>
  <c r="I18"/>
  <c r="H20"/>
  <c r="I21"/>
  <c r="I27"/>
  <c r="H28"/>
  <c r="I31"/>
  <c r="H32"/>
  <c r="I33"/>
  <c r="H42"/>
  <c r="I43"/>
  <c r="H44"/>
  <c r="I53"/>
  <c r="H60"/>
  <c r="H79" s="1"/>
  <c r="I63"/>
  <c r="I97" s="1"/>
  <c r="H82"/>
  <c r="I51" i="25"/>
  <c r="I49"/>
  <c r="I54"/>
  <c r="I55"/>
  <c r="I50"/>
  <c r="I48"/>
  <c r="I83"/>
  <c r="H83"/>
  <c r="H84" s="1"/>
  <c r="I16"/>
  <c r="H17"/>
  <c r="I18"/>
  <c r="H20"/>
  <c r="I21"/>
  <c r="I27"/>
  <c r="H28"/>
  <c r="I31"/>
  <c r="H32"/>
  <c r="I33"/>
  <c r="H34"/>
  <c r="H42"/>
  <c r="I43"/>
  <c r="H44"/>
  <c r="I53"/>
  <c r="H60"/>
  <c r="H79" s="1"/>
  <c r="I63"/>
  <c r="H82"/>
  <c r="H63" i="24"/>
  <c r="H44"/>
  <c r="I83"/>
  <c r="H83"/>
  <c r="H84" s="1"/>
  <c r="I16"/>
  <c r="H17"/>
  <c r="I18"/>
  <c r="H20"/>
  <c r="I21"/>
  <c r="I27"/>
  <c r="H28"/>
  <c r="I31"/>
  <c r="H32"/>
  <c r="I33"/>
  <c r="H34"/>
  <c r="H40"/>
  <c r="H42"/>
  <c r="I43"/>
  <c r="I53"/>
  <c r="H60"/>
  <c r="H82"/>
  <c r="H17" i="23"/>
  <c r="H20"/>
  <c r="H34"/>
  <c r="H28"/>
  <c r="H40"/>
  <c r="H44"/>
  <c r="H32"/>
  <c r="I83"/>
  <c r="H83"/>
  <c r="H84" s="1"/>
  <c r="I16"/>
  <c r="I21"/>
  <c r="I27"/>
  <c r="I31"/>
  <c r="I33"/>
  <c r="H42"/>
  <c r="H46" s="1"/>
  <c r="I43"/>
  <c r="I53"/>
  <c r="H60"/>
  <c r="H79" s="1"/>
  <c r="I63"/>
  <c r="I18"/>
  <c r="I84" i="24" l="1"/>
  <c r="H79"/>
  <c r="I93"/>
  <c r="H46" i="26"/>
  <c r="I84" i="25"/>
  <c r="H46"/>
  <c r="I89"/>
  <c r="H46" i="24"/>
  <c r="I84" i="23"/>
  <c r="I95" s="1"/>
  <c r="I65" i="22" l="1"/>
  <c r="I86"/>
  <c r="H86"/>
  <c r="I88"/>
  <c r="E83"/>
  <c r="F83" s="1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H66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I45"/>
  <c r="H45"/>
  <c r="F44"/>
  <c r="I44" s="1"/>
  <c r="F43"/>
  <c r="H43" s="1"/>
  <c r="F42"/>
  <c r="I42" s="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90" i="21"/>
  <c r="I74"/>
  <c r="I65"/>
  <c r="I52"/>
  <c r="I26"/>
  <c r="I91"/>
  <c r="I86"/>
  <c r="H86"/>
  <c r="E83"/>
  <c r="F83" s="1"/>
  <c r="H82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H66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H53" s="1"/>
  <c r="H52"/>
  <c r="F51"/>
  <c r="H51" s="1"/>
  <c r="F50"/>
  <c r="H50" s="1"/>
  <c r="F49"/>
  <c r="I49" s="1"/>
  <c r="F48"/>
  <c r="I48" s="1"/>
  <c r="I45"/>
  <c r="H45"/>
  <c r="F44"/>
  <c r="I44" s="1"/>
  <c r="F43"/>
  <c r="I43" s="1"/>
  <c r="F42"/>
  <c r="I42" s="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I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6" i="20"/>
  <c r="I88" s="1"/>
  <c r="H86"/>
  <c r="E83"/>
  <c r="F83" s="1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H66"/>
  <c r="I65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I45"/>
  <c r="H45"/>
  <c r="F43"/>
  <c r="H43" s="1"/>
  <c r="F42"/>
  <c r="I42" s="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5" i="19"/>
  <c r="H85"/>
  <c r="I88"/>
  <c r="E82"/>
  <c r="F82" s="1"/>
  <c r="F81"/>
  <c r="I81" s="1"/>
  <c r="H79"/>
  <c r="H77"/>
  <c r="H75"/>
  <c r="H74"/>
  <c r="H73"/>
  <c r="H71"/>
  <c r="F70"/>
  <c r="H70" s="1"/>
  <c r="F69"/>
  <c r="H69" s="1"/>
  <c r="F68"/>
  <c r="H68" s="1"/>
  <c r="F67"/>
  <c r="H67" s="1"/>
  <c r="F66"/>
  <c r="H66" s="1"/>
  <c r="H65"/>
  <c r="I64"/>
  <c r="H64"/>
  <c r="F62"/>
  <c r="H62" s="1"/>
  <c r="F61"/>
  <c r="H61" s="1"/>
  <c r="F59"/>
  <c r="I59" s="1"/>
  <c r="I56"/>
  <c r="F56"/>
  <c r="H56" s="1"/>
  <c r="H55"/>
  <c r="F54"/>
  <c r="H54" s="1"/>
  <c r="F53"/>
  <c r="H53" s="1"/>
  <c r="F52"/>
  <c r="H52" s="1"/>
  <c r="H51"/>
  <c r="F50"/>
  <c r="H50" s="1"/>
  <c r="F49"/>
  <c r="H49" s="1"/>
  <c r="F48"/>
  <c r="H48" s="1"/>
  <c r="F47"/>
  <c r="H47" s="1"/>
  <c r="I45"/>
  <c r="H45"/>
  <c r="F43"/>
  <c r="H43" s="1"/>
  <c r="F42"/>
  <c r="I42" s="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0" i="18"/>
  <c r="I56"/>
  <c r="I86"/>
  <c r="H86"/>
  <c r="E83"/>
  <c r="F83" s="1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H66"/>
  <c r="I65"/>
  <c r="H65"/>
  <c r="F63"/>
  <c r="I63" s="1"/>
  <c r="F62"/>
  <c r="H62" s="1"/>
  <c r="F60"/>
  <c r="I60" s="1"/>
  <c r="I57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I45"/>
  <c r="H45"/>
  <c r="F44"/>
  <c r="I44" s="1"/>
  <c r="F43"/>
  <c r="H43" s="1"/>
  <c r="F42"/>
  <c r="I42" s="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90" i="17"/>
  <c r="E83"/>
  <c r="F82"/>
  <c r="I82" s="1"/>
  <c r="H80"/>
  <c r="H78"/>
  <c r="H76"/>
  <c r="H75"/>
  <c r="H74"/>
  <c r="H72"/>
  <c r="F71"/>
  <c r="H71" s="1"/>
  <c r="F70"/>
  <c r="H70" s="1"/>
  <c r="F69"/>
  <c r="H69" s="1"/>
  <c r="F68"/>
  <c r="H68" s="1"/>
  <c r="F67"/>
  <c r="H67" s="1"/>
  <c r="H66"/>
  <c r="I65"/>
  <c r="H65"/>
  <c r="F63"/>
  <c r="I63" s="1"/>
  <c r="F62"/>
  <c r="H62" s="1"/>
  <c r="F60"/>
  <c r="H60" s="1"/>
  <c r="I57"/>
  <c r="F57"/>
  <c r="H57" s="1"/>
  <c r="H56"/>
  <c r="F55"/>
  <c r="H55" s="1"/>
  <c r="F54"/>
  <c r="H54" s="1"/>
  <c r="F53"/>
  <c r="I53" s="1"/>
  <c r="H52"/>
  <c r="F51"/>
  <c r="H51" s="1"/>
  <c r="F50"/>
  <c r="H50" s="1"/>
  <c r="F49"/>
  <c r="H49" s="1"/>
  <c r="F48"/>
  <c r="H48" s="1"/>
  <c r="I45"/>
  <c r="H45"/>
  <c r="F44"/>
  <c r="I44" s="1"/>
  <c r="F43"/>
  <c r="H43" s="1"/>
  <c r="F42"/>
  <c r="I42" s="1"/>
  <c r="H41"/>
  <c r="F40"/>
  <c r="I40" s="1"/>
  <c r="I39"/>
  <c r="H39"/>
  <c r="F28"/>
  <c r="I28" s="1"/>
  <c r="H37"/>
  <c r="H36"/>
  <c r="F27"/>
  <c r="H27" s="1"/>
  <c r="H35"/>
  <c r="F35"/>
  <c r="I35" s="1"/>
  <c r="F34"/>
  <c r="H34" s="1"/>
  <c r="F33"/>
  <c r="H33" s="1"/>
  <c r="F32"/>
  <c r="H32" s="1"/>
  <c r="F31"/>
  <c r="H31" s="1"/>
  <c r="H26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82" i="22" l="1"/>
  <c r="H44"/>
  <c r="H34"/>
  <c r="I83"/>
  <c r="H83"/>
  <c r="H84" s="1"/>
  <c r="I16"/>
  <c r="H17"/>
  <c r="I18"/>
  <c r="H20"/>
  <c r="I21"/>
  <c r="I27"/>
  <c r="H28"/>
  <c r="I31"/>
  <c r="H32"/>
  <c r="I33"/>
  <c r="H40"/>
  <c r="H42"/>
  <c r="I43"/>
  <c r="I53"/>
  <c r="H60"/>
  <c r="H79" s="1"/>
  <c r="I63"/>
  <c r="H34" i="21"/>
  <c r="I22"/>
  <c r="I25"/>
  <c r="I23"/>
  <c r="I50"/>
  <c r="I71"/>
  <c r="I69"/>
  <c r="H17"/>
  <c r="H24"/>
  <c r="H28"/>
  <c r="H48"/>
  <c r="H49"/>
  <c r="I19"/>
  <c r="I51"/>
  <c r="I67"/>
  <c r="I70"/>
  <c r="I68"/>
  <c r="H60"/>
  <c r="H79" s="1"/>
  <c r="H43"/>
  <c r="H32"/>
  <c r="H20"/>
  <c r="I83"/>
  <c r="H83"/>
  <c r="H84" s="1"/>
  <c r="I16"/>
  <c r="I18"/>
  <c r="I21"/>
  <c r="I27"/>
  <c r="I31"/>
  <c r="I33"/>
  <c r="H40"/>
  <c r="H42"/>
  <c r="H44"/>
  <c r="I53"/>
  <c r="I63"/>
  <c r="H40" i="20"/>
  <c r="I54"/>
  <c r="I55"/>
  <c r="I83"/>
  <c r="H83"/>
  <c r="H84" s="1"/>
  <c r="I16"/>
  <c r="H17"/>
  <c r="I18"/>
  <c r="H20"/>
  <c r="I21"/>
  <c r="I27"/>
  <c r="H28"/>
  <c r="I31"/>
  <c r="H32"/>
  <c r="I33"/>
  <c r="H34"/>
  <c r="H42"/>
  <c r="I43"/>
  <c r="I53"/>
  <c r="H60"/>
  <c r="H79" s="1"/>
  <c r="I63"/>
  <c r="H82"/>
  <c r="H40" i="19"/>
  <c r="I82"/>
  <c r="H82"/>
  <c r="H83" s="1"/>
  <c r="I16"/>
  <c r="H17"/>
  <c r="I18"/>
  <c r="H20"/>
  <c r="I21"/>
  <c r="I27"/>
  <c r="H28"/>
  <c r="I31"/>
  <c r="H32"/>
  <c r="I33"/>
  <c r="H34"/>
  <c r="H42"/>
  <c r="I43"/>
  <c r="I52"/>
  <c r="H59"/>
  <c r="H78" s="1"/>
  <c r="I62"/>
  <c r="H81"/>
  <c r="H28" i="18"/>
  <c r="H17"/>
  <c r="H20"/>
  <c r="H32"/>
  <c r="H63"/>
  <c r="H34"/>
  <c r="I83"/>
  <c r="H83"/>
  <c r="H84" s="1"/>
  <c r="I16"/>
  <c r="I18"/>
  <c r="I21"/>
  <c r="I27"/>
  <c r="I31"/>
  <c r="I33"/>
  <c r="H40"/>
  <c r="H42"/>
  <c r="I43"/>
  <c r="H44"/>
  <c r="I53"/>
  <c r="H60"/>
  <c r="H79" s="1"/>
  <c r="H82"/>
  <c r="I31" i="17"/>
  <c r="I34"/>
  <c r="I33"/>
  <c r="I32"/>
  <c r="H53"/>
  <c r="F83"/>
  <c r="I83" s="1"/>
  <c r="H16"/>
  <c r="H82"/>
  <c r="H18"/>
  <c r="H21"/>
  <c r="H28"/>
  <c r="H40"/>
  <c r="I17"/>
  <c r="I92" s="1"/>
  <c r="I20"/>
  <c r="I27"/>
  <c r="H42"/>
  <c r="I43"/>
  <c r="H44"/>
  <c r="I60"/>
  <c r="H63"/>
  <c r="H79" s="1"/>
  <c r="I84" i="21" l="1"/>
  <c r="I84" i="20"/>
  <c r="I90" s="1"/>
  <c r="I83" i="19"/>
  <c r="I90" s="1"/>
  <c r="H83" i="17"/>
  <c r="H84" s="1"/>
  <c r="I84" i="22"/>
  <c r="I90" s="1"/>
  <c r="H46"/>
  <c r="H46" i="21"/>
  <c r="I93"/>
  <c r="H46" i="20"/>
  <c r="H46" i="18"/>
  <c r="I94"/>
  <c r="H46" i="17"/>
</calcChain>
</file>

<file path=xl/sharedStrings.xml><?xml version="1.0" encoding="utf-8"?>
<sst xmlns="http://schemas.openxmlformats.org/spreadsheetml/2006/main" count="2703" uniqueCount="250">
  <si>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</si>
  <si>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</si>
  <si>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</si>
  <si>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</si>
  <si>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</si>
  <si>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</si>
  <si>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</si>
  <si>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</si>
  <si>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</si>
  <si>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</si>
  <si>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</si>
  <si>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</si>
  <si>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</si>
  <si>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</si>
  <si>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</si>
  <si>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</si>
  <si>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</si>
  <si>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</si>
  <si>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</si>
  <si>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</si>
  <si>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</si>
  <si>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</si>
  <si>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</si>
  <si>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</si>
  <si>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</si>
  <si>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</si>
  <si>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</si>
  <si>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</si>
  <si>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</si>
  <si>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</si>
  <si>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</si>
  <si>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</si>
  <si>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</si>
  <si>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</si>
  <si>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</si>
  <si>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</si>
  <si>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</si>
  <si>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</si>
  <si>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</si>
  <si>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</si>
  <si>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</si>
  <si>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</si>
  <si>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</si>
  <si>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</si>
  <si>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</si>
  <si>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</si>
  <si>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</si>
  <si>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</si>
  <si>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</si>
  <si>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</si>
  <si>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</si>
  <si>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</si>
  <si>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</si>
  <si>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</si>
  <si>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</si>
  <si>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</si>
  <si>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</si>
  <si>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</si>
  <si>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</si>
  <si>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</si>
  <si>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</si>
  <si>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</si>
  <si>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</si>
  <si>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</si>
  <si>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</si>
  <si>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</si>
  <si>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</si>
  <si>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</si>
  <si>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</si>
  <si>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</si>
  <si>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</si>
  <si>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</si>
  <si>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</si>
  <si>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</si>
  <si>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</si>
  <si>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</si>
  <si>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</si>
  <si>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</si>
  <si>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</si>
  <si>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</si>
  <si>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</si>
  <si>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</si>
  <si>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</si>
  <si>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</si>
  <si>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</si>
  <si>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</si>
  <si>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</si>
  <si>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</si>
  <si>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</si>
  <si>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</si>
  <si>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</si>
  <si>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</si>
  <si>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</si>
  <si>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</si>
  <si>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</si>
  <si>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</si>
  <si>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</si>
  <si>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</si>
  <si>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</si>
  <si>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</si>
  <si>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</si>
  <si>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</si>
  <si>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</si>
  <si>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</si>
  <si>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</si>
  <si>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</si>
  <si>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</si>
  <si>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</si>
  <si>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</si>
  <si>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</si>
  <si>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</si>
  <si>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</si>
  <si>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</si>
  <si>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</si>
  <si>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</si>
  <si>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</si>
  <si>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</si>
  <si>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</si>
  <si>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</si>
  <si>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</si>
  <si>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</si>
  <si>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</si>
  <si>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</si>
  <si>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Вывоз снега с придомовой территории</t>
  </si>
  <si>
    <t>1м3</t>
  </si>
  <si>
    <t>Дератизация</t>
  </si>
  <si>
    <t>Снятие показаний эл.счетчика коммунального назначения</t>
  </si>
  <si>
    <t>1 раз в 2 месяца</t>
  </si>
  <si>
    <t>Влажная протирка шкафов для щитов и слаботочн.ус.</t>
  </si>
  <si>
    <t>30 раз за сезон</t>
  </si>
  <si>
    <t>по мере необходимости</t>
  </si>
  <si>
    <t>35 раз за сезон</t>
  </si>
  <si>
    <t>Осмотр шиферной кровли</t>
  </si>
  <si>
    <t>Прочистка каналов</t>
  </si>
  <si>
    <t>Устройство хомута диаметром до 50 мм</t>
  </si>
  <si>
    <t>10 м2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</si>
  <si>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ул.Строительная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</si>
  <si>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</si>
  <si>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</si>
  <si>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</si>
  <si>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</si>
  <si>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IV. Прочие услуги</t>
  </si>
  <si>
    <t>III. Содержание общего имущества МКД</t>
  </si>
  <si>
    <t>АКТ №1</t>
  </si>
  <si>
    <t>итого:</t>
  </si>
  <si>
    <t xml:space="preserve"> </t>
  </si>
  <si>
    <t>Очистка края кровли от слежавшегося снега со сбрасыванием сосулек (10% от S кровли)</t>
  </si>
  <si>
    <t>1 шт</t>
  </si>
  <si>
    <t>1шт.</t>
  </si>
  <si>
    <t>100шт</t>
  </si>
  <si>
    <t>Смена трубопроводов на полипропиленовые трубы PN25 диаметром 25 мм</t>
  </si>
  <si>
    <t>Смена трубопроводов на полипропиленовые трубы PN25 диаметром 20 мм</t>
  </si>
  <si>
    <t>тыс.руб.</t>
  </si>
  <si>
    <t>5 раз в год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</si>
  <si>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</si>
  <si>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</si>
  <si>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</si>
  <si>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</si>
  <si>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</si>
  <si>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</si>
  <si>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</si>
  <si>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</si>
  <si>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</si>
  <si>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ежемесячно</t>
  </si>
  <si>
    <t>за период с 01.01.2017 г. по 31.01.2017 г.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</si>
  <si>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д.7</t>
    </r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</si>
  <si>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17.02.2014г. стороны,  и ООО «Жилсервис»,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</si>
  <si>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156 раз в год</t>
  </si>
  <si>
    <t>104 раза в год</t>
  </si>
  <si>
    <t xml:space="preserve">24 раза в год </t>
  </si>
  <si>
    <t xml:space="preserve">ежедневно </t>
  </si>
  <si>
    <t>Подключение и отключение сварочного аппарата</t>
  </si>
  <si>
    <t>Внеплановая проверка вентканалов</t>
  </si>
  <si>
    <t>Светильник светодиодный NL01-2014 8.7 Вт, 5300К с фотоакустическим выключателем (белый круг)</t>
  </si>
  <si>
    <t>Итого затраты за месяц</t>
  </si>
  <si>
    <t>за период с 01.02.2017 г. по 28.02.2017 г.</t>
  </si>
  <si>
    <t>Ремонт и регулировка доводчика (со стоимостью доводчика)</t>
  </si>
  <si>
    <t>Внеплановый осмотр электросетей, армазуры и электрооборудования на лестничных клетках</t>
  </si>
  <si>
    <t>Внеплановый осмотр элекгросетей, арматуры и электрооборудования на чердаках и подвалах</t>
  </si>
  <si>
    <t>за период с 01.03.2017 г. по 31.03.2017 г.</t>
  </si>
  <si>
    <t>2. Всего за период с 01.03.2017 по 31.03.2017 выполнено работ (оказано услуг) на общую сумму: 43096,78 руб.</t>
  </si>
  <si>
    <t>(сорок три тысячи девяносто шесть рублей 78 копеек)</t>
  </si>
  <si>
    <t>за период с 01.04.2017 г. по 30.04.2017 г.</t>
  </si>
  <si>
    <t>Внеплановый осмотр вводных электрических щитков</t>
  </si>
  <si>
    <t>2. Всего за период с 01.04.2017 по 30.04.2017 выполнено работ (оказано услуг) на общую сумму: 57608,48 руб.</t>
  </si>
  <si>
    <t>(пятьдесят семь тысяч шестьсот восемь рублей 48 копеек)</t>
  </si>
  <si>
    <t>за период с 01.05.2017 г. по 31.05.2017 г.</t>
  </si>
  <si>
    <t>52 раза в сезон</t>
  </si>
  <si>
    <t>78 раз за сезон</t>
  </si>
  <si>
    <t>Смена арматуры - вентилей и клапанов обратных муфтовых диаметром до 50 мм</t>
  </si>
  <si>
    <t>Смена отводов у трубопроводов диаметром до 50 мм</t>
  </si>
  <si>
    <t>Прочистка засоров канализации</t>
  </si>
  <si>
    <t>3м</t>
  </si>
  <si>
    <t>за период с 01.06.2017 г. по 30.06.2017 г.</t>
  </si>
  <si>
    <t>2. Всего за период с 01.06.2017 по 30.06.2017 выполнено работ (оказано услуг) на общую сумму: 36313,83 руб.</t>
  </si>
  <si>
    <t>(тридцать шесть тысяч триста тринадцать рублей 83 копейки)</t>
  </si>
  <si>
    <t>за период с 01.07.2017 г. по 31.07.2017 г.</t>
  </si>
  <si>
    <t>Смена радиаторов отопительных МС-140</t>
  </si>
  <si>
    <t>Простая масляная окраска ранее окрашенных входных металлических дверей (I, II, III под.)</t>
  </si>
  <si>
    <t>2. Всего за период с 01.07.2017 по 31.07.2017 выполнено работ (оказано услуг) на общую сумму: 46361,30 руб.</t>
  </si>
  <si>
    <t>(сорок шесть тысяч триста шестьдесят один рубль 30 копеек)</t>
  </si>
  <si>
    <t>за период с 01.08.2017 г. по 31.08.2017 г.</t>
  </si>
  <si>
    <t>Смена светодиодного светильника н.о.</t>
  </si>
  <si>
    <t>за период с 01.09.2017 г. по 30.09.2017 г.</t>
  </si>
  <si>
    <t>2. Всего за период с 01.09.2017 по 30.09.2017 выполнено работ (оказано услуг) на общую сумму: 44523,33 руб.</t>
  </si>
  <si>
    <t>(сорок четыре тысячи пятьсот двадцать три рубля 33 копейки)</t>
  </si>
  <si>
    <t>за период с 01.10.2017 г. по 31.10.2017 г.</t>
  </si>
  <si>
    <t>Устройство вент.короба на чердаке (Iпод.)</t>
  </si>
  <si>
    <t>Смена внутренних трубопроводов из стальных труб диаметром до 50 мм</t>
  </si>
  <si>
    <t>2. Всего за период с 01.05.2017 по 31.05.2017 выполнено работ (оказано услуг) на общую сумму: 133923,97 руб.</t>
  </si>
  <si>
    <t>(сто тридцать три тысячи девятьсот двадцать три рубля 97 копеек)</t>
  </si>
  <si>
    <t>2. Всего за период с 01.08.2017 по 31.08.2017 выполнено работ (оказано услуг) на общую сумму: 44723,87 руб.</t>
  </si>
  <si>
    <t>(сорок четыре тысячи семьсот двадцать три рубля 87 копеек)</t>
  </si>
  <si>
    <t xml:space="preserve">Смена сгонов у трубопроводов диаметром до 20 мм </t>
  </si>
  <si>
    <t>1 сгон</t>
  </si>
  <si>
    <t>Смена арматуры - вентилей и клапанов обратных муфтовых диаметром до 20 мм</t>
  </si>
  <si>
    <t>1 шт.</t>
  </si>
  <si>
    <t>2. Всего за период с 01.10.2017 по 31.10.2017 выполнено работ (оказано услуг) на общую сумму: 42197,83 руб.</t>
  </si>
  <si>
    <t>(сорок две тысячи сто девяносто семь рублей 83 копейки)</t>
  </si>
  <si>
    <t>АКТ №11</t>
  </si>
  <si>
    <t>за период с 01.11.2017 г. по 30.11.2017 г.</t>
  </si>
  <si>
    <t>АКТ №12</t>
  </si>
  <si>
    <t>за период с 01.12.2017 г. по 31.12.2017 г.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</si>
  <si>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«Жилсервис»,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</si>
  <si>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 xml:space="preserve">1 раз в месяц     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</si>
  <si>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</si>
  <si>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</si>
  <si>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</si>
  <si>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</si>
  <si>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</si>
  <si>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</si>
  <si>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светодиодных светильников н.о.</t>
  </si>
  <si>
    <t>Снятие показаний с общедомовых приборов учёта холодной воды</t>
  </si>
  <si>
    <t>Обслуживание прибора учета тепловой энергии</t>
  </si>
  <si>
    <t>Водоснабжение, канализация</t>
  </si>
  <si>
    <t>ТО внутренних сетей водопровода и канализации</t>
  </si>
  <si>
    <t>руб/м2 в мес</t>
  </si>
  <si>
    <t>Ремонт и регулировка доводчика (без стоимости доводчика)</t>
  </si>
  <si>
    <t>Смена внутренних трубопроводов из стальных труб диаметром до 25 мм</t>
  </si>
  <si>
    <t>Смена дверных приборов - пружины</t>
  </si>
  <si>
    <t>Заделка слуховых окон</t>
  </si>
  <si>
    <t>2. Всего за период с 01.01.2017 по 31.01.2017 выполнено работ (оказано услуг) на общую сумму: 49665,66 руб.</t>
  </si>
  <si>
    <t>(сорок девять тысяч шестьсот шестьдесят пять рублей 66 копеек)</t>
  </si>
  <si>
    <t>2. Всего за период с 01.02.2017 по 28.02.2017 выполнено работ (оказано услуг) на общую сумму: 65564,70 руб.</t>
  </si>
  <si>
    <t>(шестьдесят пять тысяч пятьсот шестьдесят четыре рубля 70 копеек)</t>
  </si>
  <si>
    <t>15 раз за сезон</t>
  </si>
  <si>
    <t>2. Всего за период с 01.11.2017 по 30.11.2017 выполнено работ (оказано услуг) на общую сумму: 62216,89 руб.</t>
  </si>
  <si>
    <t>(шестьдесят две тысячи двести шестнадцать рублей 89 копеек)</t>
  </si>
  <si>
    <t>2. Всего за период с 01.12.2017 по 31.12.2017 выполнено работ (оказано услуг) на общую сумму: 73490,60 руб.</t>
  </si>
  <si>
    <t>(семьдесят три тысячи четыреста девяносто рублей 60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</si>
</sst>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143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164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42766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.7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hidden="1" customHeight="1">
      <c r="A19" s="33"/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customHeight="1">
      <c r="A21" s="33">
        <v>5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hidden="1" customHeight="1">
      <c r="A22" s="33"/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7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hidden="1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7" t="s">
        <v>107</v>
      </c>
      <c r="C31" s="68" t="s">
        <v>90</v>
      </c>
      <c r="D31" s="67" t="s">
        <v>104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1">SUM(F31*G31/1000)</f>
        <v>5.7627569999999997</v>
      </c>
      <c r="I31" s="13">
        <f t="shared" ref="I31:I35" si="2">F31/6*G31</f>
        <v>960.45949999999993</v>
      </c>
      <c r="J31" s="26"/>
      <c r="K31" s="8"/>
      <c r="L31" s="8"/>
      <c r="M31" s="8"/>
    </row>
    <row r="32" spans="1:13" ht="31.5" hidden="1" customHeight="1">
      <c r="A32" s="33">
        <v>9</v>
      </c>
      <c r="B32" s="67" t="s">
        <v>122</v>
      </c>
      <c r="C32" s="68" t="s">
        <v>90</v>
      </c>
      <c r="D32" s="67" t="s">
        <v>105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1"/>
        <v>1.7575833600000001</v>
      </c>
      <c r="I32" s="13">
        <f t="shared" si="2"/>
        <v>292.93056000000007</v>
      </c>
      <c r="J32" s="26"/>
      <c r="K32" s="8"/>
      <c r="L32" s="8"/>
      <c r="M32" s="8"/>
    </row>
    <row r="33" spans="1:14" ht="15.75" hidden="1" customHeight="1">
      <c r="A33" s="33"/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1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hidden="1" customHeight="1">
      <c r="A34" s="33">
        <v>10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2"/>
        <v>1078.6914999999999</v>
      </c>
      <c r="J34" s="26"/>
      <c r="K34" s="8"/>
    </row>
    <row r="35" spans="1:14" ht="15.75" hidden="1" customHeight="1">
      <c r="A35" s="33">
        <v>11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2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1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1"/>
        <v>2.4294600000000002</v>
      </c>
      <c r="I37" s="13">
        <v>0</v>
      </c>
      <c r="J37" s="27"/>
    </row>
    <row r="38" spans="1:14" ht="15.75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customHeight="1">
      <c r="A39" s="33">
        <v>8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3">SUM(F39*G39/1000)</f>
        <v>13.060799999999999</v>
      </c>
      <c r="I39" s="13">
        <f t="shared" ref="I39:I45" si="4">F39/6*G39</f>
        <v>2176.7999999999997</v>
      </c>
      <c r="J39" s="27"/>
      <c r="L39" s="20"/>
      <c r="M39" s="21"/>
      <c r="N39" s="22"/>
    </row>
    <row r="40" spans="1:14" ht="15.75" customHeight="1">
      <c r="A40" s="33">
        <v>9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4"/>
        <v>915.97850000000005</v>
      </c>
      <c r="J40" s="27"/>
      <c r="L40" s="20"/>
      <c r="M40" s="21"/>
      <c r="N40" s="22"/>
    </row>
    <row r="41" spans="1:14" ht="15.75" hidden="1" customHeight="1">
      <c r="A41" s="33"/>
      <c r="B41" s="67" t="s">
        <v>123</v>
      </c>
      <c r="C41" s="68" t="s">
        <v>124</v>
      </c>
      <c r="D41" s="67" t="s">
        <v>130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v>0</v>
      </c>
      <c r="J41" s="27"/>
      <c r="L41" s="20"/>
      <c r="M41" s="21"/>
      <c r="N41" s="22"/>
    </row>
    <row r="42" spans="1:14" ht="15.75" customHeight="1">
      <c r="A42" s="33">
        <v>10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3"/>
        <v>8.9156542499999993</v>
      </c>
      <c r="I42" s="13">
        <f t="shared" si="4"/>
        <v>1485.9423750000001</v>
      </c>
      <c r="J42" s="27"/>
      <c r="L42" s="20"/>
      <c r="M42" s="21"/>
      <c r="N42" s="22"/>
    </row>
    <row r="43" spans="1:14" ht="47.25" customHeight="1">
      <c r="A43" s="33">
        <v>11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3"/>
        <v>17.69605425</v>
      </c>
      <c r="I43" s="13">
        <f t="shared" si="4"/>
        <v>2949.3423749999997</v>
      </c>
      <c r="J43" s="27"/>
      <c r="L43" s="20"/>
      <c r="M43" s="21"/>
      <c r="N43" s="22"/>
    </row>
    <row r="44" spans="1:14" ht="15.75" hidden="1" customHeight="1">
      <c r="A44" s="33">
        <v>12</v>
      </c>
      <c r="B44" s="67" t="s">
        <v>91</v>
      </c>
      <c r="C44" s="68" t="s">
        <v>90</v>
      </c>
      <c r="D44" s="67" t="s">
        <v>69</v>
      </c>
      <c r="E44" s="70">
        <v>81.5</v>
      </c>
      <c r="F44" s="70">
        <f>SUM(E44*45/1000)</f>
        <v>3.6675</v>
      </c>
      <c r="G44" s="70">
        <v>458.28</v>
      </c>
      <c r="H44" s="71">
        <f t="shared" si="3"/>
        <v>1.6807418999999999</v>
      </c>
      <c r="I44" s="13">
        <f t="shared" si="4"/>
        <v>280.12364999999994</v>
      </c>
      <c r="J44" s="27"/>
      <c r="L44" s="20"/>
      <c r="M44" s="21"/>
      <c r="N44" s="22"/>
    </row>
    <row r="45" spans="1:14" ht="15.75" customHeight="1">
      <c r="A45" s="33">
        <v>12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3"/>
        <v>0.76775400000000005</v>
      </c>
      <c r="I45" s="13">
        <f t="shared" si="4"/>
        <v>127.95899999999999</v>
      </c>
      <c r="J45" s="27"/>
      <c r="L45" s="20"/>
      <c r="M45" s="21"/>
      <c r="N45" s="22"/>
    </row>
    <row r="46" spans="1:14" ht="15.75" hidden="1" customHeight="1">
      <c r="A46" s="33"/>
      <c r="B46" s="73" t="s">
        <v>144</v>
      </c>
      <c r="C46" s="74"/>
      <c r="D46" s="73"/>
      <c r="E46" s="75"/>
      <c r="F46" s="76" t="s">
        <v>145</v>
      </c>
      <c r="G46" s="76"/>
      <c r="H46" s="77">
        <f>SUM(H39:H45)</f>
        <v>67.870875400000003</v>
      </c>
      <c r="I46" s="78"/>
      <c r="J46" s="27"/>
      <c r="L46" s="20"/>
      <c r="M46" s="21"/>
      <c r="N46" s="22"/>
    </row>
    <row r="47" spans="1:14" ht="15.75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hidden="1" customHeight="1">
      <c r="A48" s="33"/>
      <c r="B48" s="67" t="s">
        <v>132</v>
      </c>
      <c r="C48" s="68" t="s">
        <v>90</v>
      </c>
      <c r="D48" s="67" t="s">
        <v>42</v>
      </c>
      <c r="E48" s="69">
        <v>1080</v>
      </c>
      <c r="F48" s="70">
        <f>SUM(E48*2/1000)</f>
        <v>2.16</v>
      </c>
      <c r="G48" s="13">
        <v>865.61</v>
      </c>
      <c r="H48" s="71">
        <f t="shared" ref="H48:H56" si="5">SUM(F48*G48/1000)</f>
        <v>1.8697176000000002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7" t="s">
        <v>35</v>
      </c>
      <c r="C49" s="68" t="s">
        <v>90</v>
      </c>
      <c r="D49" s="67" t="s">
        <v>42</v>
      </c>
      <c r="E49" s="69">
        <v>39</v>
      </c>
      <c r="F49" s="70">
        <f>E49*2/1000</f>
        <v>7.8E-2</v>
      </c>
      <c r="G49" s="13">
        <v>619.46</v>
      </c>
      <c r="H49" s="71">
        <f t="shared" si="5"/>
        <v>4.8317880000000001E-2</v>
      </c>
      <c r="I49" s="13">
        <v>0</v>
      </c>
      <c r="J49" s="27"/>
      <c r="L49" s="20"/>
      <c r="M49" s="21"/>
      <c r="N49" s="22"/>
    </row>
    <row r="50" spans="1:22" ht="15.75" hidden="1" customHeight="1">
      <c r="A50" s="33"/>
      <c r="B50" s="67" t="s">
        <v>36</v>
      </c>
      <c r="C50" s="68" t="s">
        <v>90</v>
      </c>
      <c r="D50" s="67" t="s">
        <v>42</v>
      </c>
      <c r="E50" s="69">
        <v>1037</v>
      </c>
      <c r="F50" s="70">
        <f>SUM(E50*2/1000)</f>
        <v>2.0739999999999998</v>
      </c>
      <c r="G50" s="13">
        <v>619.46</v>
      </c>
      <c r="H50" s="71">
        <f t="shared" si="5"/>
        <v>1.2847600399999999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7" t="s">
        <v>37</v>
      </c>
      <c r="C51" s="68" t="s">
        <v>90</v>
      </c>
      <c r="D51" s="67" t="s">
        <v>42</v>
      </c>
      <c r="E51" s="69">
        <v>2274</v>
      </c>
      <c r="F51" s="70">
        <f>SUM(E51*2/1000)</f>
        <v>4.548</v>
      </c>
      <c r="G51" s="13">
        <v>648.64</v>
      </c>
      <c r="H51" s="71">
        <f t="shared" si="5"/>
        <v>2.95001472</v>
      </c>
      <c r="I51" s="13">
        <v>0</v>
      </c>
      <c r="J51" s="27"/>
      <c r="L51" s="20"/>
      <c r="M51" s="21"/>
      <c r="N51" s="22"/>
    </row>
    <row r="52" spans="1:22" ht="15.75" hidden="1" customHeight="1">
      <c r="A52" s="33"/>
      <c r="B52" s="67" t="s">
        <v>34</v>
      </c>
      <c r="C52" s="68" t="s">
        <v>53</v>
      </c>
      <c r="D52" s="67" t="s">
        <v>42</v>
      </c>
      <c r="E52" s="69">
        <v>83.04</v>
      </c>
      <c r="F52" s="70">
        <v>1.66</v>
      </c>
      <c r="G52" s="13">
        <v>77.84</v>
      </c>
      <c r="H52" s="71">
        <f>SUM(F52*G52/1000)</f>
        <v>0.12921440000000001</v>
      </c>
      <c r="I52" s="13">
        <v>0</v>
      </c>
      <c r="J52" s="27"/>
      <c r="L52" s="20"/>
      <c r="M52" s="21"/>
      <c r="N52" s="22"/>
    </row>
    <row r="53" spans="1:22" ht="15.75" customHeight="1">
      <c r="A53" s="33">
        <v>13</v>
      </c>
      <c r="B53" s="67" t="s">
        <v>56</v>
      </c>
      <c r="C53" s="68" t="s">
        <v>90</v>
      </c>
      <c r="D53" s="67" t="s">
        <v>153</v>
      </c>
      <c r="E53" s="69">
        <v>1728</v>
      </c>
      <c r="F53" s="70">
        <f>SUM(E53*5/1000)</f>
        <v>8.64</v>
      </c>
      <c r="G53" s="13">
        <v>1297.28</v>
      </c>
      <c r="H53" s="71">
        <f>SUM(F53*G53/1000)</f>
        <v>11.2084992</v>
      </c>
      <c r="I53" s="13">
        <f>F53/5*G53</f>
        <v>2241.6998400000002</v>
      </c>
      <c r="J53" s="27"/>
      <c r="L53" s="20"/>
      <c r="M53" s="21"/>
      <c r="N53" s="22"/>
    </row>
    <row r="54" spans="1:22" ht="31.5" hidden="1" customHeight="1">
      <c r="A54" s="33"/>
      <c r="B54" s="67" t="s">
        <v>92</v>
      </c>
      <c r="C54" s="68" t="s">
        <v>90</v>
      </c>
      <c r="D54" s="67" t="s">
        <v>42</v>
      </c>
      <c r="E54" s="69">
        <v>1728</v>
      </c>
      <c r="F54" s="70">
        <f>SUM(E54*2/1000)</f>
        <v>3.456</v>
      </c>
      <c r="G54" s="13">
        <v>1297.28</v>
      </c>
      <c r="H54" s="71">
        <f>SUM(G54*F54/1000)</f>
        <v>4.4833996799999998</v>
      </c>
      <c r="I54" s="13">
        <v>0</v>
      </c>
      <c r="J54" s="27"/>
      <c r="L54" s="20"/>
      <c r="M54" s="21"/>
      <c r="N54" s="22"/>
    </row>
    <row r="55" spans="1:22" ht="31.5" hidden="1" customHeight="1">
      <c r="A55" s="33"/>
      <c r="B55" s="67" t="s">
        <v>93</v>
      </c>
      <c r="C55" s="68" t="s">
        <v>38</v>
      </c>
      <c r="D55" s="67" t="s">
        <v>42</v>
      </c>
      <c r="E55" s="69">
        <v>15</v>
      </c>
      <c r="F55" s="70">
        <f>SUM(E55*2/100)</f>
        <v>0.3</v>
      </c>
      <c r="G55" s="13">
        <v>2918.89</v>
      </c>
      <c r="H55" s="71">
        <f>SUM(F55*G55/1000)</f>
        <v>0.87566699999999986</v>
      </c>
      <c r="I55" s="13">
        <v>0</v>
      </c>
      <c r="J55" s="27"/>
      <c r="L55" s="20"/>
      <c r="M55" s="21"/>
      <c r="N55" s="22"/>
    </row>
    <row r="56" spans="1:22" ht="15.75" hidden="1" customHeight="1">
      <c r="A56" s="33"/>
      <c r="B56" s="67" t="s">
        <v>39</v>
      </c>
      <c r="C56" s="68" t="s">
        <v>40</v>
      </c>
      <c r="D56" s="67" t="s">
        <v>42</v>
      </c>
      <c r="E56" s="69">
        <v>1</v>
      </c>
      <c r="F56" s="70">
        <v>0.02</v>
      </c>
      <c r="G56" s="13">
        <v>6042.12</v>
      </c>
      <c r="H56" s="71">
        <f t="shared" si="5"/>
        <v>0.1208424</v>
      </c>
      <c r="I56" s="13">
        <v>0</v>
      </c>
      <c r="J56" s="27"/>
      <c r="L56" s="20"/>
      <c r="M56" s="21"/>
      <c r="N56" s="22"/>
    </row>
    <row r="57" spans="1:22" ht="15.75" hidden="1" customHeight="1">
      <c r="A57" s="33">
        <v>15</v>
      </c>
      <c r="B57" s="67" t="s">
        <v>41</v>
      </c>
      <c r="C57" s="68" t="s">
        <v>109</v>
      </c>
      <c r="D57" s="67" t="s">
        <v>71</v>
      </c>
      <c r="E57" s="69">
        <v>90</v>
      </c>
      <c r="F57" s="70">
        <f>SUM(E57)*3</f>
        <v>270</v>
      </c>
      <c r="G57" s="13">
        <v>70.209999999999994</v>
      </c>
      <c r="H57" s="71">
        <f>SUM(F57*G57/1000)</f>
        <v>18.956699999999998</v>
      </c>
      <c r="I57" s="13">
        <f>E57*G57</f>
        <v>6318.9</v>
      </c>
      <c r="J57" s="27"/>
      <c r="L57" s="20"/>
      <c r="M57" s="21"/>
      <c r="N57" s="22"/>
    </row>
    <row r="58" spans="1:22" ht="15.75" customHeight="1">
      <c r="A58" s="158" t="s">
        <v>138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  <c r="M58" s="21"/>
      <c r="N58" s="22"/>
    </row>
    <row r="59" spans="1:22" ht="15.75" customHeight="1">
      <c r="A59" s="33"/>
      <c r="B59" s="93" t="s">
        <v>43</v>
      </c>
      <c r="C59" s="68"/>
      <c r="D59" s="67"/>
      <c r="E59" s="69"/>
      <c r="F59" s="70"/>
      <c r="G59" s="70"/>
      <c r="H59" s="71"/>
      <c r="I59" s="13"/>
      <c r="J59" s="27"/>
      <c r="L59" s="20"/>
      <c r="M59" s="21"/>
      <c r="N59" s="22"/>
    </row>
    <row r="60" spans="1:22" ht="31.5" customHeight="1">
      <c r="A60" s="33">
        <v>14</v>
      </c>
      <c r="B60" s="67" t="s">
        <v>146</v>
      </c>
      <c r="C60" s="68" t="s">
        <v>88</v>
      </c>
      <c r="D60" s="67" t="s">
        <v>110</v>
      </c>
      <c r="E60" s="69">
        <v>111</v>
      </c>
      <c r="F60" s="70">
        <f>SUM(E60*6/100)</f>
        <v>6.66</v>
      </c>
      <c r="G60" s="13">
        <v>1654.04</v>
      </c>
      <c r="H60" s="71">
        <f>SUM(F60*G60/1000)</f>
        <v>11.0159064</v>
      </c>
      <c r="I60" s="13">
        <f>F60/6*G60</f>
        <v>1835.9844000000001</v>
      </c>
      <c r="J60" s="27"/>
      <c r="L60" s="20"/>
    </row>
    <row r="61" spans="1:22" ht="15.75" customHeight="1">
      <c r="A61" s="33"/>
      <c r="B61" s="94" t="s">
        <v>44</v>
      </c>
      <c r="C61" s="81"/>
      <c r="D61" s="82"/>
      <c r="E61" s="83"/>
      <c r="F61" s="84"/>
      <c r="G61" s="13"/>
      <c r="H61" s="85"/>
      <c r="I61" s="13"/>
    </row>
    <row r="62" spans="1:22" ht="15.75" hidden="1" customHeight="1">
      <c r="A62" s="33"/>
      <c r="B62" s="82" t="s">
        <v>45</v>
      </c>
      <c r="C62" s="81" t="s">
        <v>53</v>
      </c>
      <c r="D62" s="82" t="s">
        <v>54</v>
      </c>
      <c r="E62" s="83">
        <v>330</v>
      </c>
      <c r="F62" s="84">
        <f>E62/100</f>
        <v>3.3</v>
      </c>
      <c r="G62" s="13">
        <v>848.37</v>
      </c>
      <c r="H62" s="85">
        <f>F62*G62/1000</f>
        <v>2.7996209999999997</v>
      </c>
      <c r="I62" s="13">
        <v>0</v>
      </c>
    </row>
    <row r="63" spans="1:22" ht="15.75" customHeight="1">
      <c r="A63" s="33">
        <v>15</v>
      </c>
      <c r="B63" s="82" t="s">
        <v>125</v>
      </c>
      <c r="C63" s="81" t="s">
        <v>25</v>
      </c>
      <c r="D63" s="82" t="s">
        <v>30</v>
      </c>
      <c r="E63" s="83">
        <v>130</v>
      </c>
      <c r="F63" s="86">
        <f>E63*12</f>
        <v>1560</v>
      </c>
      <c r="G63" s="61">
        <v>2.6</v>
      </c>
      <c r="H63" s="84">
        <f>F63*G63/1000</f>
        <v>4.056</v>
      </c>
      <c r="I63" s="13">
        <f>F63/12*G63</f>
        <v>338</v>
      </c>
    </row>
    <row r="64" spans="1:22" ht="15.75" customHeight="1">
      <c r="A64" s="33"/>
      <c r="B64" s="94" t="s">
        <v>46</v>
      </c>
      <c r="C64" s="81"/>
      <c r="D64" s="82"/>
      <c r="E64" s="83"/>
      <c r="F64" s="86"/>
      <c r="G64" s="86"/>
      <c r="H64" s="84" t="s">
        <v>145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3">
        <v>16</v>
      </c>
      <c r="B65" s="14" t="s">
        <v>47</v>
      </c>
      <c r="C65" s="16" t="s">
        <v>109</v>
      </c>
      <c r="D65" s="14" t="s">
        <v>130</v>
      </c>
      <c r="E65" s="19">
        <v>10</v>
      </c>
      <c r="F65" s="70">
        <v>10</v>
      </c>
      <c r="G65" s="13">
        <v>237.74</v>
      </c>
      <c r="H65" s="87">
        <f t="shared" ref="H65:H78" si="6">SUM(F65*G65/1000)</f>
        <v>2.3774000000000002</v>
      </c>
      <c r="I65" s="13">
        <f>G65*2</f>
        <v>475.48</v>
      </c>
      <c r="J65" s="29"/>
      <c r="K65" s="29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3"/>
      <c r="B66" s="14" t="s">
        <v>48</v>
      </c>
      <c r="C66" s="16" t="s">
        <v>109</v>
      </c>
      <c r="D66" s="14" t="s">
        <v>130</v>
      </c>
      <c r="E66" s="19">
        <v>5</v>
      </c>
      <c r="F66" s="70">
        <v>5</v>
      </c>
      <c r="G66" s="13">
        <v>81.510000000000005</v>
      </c>
      <c r="H66" s="87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3"/>
      <c r="B67" s="14" t="s">
        <v>49</v>
      </c>
      <c r="C67" s="16" t="s">
        <v>111</v>
      </c>
      <c r="D67" s="14" t="s">
        <v>54</v>
      </c>
      <c r="E67" s="69">
        <v>13287</v>
      </c>
      <c r="F67" s="13">
        <f>SUM(E67/100)</f>
        <v>132.87</v>
      </c>
      <c r="G67" s="13">
        <v>226.79</v>
      </c>
      <c r="H67" s="87">
        <f t="shared" si="6"/>
        <v>30.133587299999999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1"/>
      <c r="S67" s="161"/>
      <c r="T67" s="161"/>
      <c r="U67" s="161"/>
    </row>
    <row r="68" spans="1:21" ht="15.75" hidden="1" customHeight="1">
      <c r="A68" s="33"/>
      <c r="B68" s="14" t="s">
        <v>50</v>
      </c>
      <c r="C68" s="16" t="s">
        <v>112</v>
      </c>
      <c r="D68" s="14"/>
      <c r="E68" s="69">
        <v>13287</v>
      </c>
      <c r="F68" s="13">
        <f>SUM(E68/1000)</f>
        <v>13.287000000000001</v>
      </c>
      <c r="G68" s="13">
        <v>176.61</v>
      </c>
      <c r="H68" s="87">
        <f t="shared" si="6"/>
        <v>2.3466170700000002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3"/>
      <c r="B69" s="14" t="s">
        <v>51</v>
      </c>
      <c r="C69" s="16" t="s">
        <v>77</v>
      </c>
      <c r="D69" s="14" t="s">
        <v>54</v>
      </c>
      <c r="E69" s="69">
        <v>2110</v>
      </c>
      <c r="F69" s="13">
        <f>SUM(E69/100)</f>
        <v>21.1</v>
      </c>
      <c r="G69" s="13">
        <v>2217.7800000000002</v>
      </c>
      <c r="H69" s="87">
        <f>SUM(F69*G69/1000)</f>
        <v>46.795158000000008</v>
      </c>
      <c r="I69" s="13">
        <v>0</v>
      </c>
    </row>
    <row r="70" spans="1:21" ht="15.75" hidden="1" customHeight="1">
      <c r="A70" s="33"/>
      <c r="B70" s="88" t="s">
        <v>113</v>
      </c>
      <c r="C70" s="16" t="s">
        <v>33</v>
      </c>
      <c r="D70" s="14"/>
      <c r="E70" s="69">
        <v>8.6</v>
      </c>
      <c r="F70" s="13">
        <f>SUM(E70)</f>
        <v>8.6</v>
      </c>
      <c r="G70" s="13">
        <v>42.67</v>
      </c>
      <c r="H70" s="87">
        <f t="shared" si="6"/>
        <v>0.36696200000000001</v>
      </c>
      <c r="I70" s="13">
        <v>0</v>
      </c>
    </row>
    <row r="71" spans="1:21" ht="15.75" hidden="1" customHeight="1">
      <c r="A71" s="33"/>
      <c r="B71" s="88" t="s">
        <v>114</v>
      </c>
      <c r="C71" s="16" t="s">
        <v>33</v>
      </c>
      <c r="D71" s="14"/>
      <c r="E71" s="69">
        <v>8.6</v>
      </c>
      <c r="F71" s="13">
        <f>SUM(E71)</f>
        <v>8.6</v>
      </c>
      <c r="G71" s="13">
        <v>39.81</v>
      </c>
      <c r="H71" s="87">
        <f t="shared" si="6"/>
        <v>0.342366</v>
      </c>
      <c r="I71" s="13">
        <v>0</v>
      </c>
    </row>
    <row r="72" spans="1:21" ht="15.75" hidden="1" customHeight="1">
      <c r="A72" s="33"/>
      <c r="B72" s="14" t="s">
        <v>57</v>
      </c>
      <c r="C72" s="16" t="s">
        <v>58</v>
      </c>
      <c r="D72" s="14" t="s">
        <v>54</v>
      </c>
      <c r="E72" s="19">
        <v>6</v>
      </c>
      <c r="F72" s="70">
        <v>6</v>
      </c>
      <c r="G72" s="13">
        <v>53.32</v>
      </c>
      <c r="H72" s="87">
        <f t="shared" si="6"/>
        <v>0.31992000000000004</v>
      </c>
      <c r="I72" s="13">
        <v>0</v>
      </c>
    </row>
    <row r="73" spans="1:21" ht="15.75" customHeight="1">
      <c r="A73" s="33"/>
      <c r="B73" s="54" t="s">
        <v>72</v>
      </c>
      <c r="C73" s="16"/>
      <c r="D73" s="14"/>
      <c r="E73" s="19"/>
      <c r="F73" s="13"/>
      <c r="G73" s="13"/>
      <c r="H73" s="87" t="s">
        <v>145</v>
      </c>
      <c r="I73" s="13"/>
    </row>
    <row r="74" spans="1:21" ht="15.75" customHeight="1">
      <c r="A74" s="33">
        <v>17</v>
      </c>
      <c r="B74" s="14" t="s">
        <v>73</v>
      </c>
      <c r="C74" s="16" t="s">
        <v>75</v>
      </c>
      <c r="D74" s="14"/>
      <c r="E74" s="19">
        <v>2</v>
      </c>
      <c r="F74" s="13">
        <v>0.2</v>
      </c>
      <c r="G74" s="13">
        <v>536.23</v>
      </c>
      <c r="H74" s="87">
        <f t="shared" si="6"/>
        <v>0.10724600000000001</v>
      </c>
      <c r="I74" s="13">
        <f>G74*0.1</f>
        <v>53.623000000000005</v>
      </c>
    </row>
    <row r="75" spans="1:21" ht="15.75" hidden="1" customHeight="1">
      <c r="A75" s="33"/>
      <c r="B75" s="14" t="s">
        <v>74</v>
      </c>
      <c r="C75" s="16" t="s">
        <v>31</v>
      </c>
      <c r="D75" s="14"/>
      <c r="E75" s="19">
        <v>2</v>
      </c>
      <c r="F75" s="61">
        <v>2</v>
      </c>
      <c r="G75" s="13">
        <v>911.85</v>
      </c>
      <c r="H75" s="87">
        <f>F75*G75/1000</f>
        <v>1.8237000000000001</v>
      </c>
      <c r="I75" s="13">
        <v>0</v>
      </c>
    </row>
    <row r="76" spans="1:21" ht="15.75" hidden="1" customHeight="1">
      <c r="A76" s="33"/>
      <c r="B76" s="14" t="s">
        <v>116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87">
        <f>G76*F76/1000</f>
        <v>0.38324999999999998</v>
      </c>
      <c r="I76" s="13">
        <v>0</v>
      </c>
    </row>
    <row r="77" spans="1:21" ht="15.75" hidden="1" customHeight="1">
      <c r="A77" s="33"/>
      <c r="B77" s="90" t="s">
        <v>76</v>
      </c>
      <c r="C77" s="16"/>
      <c r="D77" s="14"/>
      <c r="E77" s="19"/>
      <c r="F77" s="13"/>
      <c r="G77" s="13" t="s">
        <v>145</v>
      </c>
      <c r="H77" s="87" t="s">
        <v>145</v>
      </c>
      <c r="I77" s="13"/>
    </row>
    <row r="78" spans="1:21" ht="15.75" hidden="1" customHeight="1">
      <c r="A78" s="33"/>
      <c r="B78" s="47" t="s">
        <v>133</v>
      </c>
      <c r="C78" s="16" t="s">
        <v>77</v>
      </c>
      <c r="D78" s="14"/>
      <c r="E78" s="19"/>
      <c r="F78" s="13">
        <v>0.5</v>
      </c>
      <c r="G78" s="13">
        <v>2949.85</v>
      </c>
      <c r="H78" s="87">
        <f t="shared" si="6"/>
        <v>1.474925</v>
      </c>
      <c r="I78" s="13">
        <v>0</v>
      </c>
    </row>
    <row r="79" spans="1:21" ht="15.75" hidden="1" customHeight="1">
      <c r="A79" s="33"/>
      <c r="B79" s="97" t="s">
        <v>94</v>
      </c>
      <c r="C79" s="97"/>
      <c r="D79" s="97"/>
      <c r="E79" s="97"/>
      <c r="F79" s="97"/>
      <c r="G79" s="78"/>
      <c r="H79" s="91">
        <f>SUM(H60:H78)</f>
        <v>104.75020877000001</v>
      </c>
      <c r="I79" s="78"/>
    </row>
    <row r="80" spans="1:21" ht="15.75" hidden="1" customHeight="1">
      <c r="A80" s="33"/>
      <c r="B80" s="95" t="s">
        <v>115</v>
      </c>
      <c r="C80" s="24"/>
      <c r="D80" s="23"/>
      <c r="E80" s="62"/>
      <c r="F80" s="96">
        <v>1</v>
      </c>
      <c r="G80" s="13">
        <v>7634.7</v>
      </c>
      <c r="H80" s="87">
        <f>G80*F80/1000</f>
        <v>7.6346999999999996</v>
      </c>
      <c r="I80" s="13">
        <v>0</v>
      </c>
    </row>
    <row r="81" spans="1:9" ht="15" customHeight="1">
      <c r="A81" s="162" t="s">
        <v>139</v>
      </c>
      <c r="B81" s="163"/>
      <c r="C81" s="163"/>
      <c r="D81" s="163"/>
      <c r="E81" s="163"/>
      <c r="F81" s="163"/>
      <c r="G81" s="163"/>
      <c r="H81" s="163"/>
      <c r="I81" s="164"/>
    </row>
    <row r="82" spans="1:9" ht="15.75" customHeight="1">
      <c r="A82" s="33">
        <v>18</v>
      </c>
      <c r="B82" s="67" t="s">
        <v>117</v>
      </c>
      <c r="C82" s="16" t="s">
        <v>55</v>
      </c>
      <c r="D82" s="92" t="s">
        <v>163</v>
      </c>
      <c r="E82" s="13">
        <v>2626.5</v>
      </c>
      <c r="F82" s="13">
        <f>SUM(E82*12)</f>
        <v>31518</v>
      </c>
      <c r="G82" s="13">
        <v>2.2400000000000002</v>
      </c>
      <c r="H82" s="87">
        <f>SUM(F82*G82/1000)</f>
        <v>70.600320000000011</v>
      </c>
      <c r="I82" s="13">
        <f>F82/12*G82</f>
        <v>5883.3600000000006</v>
      </c>
    </row>
    <row r="83" spans="1:9" ht="31.5" customHeight="1">
      <c r="A83" s="33">
        <v>19</v>
      </c>
      <c r="B83" s="14" t="s">
        <v>78</v>
      </c>
      <c r="C83" s="16"/>
      <c r="D83" s="92" t="s">
        <v>163</v>
      </c>
      <c r="E83" s="69">
        <f>E82</f>
        <v>2626.5</v>
      </c>
      <c r="F83" s="13">
        <f>E83*12</f>
        <v>31518</v>
      </c>
      <c r="G83" s="13">
        <v>1.74</v>
      </c>
      <c r="H83" s="87">
        <f>F83*G83/1000</f>
        <v>54.841320000000003</v>
      </c>
      <c r="I83" s="13">
        <f>F83/12*G83</f>
        <v>4570.1099999999997</v>
      </c>
    </row>
    <row r="84" spans="1:9" ht="15.75" customHeight="1">
      <c r="A84" s="33"/>
      <c r="B84" s="40" t="s">
        <v>81</v>
      </c>
      <c r="C84" s="90"/>
      <c r="D84" s="89"/>
      <c r="E84" s="78"/>
      <c r="F84" s="78"/>
      <c r="G84" s="78"/>
      <c r="H84" s="91">
        <f>H83</f>
        <v>54.841320000000003</v>
      </c>
      <c r="I84" s="78">
        <f>I16+I17+I18+I20+I21+I27+I28+I39+I40+I42+I43+I45+I53+I60+I63+I65+I74+I82+I83</f>
        <v>43032.313389333336</v>
      </c>
    </row>
    <row r="85" spans="1:9" ht="15.75" customHeight="1">
      <c r="A85" s="173" t="s">
        <v>60</v>
      </c>
      <c r="B85" s="174"/>
      <c r="C85" s="174"/>
      <c r="D85" s="174"/>
      <c r="E85" s="174"/>
      <c r="F85" s="174"/>
      <c r="G85" s="174"/>
      <c r="H85" s="174"/>
      <c r="I85" s="175"/>
    </row>
    <row r="86" spans="1:9" ht="15.75" customHeight="1">
      <c r="A86" s="33">
        <v>20</v>
      </c>
      <c r="B86" s="50" t="s">
        <v>126</v>
      </c>
      <c r="C86" s="53" t="s">
        <v>109</v>
      </c>
      <c r="D86" s="14"/>
      <c r="E86" s="19"/>
      <c r="F86" s="13">
        <v>368</v>
      </c>
      <c r="G86" s="13">
        <v>53.42</v>
      </c>
      <c r="H86" s="87">
        <f>G86*F86/1000</f>
        <v>19.658560000000001</v>
      </c>
      <c r="I86" s="13">
        <f>G86*46</f>
        <v>2457.3200000000002</v>
      </c>
    </row>
    <row r="87" spans="1:9" ht="15.75" customHeight="1">
      <c r="A87" s="33">
        <v>21</v>
      </c>
      <c r="B87" s="50" t="s">
        <v>171</v>
      </c>
      <c r="C87" s="53" t="s">
        <v>109</v>
      </c>
      <c r="D87" s="14"/>
      <c r="E87" s="19"/>
      <c r="F87" s="13">
        <v>4</v>
      </c>
      <c r="G87" s="13">
        <v>189.88</v>
      </c>
      <c r="H87" s="13">
        <f>G87*F87/1000</f>
        <v>0.75951999999999997</v>
      </c>
      <c r="I87" s="13">
        <f>G87</f>
        <v>189.88</v>
      </c>
    </row>
    <row r="88" spans="1:9" ht="15.75" customHeight="1">
      <c r="A88" s="33">
        <v>22</v>
      </c>
      <c r="B88" s="14" t="s">
        <v>172</v>
      </c>
      <c r="C88" s="16" t="s">
        <v>109</v>
      </c>
      <c r="D88" s="14"/>
      <c r="E88" s="19"/>
      <c r="F88" s="13">
        <v>1</v>
      </c>
      <c r="G88" s="13">
        <v>86.15</v>
      </c>
      <c r="H88" s="13">
        <f t="shared" ref="H88:H89" si="7">G88*F88/1000</f>
        <v>8.6150000000000004E-2</v>
      </c>
      <c r="I88" s="13">
        <f>G88</f>
        <v>86.15</v>
      </c>
    </row>
    <row r="89" spans="1:9" ht="31.5" customHeight="1">
      <c r="A89" s="33">
        <v>23</v>
      </c>
      <c r="B89" s="14" t="s">
        <v>173</v>
      </c>
      <c r="C89" s="16"/>
      <c r="D89" s="14"/>
      <c r="E89" s="19"/>
      <c r="F89" s="13">
        <v>1</v>
      </c>
      <c r="G89" s="13">
        <v>3900</v>
      </c>
      <c r="H89" s="13">
        <f t="shared" si="7"/>
        <v>3.9</v>
      </c>
      <c r="I89" s="13">
        <f>G89</f>
        <v>3900</v>
      </c>
    </row>
    <row r="90" spans="1:9" ht="16.5" customHeight="1">
      <c r="A90" s="33"/>
      <c r="B90" s="45" t="s">
        <v>52</v>
      </c>
      <c r="C90" s="41"/>
      <c r="D90" s="48"/>
      <c r="E90" s="41">
        <v>1</v>
      </c>
      <c r="F90" s="41"/>
      <c r="G90" s="41"/>
      <c r="H90" s="41"/>
      <c r="I90" s="35">
        <f>SUM(I86:I89)</f>
        <v>6633.35</v>
      </c>
    </row>
    <row r="91" spans="1:9" ht="15.75" customHeight="1">
      <c r="A91" s="33"/>
      <c r="B91" s="47" t="s">
        <v>79</v>
      </c>
      <c r="C91" s="15"/>
      <c r="D91" s="15"/>
      <c r="E91" s="42"/>
      <c r="F91" s="42"/>
      <c r="G91" s="43"/>
      <c r="H91" s="43"/>
      <c r="I91" s="18">
        <v>0</v>
      </c>
    </row>
    <row r="92" spans="1:9" ht="15.75" customHeight="1">
      <c r="A92" s="49"/>
      <c r="B92" s="46" t="s">
        <v>174</v>
      </c>
      <c r="C92" s="36"/>
      <c r="D92" s="36"/>
      <c r="E92" s="36"/>
      <c r="F92" s="36"/>
      <c r="G92" s="36"/>
      <c r="H92" s="36"/>
      <c r="I92" s="44">
        <f>I84+I90</f>
        <v>49665.663389333335</v>
      </c>
    </row>
    <row r="93" spans="1:9" ht="15.75" customHeight="1">
      <c r="A93" s="165" t="s">
        <v>241</v>
      </c>
      <c r="B93" s="165"/>
      <c r="C93" s="165"/>
      <c r="D93" s="165"/>
      <c r="E93" s="165"/>
      <c r="F93" s="165"/>
      <c r="G93" s="165"/>
      <c r="H93" s="165"/>
      <c r="I93" s="165"/>
    </row>
    <row r="94" spans="1:9" ht="15.75">
      <c r="A94" s="60"/>
      <c r="B94" s="166" t="s">
        <v>242</v>
      </c>
      <c r="C94" s="166"/>
      <c r="D94" s="166"/>
      <c r="E94" s="166"/>
      <c r="F94" s="166"/>
      <c r="G94" s="166"/>
      <c r="H94" s="65"/>
      <c r="I94" s="3"/>
    </row>
    <row r="95" spans="1:9">
      <c r="A95" s="59"/>
      <c r="B95" s="167" t="s">
        <v>6</v>
      </c>
      <c r="C95" s="167"/>
      <c r="D95" s="167"/>
      <c r="E95" s="167"/>
      <c r="F95" s="167"/>
      <c r="G95" s="167"/>
      <c r="H95" s="28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68" t="s">
        <v>7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>
      <c r="A98" s="168" t="s">
        <v>8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9" t="s">
        <v>61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>
      <c r="A100" s="11"/>
    </row>
    <row r="101" spans="1:9" ht="15.75">
      <c r="A101" s="170" t="s">
        <v>9</v>
      </c>
      <c r="B101" s="170"/>
      <c r="C101" s="170"/>
      <c r="D101" s="170"/>
      <c r="E101" s="170"/>
      <c r="F101" s="170"/>
      <c r="G101" s="170"/>
      <c r="H101" s="170"/>
      <c r="I101" s="170"/>
    </row>
    <row r="102" spans="1:9" ht="15.75" customHeight="1">
      <c r="A102" s="4"/>
    </row>
    <row r="103" spans="1:9" ht="15.75">
      <c r="B103" s="56" t="s">
        <v>10</v>
      </c>
      <c r="C103" s="171" t="s">
        <v>140</v>
      </c>
      <c r="D103" s="171"/>
      <c r="E103" s="171"/>
      <c r="F103" s="63"/>
      <c r="I103" s="58"/>
    </row>
    <row r="104" spans="1:9">
      <c r="A104" s="59"/>
      <c r="C104" s="167" t="s">
        <v>11</v>
      </c>
      <c r="D104" s="167"/>
      <c r="E104" s="167"/>
      <c r="F104" s="28"/>
      <c r="I104" s="57" t="s">
        <v>12</v>
      </c>
    </row>
    <row r="105" spans="1:9" ht="15.75" customHeight="1">
      <c r="A105" s="29"/>
      <c r="C105" s="12"/>
      <c r="D105" s="12"/>
      <c r="G105" s="12"/>
      <c r="H105" s="12"/>
    </row>
    <row r="106" spans="1:9" ht="15.75" customHeight="1">
      <c r="B106" s="56" t="s">
        <v>13</v>
      </c>
      <c r="C106" s="172"/>
      <c r="D106" s="172"/>
      <c r="E106" s="172"/>
      <c r="F106" s="64"/>
      <c r="I106" s="58"/>
    </row>
    <row r="107" spans="1:9" ht="15.75" customHeight="1">
      <c r="A107" s="59"/>
      <c r="C107" s="161" t="s">
        <v>11</v>
      </c>
      <c r="D107" s="161"/>
      <c r="E107" s="161"/>
      <c r="F107" s="59"/>
      <c r="I107" s="57" t="s">
        <v>12</v>
      </c>
    </row>
    <row r="108" spans="1:9" ht="15.75">
      <c r="A108" s="4" t="s">
        <v>14</v>
      </c>
    </row>
    <row r="109" spans="1:9">
      <c r="A109" s="176" t="s">
        <v>15</v>
      </c>
      <c r="B109" s="176"/>
      <c r="C109" s="176"/>
      <c r="D109" s="176"/>
      <c r="E109" s="176"/>
      <c r="F109" s="176"/>
      <c r="G109" s="176"/>
      <c r="H109" s="176"/>
      <c r="I109" s="176"/>
    </row>
    <row r="110" spans="1:9" ht="45" customHeight="1">
      <c r="A110" s="177" t="s">
        <v>16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30" customHeight="1">
      <c r="A111" s="177" t="s">
        <v>17</v>
      </c>
      <c r="B111" s="177"/>
      <c r="C111" s="177"/>
      <c r="D111" s="177"/>
      <c r="E111" s="177"/>
      <c r="F111" s="177"/>
      <c r="G111" s="177"/>
      <c r="H111" s="177"/>
      <c r="I111" s="177"/>
    </row>
    <row r="112" spans="1:9" ht="30" customHeight="1">
      <c r="A112" s="177" t="s">
        <v>21</v>
      </c>
      <c r="B112" s="177"/>
      <c r="C112" s="177"/>
      <c r="D112" s="177"/>
      <c r="E112" s="177"/>
      <c r="F112" s="177"/>
      <c r="G112" s="177"/>
      <c r="H112" s="177"/>
      <c r="I112" s="177"/>
    </row>
    <row r="113" spans="1:9" ht="15" customHeight="1">
      <c r="A113" s="177" t="s">
        <v>20</v>
      </c>
      <c r="B113" s="177"/>
      <c r="C113" s="177"/>
      <c r="D113" s="177"/>
      <c r="E113" s="177"/>
      <c r="F113" s="177"/>
      <c r="G113" s="177"/>
      <c r="H113" s="177"/>
      <c r="I113" s="177"/>
    </row>
  </sheetData>
  <autoFilter ref="I12:I62"/>
  <mergeCells count="29">
    <mergeCell ref="A109:I109"/>
    <mergeCell ref="A110:I110"/>
    <mergeCell ref="A111:I111"/>
    <mergeCell ref="A112:I112"/>
    <mergeCell ref="A113:I113"/>
    <mergeCell ref="C107:E107"/>
    <mergeCell ref="A81:I81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5:I85"/>
    <mergeCell ref="A15:I15"/>
    <mergeCell ref="A29:I29"/>
    <mergeCell ref="A47:I47"/>
    <mergeCell ref="A58:I58"/>
    <mergeCell ref="R67:U67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162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206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43039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hidden="1" customHeight="1">
      <c r="A19" s="33"/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hidden="1" customHeight="1">
      <c r="A22" s="33"/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15.75" customHeight="1">
      <c r="A31" s="33">
        <v>7</v>
      </c>
      <c r="B31" s="67" t="s">
        <v>107</v>
      </c>
      <c r="C31" s="68" t="s">
        <v>90</v>
      </c>
      <c r="D31" s="67" t="s">
        <v>187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1">SUM(F31*G31/1000)</f>
        <v>5.7627569999999997</v>
      </c>
      <c r="I31" s="13">
        <f t="shared" ref="I31:I35" si="2">F31/6*G31</f>
        <v>960.45949999999993</v>
      </c>
      <c r="J31" s="26"/>
      <c r="K31" s="8"/>
      <c r="L31" s="8"/>
      <c r="M31" s="8"/>
    </row>
    <row r="32" spans="1:13" ht="31.5" customHeight="1">
      <c r="A32" s="33">
        <v>8</v>
      </c>
      <c r="B32" s="67" t="s">
        <v>122</v>
      </c>
      <c r="C32" s="68" t="s">
        <v>90</v>
      </c>
      <c r="D32" s="67" t="s">
        <v>188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1"/>
        <v>1.7575833600000001</v>
      </c>
      <c r="I32" s="13">
        <f t="shared" si="2"/>
        <v>292.93056000000007</v>
      </c>
      <c r="J32" s="26"/>
      <c r="K32" s="8"/>
      <c r="L32" s="8"/>
      <c r="M32" s="8"/>
    </row>
    <row r="33" spans="1:14" ht="15.75" hidden="1" customHeight="1">
      <c r="A33" s="33"/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1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customHeight="1">
      <c r="A34" s="33">
        <v>9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2"/>
        <v>1078.6914999999999</v>
      </c>
      <c r="J34" s="26"/>
      <c r="K34" s="8"/>
    </row>
    <row r="35" spans="1:14" ht="15.75" customHeight="1">
      <c r="A35" s="33">
        <v>10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2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1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1"/>
        <v>2.4294600000000002</v>
      </c>
      <c r="I37" s="13">
        <v>0</v>
      </c>
      <c r="J37" s="27"/>
    </row>
    <row r="38" spans="1:14" ht="15.75" hidden="1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hidden="1" customHeight="1">
      <c r="A39" s="33">
        <v>8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3">SUM(F39*G39/1000)</f>
        <v>13.060799999999999</v>
      </c>
      <c r="I39" s="13">
        <f t="shared" ref="I39:I45" si="4">F39/6*G39</f>
        <v>2176.7999999999997</v>
      </c>
      <c r="J39" s="27"/>
      <c r="L39" s="20"/>
      <c r="M39" s="21"/>
      <c r="N39" s="22"/>
    </row>
    <row r="40" spans="1:14" ht="15.75" hidden="1" customHeight="1">
      <c r="A40" s="33">
        <v>9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4"/>
        <v>915.97850000000005</v>
      </c>
      <c r="J40" s="27"/>
      <c r="L40" s="20"/>
      <c r="M40" s="21"/>
      <c r="N40" s="22"/>
    </row>
    <row r="41" spans="1:14" ht="15.75" hidden="1" customHeight="1">
      <c r="A41" s="33"/>
      <c r="B41" s="67" t="s">
        <v>123</v>
      </c>
      <c r="C41" s="68" t="s">
        <v>124</v>
      </c>
      <c r="D41" s="67" t="s">
        <v>130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v>0</v>
      </c>
      <c r="J41" s="27"/>
      <c r="L41" s="20"/>
      <c r="M41" s="21"/>
      <c r="N41" s="22"/>
    </row>
    <row r="42" spans="1:14" ht="15.75" hidden="1" customHeight="1">
      <c r="A42" s="33">
        <v>10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3"/>
        <v>8.9156542499999993</v>
      </c>
      <c r="I42" s="13">
        <f t="shared" si="4"/>
        <v>1485.9423750000001</v>
      </c>
      <c r="J42" s="27"/>
      <c r="L42" s="20"/>
      <c r="M42" s="21"/>
      <c r="N42" s="22"/>
    </row>
    <row r="43" spans="1:14" ht="47.25" hidden="1" customHeight="1">
      <c r="A43" s="33">
        <v>11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3"/>
        <v>17.69605425</v>
      </c>
      <c r="I43" s="13">
        <f t="shared" si="4"/>
        <v>2949.3423749999997</v>
      </c>
      <c r="J43" s="27"/>
      <c r="L43" s="20"/>
      <c r="M43" s="21"/>
      <c r="N43" s="22"/>
    </row>
    <row r="44" spans="1:14" ht="15.75" hidden="1" customHeight="1">
      <c r="A44" s="33">
        <v>12</v>
      </c>
      <c r="B44" s="67" t="s">
        <v>91</v>
      </c>
      <c r="C44" s="68" t="s">
        <v>90</v>
      </c>
      <c r="D44" s="67" t="s">
        <v>69</v>
      </c>
      <c r="E44" s="70">
        <v>81.5</v>
      </c>
      <c r="F44" s="70">
        <f>SUM(E44*45/1000)</f>
        <v>3.6675</v>
      </c>
      <c r="G44" s="70">
        <v>458.28</v>
      </c>
      <c r="H44" s="71">
        <f t="shared" si="3"/>
        <v>1.6807418999999999</v>
      </c>
      <c r="I44" s="13">
        <f t="shared" si="4"/>
        <v>280.12364999999994</v>
      </c>
      <c r="J44" s="27"/>
      <c r="L44" s="20"/>
      <c r="M44" s="21"/>
      <c r="N44" s="22"/>
    </row>
    <row r="45" spans="1:14" ht="15.75" hidden="1" customHeight="1">
      <c r="A45" s="33">
        <v>13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3"/>
        <v>0.76775400000000005</v>
      </c>
      <c r="I45" s="13">
        <f t="shared" si="4"/>
        <v>127.95899999999999</v>
      </c>
      <c r="J45" s="27"/>
      <c r="L45" s="20"/>
      <c r="M45" s="21"/>
      <c r="N45" s="22"/>
    </row>
    <row r="46" spans="1:14" ht="15.75" hidden="1" customHeight="1">
      <c r="A46" s="33"/>
      <c r="B46" s="73" t="s">
        <v>144</v>
      </c>
      <c r="C46" s="74"/>
      <c r="D46" s="73"/>
      <c r="E46" s="75"/>
      <c r="F46" s="76" t="s">
        <v>145</v>
      </c>
      <c r="G46" s="76"/>
      <c r="H46" s="77">
        <f>SUM(H39:H45)</f>
        <v>67.870875400000003</v>
      </c>
      <c r="I46" s="78"/>
      <c r="J46" s="27"/>
      <c r="L46" s="20"/>
      <c r="M46" s="21"/>
      <c r="N46" s="22"/>
    </row>
    <row r="47" spans="1:14" ht="15" hidden="1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hidden="1" customHeight="1">
      <c r="A48" s="33"/>
      <c r="B48" s="67" t="s">
        <v>132</v>
      </c>
      <c r="C48" s="68" t="s">
        <v>90</v>
      </c>
      <c r="D48" s="67" t="s">
        <v>42</v>
      </c>
      <c r="E48" s="69">
        <v>1080</v>
      </c>
      <c r="F48" s="70">
        <f>SUM(E48*2/1000)</f>
        <v>2.16</v>
      </c>
      <c r="G48" s="13">
        <v>865.61</v>
      </c>
      <c r="H48" s="71">
        <f t="shared" ref="H48:H56" si="5">SUM(F48*G48/1000)</f>
        <v>1.8697176000000002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7" t="s">
        <v>35</v>
      </c>
      <c r="C49" s="68" t="s">
        <v>90</v>
      </c>
      <c r="D49" s="67" t="s">
        <v>42</v>
      </c>
      <c r="E49" s="69">
        <v>39</v>
      </c>
      <c r="F49" s="70">
        <f>E49*2/1000</f>
        <v>7.8E-2</v>
      </c>
      <c r="G49" s="13">
        <v>619.46</v>
      </c>
      <c r="H49" s="71">
        <f t="shared" si="5"/>
        <v>4.8317880000000001E-2</v>
      </c>
      <c r="I49" s="13">
        <v>0</v>
      </c>
      <c r="J49" s="27"/>
      <c r="L49" s="20"/>
      <c r="M49" s="21"/>
      <c r="N49" s="22"/>
    </row>
    <row r="50" spans="1:22" ht="15.75" hidden="1" customHeight="1">
      <c r="A50" s="33"/>
      <c r="B50" s="67" t="s">
        <v>36</v>
      </c>
      <c r="C50" s="68" t="s">
        <v>90</v>
      </c>
      <c r="D50" s="67" t="s">
        <v>42</v>
      </c>
      <c r="E50" s="69">
        <v>1037</v>
      </c>
      <c r="F50" s="70">
        <f>SUM(E50*2/1000)</f>
        <v>2.0739999999999998</v>
      </c>
      <c r="G50" s="13">
        <v>619.46</v>
      </c>
      <c r="H50" s="71">
        <f t="shared" si="5"/>
        <v>1.2847600399999999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7" t="s">
        <v>37</v>
      </c>
      <c r="C51" s="68" t="s">
        <v>90</v>
      </c>
      <c r="D51" s="67" t="s">
        <v>42</v>
      </c>
      <c r="E51" s="69">
        <v>2274</v>
      </c>
      <c r="F51" s="70">
        <f>SUM(E51*2/1000)</f>
        <v>4.548</v>
      </c>
      <c r="G51" s="13">
        <v>648.64</v>
      </c>
      <c r="H51" s="71">
        <f t="shared" si="5"/>
        <v>2.95001472</v>
      </c>
      <c r="I51" s="13">
        <v>0</v>
      </c>
      <c r="J51" s="27"/>
      <c r="L51" s="20"/>
      <c r="M51" s="21"/>
      <c r="N51" s="22"/>
    </row>
    <row r="52" spans="1:22" ht="15.75" hidden="1" customHeight="1">
      <c r="A52" s="33"/>
      <c r="B52" s="67" t="s">
        <v>34</v>
      </c>
      <c r="C52" s="68" t="s">
        <v>53</v>
      </c>
      <c r="D52" s="67" t="s">
        <v>42</v>
      </c>
      <c r="E52" s="69">
        <v>83.04</v>
      </c>
      <c r="F52" s="70">
        <v>1.66</v>
      </c>
      <c r="G52" s="13">
        <v>77.84</v>
      </c>
      <c r="H52" s="71">
        <f>SUM(F52*G52/1000)</f>
        <v>0.12921440000000001</v>
      </c>
      <c r="I52" s="13">
        <v>0</v>
      </c>
      <c r="J52" s="27"/>
      <c r="L52" s="20"/>
      <c r="M52" s="21"/>
      <c r="N52" s="22"/>
    </row>
    <row r="53" spans="1:22" ht="15.75" hidden="1" customHeight="1">
      <c r="A53" s="33">
        <v>14</v>
      </c>
      <c r="B53" s="67" t="s">
        <v>56</v>
      </c>
      <c r="C53" s="68" t="s">
        <v>90</v>
      </c>
      <c r="D53" s="67" t="s">
        <v>153</v>
      </c>
      <c r="E53" s="69">
        <v>1728</v>
      </c>
      <c r="F53" s="70">
        <f>SUM(E53*5/1000)</f>
        <v>8.64</v>
      </c>
      <c r="G53" s="13">
        <v>1297.28</v>
      </c>
      <c r="H53" s="71">
        <f>SUM(F53*G53/1000)</f>
        <v>11.2084992</v>
      </c>
      <c r="I53" s="13">
        <f>F53/5*G53</f>
        <v>2241.6998400000002</v>
      </c>
      <c r="J53" s="27"/>
      <c r="L53" s="20"/>
      <c r="M53" s="21"/>
      <c r="N53" s="22"/>
    </row>
    <row r="54" spans="1:22" ht="31.5" hidden="1" customHeight="1">
      <c r="A54" s="33"/>
      <c r="B54" s="67" t="s">
        <v>92</v>
      </c>
      <c r="C54" s="68" t="s">
        <v>90</v>
      </c>
      <c r="D54" s="67" t="s">
        <v>42</v>
      </c>
      <c r="E54" s="69">
        <v>1728</v>
      </c>
      <c r="F54" s="70">
        <f>SUM(E54*2/1000)</f>
        <v>3.456</v>
      </c>
      <c r="G54" s="13">
        <v>1297.28</v>
      </c>
      <c r="H54" s="71">
        <f>SUM(G54*F54/1000)</f>
        <v>4.4833996799999998</v>
      </c>
      <c r="I54" s="13">
        <v>0</v>
      </c>
      <c r="J54" s="27"/>
      <c r="L54" s="20"/>
      <c r="M54" s="21"/>
      <c r="N54" s="22"/>
    </row>
    <row r="55" spans="1:22" ht="31.5" hidden="1" customHeight="1">
      <c r="A55" s="33"/>
      <c r="B55" s="67" t="s">
        <v>93</v>
      </c>
      <c r="C55" s="68" t="s">
        <v>38</v>
      </c>
      <c r="D55" s="67" t="s">
        <v>42</v>
      </c>
      <c r="E55" s="69">
        <v>15</v>
      </c>
      <c r="F55" s="70">
        <f>SUM(E55*2/100)</f>
        <v>0.3</v>
      </c>
      <c r="G55" s="13">
        <v>2918.89</v>
      </c>
      <c r="H55" s="71">
        <f>SUM(F55*G55/1000)</f>
        <v>0.87566699999999986</v>
      </c>
      <c r="I55" s="13">
        <v>0</v>
      </c>
      <c r="J55" s="27"/>
      <c r="L55" s="20"/>
      <c r="M55" s="21"/>
      <c r="N55" s="22"/>
    </row>
    <row r="56" spans="1:22" ht="15.75" hidden="1" customHeight="1">
      <c r="A56" s="33"/>
      <c r="B56" s="67" t="s">
        <v>39</v>
      </c>
      <c r="C56" s="68" t="s">
        <v>40</v>
      </c>
      <c r="D56" s="67" t="s">
        <v>42</v>
      </c>
      <c r="E56" s="69">
        <v>1</v>
      </c>
      <c r="F56" s="70">
        <v>0.02</v>
      </c>
      <c r="G56" s="13">
        <v>6042.12</v>
      </c>
      <c r="H56" s="71">
        <f t="shared" si="5"/>
        <v>0.1208424</v>
      </c>
      <c r="I56" s="13">
        <v>0</v>
      </c>
      <c r="J56" s="27"/>
      <c r="L56" s="20"/>
      <c r="M56" s="21"/>
      <c r="N56" s="22"/>
    </row>
    <row r="57" spans="1:22" ht="15.75" hidden="1" customHeight="1">
      <c r="A57" s="33">
        <v>15</v>
      </c>
      <c r="B57" s="67" t="s">
        <v>41</v>
      </c>
      <c r="C57" s="68" t="s">
        <v>109</v>
      </c>
      <c r="D57" s="67" t="s">
        <v>71</v>
      </c>
      <c r="E57" s="69">
        <v>90</v>
      </c>
      <c r="F57" s="70">
        <f>SUM(E57)*3</f>
        <v>270</v>
      </c>
      <c r="G57" s="13">
        <v>70.209999999999994</v>
      </c>
      <c r="H57" s="71">
        <f>SUM(F57*G57/1000)</f>
        <v>18.956699999999998</v>
      </c>
      <c r="I57" s="13">
        <f>E57*G57</f>
        <v>6318.9</v>
      </c>
      <c r="J57" s="27"/>
      <c r="L57" s="20"/>
      <c r="M57" s="21"/>
      <c r="N57" s="22"/>
    </row>
    <row r="58" spans="1:22" ht="15.75" customHeight="1">
      <c r="A58" s="158" t="s">
        <v>142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  <c r="M58" s="21"/>
      <c r="N58" s="22"/>
    </row>
    <row r="59" spans="1:22" ht="15.75" hidden="1" customHeight="1">
      <c r="A59" s="33"/>
      <c r="B59" s="93" t="s">
        <v>43</v>
      </c>
      <c r="C59" s="68"/>
      <c r="D59" s="67"/>
      <c r="E59" s="69"/>
      <c r="F59" s="70"/>
      <c r="G59" s="70"/>
      <c r="H59" s="71"/>
      <c r="I59" s="13"/>
      <c r="J59" s="27"/>
      <c r="L59" s="20"/>
      <c r="M59" s="21"/>
      <c r="N59" s="22"/>
    </row>
    <row r="60" spans="1:22" ht="31.5" hidden="1" customHeight="1">
      <c r="A60" s="33">
        <v>16</v>
      </c>
      <c r="B60" s="67" t="s">
        <v>146</v>
      </c>
      <c r="C60" s="68" t="s">
        <v>88</v>
      </c>
      <c r="D60" s="67" t="s">
        <v>110</v>
      </c>
      <c r="E60" s="69">
        <v>111</v>
      </c>
      <c r="F60" s="70">
        <f>SUM(E60*6/100)</f>
        <v>6.66</v>
      </c>
      <c r="G60" s="13">
        <v>1654.04</v>
      </c>
      <c r="H60" s="71">
        <f>SUM(F60*G60/1000)</f>
        <v>11.0159064</v>
      </c>
      <c r="I60" s="13">
        <f>F60/6*G60</f>
        <v>1835.9844000000001</v>
      </c>
      <c r="J60" s="27"/>
      <c r="L60" s="20"/>
    </row>
    <row r="61" spans="1:22" ht="15.75" customHeight="1">
      <c r="A61" s="33"/>
      <c r="B61" s="94" t="s">
        <v>44</v>
      </c>
      <c r="C61" s="81"/>
      <c r="D61" s="82"/>
      <c r="E61" s="83"/>
      <c r="F61" s="84"/>
      <c r="G61" s="13"/>
      <c r="H61" s="85"/>
      <c r="I61" s="13"/>
    </row>
    <row r="62" spans="1:22" ht="15.75" hidden="1" customHeight="1">
      <c r="A62" s="33"/>
      <c r="B62" s="82" t="s">
        <v>45</v>
      </c>
      <c r="C62" s="81" t="s">
        <v>53</v>
      </c>
      <c r="D62" s="82" t="s">
        <v>54</v>
      </c>
      <c r="E62" s="83">
        <v>330</v>
      </c>
      <c r="F62" s="84">
        <f>E62/100</f>
        <v>3.3</v>
      </c>
      <c r="G62" s="13">
        <v>848.37</v>
      </c>
      <c r="H62" s="85">
        <f>F62*G62/1000</f>
        <v>2.7996209999999997</v>
      </c>
      <c r="I62" s="13">
        <v>0</v>
      </c>
    </row>
    <row r="63" spans="1:22" ht="15.75" customHeight="1">
      <c r="A63" s="33">
        <v>11</v>
      </c>
      <c r="B63" s="82" t="s">
        <v>125</v>
      </c>
      <c r="C63" s="81" t="s">
        <v>25</v>
      </c>
      <c r="D63" s="82" t="s">
        <v>30</v>
      </c>
      <c r="E63" s="83">
        <v>130</v>
      </c>
      <c r="F63" s="86">
        <f>E63*12</f>
        <v>1560</v>
      </c>
      <c r="G63" s="61">
        <v>2.6</v>
      </c>
      <c r="H63" s="84">
        <f>F63*G63/1000</f>
        <v>4.056</v>
      </c>
      <c r="I63" s="13">
        <f>F63/12*G63</f>
        <v>338</v>
      </c>
    </row>
    <row r="64" spans="1:22" ht="15.75" customHeight="1">
      <c r="A64" s="33"/>
      <c r="B64" s="94" t="s">
        <v>46</v>
      </c>
      <c r="C64" s="81"/>
      <c r="D64" s="82"/>
      <c r="E64" s="83"/>
      <c r="F64" s="86"/>
      <c r="G64" s="86"/>
      <c r="H64" s="84" t="s">
        <v>145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3">
        <v>12</v>
      </c>
      <c r="B65" s="14" t="s">
        <v>47</v>
      </c>
      <c r="C65" s="16" t="s">
        <v>109</v>
      </c>
      <c r="D65" s="14" t="s">
        <v>130</v>
      </c>
      <c r="E65" s="19">
        <v>10</v>
      </c>
      <c r="F65" s="70">
        <v>10</v>
      </c>
      <c r="G65" s="13">
        <v>237.74</v>
      </c>
      <c r="H65" s="87">
        <f t="shared" ref="H65:H78" si="6">SUM(F65*G65/1000)</f>
        <v>2.3774000000000002</v>
      </c>
      <c r="I65" s="13">
        <f>G65</f>
        <v>237.74</v>
      </c>
      <c r="J65" s="29"/>
      <c r="K65" s="29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3"/>
      <c r="B66" s="14" t="s">
        <v>48</v>
      </c>
      <c r="C66" s="16" t="s">
        <v>109</v>
      </c>
      <c r="D66" s="14" t="s">
        <v>130</v>
      </c>
      <c r="E66" s="19">
        <v>5</v>
      </c>
      <c r="F66" s="70">
        <v>5</v>
      </c>
      <c r="G66" s="13">
        <v>81.510000000000005</v>
      </c>
      <c r="H66" s="87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3"/>
      <c r="B67" s="14" t="s">
        <v>49</v>
      </c>
      <c r="C67" s="16" t="s">
        <v>111</v>
      </c>
      <c r="D67" s="14" t="s">
        <v>54</v>
      </c>
      <c r="E67" s="69">
        <v>13287</v>
      </c>
      <c r="F67" s="13">
        <f>SUM(E67/100)</f>
        <v>132.87</v>
      </c>
      <c r="G67" s="13">
        <v>226.79</v>
      </c>
      <c r="H67" s="87">
        <f t="shared" si="6"/>
        <v>30.133587299999999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1"/>
      <c r="S67" s="161"/>
      <c r="T67" s="161"/>
      <c r="U67" s="161"/>
    </row>
    <row r="68" spans="1:21" ht="15.75" hidden="1" customHeight="1">
      <c r="A68" s="33"/>
      <c r="B68" s="14" t="s">
        <v>50</v>
      </c>
      <c r="C68" s="16" t="s">
        <v>112</v>
      </c>
      <c r="D68" s="14"/>
      <c r="E68" s="69">
        <v>13287</v>
      </c>
      <c r="F68" s="13">
        <f>SUM(E68/1000)</f>
        <v>13.287000000000001</v>
      </c>
      <c r="G68" s="13">
        <v>176.61</v>
      </c>
      <c r="H68" s="87">
        <f t="shared" si="6"/>
        <v>2.3466170700000002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3"/>
      <c r="B69" s="14" t="s">
        <v>51</v>
      </c>
      <c r="C69" s="16" t="s">
        <v>77</v>
      </c>
      <c r="D69" s="14" t="s">
        <v>54</v>
      </c>
      <c r="E69" s="69">
        <v>2110</v>
      </c>
      <c r="F69" s="13">
        <f>SUM(E69/100)</f>
        <v>21.1</v>
      </c>
      <c r="G69" s="13">
        <v>2217.7800000000002</v>
      </c>
      <c r="H69" s="87">
        <f>SUM(F69*G69/1000)</f>
        <v>46.795158000000008</v>
      </c>
      <c r="I69" s="13">
        <v>0</v>
      </c>
    </row>
    <row r="70" spans="1:21" ht="15.75" hidden="1" customHeight="1">
      <c r="A70" s="33"/>
      <c r="B70" s="88" t="s">
        <v>113</v>
      </c>
      <c r="C70" s="16" t="s">
        <v>33</v>
      </c>
      <c r="D70" s="14"/>
      <c r="E70" s="69">
        <v>8.6</v>
      </c>
      <c r="F70" s="13">
        <f>SUM(E70)</f>
        <v>8.6</v>
      </c>
      <c r="G70" s="13">
        <v>42.67</v>
      </c>
      <c r="H70" s="87">
        <f t="shared" si="6"/>
        <v>0.36696200000000001</v>
      </c>
      <c r="I70" s="13">
        <v>0</v>
      </c>
    </row>
    <row r="71" spans="1:21" ht="15.75" hidden="1" customHeight="1">
      <c r="A71" s="33"/>
      <c r="B71" s="88" t="s">
        <v>114</v>
      </c>
      <c r="C71" s="16" t="s">
        <v>33</v>
      </c>
      <c r="D71" s="14"/>
      <c r="E71" s="69">
        <v>8.6</v>
      </c>
      <c r="F71" s="13">
        <f>SUM(E71)</f>
        <v>8.6</v>
      </c>
      <c r="G71" s="13">
        <v>39.81</v>
      </c>
      <c r="H71" s="87">
        <f t="shared" si="6"/>
        <v>0.342366</v>
      </c>
      <c r="I71" s="13">
        <v>0</v>
      </c>
    </row>
    <row r="72" spans="1:21" ht="15.75" hidden="1" customHeight="1">
      <c r="A72" s="33"/>
      <c r="B72" s="14" t="s">
        <v>57</v>
      </c>
      <c r="C72" s="16" t="s">
        <v>58</v>
      </c>
      <c r="D72" s="14" t="s">
        <v>54</v>
      </c>
      <c r="E72" s="19">
        <v>6</v>
      </c>
      <c r="F72" s="70">
        <v>6</v>
      </c>
      <c r="G72" s="13">
        <v>53.32</v>
      </c>
      <c r="H72" s="87">
        <f t="shared" si="6"/>
        <v>0.31992000000000004</v>
      </c>
      <c r="I72" s="13">
        <v>0</v>
      </c>
    </row>
    <row r="73" spans="1:21" ht="15.75" hidden="1" customHeight="1">
      <c r="A73" s="33"/>
      <c r="B73" s="54" t="s">
        <v>72</v>
      </c>
      <c r="C73" s="16"/>
      <c r="D73" s="14"/>
      <c r="E73" s="19"/>
      <c r="F73" s="13"/>
      <c r="G73" s="13"/>
      <c r="H73" s="87" t="s">
        <v>145</v>
      </c>
      <c r="I73" s="13"/>
    </row>
    <row r="74" spans="1:21" ht="15.75" hidden="1" customHeight="1">
      <c r="A74" s="33"/>
      <c r="B74" s="14" t="s">
        <v>73</v>
      </c>
      <c r="C74" s="16" t="s">
        <v>75</v>
      </c>
      <c r="D74" s="14"/>
      <c r="E74" s="19">
        <v>2</v>
      </c>
      <c r="F74" s="13">
        <v>0.2</v>
      </c>
      <c r="G74" s="13">
        <v>536.23</v>
      </c>
      <c r="H74" s="87">
        <f t="shared" si="6"/>
        <v>0.10724600000000001</v>
      </c>
      <c r="I74" s="13">
        <v>0</v>
      </c>
    </row>
    <row r="75" spans="1:21" ht="15.75" hidden="1" customHeight="1">
      <c r="A75" s="33"/>
      <c r="B75" s="14" t="s">
        <v>74</v>
      </c>
      <c r="C75" s="16" t="s">
        <v>31</v>
      </c>
      <c r="D75" s="14"/>
      <c r="E75" s="19">
        <v>2</v>
      </c>
      <c r="F75" s="61">
        <v>2</v>
      </c>
      <c r="G75" s="13">
        <v>911.85</v>
      </c>
      <c r="H75" s="87">
        <f>F75*G75/1000</f>
        <v>1.8237000000000001</v>
      </c>
      <c r="I75" s="13">
        <v>0</v>
      </c>
    </row>
    <row r="76" spans="1:21" ht="15.75" hidden="1" customHeight="1">
      <c r="A76" s="33"/>
      <c r="B76" s="14" t="s">
        <v>116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87">
        <f>G76*F76/1000</f>
        <v>0.38324999999999998</v>
      </c>
      <c r="I76" s="13">
        <v>0</v>
      </c>
    </row>
    <row r="77" spans="1:21" ht="15.75" hidden="1" customHeight="1">
      <c r="A77" s="33"/>
      <c r="B77" s="90" t="s">
        <v>76</v>
      </c>
      <c r="C77" s="16"/>
      <c r="D77" s="14"/>
      <c r="E77" s="19"/>
      <c r="F77" s="13"/>
      <c r="G77" s="13" t="s">
        <v>145</v>
      </c>
      <c r="H77" s="87" t="s">
        <v>145</v>
      </c>
      <c r="I77" s="13"/>
    </row>
    <row r="78" spans="1:21" ht="15.75" hidden="1" customHeight="1">
      <c r="A78" s="33"/>
      <c r="B78" s="47" t="s">
        <v>133</v>
      </c>
      <c r="C78" s="16" t="s">
        <v>77</v>
      </c>
      <c r="D78" s="14"/>
      <c r="E78" s="19"/>
      <c r="F78" s="13">
        <v>0.5</v>
      </c>
      <c r="G78" s="13">
        <v>2949.85</v>
      </c>
      <c r="H78" s="87">
        <f t="shared" si="6"/>
        <v>1.474925</v>
      </c>
      <c r="I78" s="13">
        <v>0</v>
      </c>
    </row>
    <row r="79" spans="1:21" ht="15.75" hidden="1" customHeight="1">
      <c r="A79" s="33"/>
      <c r="B79" s="97" t="s">
        <v>94</v>
      </c>
      <c r="C79" s="97"/>
      <c r="D79" s="97"/>
      <c r="E79" s="97"/>
      <c r="F79" s="97"/>
      <c r="G79" s="78"/>
      <c r="H79" s="91">
        <f>SUM(H60:H78)</f>
        <v>104.75020877000001</v>
      </c>
      <c r="I79" s="78"/>
    </row>
    <row r="80" spans="1:21" ht="15.75" hidden="1" customHeight="1">
      <c r="A80" s="33"/>
      <c r="B80" s="95" t="s">
        <v>115</v>
      </c>
      <c r="C80" s="24"/>
      <c r="D80" s="23"/>
      <c r="E80" s="62"/>
      <c r="F80" s="96">
        <v>1</v>
      </c>
      <c r="G80" s="13">
        <v>7634.7</v>
      </c>
      <c r="H80" s="87">
        <f>G80*F80/1000</f>
        <v>7.6346999999999996</v>
      </c>
      <c r="I80" s="13">
        <v>0</v>
      </c>
    </row>
    <row r="81" spans="1:9" ht="15" customHeight="1">
      <c r="A81" s="162" t="s">
        <v>141</v>
      </c>
      <c r="B81" s="163"/>
      <c r="C81" s="163"/>
      <c r="D81" s="163"/>
      <c r="E81" s="163"/>
      <c r="F81" s="163"/>
      <c r="G81" s="163"/>
      <c r="H81" s="163"/>
      <c r="I81" s="164"/>
    </row>
    <row r="82" spans="1:9" ht="15.75" customHeight="1">
      <c r="A82" s="33">
        <v>13</v>
      </c>
      <c r="B82" s="67" t="s">
        <v>117</v>
      </c>
      <c r="C82" s="16" t="s">
        <v>55</v>
      </c>
      <c r="D82" s="92" t="s">
        <v>163</v>
      </c>
      <c r="E82" s="13">
        <v>2626.5</v>
      </c>
      <c r="F82" s="13">
        <f>SUM(E82*12)</f>
        <v>31518</v>
      </c>
      <c r="G82" s="13">
        <v>2.2400000000000002</v>
      </c>
      <c r="H82" s="87">
        <f>SUM(F82*G82/1000)</f>
        <v>70.600320000000011</v>
      </c>
      <c r="I82" s="13">
        <f>F82/12*G82</f>
        <v>5883.3600000000006</v>
      </c>
    </row>
    <row r="83" spans="1:9" ht="31.5" customHeight="1">
      <c r="A83" s="33">
        <v>14</v>
      </c>
      <c r="B83" s="14" t="s">
        <v>78</v>
      </c>
      <c r="C83" s="16"/>
      <c r="D83" s="92" t="s">
        <v>163</v>
      </c>
      <c r="E83" s="69">
        <f>E82</f>
        <v>2626.5</v>
      </c>
      <c r="F83" s="13">
        <f>E83*12</f>
        <v>31518</v>
      </c>
      <c r="G83" s="13">
        <v>1.74</v>
      </c>
      <c r="H83" s="87">
        <f>F83*G83/1000</f>
        <v>54.841320000000003</v>
      </c>
      <c r="I83" s="13">
        <f>F83/12*G83</f>
        <v>4570.1099999999997</v>
      </c>
    </row>
    <row r="84" spans="1:9" ht="15.75" customHeight="1">
      <c r="A84" s="33"/>
      <c r="B84" s="40" t="s">
        <v>81</v>
      </c>
      <c r="C84" s="90"/>
      <c r="D84" s="89"/>
      <c r="E84" s="78"/>
      <c r="F84" s="78"/>
      <c r="G84" s="78"/>
      <c r="H84" s="91">
        <f>H83</f>
        <v>54.841320000000003</v>
      </c>
      <c r="I84" s="78">
        <f>I16+I17+I18+I20+I27+I28+I31+I32+I34+I35+I63+I65+I82+I83</f>
        <v>33854.92098266667</v>
      </c>
    </row>
    <row r="85" spans="1:9" ht="15.75" customHeight="1">
      <c r="A85" s="173" t="s">
        <v>60</v>
      </c>
      <c r="B85" s="174"/>
      <c r="C85" s="174"/>
      <c r="D85" s="174"/>
      <c r="E85" s="174"/>
      <c r="F85" s="174"/>
      <c r="G85" s="174"/>
      <c r="H85" s="174"/>
      <c r="I85" s="175"/>
    </row>
    <row r="86" spans="1:9" ht="15.75" customHeight="1">
      <c r="A86" s="33">
        <v>15</v>
      </c>
      <c r="B86" s="50" t="s">
        <v>126</v>
      </c>
      <c r="C86" s="53" t="s">
        <v>109</v>
      </c>
      <c r="D86" s="14"/>
      <c r="E86" s="19"/>
      <c r="F86" s="13">
        <v>552</v>
      </c>
      <c r="G86" s="13">
        <v>53.42</v>
      </c>
      <c r="H86" s="87">
        <f>G86*F86/1000</f>
        <v>29.487839999999998</v>
      </c>
      <c r="I86" s="13">
        <f>G86*46</f>
        <v>2457.3200000000002</v>
      </c>
    </row>
    <row r="87" spans="1:9" ht="15.75" customHeight="1">
      <c r="A87" s="33">
        <v>16</v>
      </c>
      <c r="B87" s="50" t="s">
        <v>171</v>
      </c>
      <c r="C87" s="53" t="s">
        <v>109</v>
      </c>
      <c r="D87" s="14"/>
      <c r="E87" s="19"/>
      <c r="F87" s="13">
        <v>6</v>
      </c>
      <c r="G87" s="13">
        <v>189.88</v>
      </c>
      <c r="H87" s="13">
        <f>G87*F87/1000</f>
        <v>1.1392800000000001</v>
      </c>
      <c r="I87" s="13">
        <f>G87*2</f>
        <v>379.76</v>
      </c>
    </row>
    <row r="88" spans="1:9" ht="15.75" customHeight="1">
      <c r="A88" s="33">
        <v>17</v>
      </c>
      <c r="B88" s="14" t="s">
        <v>172</v>
      </c>
      <c r="C88" s="16" t="s">
        <v>109</v>
      </c>
      <c r="D88" s="14"/>
      <c r="E88" s="19"/>
      <c r="F88" s="13">
        <v>2</v>
      </c>
      <c r="G88" s="13">
        <v>86.15</v>
      </c>
      <c r="H88" s="13">
        <f t="shared" ref="H88" si="7">G88*F88/1000</f>
        <v>0.17230000000000001</v>
      </c>
      <c r="I88" s="13">
        <f>G88</f>
        <v>86.15</v>
      </c>
    </row>
    <row r="89" spans="1:9" ht="31.5" customHeight="1">
      <c r="A89" s="33">
        <v>18</v>
      </c>
      <c r="B89" s="51" t="s">
        <v>178</v>
      </c>
      <c r="C89" s="52" t="s">
        <v>29</v>
      </c>
      <c r="D89" s="39"/>
      <c r="E89" s="18"/>
      <c r="F89" s="104">
        <v>5.0000000000000001E-3</v>
      </c>
      <c r="G89" s="37">
        <v>1591.6</v>
      </c>
      <c r="H89" s="103">
        <f>G89*F89/1000</f>
        <v>7.9579999999999998E-3</v>
      </c>
      <c r="I89" s="13">
        <f>G89*0.001</f>
        <v>1.5915999999999999</v>
      </c>
    </row>
    <row r="90" spans="1:9" ht="15.75" customHeight="1">
      <c r="A90" s="33">
        <v>19</v>
      </c>
      <c r="B90" s="50" t="s">
        <v>183</v>
      </c>
      <c r="C90" s="53" t="s">
        <v>149</v>
      </c>
      <c r="D90" s="107"/>
      <c r="E90" s="37"/>
      <c r="F90" s="37">
        <v>0.02</v>
      </c>
      <c r="G90" s="37">
        <v>7412.92</v>
      </c>
      <c r="H90" s="103">
        <f>G90*F90/1000</f>
        <v>0.14825839999999998</v>
      </c>
      <c r="I90" s="13">
        <f>G90*0.01</f>
        <v>74.129199999999997</v>
      </c>
    </row>
    <row r="91" spans="1:9" ht="31.5" customHeight="1">
      <c r="A91" s="33">
        <v>20</v>
      </c>
      <c r="B91" s="66" t="s">
        <v>151</v>
      </c>
      <c r="C91" s="33" t="s">
        <v>82</v>
      </c>
      <c r="D91" s="39"/>
      <c r="E91" s="18"/>
      <c r="F91" s="37">
        <v>2.5</v>
      </c>
      <c r="G91" s="13">
        <v>1187</v>
      </c>
      <c r="H91" s="103">
        <f>G91*F91/1000</f>
        <v>2.9674999999999998</v>
      </c>
      <c r="I91" s="13">
        <f>G91</f>
        <v>1187</v>
      </c>
    </row>
    <row r="92" spans="1:9" ht="31.5" customHeight="1">
      <c r="A92" s="33">
        <v>21</v>
      </c>
      <c r="B92" s="66" t="s">
        <v>150</v>
      </c>
      <c r="C92" s="33" t="s">
        <v>82</v>
      </c>
      <c r="D92" s="39"/>
      <c r="E92" s="18"/>
      <c r="F92" s="37">
        <v>1.3</v>
      </c>
      <c r="G92" s="13">
        <v>1272</v>
      </c>
      <c r="H92" s="103">
        <f t="shared" ref="H92" si="8">G92*F92/1000</f>
        <v>1.6536000000000002</v>
      </c>
      <c r="I92" s="13">
        <f>G92*0.3</f>
        <v>381.59999999999997</v>
      </c>
    </row>
    <row r="93" spans="1:9" ht="15.75" customHeight="1">
      <c r="A93" s="33">
        <v>22</v>
      </c>
      <c r="B93" s="50" t="s">
        <v>213</v>
      </c>
      <c r="C93" s="53" t="s">
        <v>214</v>
      </c>
      <c r="D93" s="14"/>
      <c r="E93" s="19"/>
      <c r="F93" s="13">
        <v>4</v>
      </c>
      <c r="G93" s="13">
        <v>206.54</v>
      </c>
      <c r="H93" s="87">
        <f>G93*F93/1000</f>
        <v>0.82616000000000001</v>
      </c>
      <c r="I93" s="13">
        <f>G93*(2+1+1)</f>
        <v>826.16</v>
      </c>
    </row>
    <row r="94" spans="1:9" ht="31.5" customHeight="1">
      <c r="A94" s="33">
        <v>23</v>
      </c>
      <c r="B94" s="50" t="s">
        <v>215</v>
      </c>
      <c r="C94" s="53" t="s">
        <v>216</v>
      </c>
      <c r="D94" s="14"/>
      <c r="E94" s="19"/>
      <c r="F94" s="13">
        <v>5</v>
      </c>
      <c r="G94" s="13">
        <v>589.84</v>
      </c>
      <c r="H94" s="87">
        <f>G94*F94/1000</f>
        <v>2.9492000000000003</v>
      </c>
      <c r="I94" s="13">
        <f>G94*(3+2)</f>
        <v>2949.2000000000003</v>
      </c>
    </row>
    <row r="95" spans="1:9" ht="16.5" customHeight="1">
      <c r="A95" s="33"/>
      <c r="B95" s="45" t="s">
        <v>52</v>
      </c>
      <c r="C95" s="41"/>
      <c r="D95" s="48"/>
      <c r="E95" s="41">
        <v>1</v>
      </c>
      <c r="F95" s="41"/>
      <c r="G95" s="41"/>
      <c r="H95" s="41"/>
      <c r="I95" s="35">
        <f>SUM(I86:I94)</f>
        <v>8342.9108000000015</v>
      </c>
    </row>
    <row r="96" spans="1:9" ht="15.75" customHeight="1">
      <c r="A96" s="33"/>
      <c r="B96" s="47" t="s">
        <v>79</v>
      </c>
      <c r="C96" s="15"/>
      <c r="D96" s="15"/>
      <c r="E96" s="42"/>
      <c r="F96" s="42"/>
      <c r="G96" s="43"/>
      <c r="H96" s="43"/>
      <c r="I96" s="18">
        <v>0</v>
      </c>
    </row>
    <row r="97" spans="1:9" ht="15.75" customHeight="1">
      <c r="A97" s="49"/>
      <c r="B97" s="46" t="s">
        <v>174</v>
      </c>
      <c r="C97" s="36"/>
      <c r="D97" s="36"/>
      <c r="E97" s="36"/>
      <c r="F97" s="36"/>
      <c r="G97" s="36"/>
      <c r="H97" s="36"/>
      <c r="I97" s="44">
        <f>I84+I95</f>
        <v>42197.831782666675</v>
      </c>
    </row>
    <row r="98" spans="1:9" ht="15.75" customHeight="1">
      <c r="A98" s="165" t="s">
        <v>217</v>
      </c>
      <c r="B98" s="165"/>
      <c r="C98" s="165"/>
      <c r="D98" s="165"/>
      <c r="E98" s="165"/>
      <c r="F98" s="165"/>
      <c r="G98" s="165"/>
      <c r="H98" s="165"/>
      <c r="I98" s="165"/>
    </row>
    <row r="99" spans="1:9" ht="15.75">
      <c r="A99" s="60"/>
      <c r="B99" s="166" t="s">
        <v>218</v>
      </c>
      <c r="C99" s="166"/>
      <c r="D99" s="166"/>
      <c r="E99" s="166"/>
      <c r="F99" s="166"/>
      <c r="G99" s="166"/>
      <c r="H99" s="65"/>
      <c r="I99" s="3"/>
    </row>
    <row r="100" spans="1:9">
      <c r="A100" s="59"/>
      <c r="B100" s="167" t="s">
        <v>6</v>
      </c>
      <c r="C100" s="167"/>
      <c r="D100" s="167"/>
      <c r="E100" s="167"/>
      <c r="F100" s="167"/>
      <c r="G100" s="167"/>
      <c r="H100" s="28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68" t="s">
        <v>7</v>
      </c>
      <c r="B102" s="168"/>
      <c r="C102" s="168"/>
      <c r="D102" s="168"/>
      <c r="E102" s="168"/>
      <c r="F102" s="168"/>
      <c r="G102" s="168"/>
      <c r="H102" s="168"/>
      <c r="I102" s="168"/>
    </row>
    <row r="103" spans="1:9" ht="15.75">
      <c r="A103" s="168" t="s">
        <v>8</v>
      </c>
      <c r="B103" s="168"/>
      <c r="C103" s="168"/>
      <c r="D103" s="168"/>
      <c r="E103" s="168"/>
      <c r="F103" s="168"/>
      <c r="G103" s="168"/>
      <c r="H103" s="168"/>
      <c r="I103" s="168"/>
    </row>
    <row r="104" spans="1:9" ht="15.75">
      <c r="A104" s="169" t="s">
        <v>61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>
      <c r="A105" s="11"/>
    </row>
    <row r="106" spans="1:9" ht="15.75">
      <c r="A106" s="170" t="s">
        <v>9</v>
      </c>
      <c r="B106" s="170"/>
      <c r="C106" s="170"/>
      <c r="D106" s="170"/>
      <c r="E106" s="170"/>
      <c r="F106" s="170"/>
      <c r="G106" s="170"/>
      <c r="H106" s="170"/>
      <c r="I106" s="170"/>
    </row>
    <row r="107" spans="1:9" ht="15.75" customHeight="1">
      <c r="A107" s="4"/>
    </row>
    <row r="108" spans="1:9" ht="15.75">
      <c r="B108" s="56" t="s">
        <v>10</v>
      </c>
      <c r="C108" s="171" t="s">
        <v>140</v>
      </c>
      <c r="D108" s="171"/>
      <c r="E108" s="171"/>
      <c r="F108" s="63"/>
      <c r="I108" s="58"/>
    </row>
    <row r="109" spans="1:9">
      <c r="A109" s="59"/>
      <c r="C109" s="167" t="s">
        <v>11</v>
      </c>
      <c r="D109" s="167"/>
      <c r="E109" s="167"/>
      <c r="F109" s="28"/>
      <c r="I109" s="57" t="s">
        <v>12</v>
      </c>
    </row>
    <row r="110" spans="1:9" ht="15.75" customHeight="1">
      <c r="A110" s="29"/>
      <c r="C110" s="12"/>
      <c r="D110" s="12"/>
      <c r="G110" s="12"/>
      <c r="H110" s="12"/>
    </row>
    <row r="111" spans="1:9" ht="15.75" customHeight="1">
      <c r="B111" s="56" t="s">
        <v>13</v>
      </c>
      <c r="C111" s="172"/>
      <c r="D111" s="172"/>
      <c r="E111" s="172"/>
      <c r="F111" s="64"/>
      <c r="I111" s="58"/>
    </row>
    <row r="112" spans="1:9" ht="15.75" customHeight="1">
      <c r="A112" s="59"/>
      <c r="C112" s="161" t="s">
        <v>11</v>
      </c>
      <c r="D112" s="161"/>
      <c r="E112" s="161"/>
      <c r="F112" s="59"/>
      <c r="I112" s="57" t="s">
        <v>12</v>
      </c>
    </row>
    <row r="113" spans="1:9" ht="15.75">
      <c r="A113" s="4" t="s">
        <v>14</v>
      </c>
    </row>
    <row r="114" spans="1:9">
      <c r="A114" s="176" t="s">
        <v>15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45" customHeight="1">
      <c r="A115" s="177" t="s">
        <v>16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30" customHeight="1">
      <c r="A116" s="177" t="s">
        <v>17</v>
      </c>
      <c r="B116" s="177"/>
      <c r="C116" s="177"/>
      <c r="D116" s="177"/>
      <c r="E116" s="177"/>
      <c r="F116" s="177"/>
      <c r="G116" s="177"/>
      <c r="H116" s="177"/>
      <c r="I116" s="177"/>
    </row>
    <row r="117" spans="1:9" ht="30" customHeight="1">
      <c r="A117" s="177" t="s">
        <v>21</v>
      </c>
      <c r="B117" s="177"/>
      <c r="C117" s="177"/>
      <c r="D117" s="177"/>
      <c r="E117" s="177"/>
      <c r="F117" s="177"/>
      <c r="G117" s="177"/>
      <c r="H117" s="177"/>
      <c r="I117" s="177"/>
    </row>
    <row r="118" spans="1:9" ht="15" customHeight="1">
      <c r="A118" s="177" t="s">
        <v>20</v>
      </c>
      <c r="B118" s="177"/>
      <c r="C118" s="177"/>
      <c r="D118" s="177"/>
      <c r="E118" s="177"/>
      <c r="F118" s="177"/>
      <c r="G118" s="177"/>
      <c r="H118" s="177"/>
      <c r="I118" s="177"/>
    </row>
  </sheetData>
  <autoFilter ref="I12:I62"/>
  <mergeCells count="29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9:I29"/>
    <mergeCell ref="A47:I47"/>
    <mergeCell ref="A58:I58"/>
    <mergeCell ref="A98:I98"/>
    <mergeCell ref="B99:G99"/>
    <mergeCell ref="B100:G100"/>
    <mergeCell ref="A102:I102"/>
    <mergeCell ref="A103:I103"/>
    <mergeCell ref="A85:I85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219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220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4">
        <v>43069</v>
      </c>
      <c r="J6" s="2"/>
      <c r="K6" s="2"/>
      <c r="L6" s="2"/>
      <c r="M6" s="2"/>
    </row>
    <row r="7" spans="1:13" ht="15.75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223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111" t="s">
        <v>87</v>
      </c>
      <c r="C16" s="112" t="s">
        <v>88</v>
      </c>
      <c r="D16" s="111" t="s">
        <v>167</v>
      </c>
      <c r="E16" s="113">
        <v>49.72</v>
      </c>
      <c r="F16" s="114">
        <f>SUM(E16*156/100)</f>
        <v>77.563199999999995</v>
      </c>
      <c r="G16" s="114">
        <v>230</v>
      </c>
      <c r="H16" s="115">
        <f t="shared" ref="H16:H25" si="0">SUM(F16*G16/1000)</f>
        <v>17.839535999999999</v>
      </c>
      <c r="I16" s="13">
        <f>F16/12*G16</f>
        <v>1486.6279999999999</v>
      </c>
      <c r="J16" s="25"/>
      <c r="K16" s="8"/>
      <c r="L16" s="8"/>
      <c r="M16" s="8"/>
    </row>
    <row r="17" spans="1:13" ht="15.75" customHeight="1">
      <c r="A17" s="33">
        <v>2</v>
      </c>
      <c r="B17" s="111" t="s">
        <v>118</v>
      </c>
      <c r="C17" s="112" t="s">
        <v>88</v>
      </c>
      <c r="D17" s="111" t="s">
        <v>168</v>
      </c>
      <c r="E17" s="113">
        <v>198.88</v>
      </c>
      <c r="F17" s="114">
        <f>SUM(E17*104/100)</f>
        <v>206.83520000000001</v>
      </c>
      <c r="G17" s="114">
        <v>230</v>
      </c>
      <c r="H17" s="115">
        <f t="shared" si="0"/>
        <v>47.572096000000002</v>
      </c>
      <c r="I17" s="13">
        <f>F17/12*G17</f>
        <v>3964.3413333333338</v>
      </c>
      <c r="J17" s="26"/>
      <c r="K17" s="8"/>
      <c r="L17" s="8"/>
      <c r="M17" s="8"/>
    </row>
    <row r="18" spans="1:13" ht="15.75" customHeight="1">
      <c r="A18" s="33">
        <v>3</v>
      </c>
      <c r="B18" s="111" t="s">
        <v>119</v>
      </c>
      <c r="C18" s="112" t="s">
        <v>88</v>
      </c>
      <c r="D18" s="111" t="s">
        <v>169</v>
      </c>
      <c r="E18" s="113">
        <v>248.6</v>
      </c>
      <c r="F18" s="114">
        <f>SUM(E18*24/100)</f>
        <v>59.663999999999994</v>
      </c>
      <c r="G18" s="114">
        <v>661.67</v>
      </c>
      <c r="H18" s="115">
        <f t="shared" si="0"/>
        <v>39.477878879999999</v>
      </c>
      <c r="I18" s="13">
        <f>F18/12*G18</f>
        <v>3289.8232399999993</v>
      </c>
      <c r="J18" s="26"/>
      <c r="K18" s="8"/>
      <c r="L18" s="8"/>
      <c r="M18" s="8"/>
    </row>
    <row r="19" spans="1:13" ht="15.75" hidden="1" customHeight="1">
      <c r="A19" s="33"/>
      <c r="B19" s="111" t="s">
        <v>95</v>
      </c>
      <c r="C19" s="112" t="s">
        <v>96</v>
      </c>
      <c r="D19" s="111" t="s">
        <v>97</v>
      </c>
      <c r="E19" s="113">
        <v>18.48</v>
      </c>
      <c r="F19" s="114">
        <f>SUM(E19/10)</f>
        <v>1.8480000000000001</v>
      </c>
      <c r="G19" s="114">
        <v>223.17</v>
      </c>
      <c r="H19" s="115">
        <f t="shared" si="0"/>
        <v>0.41241815999999998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111" t="s">
        <v>98</v>
      </c>
      <c r="C20" s="112" t="s">
        <v>88</v>
      </c>
      <c r="D20" s="111" t="s">
        <v>224</v>
      </c>
      <c r="E20" s="113">
        <v>10.5</v>
      </c>
      <c r="F20" s="114">
        <f>SUM(E20*12/100)</f>
        <v>1.26</v>
      </c>
      <c r="G20" s="114">
        <v>285.76</v>
      </c>
      <c r="H20" s="115">
        <f t="shared" si="0"/>
        <v>0.36005759999999998</v>
      </c>
      <c r="I20" s="13">
        <f>F20/12*G20</f>
        <v>30.004799999999999</v>
      </c>
      <c r="J20" s="26"/>
      <c r="K20" s="8"/>
      <c r="L20" s="8"/>
      <c r="M20" s="8"/>
    </row>
    <row r="21" spans="1:13" ht="15.75" hidden="1" customHeight="1">
      <c r="A21" s="33">
        <v>5</v>
      </c>
      <c r="B21" s="111" t="s">
        <v>99</v>
      </c>
      <c r="C21" s="112" t="s">
        <v>88</v>
      </c>
      <c r="D21" s="111" t="s">
        <v>42</v>
      </c>
      <c r="E21" s="113">
        <v>3</v>
      </c>
      <c r="F21" s="114">
        <f>SUM(E21*2/100)</f>
        <v>0.06</v>
      </c>
      <c r="G21" s="114">
        <v>283.44</v>
      </c>
      <c r="H21" s="115">
        <f t="shared" si="0"/>
        <v>1.7006399999999998E-2</v>
      </c>
      <c r="I21" s="13">
        <f>F21/6*G21</f>
        <v>2.8344</v>
      </c>
      <c r="J21" s="26"/>
      <c r="K21" s="8"/>
      <c r="L21" s="8"/>
      <c r="M21" s="8"/>
    </row>
    <row r="22" spans="1:13" ht="15.75" hidden="1" customHeight="1">
      <c r="A22" s="33"/>
      <c r="B22" s="111" t="s">
        <v>100</v>
      </c>
      <c r="C22" s="112" t="s">
        <v>53</v>
      </c>
      <c r="D22" s="111" t="s">
        <v>97</v>
      </c>
      <c r="E22" s="113">
        <v>267.75</v>
      </c>
      <c r="F22" s="114">
        <f>SUM(E22/100)</f>
        <v>2.6775000000000002</v>
      </c>
      <c r="G22" s="114">
        <v>353.14</v>
      </c>
      <c r="H22" s="115">
        <f t="shared" si="0"/>
        <v>0.94553235000000002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111" t="s">
        <v>101</v>
      </c>
      <c r="C23" s="112" t="s">
        <v>53</v>
      </c>
      <c r="D23" s="111" t="s">
        <v>97</v>
      </c>
      <c r="E23" s="116">
        <v>36.229999999999997</v>
      </c>
      <c r="F23" s="114">
        <f>SUM(E23/100)</f>
        <v>0.36229999999999996</v>
      </c>
      <c r="G23" s="114">
        <v>58.08</v>
      </c>
      <c r="H23" s="115">
        <f t="shared" si="0"/>
        <v>2.1042383999999997E-2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111" t="s">
        <v>102</v>
      </c>
      <c r="C24" s="112" t="s">
        <v>53</v>
      </c>
      <c r="D24" s="111" t="s">
        <v>54</v>
      </c>
      <c r="E24" s="113">
        <v>15</v>
      </c>
      <c r="F24" s="114">
        <f>SUM(E24/100)</f>
        <v>0.15</v>
      </c>
      <c r="G24" s="114">
        <v>511.12</v>
      </c>
      <c r="H24" s="115">
        <f t="shared" si="0"/>
        <v>7.6667999999999986E-2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111" t="s">
        <v>103</v>
      </c>
      <c r="C25" s="112" t="s">
        <v>53</v>
      </c>
      <c r="D25" s="111" t="s">
        <v>54</v>
      </c>
      <c r="E25" s="113">
        <v>6.38</v>
      </c>
      <c r="F25" s="114">
        <f>SUM(E25/100)</f>
        <v>6.3799999999999996E-2</v>
      </c>
      <c r="G25" s="114">
        <v>683.05</v>
      </c>
      <c r="H25" s="115">
        <f t="shared" si="0"/>
        <v>4.3578589999999993E-2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111" t="s">
        <v>128</v>
      </c>
      <c r="C26" s="112" t="s">
        <v>53</v>
      </c>
      <c r="D26" s="111" t="s">
        <v>54</v>
      </c>
      <c r="E26" s="113">
        <v>14.25</v>
      </c>
      <c r="F26" s="114">
        <v>0.14000000000000001</v>
      </c>
      <c r="G26" s="114">
        <v>283.44</v>
      </c>
      <c r="H26" s="115">
        <f>G26*F26/1000</f>
        <v>3.9681600000000004E-2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111" t="s">
        <v>64</v>
      </c>
      <c r="C27" s="112" t="s">
        <v>33</v>
      </c>
      <c r="D27" s="111" t="s">
        <v>63</v>
      </c>
      <c r="E27" s="118">
        <v>0.1</v>
      </c>
      <c r="F27" s="114">
        <f>SUM(E27*155)</f>
        <v>15.5</v>
      </c>
      <c r="G27" s="114">
        <v>264.85000000000002</v>
      </c>
      <c r="H27" s="115">
        <f>SUM(F27*G27/1000)</f>
        <v>4.105175</v>
      </c>
      <c r="I27" s="13">
        <f>F27/12*G27</f>
        <v>342.09791666666672</v>
      </c>
      <c r="J27" s="27"/>
    </row>
    <row r="28" spans="1:13" ht="15.75" customHeight="1">
      <c r="A28" s="33">
        <v>6</v>
      </c>
      <c r="B28" s="119" t="s">
        <v>23</v>
      </c>
      <c r="C28" s="112" t="s">
        <v>24</v>
      </c>
      <c r="D28" s="119" t="s">
        <v>145</v>
      </c>
      <c r="E28" s="113">
        <v>2626.5</v>
      </c>
      <c r="F28" s="114">
        <f>SUM(E28*12)</f>
        <v>31518</v>
      </c>
      <c r="G28" s="114">
        <v>3.36</v>
      </c>
      <c r="H28" s="115">
        <f>SUM(F28*G28/1000)</f>
        <v>105.90048</v>
      </c>
      <c r="I28" s="13">
        <f t="shared" ref="I28" si="1">F28/12*G28</f>
        <v>8825.0399999999991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hidden="1" customHeight="1">
      <c r="A30" s="33"/>
      <c r="B30" s="142" t="s">
        <v>28</v>
      </c>
      <c r="C30" s="112"/>
      <c r="D30" s="111"/>
      <c r="E30" s="113"/>
      <c r="F30" s="114"/>
      <c r="G30" s="114"/>
      <c r="H30" s="115"/>
      <c r="I30" s="13"/>
      <c r="J30" s="27"/>
    </row>
    <row r="31" spans="1:13" ht="15.75" hidden="1" customHeight="1">
      <c r="A31" s="33"/>
      <c r="B31" s="111" t="s">
        <v>107</v>
      </c>
      <c r="C31" s="112" t="s">
        <v>90</v>
      </c>
      <c r="D31" s="111" t="s">
        <v>187</v>
      </c>
      <c r="E31" s="114">
        <v>665</v>
      </c>
      <c r="F31" s="114">
        <f>SUM(E31*52/1000)</f>
        <v>34.58</v>
      </c>
      <c r="G31" s="114">
        <v>204.44</v>
      </c>
      <c r="H31" s="115">
        <f t="shared" ref="H31:H37" si="2">SUM(F31*G31/1000)</f>
        <v>7.0695351999999989</v>
      </c>
      <c r="I31" s="13">
        <f t="shared" ref="I31:I32" si="3">F31/6*G31</f>
        <v>1178.2558666666666</v>
      </c>
      <c r="J31" s="26"/>
      <c r="K31" s="8"/>
      <c r="L31" s="8"/>
      <c r="M31" s="8"/>
    </row>
    <row r="32" spans="1:13" ht="15.75" hidden="1" customHeight="1">
      <c r="A32" s="33"/>
      <c r="B32" s="111" t="s">
        <v>122</v>
      </c>
      <c r="C32" s="112" t="s">
        <v>90</v>
      </c>
      <c r="D32" s="111" t="s">
        <v>188</v>
      </c>
      <c r="E32" s="114">
        <v>81.5</v>
      </c>
      <c r="F32" s="114">
        <f>SUM(E32*78/1000)</f>
        <v>6.3570000000000002</v>
      </c>
      <c r="G32" s="114">
        <v>339.21</v>
      </c>
      <c r="H32" s="115">
        <f t="shared" si="2"/>
        <v>2.1563579700000002</v>
      </c>
      <c r="I32" s="13">
        <f t="shared" si="3"/>
        <v>359.39299500000004</v>
      </c>
      <c r="J32" s="26"/>
      <c r="K32" s="8"/>
      <c r="L32" s="8"/>
      <c r="M32" s="8"/>
    </row>
    <row r="33" spans="1:14" ht="15.75" hidden="1" customHeight="1">
      <c r="A33" s="33"/>
      <c r="B33" s="111" t="s">
        <v>27</v>
      </c>
      <c r="C33" s="112" t="s">
        <v>90</v>
      </c>
      <c r="D33" s="111" t="s">
        <v>54</v>
      </c>
      <c r="E33" s="114">
        <v>665</v>
      </c>
      <c r="F33" s="114">
        <f>SUM(E33/1000)</f>
        <v>0.66500000000000004</v>
      </c>
      <c r="G33" s="114">
        <v>3961.23</v>
      </c>
      <c r="H33" s="115">
        <f t="shared" si="2"/>
        <v>2.63421795</v>
      </c>
      <c r="I33" s="13">
        <f>F33*G33</f>
        <v>2634.2179500000002</v>
      </c>
      <c r="J33" s="26"/>
      <c r="K33" s="8"/>
      <c r="L33" s="8"/>
      <c r="M33" s="8"/>
    </row>
    <row r="34" spans="1:14" ht="15.75" hidden="1" customHeight="1">
      <c r="A34" s="33"/>
      <c r="B34" s="111" t="s">
        <v>121</v>
      </c>
      <c r="C34" s="112" t="s">
        <v>40</v>
      </c>
      <c r="D34" s="111" t="s">
        <v>63</v>
      </c>
      <c r="E34" s="114">
        <v>3</v>
      </c>
      <c r="F34" s="114">
        <f>E34*155/100</f>
        <v>4.6500000000000004</v>
      </c>
      <c r="G34" s="114">
        <v>1707.63</v>
      </c>
      <c r="H34" s="115">
        <f>G34*F34/1000</f>
        <v>7.9404795000000012</v>
      </c>
      <c r="I34" s="13">
        <f>F34/6*G34</f>
        <v>1323.4132500000001</v>
      </c>
      <c r="J34" s="26"/>
      <c r="K34" s="8"/>
      <c r="L34" s="8"/>
      <c r="M34" s="8"/>
    </row>
    <row r="35" spans="1:14" ht="15.75" hidden="1" customHeight="1">
      <c r="A35" s="33"/>
      <c r="B35" s="111" t="s">
        <v>106</v>
      </c>
      <c r="C35" s="112" t="s">
        <v>31</v>
      </c>
      <c r="D35" s="111" t="s">
        <v>63</v>
      </c>
      <c r="E35" s="117">
        <f>1/3</f>
        <v>0.33333333333333331</v>
      </c>
      <c r="F35" s="114">
        <f>155/3</f>
        <v>51.666666666666664</v>
      </c>
      <c r="G35" s="114">
        <v>74.349999999999994</v>
      </c>
      <c r="H35" s="115">
        <f>SUM(G35*155/3/1000)</f>
        <v>3.8414166666666665</v>
      </c>
      <c r="I35" s="13">
        <f>F35/6*G35</f>
        <v>640.23611111111109</v>
      </c>
      <c r="J35" s="26"/>
      <c r="K35" s="8"/>
    </row>
    <row r="36" spans="1:14" ht="15.75" hidden="1" customHeight="1">
      <c r="A36" s="33"/>
      <c r="B36" s="111" t="s">
        <v>65</v>
      </c>
      <c r="C36" s="112" t="s">
        <v>33</v>
      </c>
      <c r="D36" s="111" t="s">
        <v>67</v>
      </c>
      <c r="E36" s="113"/>
      <c r="F36" s="114">
        <v>1</v>
      </c>
      <c r="G36" s="114">
        <v>250.92</v>
      </c>
      <c r="H36" s="115">
        <f t="shared" si="2"/>
        <v>0.25091999999999998</v>
      </c>
      <c r="I36" s="13">
        <v>0</v>
      </c>
      <c r="J36" s="27"/>
    </row>
    <row r="37" spans="1:14" ht="15.75" hidden="1" customHeight="1">
      <c r="A37" s="33"/>
      <c r="B37" s="111" t="s">
        <v>66</v>
      </c>
      <c r="C37" s="112" t="s">
        <v>32</v>
      </c>
      <c r="D37" s="111" t="s">
        <v>67</v>
      </c>
      <c r="E37" s="113"/>
      <c r="F37" s="114">
        <v>1</v>
      </c>
      <c r="G37" s="114">
        <v>1490.31</v>
      </c>
      <c r="H37" s="115">
        <f t="shared" si="2"/>
        <v>1.49031</v>
      </c>
      <c r="I37" s="13">
        <v>0</v>
      </c>
      <c r="J37" s="27"/>
    </row>
    <row r="38" spans="1:14" ht="15.75" customHeight="1">
      <c r="A38" s="33"/>
      <c r="B38" s="142" t="s">
        <v>5</v>
      </c>
      <c r="C38" s="112"/>
      <c r="D38" s="111"/>
      <c r="E38" s="113"/>
      <c r="F38" s="114"/>
      <c r="G38" s="114"/>
      <c r="H38" s="115" t="s">
        <v>145</v>
      </c>
      <c r="I38" s="13"/>
      <c r="J38" s="27"/>
    </row>
    <row r="39" spans="1:14" ht="15.75" customHeight="1">
      <c r="A39" s="33">
        <v>7</v>
      </c>
      <c r="B39" s="120" t="s">
        <v>26</v>
      </c>
      <c r="C39" s="112" t="s">
        <v>32</v>
      </c>
      <c r="D39" s="111"/>
      <c r="E39" s="113"/>
      <c r="F39" s="114">
        <v>5</v>
      </c>
      <c r="G39" s="114">
        <v>2003</v>
      </c>
      <c r="H39" s="115">
        <f t="shared" ref="H39:H46" si="4">SUM(F39*G39/1000)</f>
        <v>10.015000000000001</v>
      </c>
      <c r="I39" s="13">
        <f t="shared" ref="I39:I46" si="5">F39/6*G39</f>
        <v>1669.1666666666667</v>
      </c>
      <c r="J39" s="27"/>
    </row>
    <row r="40" spans="1:14" ht="15.75" customHeight="1">
      <c r="A40" s="33">
        <v>8</v>
      </c>
      <c r="B40" s="120" t="s">
        <v>108</v>
      </c>
      <c r="C40" s="121" t="s">
        <v>29</v>
      </c>
      <c r="D40" s="111" t="s">
        <v>129</v>
      </c>
      <c r="E40" s="113">
        <v>81.5</v>
      </c>
      <c r="F40" s="122">
        <f>E40*30/1000</f>
        <v>2.4449999999999998</v>
      </c>
      <c r="G40" s="114">
        <v>2757.78</v>
      </c>
      <c r="H40" s="115">
        <f t="shared" si="4"/>
        <v>6.7427720999999998</v>
      </c>
      <c r="I40" s="13">
        <f t="shared" si="5"/>
        <v>1123.7953500000001</v>
      </c>
      <c r="J40" s="27"/>
    </row>
    <row r="41" spans="1:14" ht="15.75" customHeight="1">
      <c r="A41" s="33">
        <v>9</v>
      </c>
      <c r="B41" s="111" t="s">
        <v>68</v>
      </c>
      <c r="C41" s="112" t="s">
        <v>29</v>
      </c>
      <c r="D41" s="111" t="s">
        <v>89</v>
      </c>
      <c r="E41" s="114">
        <v>81.5</v>
      </c>
      <c r="F41" s="122">
        <f>SUM(E41*155/1000)</f>
        <v>12.6325</v>
      </c>
      <c r="G41" s="114">
        <v>460.02</v>
      </c>
      <c r="H41" s="115">
        <f t="shared" si="4"/>
        <v>5.8112026500000002</v>
      </c>
      <c r="I41" s="13">
        <f t="shared" si="5"/>
        <v>968.53377499999999</v>
      </c>
      <c r="J41" s="27"/>
      <c r="L41" s="20"/>
      <c r="M41" s="21"/>
      <c r="N41" s="22"/>
    </row>
    <row r="42" spans="1:14" ht="15.75" hidden="1" customHeight="1">
      <c r="A42" s="33"/>
      <c r="B42" s="111" t="s">
        <v>123</v>
      </c>
      <c r="C42" s="112" t="s">
        <v>124</v>
      </c>
      <c r="D42" s="111" t="s">
        <v>67</v>
      </c>
      <c r="E42" s="113"/>
      <c r="F42" s="122">
        <v>26</v>
      </c>
      <c r="G42" s="114">
        <v>314</v>
      </c>
      <c r="H42" s="115">
        <f t="shared" si="4"/>
        <v>8.1639999999999997</v>
      </c>
      <c r="I42" s="13">
        <v>0</v>
      </c>
      <c r="J42" s="27"/>
      <c r="L42" s="20"/>
      <c r="M42" s="21"/>
      <c r="N42" s="22"/>
    </row>
    <row r="43" spans="1:14" ht="47.25" customHeight="1">
      <c r="A43" s="33">
        <v>10</v>
      </c>
      <c r="B43" s="111" t="s">
        <v>83</v>
      </c>
      <c r="C43" s="112" t="s">
        <v>90</v>
      </c>
      <c r="D43" s="111" t="s">
        <v>131</v>
      </c>
      <c r="E43" s="114">
        <v>81.5</v>
      </c>
      <c r="F43" s="122">
        <f>SUM(E43*35/1000)</f>
        <v>2.8525</v>
      </c>
      <c r="G43" s="114">
        <v>7611.16</v>
      </c>
      <c r="H43" s="115">
        <f t="shared" si="4"/>
        <v>21.710833900000001</v>
      </c>
      <c r="I43" s="13">
        <f t="shared" si="5"/>
        <v>3618.4723166666663</v>
      </c>
      <c r="J43" s="27"/>
      <c r="L43" s="20"/>
      <c r="M43" s="21"/>
      <c r="N43" s="22"/>
    </row>
    <row r="44" spans="1:14" ht="15.75" customHeight="1">
      <c r="A44" s="33">
        <v>11</v>
      </c>
      <c r="B44" s="111" t="s">
        <v>91</v>
      </c>
      <c r="C44" s="112" t="s">
        <v>90</v>
      </c>
      <c r="D44" s="111" t="s">
        <v>69</v>
      </c>
      <c r="E44" s="114">
        <v>81.5</v>
      </c>
      <c r="F44" s="122">
        <f>SUM(E44*45/1000)</f>
        <v>3.6675</v>
      </c>
      <c r="G44" s="114">
        <v>562.25</v>
      </c>
      <c r="H44" s="115">
        <f t="shared" si="4"/>
        <v>2.0620518750000003</v>
      </c>
      <c r="I44" s="13">
        <f t="shared" si="5"/>
        <v>343.67531249999996</v>
      </c>
      <c r="J44" s="27"/>
      <c r="L44" s="20"/>
      <c r="M44" s="21"/>
      <c r="N44" s="22"/>
    </row>
    <row r="45" spans="1:14" ht="15.75" hidden="1" customHeight="1">
      <c r="A45" s="33">
        <v>12</v>
      </c>
      <c r="B45" s="120" t="s">
        <v>70</v>
      </c>
      <c r="C45" s="121" t="s">
        <v>33</v>
      </c>
      <c r="D45" s="120"/>
      <c r="E45" s="118"/>
      <c r="F45" s="122">
        <v>0.9</v>
      </c>
      <c r="G45" s="122">
        <v>974.83</v>
      </c>
      <c r="H45" s="115">
        <f t="shared" si="4"/>
        <v>0.8773470000000001</v>
      </c>
      <c r="I45" s="13">
        <f t="shared" si="5"/>
        <v>146.22450000000001</v>
      </c>
      <c r="J45" s="27"/>
      <c r="L45" s="20"/>
      <c r="M45" s="21"/>
      <c r="N45" s="22"/>
    </row>
    <row r="46" spans="1:14" ht="15.75" customHeight="1">
      <c r="A46" s="33">
        <v>12</v>
      </c>
      <c r="B46" s="51" t="s">
        <v>225</v>
      </c>
      <c r="C46" s="52" t="s">
        <v>29</v>
      </c>
      <c r="D46" s="120" t="s">
        <v>226</v>
      </c>
      <c r="E46" s="118">
        <v>2.4</v>
      </c>
      <c r="F46" s="122">
        <f>SUM(E46*12/1000)</f>
        <v>2.8799999999999996E-2</v>
      </c>
      <c r="G46" s="122">
        <v>260.2</v>
      </c>
      <c r="H46" s="115">
        <f t="shared" si="4"/>
        <v>7.4937599999999986E-3</v>
      </c>
      <c r="I46" s="13">
        <f t="shared" si="5"/>
        <v>1.2489599999999998</v>
      </c>
      <c r="J46" s="27"/>
      <c r="L46" s="20"/>
      <c r="M46" s="21"/>
      <c r="N46" s="22"/>
    </row>
    <row r="47" spans="1:14" ht="15.75" hidden="1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hidden="1" customHeight="1">
      <c r="A48" s="33"/>
      <c r="B48" s="111" t="s">
        <v>132</v>
      </c>
      <c r="C48" s="112" t="s">
        <v>90</v>
      </c>
      <c r="D48" s="111" t="s">
        <v>42</v>
      </c>
      <c r="E48" s="113">
        <v>1080</v>
      </c>
      <c r="F48" s="114">
        <f>SUM(E48*2/1000)</f>
        <v>2.16</v>
      </c>
      <c r="G48" s="37">
        <v>1172.4100000000001</v>
      </c>
      <c r="H48" s="115">
        <f t="shared" ref="H48:H56" si="6">SUM(F48*G48/1000)</f>
        <v>2.5324056000000006</v>
      </c>
      <c r="I48" s="13">
        <f t="shared" ref="I48:I51" si="7">F48/2*G48</f>
        <v>1266.2028000000003</v>
      </c>
      <c r="J48" s="27"/>
      <c r="L48" s="20"/>
      <c r="M48" s="21"/>
      <c r="N48" s="22"/>
    </row>
    <row r="49" spans="1:22" ht="15.75" hidden="1" customHeight="1">
      <c r="A49" s="33"/>
      <c r="B49" s="111" t="s">
        <v>35</v>
      </c>
      <c r="C49" s="112" t="s">
        <v>90</v>
      </c>
      <c r="D49" s="111" t="s">
        <v>42</v>
      </c>
      <c r="E49" s="113">
        <v>39</v>
      </c>
      <c r="F49" s="114">
        <f>SUM(E49*2/1000)</f>
        <v>7.8E-2</v>
      </c>
      <c r="G49" s="37">
        <v>4419.05</v>
      </c>
      <c r="H49" s="115">
        <f t="shared" si="6"/>
        <v>0.34468589999999999</v>
      </c>
      <c r="I49" s="13">
        <f t="shared" si="7"/>
        <v>172.34295</v>
      </c>
      <c r="J49" s="27"/>
      <c r="L49" s="20"/>
      <c r="M49" s="21"/>
      <c r="N49" s="22"/>
    </row>
    <row r="50" spans="1:22" ht="15.75" hidden="1" customHeight="1">
      <c r="A50" s="33"/>
      <c r="B50" s="111" t="s">
        <v>36</v>
      </c>
      <c r="C50" s="112" t="s">
        <v>90</v>
      </c>
      <c r="D50" s="111" t="s">
        <v>42</v>
      </c>
      <c r="E50" s="113">
        <v>1037</v>
      </c>
      <c r="F50" s="114">
        <f>SUM(E50*2/1000)</f>
        <v>2.0739999999999998</v>
      </c>
      <c r="G50" s="37">
        <v>1803.69</v>
      </c>
      <c r="H50" s="115">
        <f t="shared" si="6"/>
        <v>3.7408530600000001</v>
      </c>
      <c r="I50" s="13">
        <f t="shared" si="7"/>
        <v>1870.42653</v>
      </c>
      <c r="J50" s="27"/>
      <c r="L50" s="20"/>
      <c r="M50" s="21"/>
      <c r="N50" s="22"/>
    </row>
    <row r="51" spans="1:22" ht="15.75" hidden="1" customHeight="1">
      <c r="A51" s="33"/>
      <c r="B51" s="111" t="s">
        <v>37</v>
      </c>
      <c r="C51" s="112" t="s">
        <v>90</v>
      </c>
      <c r="D51" s="111" t="s">
        <v>42</v>
      </c>
      <c r="E51" s="113">
        <v>2274</v>
      </c>
      <c r="F51" s="114">
        <f>SUM(E51*2/1000)</f>
        <v>4.548</v>
      </c>
      <c r="G51" s="37">
        <v>1243.43</v>
      </c>
      <c r="H51" s="115">
        <f t="shared" si="6"/>
        <v>5.6551196399999997</v>
      </c>
      <c r="I51" s="13">
        <f t="shared" si="7"/>
        <v>2827.5598199999999</v>
      </c>
      <c r="J51" s="27"/>
      <c r="L51" s="20"/>
      <c r="M51" s="21"/>
      <c r="N51" s="22"/>
    </row>
    <row r="52" spans="1:22" ht="15.75" hidden="1" customHeight="1">
      <c r="A52" s="33"/>
      <c r="B52" s="111" t="s">
        <v>34</v>
      </c>
      <c r="C52" s="112" t="s">
        <v>53</v>
      </c>
      <c r="D52" s="111" t="s">
        <v>42</v>
      </c>
      <c r="E52" s="113">
        <v>83.04</v>
      </c>
      <c r="F52" s="114">
        <v>1.66</v>
      </c>
      <c r="G52" s="37">
        <v>1352.76</v>
      </c>
      <c r="H52" s="115">
        <f>SUM(F52*G52/1000)</f>
        <v>2.2455816</v>
      </c>
      <c r="I52" s="13">
        <f>F52/2*G52</f>
        <v>1122.7908</v>
      </c>
      <c r="J52" s="27"/>
      <c r="L52" s="20"/>
      <c r="M52" s="21"/>
      <c r="N52" s="22"/>
    </row>
    <row r="53" spans="1:22" ht="15.75" hidden="1" customHeight="1">
      <c r="A53" s="33"/>
      <c r="B53" s="111" t="s">
        <v>56</v>
      </c>
      <c r="C53" s="112" t="s">
        <v>90</v>
      </c>
      <c r="D53" s="111" t="s">
        <v>153</v>
      </c>
      <c r="E53" s="113">
        <v>2626.5</v>
      </c>
      <c r="F53" s="114">
        <f>SUM(E53*5/1000)</f>
        <v>13.1325</v>
      </c>
      <c r="G53" s="37">
        <v>1803.69</v>
      </c>
      <c r="H53" s="115">
        <f t="shared" ref="H53:H55" si="8">SUM(F53*G53/1000)</f>
        <v>23.686958925000003</v>
      </c>
      <c r="I53" s="13">
        <f>F53/5*G53</f>
        <v>4737.3917849999998</v>
      </c>
      <c r="J53" s="27"/>
      <c r="L53" s="20"/>
      <c r="M53" s="21"/>
      <c r="N53" s="22"/>
    </row>
    <row r="54" spans="1:22" ht="31.5" hidden="1" customHeight="1">
      <c r="A54" s="33"/>
      <c r="B54" s="111" t="s">
        <v>92</v>
      </c>
      <c r="C54" s="112" t="s">
        <v>90</v>
      </c>
      <c r="D54" s="111" t="s">
        <v>42</v>
      </c>
      <c r="E54" s="113">
        <v>2626.5</v>
      </c>
      <c r="F54" s="114">
        <f>SUM(E54*2/1000)</f>
        <v>5.2530000000000001</v>
      </c>
      <c r="G54" s="37">
        <v>1591.6</v>
      </c>
      <c r="H54" s="115">
        <f t="shared" si="8"/>
        <v>8.3606747999999982</v>
      </c>
      <c r="I54" s="13">
        <f>F54/2*G54</f>
        <v>4180.3373999999994</v>
      </c>
      <c r="J54" s="27"/>
      <c r="L54" s="20"/>
      <c r="M54" s="21"/>
      <c r="N54" s="22"/>
    </row>
    <row r="55" spans="1:22" ht="31.5" hidden="1" customHeight="1">
      <c r="A55" s="33"/>
      <c r="B55" s="111" t="s">
        <v>93</v>
      </c>
      <c r="C55" s="112" t="s">
        <v>38</v>
      </c>
      <c r="D55" s="111" t="s">
        <v>42</v>
      </c>
      <c r="E55" s="113">
        <v>15</v>
      </c>
      <c r="F55" s="114">
        <f>SUM(E55*2/100)</f>
        <v>0.3</v>
      </c>
      <c r="G55" s="37">
        <v>4058.32</v>
      </c>
      <c r="H55" s="115">
        <f t="shared" si="8"/>
        <v>1.2174960000000001</v>
      </c>
      <c r="I55" s="13">
        <f t="shared" ref="I55:I56" si="9">F55/2*G55</f>
        <v>608.74800000000005</v>
      </c>
      <c r="J55" s="27"/>
      <c r="L55" s="20"/>
      <c r="M55" s="21"/>
      <c r="N55" s="22"/>
    </row>
    <row r="56" spans="1:22" ht="15.75" hidden="1" customHeight="1">
      <c r="A56" s="33"/>
      <c r="B56" s="111" t="s">
        <v>39</v>
      </c>
      <c r="C56" s="112" t="s">
        <v>40</v>
      </c>
      <c r="D56" s="111" t="s">
        <v>42</v>
      </c>
      <c r="E56" s="113">
        <v>1</v>
      </c>
      <c r="F56" s="114">
        <v>0.02</v>
      </c>
      <c r="G56" s="37">
        <v>7412.92</v>
      </c>
      <c r="H56" s="115">
        <f t="shared" si="6"/>
        <v>0.14825839999999998</v>
      </c>
      <c r="I56" s="13">
        <f t="shared" si="9"/>
        <v>74.129199999999997</v>
      </c>
      <c r="J56" s="27"/>
      <c r="L56" s="20"/>
      <c r="M56" s="21"/>
      <c r="N56" s="22"/>
    </row>
    <row r="57" spans="1:22" ht="15.75" hidden="1" customHeight="1">
      <c r="A57" s="33"/>
      <c r="B57" s="111" t="s">
        <v>41</v>
      </c>
      <c r="C57" s="112" t="s">
        <v>109</v>
      </c>
      <c r="D57" s="111" t="s">
        <v>71</v>
      </c>
      <c r="E57" s="113">
        <v>90</v>
      </c>
      <c r="F57" s="114">
        <f>SUM(E57)*3</f>
        <v>270</v>
      </c>
      <c r="G57" s="110">
        <v>86.15</v>
      </c>
      <c r="H57" s="115">
        <f>SUM(F57*G57/1000)</f>
        <v>23.2605</v>
      </c>
      <c r="I57" s="13">
        <f>F57/3*G57</f>
        <v>7753.5000000000009</v>
      </c>
      <c r="J57" s="27"/>
      <c r="L57" s="20"/>
      <c r="M57" s="21"/>
      <c r="N57" s="22"/>
    </row>
    <row r="58" spans="1:22" ht="15.75" customHeight="1">
      <c r="A58" s="158" t="s">
        <v>142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</row>
    <row r="59" spans="1:22" ht="15.75" customHeight="1">
      <c r="A59" s="33"/>
      <c r="B59" s="142" t="s">
        <v>43</v>
      </c>
      <c r="C59" s="112"/>
      <c r="D59" s="111"/>
      <c r="E59" s="113"/>
      <c r="F59" s="114"/>
      <c r="G59" s="114"/>
      <c r="H59" s="115"/>
      <c r="I59" s="13"/>
    </row>
    <row r="60" spans="1:22" ht="31.5" customHeight="1">
      <c r="A60" s="33">
        <v>13</v>
      </c>
      <c r="B60" s="111" t="s">
        <v>146</v>
      </c>
      <c r="C60" s="112" t="s">
        <v>88</v>
      </c>
      <c r="D60" s="111" t="s">
        <v>110</v>
      </c>
      <c r="E60" s="113">
        <v>111</v>
      </c>
      <c r="F60" s="114">
        <f>SUM(E60*6/100)</f>
        <v>6.66</v>
      </c>
      <c r="G60" s="37">
        <v>2029.3</v>
      </c>
      <c r="H60" s="115">
        <f>SUM(F60*G60/1000)</f>
        <v>13.515138</v>
      </c>
      <c r="I60" s="13">
        <f t="shared" ref="I60" si="10">F60/6*G60</f>
        <v>2252.5230000000001</v>
      </c>
    </row>
    <row r="61" spans="1:22" ht="15.75" customHeight="1">
      <c r="A61" s="33">
        <v>14</v>
      </c>
      <c r="B61" s="111" t="s">
        <v>227</v>
      </c>
      <c r="C61" s="112" t="s">
        <v>228</v>
      </c>
      <c r="D61" s="111" t="s">
        <v>67</v>
      </c>
      <c r="E61" s="113"/>
      <c r="F61" s="114">
        <v>3</v>
      </c>
      <c r="G61" s="37">
        <v>1582.05</v>
      </c>
      <c r="H61" s="115">
        <f>SUM(F61*G61/1000)</f>
        <v>4.7461499999999992</v>
      </c>
      <c r="I61" s="13">
        <f>G61*2.5</f>
        <v>3955.125</v>
      </c>
    </row>
    <row r="62" spans="1:22" ht="15.75" customHeight="1">
      <c r="A62" s="33"/>
      <c r="B62" s="143" t="s">
        <v>44</v>
      </c>
      <c r="C62" s="123"/>
      <c r="D62" s="124"/>
      <c r="E62" s="125"/>
      <c r="F62" s="126"/>
      <c r="G62" s="37"/>
      <c r="H62" s="127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3"/>
      <c r="B63" s="124" t="s">
        <v>45</v>
      </c>
      <c r="C63" s="123" t="s">
        <v>53</v>
      </c>
      <c r="D63" s="124" t="s">
        <v>54</v>
      </c>
      <c r="E63" s="125">
        <v>130</v>
      </c>
      <c r="F63" s="126">
        <f>E63/100</f>
        <v>1.3</v>
      </c>
      <c r="G63" s="37">
        <v>1040.8399999999999</v>
      </c>
      <c r="H63" s="127">
        <f>F63*G63/1000</f>
        <v>1.353092</v>
      </c>
      <c r="I63" s="13">
        <v>0</v>
      </c>
      <c r="J63" s="29"/>
      <c r="K63" s="29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3">
        <v>15</v>
      </c>
      <c r="B64" s="124" t="s">
        <v>125</v>
      </c>
      <c r="C64" s="123" t="s">
        <v>25</v>
      </c>
      <c r="D64" s="124" t="s">
        <v>30</v>
      </c>
      <c r="E64" s="125">
        <v>130</v>
      </c>
      <c r="F64" s="128">
        <f>E64*12</f>
        <v>1560</v>
      </c>
      <c r="G64" s="129">
        <v>2.8</v>
      </c>
      <c r="H64" s="126">
        <f>F64*G64/1000</f>
        <v>4.3680000000000003</v>
      </c>
      <c r="I64" s="13">
        <f t="shared" ref="I64" si="11">F64/12*G64</f>
        <v>364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3"/>
      <c r="B65" s="144" t="s">
        <v>46</v>
      </c>
      <c r="C65" s="123"/>
      <c r="D65" s="124"/>
      <c r="E65" s="125"/>
      <c r="F65" s="128"/>
      <c r="G65" s="128"/>
      <c r="H65" s="126" t="s">
        <v>145</v>
      </c>
      <c r="I65" s="13"/>
      <c r="J65" s="5"/>
      <c r="K65" s="5"/>
      <c r="L65" s="5"/>
      <c r="M65" s="5"/>
      <c r="N65" s="5"/>
      <c r="O65" s="5"/>
      <c r="P65" s="5"/>
      <c r="Q65" s="5"/>
      <c r="R65" s="161"/>
      <c r="S65" s="161"/>
      <c r="T65" s="161"/>
      <c r="U65" s="161"/>
    </row>
    <row r="66" spans="1:21" ht="15.75" hidden="1" customHeight="1">
      <c r="A66" s="33"/>
      <c r="B66" s="130" t="s">
        <v>47</v>
      </c>
      <c r="C66" s="131" t="s">
        <v>109</v>
      </c>
      <c r="D66" s="111" t="s">
        <v>67</v>
      </c>
      <c r="E66" s="18">
        <v>9</v>
      </c>
      <c r="F66" s="110">
        <f>SUM(E66)</f>
        <v>9</v>
      </c>
      <c r="G66" s="37">
        <v>291.68</v>
      </c>
      <c r="H66" s="103">
        <f t="shared" ref="H66:H84" si="12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3"/>
      <c r="B67" s="130" t="s">
        <v>48</v>
      </c>
      <c r="C67" s="131" t="s">
        <v>109</v>
      </c>
      <c r="D67" s="111" t="s">
        <v>67</v>
      </c>
      <c r="E67" s="18">
        <v>4</v>
      </c>
      <c r="F67" s="110">
        <f>SUM(E67)</f>
        <v>4</v>
      </c>
      <c r="G67" s="37">
        <v>100.01</v>
      </c>
      <c r="H67" s="103">
        <f t="shared" si="12"/>
        <v>0.40004000000000001</v>
      </c>
      <c r="I67" s="13">
        <v>0</v>
      </c>
    </row>
    <row r="68" spans="1:21" ht="15.75" hidden="1" customHeight="1">
      <c r="A68" s="33"/>
      <c r="B68" s="130" t="s">
        <v>49</v>
      </c>
      <c r="C68" s="132" t="s">
        <v>111</v>
      </c>
      <c r="D68" s="39" t="s">
        <v>54</v>
      </c>
      <c r="E68" s="113">
        <v>13287</v>
      </c>
      <c r="F68" s="110">
        <f>SUM(E68/100)</f>
        <v>132.87</v>
      </c>
      <c r="G68" s="37">
        <v>278.24</v>
      </c>
      <c r="H68" s="103">
        <f t="shared" si="12"/>
        <v>36.969748799999998</v>
      </c>
      <c r="I68" s="13">
        <v>0</v>
      </c>
    </row>
    <row r="69" spans="1:21" ht="15.75" hidden="1" customHeight="1">
      <c r="A69" s="33"/>
      <c r="B69" s="130" t="s">
        <v>50</v>
      </c>
      <c r="C69" s="131" t="s">
        <v>112</v>
      </c>
      <c r="D69" s="39" t="s">
        <v>54</v>
      </c>
      <c r="E69" s="113">
        <v>13287</v>
      </c>
      <c r="F69" s="37">
        <f>SUM(E69/1000)</f>
        <v>13.287000000000001</v>
      </c>
      <c r="G69" s="37">
        <v>216.68</v>
      </c>
      <c r="H69" s="103">
        <f t="shared" si="12"/>
        <v>2.8790271600000001</v>
      </c>
      <c r="I69" s="13">
        <v>0</v>
      </c>
    </row>
    <row r="70" spans="1:21" ht="15.75" hidden="1" customHeight="1">
      <c r="A70" s="33"/>
      <c r="B70" s="130" t="s">
        <v>51</v>
      </c>
      <c r="C70" s="131" t="s">
        <v>77</v>
      </c>
      <c r="D70" s="39" t="s">
        <v>54</v>
      </c>
      <c r="E70" s="113">
        <v>2110</v>
      </c>
      <c r="F70" s="37">
        <f>SUM(E70/100)</f>
        <v>21.1</v>
      </c>
      <c r="G70" s="37">
        <v>2720.94</v>
      </c>
      <c r="H70" s="103">
        <f>SUM(F70*G70/1000)</f>
        <v>57.411834000000006</v>
      </c>
      <c r="I70" s="13">
        <v>0</v>
      </c>
    </row>
    <row r="71" spans="1:21" ht="15.75" hidden="1" customHeight="1">
      <c r="A71" s="33"/>
      <c r="B71" s="133" t="s">
        <v>113</v>
      </c>
      <c r="C71" s="131" t="s">
        <v>33</v>
      </c>
      <c r="D71" s="39"/>
      <c r="E71" s="113">
        <v>8.6</v>
      </c>
      <c r="F71" s="37">
        <f>SUM(E71)</f>
        <v>8.6</v>
      </c>
      <c r="G71" s="37">
        <v>42.61</v>
      </c>
      <c r="H71" s="103">
        <f t="shared" si="12"/>
        <v>0.36644599999999999</v>
      </c>
      <c r="I71" s="13">
        <v>0</v>
      </c>
    </row>
    <row r="72" spans="1:21" ht="15.75" hidden="1" customHeight="1">
      <c r="A72" s="33"/>
      <c r="B72" s="133" t="s">
        <v>114</v>
      </c>
      <c r="C72" s="131" t="s">
        <v>33</v>
      </c>
      <c r="D72" s="39"/>
      <c r="E72" s="113">
        <v>8.6</v>
      </c>
      <c r="F72" s="37">
        <f>SUM(E72)</f>
        <v>8.6</v>
      </c>
      <c r="G72" s="37">
        <v>46.04</v>
      </c>
      <c r="H72" s="103">
        <f t="shared" si="12"/>
        <v>0.39594399999999996</v>
      </c>
      <c r="I72" s="13">
        <v>0</v>
      </c>
    </row>
    <row r="73" spans="1:21" ht="15.75" hidden="1" customHeight="1">
      <c r="A73" s="33"/>
      <c r="B73" s="39" t="s">
        <v>57</v>
      </c>
      <c r="C73" s="131" t="s">
        <v>58</v>
      </c>
      <c r="D73" s="39" t="s">
        <v>54</v>
      </c>
      <c r="E73" s="18">
        <v>3</v>
      </c>
      <c r="F73" s="37">
        <f>SUM(E73)</f>
        <v>3</v>
      </c>
      <c r="G73" s="37">
        <v>65.42</v>
      </c>
      <c r="H73" s="103">
        <f t="shared" si="12"/>
        <v>0.19625999999999999</v>
      </c>
      <c r="I73" s="13">
        <v>0</v>
      </c>
    </row>
    <row r="74" spans="1:21" ht="15.75" customHeight="1">
      <c r="A74" s="33"/>
      <c r="B74" s="145" t="s">
        <v>72</v>
      </c>
      <c r="C74" s="131"/>
      <c r="D74" s="39"/>
      <c r="E74" s="18"/>
      <c r="F74" s="37"/>
      <c r="G74" s="37"/>
      <c r="H74" s="103" t="s">
        <v>145</v>
      </c>
      <c r="I74" s="13"/>
    </row>
    <row r="75" spans="1:21" ht="31.5" hidden="1" customHeight="1">
      <c r="A75" s="33"/>
      <c r="B75" s="39" t="s">
        <v>229</v>
      </c>
      <c r="C75" s="131" t="s">
        <v>109</v>
      </c>
      <c r="D75" s="111" t="s">
        <v>67</v>
      </c>
      <c r="E75" s="18">
        <v>1</v>
      </c>
      <c r="F75" s="37">
        <v>1</v>
      </c>
      <c r="G75" s="37">
        <v>1543.4</v>
      </c>
      <c r="H75" s="103">
        <f t="shared" ref="H75:H77" si="13">SUM(F75*G75/1000)</f>
        <v>1.5434000000000001</v>
      </c>
      <c r="I75" s="13">
        <v>0</v>
      </c>
    </row>
    <row r="76" spans="1:21" ht="15.75" customHeight="1">
      <c r="A76" s="33">
        <v>16</v>
      </c>
      <c r="B76" s="39" t="s">
        <v>73</v>
      </c>
      <c r="C76" s="131" t="s">
        <v>75</v>
      </c>
      <c r="D76" s="111" t="s">
        <v>67</v>
      </c>
      <c r="E76" s="18">
        <v>3</v>
      </c>
      <c r="F76" s="37">
        <f>E76/10</f>
        <v>0.3</v>
      </c>
      <c r="G76" s="37">
        <v>657.87</v>
      </c>
      <c r="H76" s="103">
        <f t="shared" si="13"/>
        <v>0.19736099999999998</v>
      </c>
      <c r="I76" s="13">
        <f>G76*0.9</f>
        <v>592.08299999999997</v>
      </c>
    </row>
    <row r="77" spans="1:21" ht="15.75" hidden="1" customHeight="1">
      <c r="A77" s="33"/>
      <c r="B77" s="39" t="s">
        <v>230</v>
      </c>
      <c r="C77" s="131" t="s">
        <v>109</v>
      </c>
      <c r="D77" s="111" t="s">
        <v>67</v>
      </c>
      <c r="E77" s="18">
        <v>2</v>
      </c>
      <c r="F77" s="114">
        <f>SUM(E77)</f>
        <v>2</v>
      </c>
      <c r="G77" s="37">
        <v>1118.72</v>
      </c>
      <c r="H77" s="103">
        <f t="shared" si="13"/>
        <v>2.2374399999999999</v>
      </c>
      <c r="I77" s="13">
        <v>0</v>
      </c>
    </row>
    <row r="78" spans="1:21" ht="15.75" hidden="1" customHeight="1">
      <c r="A78" s="33"/>
      <c r="B78" s="51" t="s">
        <v>231</v>
      </c>
      <c r="C78" s="52" t="s">
        <v>109</v>
      </c>
      <c r="D78" s="111" t="s">
        <v>67</v>
      </c>
      <c r="E78" s="18">
        <v>1</v>
      </c>
      <c r="F78" s="129">
        <v>1</v>
      </c>
      <c r="G78" s="37">
        <v>1605.83</v>
      </c>
      <c r="H78" s="103">
        <f>SUM(F78*G78/1000)</f>
        <v>1.6058299999999999</v>
      </c>
      <c r="I78" s="13">
        <v>0</v>
      </c>
    </row>
    <row r="79" spans="1:21" ht="15.75" customHeight="1">
      <c r="A79" s="33">
        <v>17</v>
      </c>
      <c r="B79" s="51" t="s">
        <v>232</v>
      </c>
      <c r="C79" s="52" t="s">
        <v>109</v>
      </c>
      <c r="D79" s="39" t="s">
        <v>30</v>
      </c>
      <c r="E79" s="134">
        <v>2</v>
      </c>
      <c r="F79" s="128">
        <f>E79*12</f>
        <v>24</v>
      </c>
      <c r="G79" s="135">
        <v>53.42</v>
      </c>
      <c r="H79" s="103">
        <f t="shared" ref="H79:H80" si="14">SUM(F79*G79/1000)</f>
        <v>1.2820799999999999</v>
      </c>
      <c r="I79" s="13">
        <f t="shared" ref="I79:I82" si="15">F79/12*G79</f>
        <v>106.84</v>
      </c>
    </row>
    <row r="80" spans="1:21" ht="15.75" customHeight="1">
      <c r="A80" s="33">
        <v>18</v>
      </c>
      <c r="B80" s="88" t="s">
        <v>233</v>
      </c>
      <c r="C80" s="131"/>
      <c r="D80" s="39" t="s">
        <v>30</v>
      </c>
      <c r="E80" s="18">
        <v>1</v>
      </c>
      <c r="F80" s="37">
        <v>12</v>
      </c>
      <c r="G80" s="37">
        <v>1194</v>
      </c>
      <c r="H80" s="103">
        <f t="shared" si="14"/>
        <v>14.327999999999999</v>
      </c>
      <c r="I80" s="13">
        <f t="shared" si="15"/>
        <v>1194</v>
      </c>
    </row>
    <row r="81" spans="1:9" ht="15.75" customHeight="1">
      <c r="A81" s="33"/>
      <c r="B81" s="146" t="s">
        <v>234</v>
      </c>
      <c r="C81" s="52"/>
      <c r="D81" s="39"/>
      <c r="E81" s="18"/>
      <c r="F81" s="37"/>
      <c r="G81" s="37"/>
      <c r="H81" s="103"/>
      <c r="I81" s="13"/>
    </row>
    <row r="82" spans="1:9" ht="15.75" customHeight="1">
      <c r="A82" s="33">
        <v>19</v>
      </c>
      <c r="B82" s="39" t="s">
        <v>235</v>
      </c>
      <c r="C82" s="136" t="s">
        <v>236</v>
      </c>
      <c r="D82" s="111" t="s">
        <v>67</v>
      </c>
      <c r="E82" s="18">
        <v>2626.5</v>
      </c>
      <c r="F82" s="37">
        <f>SUM(E82*12)</f>
        <v>31518</v>
      </c>
      <c r="G82" s="37">
        <v>2.2799999999999998</v>
      </c>
      <c r="H82" s="103">
        <f t="shared" ref="H82" si="16">SUM(F82*G82/1000)</f>
        <v>71.861039999999988</v>
      </c>
      <c r="I82" s="13">
        <f t="shared" si="15"/>
        <v>5988.4199999999992</v>
      </c>
    </row>
    <row r="83" spans="1:9" ht="15.75" hidden="1" customHeight="1">
      <c r="A83" s="33"/>
      <c r="B83" s="147" t="s">
        <v>76</v>
      </c>
      <c r="C83" s="131"/>
      <c r="D83" s="39"/>
      <c r="E83" s="18"/>
      <c r="F83" s="37"/>
      <c r="G83" s="37" t="s">
        <v>145</v>
      </c>
      <c r="H83" s="103" t="s">
        <v>145</v>
      </c>
      <c r="I83" s="13"/>
    </row>
    <row r="84" spans="1:9" ht="15.75" hidden="1" customHeight="1">
      <c r="A84" s="33"/>
      <c r="B84" s="137" t="s">
        <v>133</v>
      </c>
      <c r="C84" s="132" t="s">
        <v>77</v>
      </c>
      <c r="D84" s="130"/>
      <c r="E84" s="138"/>
      <c r="F84" s="110">
        <v>0.5</v>
      </c>
      <c r="G84" s="110">
        <v>3619.09</v>
      </c>
      <c r="H84" s="103">
        <f t="shared" si="12"/>
        <v>1.8095450000000002</v>
      </c>
      <c r="I84" s="13"/>
    </row>
    <row r="85" spans="1:9" ht="15.75" hidden="1" customHeight="1">
      <c r="A85" s="33"/>
      <c r="B85" s="97" t="s">
        <v>94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33"/>
      <c r="B86" s="111" t="s">
        <v>115</v>
      </c>
      <c r="C86" s="139"/>
      <c r="D86" s="140"/>
      <c r="E86" s="141"/>
      <c r="F86" s="38">
        <v>1</v>
      </c>
      <c r="G86" s="38">
        <v>8275.7000000000007</v>
      </c>
      <c r="H86" s="103">
        <f>G86*F86/1000</f>
        <v>8.2757000000000005</v>
      </c>
      <c r="I86" s="13"/>
    </row>
    <row r="87" spans="1:9" ht="15" customHeight="1">
      <c r="A87" s="162" t="s">
        <v>141</v>
      </c>
      <c r="B87" s="163"/>
      <c r="C87" s="163"/>
      <c r="D87" s="163"/>
      <c r="E87" s="163"/>
      <c r="F87" s="163"/>
      <c r="G87" s="163"/>
      <c r="H87" s="163"/>
      <c r="I87" s="164"/>
    </row>
    <row r="88" spans="1:9" ht="15.75" customHeight="1">
      <c r="A88" s="33">
        <v>20</v>
      </c>
      <c r="B88" s="111" t="s">
        <v>117</v>
      </c>
      <c r="C88" s="131" t="s">
        <v>55</v>
      </c>
      <c r="D88" s="92" t="s">
        <v>163</v>
      </c>
      <c r="E88" s="37">
        <v>2626.5</v>
      </c>
      <c r="F88" s="37">
        <f>SUM(E88*12)</f>
        <v>31518</v>
      </c>
      <c r="G88" s="37">
        <v>3.1</v>
      </c>
      <c r="H88" s="103">
        <f>SUM(F88*G88/1000)</f>
        <v>97.705799999999996</v>
      </c>
      <c r="I88" s="13">
        <f t="shared" ref="I88:I89" si="17">F88/12*G88</f>
        <v>8142.1500000000005</v>
      </c>
    </row>
    <row r="89" spans="1:9" ht="31.5" customHeight="1">
      <c r="A89" s="33">
        <v>21</v>
      </c>
      <c r="B89" s="39" t="s">
        <v>78</v>
      </c>
      <c r="C89" s="131"/>
      <c r="D89" s="92" t="s">
        <v>163</v>
      </c>
      <c r="E89" s="113">
        <f>E88</f>
        <v>2626.5</v>
      </c>
      <c r="F89" s="37">
        <f>E89*12</f>
        <v>31518</v>
      </c>
      <c r="G89" s="37">
        <v>3.5</v>
      </c>
      <c r="H89" s="103">
        <f>F89*G89/1000</f>
        <v>110.313</v>
      </c>
      <c r="I89" s="13">
        <f t="shared" si="17"/>
        <v>9192.75</v>
      </c>
    </row>
    <row r="90" spans="1:9" ht="15.75" customHeight="1">
      <c r="A90" s="33"/>
      <c r="B90" s="40" t="s">
        <v>81</v>
      </c>
      <c r="C90" s="90"/>
      <c r="D90" s="89"/>
      <c r="E90" s="78"/>
      <c r="F90" s="78"/>
      <c r="G90" s="78"/>
      <c r="H90" s="91">
        <f>H80</f>
        <v>14.327999999999999</v>
      </c>
      <c r="I90" s="78">
        <f>I16+I17+I18+I20+I27+I28+I39+I40+I41+I43+I45+I46+I60+I61+I64+I76+I79+I80+I82+I88+I89</f>
        <v>57253.26785833334</v>
      </c>
    </row>
    <row r="91" spans="1:9" ht="15.75" customHeight="1">
      <c r="A91" s="173" t="s">
        <v>60</v>
      </c>
      <c r="B91" s="174"/>
      <c r="C91" s="174"/>
      <c r="D91" s="174"/>
      <c r="E91" s="174"/>
      <c r="F91" s="174"/>
      <c r="G91" s="174"/>
      <c r="H91" s="174"/>
      <c r="I91" s="175"/>
    </row>
    <row r="92" spans="1:9" ht="31.5" customHeight="1">
      <c r="A92" s="33">
        <v>22</v>
      </c>
      <c r="B92" s="66" t="s">
        <v>237</v>
      </c>
      <c r="C92" s="33" t="s">
        <v>148</v>
      </c>
      <c r="D92" s="39"/>
      <c r="E92" s="18"/>
      <c r="F92" s="37">
        <v>2</v>
      </c>
      <c r="G92" s="37">
        <v>403.69</v>
      </c>
      <c r="H92" s="103">
        <f>G92*F92/1000</f>
        <v>0.80737999999999999</v>
      </c>
      <c r="I92" s="13">
        <f>G92*2</f>
        <v>807.38</v>
      </c>
    </row>
    <row r="93" spans="1:9" ht="31.5" customHeight="1">
      <c r="A93" s="33">
        <v>23</v>
      </c>
      <c r="B93" s="50" t="s">
        <v>238</v>
      </c>
      <c r="C93" s="53" t="s">
        <v>82</v>
      </c>
      <c r="D93" s="39"/>
      <c r="E93" s="18"/>
      <c r="F93" s="37">
        <v>1</v>
      </c>
      <c r="G93" s="37">
        <v>897.94</v>
      </c>
      <c r="H93" s="103">
        <f>G93*F93/1000</f>
        <v>0.89794000000000007</v>
      </c>
      <c r="I93" s="13">
        <f>G93</f>
        <v>897.94</v>
      </c>
    </row>
    <row r="94" spans="1:9" ht="31.5" customHeight="1">
      <c r="A94" s="33">
        <v>24</v>
      </c>
      <c r="B94" s="50" t="s">
        <v>80</v>
      </c>
      <c r="C94" s="53" t="s">
        <v>109</v>
      </c>
      <c r="D94" s="39"/>
      <c r="E94" s="18"/>
      <c r="F94" s="37">
        <v>1</v>
      </c>
      <c r="G94" s="37">
        <v>83.36</v>
      </c>
      <c r="H94" s="103">
        <f t="shared" ref="H94" si="18">G94*F94/1000</f>
        <v>8.3360000000000004E-2</v>
      </c>
      <c r="I94" s="13">
        <f t="shared" ref="I94:I96" si="19">G94</f>
        <v>83.36</v>
      </c>
    </row>
    <row r="95" spans="1:9" ht="15.75" customHeight="1">
      <c r="A95" s="33">
        <v>25</v>
      </c>
      <c r="B95" s="50" t="s">
        <v>126</v>
      </c>
      <c r="C95" s="53" t="s">
        <v>109</v>
      </c>
      <c r="D95" s="39"/>
      <c r="E95" s="18"/>
      <c r="F95" s="37">
        <v>92</v>
      </c>
      <c r="G95" s="37">
        <v>53.42</v>
      </c>
      <c r="H95" s="103">
        <f>G95*F95/1000</f>
        <v>4.9146400000000003</v>
      </c>
      <c r="I95" s="13">
        <f>G95*45</f>
        <v>2403.9</v>
      </c>
    </row>
    <row r="96" spans="1:9" ht="15.75" customHeight="1">
      <c r="A96" s="33">
        <v>26</v>
      </c>
      <c r="B96" s="148" t="s">
        <v>239</v>
      </c>
      <c r="C96" s="149" t="s">
        <v>109</v>
      </c>
      <c r="D96" s="39"/>
      <c r="E96" s="18"/>
      <c r="F96" s="37">
        <v>1</v>
      </c>
      <c r="G96" s="37">
        <v>311.55</v>
      </c>
      <c r="H96" s="103">
        <f t="shared" ref="H96:H97" si="20">G96*F96/1000</f>
        <v>0.31154999999999999</v>
      </c>
      <c r="I96" s="13">
        <f t="shared" si="19"/>
        <v>311.55</v>
      </c>
    </row>
    <row r="97" spans="1:9" ht="15.75" customHeight="1">
      <c r="A97" s="33">
        <v>27</v>
      </c>
      <c r="B97" s="150" t="s">
        <v>240</v>
      </c>
      <c r="C97" s="136" t="s">
        <v>96</v>
      </c>
      <c r="D97" s="39"/>
      <c r="E97" s="18"/>
      <c r="F97" s="37">
        <f>1.4/10</f>
        <v>0.13999999999999999</v>
      </c>
      <c r="G97" s="37">
        <v>3282.12</v>
      </c>
      <c r="H97" s="103">
        <f t="shared" si="20"/>
        <v>0.45949679999999993</v>
      </c>
      <c r="I97" s="13">
        <f>G97*F97</f>
        <v>459.49679999999995</v>
      </c>
    </row>
    <row r="98" spans="1:9" ht="16.5" customHeight="1">
      <c r="A98" s="33"/>
      <c r="B98" s="45" t="s">
        <v>52</v>
      </c>
      <c r="C98" s="41"/>
      <c r="D98" s="48"/>
      <c r="E98" s="41">
        <v>1</v>
      </c>
      <c r="F98" s="41"/>
      <c r="G98" s="41"/>
      <c r="H98" s="41"/>
      <c r="I98" s="35">
        <f>SUM(I92:I97)</f>
        <v>4963.6268</v>
      </c>
    </row>
    <row r="99" spans="1:9" ht="15.75" customHeight="1">
      <c r="A99" s="33"/>
      <c r="B99" s="47" t="s">
        <v>79</v>
      </c>
      <c r="C99" s="15"/>
      <c r="D99" s="15"/>
      <c r="E99" s="42"/>
      <c r="F99" s="42"/>
      <c r="G99" s="43"/>
      <c r="H99" s="43"/>
      <c r="I99" s="18">
        <v>0</v>
      </c>
    </row>
    <row r="100" spans="1:9" ht="15.75" customHeight="1">
      <c r="A100" s="49"/>
      <c r="B100" s="46" t="s">
        <v>174</v>
      </c>
      <c r="C100" s="36"/>
      <c r="D100" s="36"/>
      <c r="E100" s="36"/>
      <c r="F100" s="36"/>
      <c r="G100" s="36"/>
      <c r="H100" s="36"/>
      <c r="I100" s="44">
        <f>I90+I98</f>
        <v>62216.894658333338</v>
      </c>
    </row>
    <row r="101" spans="1:9" ht="15.75" customHeight="1">
      <c r="A101" s="165" t="s">
        <v>246</v>
      </c>
      <c r="B101" s="165"/>
      <c r="C101" s="165"/>
      <c r="D101" s="165"/>
      <c r="E101" s="165"/>
      <c r="F101" s="165"/>
      <c r="G101" s="165"/>
      <c r="H101" s="165"/>
      <c r="I101" s="165"/>
    </row>
    <row r="102" spans="1:9" ht="15.75">
      <c r="A102" s="60"/>
      <c r="B102" s="166" t="s">
        <v>247</v>
      </c>
      <c r="C102" s="166"/>
      <c r="D102" s="166"/>
      <c r="E102" s="166"/>
      <c r="F102" s="166"/>
      <c r="G102" s="166"/>
      <c r="H102" s="65"/>
      <c r="I102" s="3"/>
    </row>
    <row r="103" spans="1:9">
      <c r="A103" s="99"/>
      <c r="B103" s="167" t="s">
        <v>6</v>
      </c>
      <c r="C103" s="167"/>
      <c r="D103" s="167"/>
      <c r="E103" s="167"/>
      <c r="F103" s="167"/>
      <c r="G103" s="167"/>
      <c r="H103" s="28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68" t="s">
        <v>7</v>
      </c>
      <c r="B105" s="168"/>
      <c r="C105" s="168"/>
      <c r="D105" s="168"/>
      <c r="E105" s="168"/>
      <c r="F105" s="168"/>
      <c r="G105" s="168"/>
      <c r="H105" s="168"/>
      <c r="I105" s="168"/>
    </row>
    <row r="106" spans="1:9" ht="15.75">
      <c r="A106" s="168" t="s">
        <v>8</v>
      </c>
      <c r="B106" s="168"/>
      <c r="C106" s="168"/>
      <c r="D106" s="168"/>
      <c r="E106" s="168"/>
      <c r="F106" s="168"/>
      <c r="G106" s="168"/>
      <c r="H106" s="168"/>
      <c r="I106" s="168"/>
    </row>
    <row r="107" spans="1:9" ht="15.75">
      <c r="A107" s="169" t="s">
        <v>61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15.75">
      <c r="A108" s="11"/>
    </row>
    <row r="109" spans="1:9" ht="15.75">
      <c r="A109" s="170" t="s">
        <v>9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15.75" customHeight="1">
      <c r="A110" s="4"/>
    </row>
    <row r="111" spans="1:9" ht="15.75">
      <c r="B111" s="101" t="s">
        <v>10</v>
      </c>
      <c r="C111" s="171" t="s">
        <v>140</v>
      </c>
      <c r="D111" s="171"/>
      <c r="E111" s="171"/>
      <c r="F111" s="63"/>
      <c r="I111" s="102"/>
    </row>
    <row r="112" spans="1:9">
      <c r="A112" s="99"/>
      <c r="C112" s="167" t="s">
        <v>11</v>
      </c>
      <c r="D112" s="167"/>
      <c r="E112" s="167"/>
      <c r="F112" s="28"/>
      <c r="I112" s="100" t="s">
        <v>12</v>
      </c>
    </row>
    <row r="113" spans="1:9" ht="15.75" customHeight="1">
      <c r="A113" s="29"/>
      <c r="C113" s="12"/>
      <c r="D113" s="12"/>
      <c r="G113" s="12"/>
      <c r="H113" s="12"/>
    </row>
    <row r="114" spans="1:9" ht="15.75" customHeight="1">
      <c r="B114" s="101" t="s">
        <v>13</v>
      </c>
      <c r="C114" s="172"/>
      <c r="D114" s="172"/>
      <c r="E114" s="172"/>
      <c r="F114" s="64"/>
      <c r="I114" s="102"/>
    </row>
    <row r="115" spans="1:9" ht="15.75" customHeight="1">
      <c r="A115" s="99"/>
      <c r="C115" s="161" t="s">
        <v>11</v>
      </c>
      <c r="D115" s="161"/>
      <c r="E115" s="161"/>
      <c r="F115" s="99"/>
      <c r="I115" s="100" t="s">
        <v>12</v>
      </c>
    </row>
    <row r="116" spans="1:9" ht="15.75">
      <c r="A116" s="4" t="s">
        <v>14</v>
      </c>
    </row>
    <row r="117" spans="1:9">
      <c r="A117" s="176" t="s">
        <v>15</v>
      </c>
      <c r="B117" s="176"/>
      <c r="C117" s="176"/>
      <c r="D117" s="176"/>
      <c r="E117" s="176"/>
      <c r="F117" s="176"/>
      <c r="G117" s="176"/>
      <c r="H117" s="176"/>
      <c r="I117" s="176"/>
    </row>
    <row r="118" spans="1:9" ht="45" customHeight="1">
      <c r="A118" s="177" t="s">
        <v>16</v>
      </c>
      <c r="B118" s="177"/>
      <c r="C118" s="177"/>
      <c r="D118" s="177"/>
      <c r="E118" s="177"/>
      <c r="F118" s="177"/>
      <c r="G118" s="177"/>
      <c r="H118" s="177"/>
      <c r="I118" s="177"/>
    </row>
    <row r="119" spans="1:9" ht="30" customHeight="1">
      <c r="A119" s="177" t="s">
        <v>17</v>
      </c>
      <c r="B119" s="177"/>
      <c r="C119" s="177"/>
      <c r="D119" s="177"/>
      <c r="E119" s="177"/>
      <c r="F119" s="177"/>
      <c r="G119" s="177"/>
      <c r="H119" s="177"/>
      <c r="I119" s="177"/>
    </row>
    <row r="120" spans="1:9" ht="30" customHeight="1">
      <c r="A120" s="177" t="s">
        <v>21</v>
      </c>
      <c r="B120" s="177"/>
      <c r="C120" s="177"/>
      <c r="D120" s="177"/>
      <c r="E120" s="177"/>
      <c r="F120" s="177"/>
      <c r="G120" s="177"/>
      <c r="H120" s="177"/>
      <c r="I120" s="177"/>
    </row>
    <row r="121" spans="1:9" ht="15" customHeight="1">
      <c r="A121" s="177" t="s">
        <v>20</v>
      </c>
      <c r="B121" s="177"/>
      <c r="C121" s="177"/>
      <c r="D121" s="177"/>
      <c r="E121" s="177"/>
      <c r="F121" s="177"/>
      <c r="G121" s="177"/>
      <c r="H121" s="177"/>
      <c r="I121" s="177"/>
    </row>
  </sheetData>
  <autoFilter ref="I12:I60"/>
  <mergeCells count="29">
    <mergeCell ref="A15:I15"/>
    <mergeCell ref="R65:U65"/>
    <mergeCell ref="A3:I3"/>
    <mergeCell ref="A4:I4"/>
    <mergeCell ref="A5:I5"/>
    <mergeCell ref="A8:I8"/>
    <mergeCell ref="A10:I10"/>
    <mergeCell ref="A14:I14"/>
    <mergeCell ref="A109:I109"/>
    <mergeCell ref="C111:E111"/>
    <mergeCell ref="C112:E112"/>
    <mergeCell ref="C114:E114"/>
    <mergeCell ref="C115:E115"/>
    <mergeCell ref="A29:I29"/>
    <mergeCell ref="A47:I47"/>
    <mergeCell ref="A58:I58"/>
    <mergeCell ref="A87:I87"/>
    <mergeCell ref="A107:I107"/>
    <mergeCell ref="A91:I91"/>
    <mergeCell ref="A101:I101"/>
    <mergeCell ref="B102:G102"/>
    <mergeCell ref="B103:G103"/>
    <mergeCell ref="A105:I105"/>
    <mergeCell ref="A106:I106"/>
    <mergeCell ref="A117:I117"/>
    <mergeCell ref="A118:I118"/>
    <mergeCell ref="A119:I119"/>
    <mergeCell ref="A120:I120"/>
    <mergeCell ref="A121:I121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0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221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222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4">
        <v>43100</v>
      </c>
      <c r="J6" s="2"/>
      <c r="K6" s="2"/>
      <c r="L6" s="2"/>
      <c r="M6" s="2"/>
    </row>
    <row r="7" spans="1:13" ht="15.75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223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111" t="s">
        <v>87</v>
      </c>
      <c r="C16" s="112" t="s">
        <v>88</v>
      </c>
      <c r="D16" s="111" t="s">
        <v>167</v>
      </c>
      <c r="E16" s="113">
        <v>49.72</v>
      </c>
      <c r="F16" s="114">
        <f>SUM(E16*156/100)</f>
        <v>77.563199999999995</v>
      </c>
      <c r="G16" s="114">
        <v>230</v>
      </c>
      <c r="H16" s="115">
        <f t="shared" ref="H16:H25" si="0">SUM(F16*G16/1000)</f>
        <v>17.839535999999999</v>
      </c>
      <c r="I16" s="13">
        <f>F16/12*G16</f>
        <v>1486.6279999999999</v>
      </c>
      <c r="J16" s="25"/>
      <c r="K16" s="8"/>
      <c r="L16" s="8"/>
      <c r="M16" s="8"/>
    </row>
    <row r="17" spans="1:13" ht="15.75" customHeight="1">
      <c r="A17" s="33">
        <v>2</v>
      </c>
      <c r="B17" s="111" t="s">
        <v>118</v>
      </c>
      <c r="C17" s="112" t="s">
        <v>88</v>
      </c>
      <c r="D17" s="111" t="s">
        <v>168</v>
      </c>
      <c r="E17" s="113">
        <v>198.88</v>
      </c>
      <c r="F17" s="114">
        <f>SUM(E17*104/100)</f>
        <v>206.83520000000001</v>
      </c>
      <c r="G17" s="114">
        <v>230</v>
      </c>
      <c r="H17" s="115">
        <f t="shared" si="0"/>
        <v>47.572096000000002</v>
      </c>
      <c r="I17" s="13">
        <f>F17/12*G17</f>
        <v>3964.3413333333338</v>
      </c>
      <c r="J17" s="26"/>
      <c r="K17" s="8"/>
      <c r="L17" s="8"/>
      <c r="M17" s="8"/>
    </row>
    <row r="18" spans="1:13" ht="15.75" customHeight="1">
      <c r="A18" s="33">
        <v>3</v>
      </c>
      <c r="B18" s="111" t="s">
        <v>119</v>
      </c>
      <c r="C18" s="112" t="s">
        <v>88</v>
      </c>
      <c r="D18" s="111" t="s">
        <v>169</v>
      </c>
      <c r="E18" s="113">
        <v>248.6</v>
      </c>
      <c r="F18" s="114">
        <f>SUM(E18*24/100)</f>
        <v>59.663999999999994</v>
      </c>
      <c r="G18" s="114">
        <v>661.67</v>
      </c>
      <c r="H18" s="115">
        <f t="shared" si="0"/>
        <v>39.477878879999999</v>
      </c>
      <c r="I18" s="13">
        <f>F18/12*G18</f>
        <v>3289.8232399999993</v>
      </c>
      <c r="J18" s="26"/>
      <c r="K18" s="8"/>
      <c r="L18" s="8"/>
      <c r="M18" s="8"/>
    </row>
    <row r="19" spans="1:13" ht="15.75" hidden="1" customHeight="1">
      <c r="A19" s="33"/>
      <c r="B19" s="111" t="s">
        <v>95</v>
      </c>
      <c r="C19" s="112" t="s">
        <v>96</v>
      </c>
      <c r="D19" s="111" t="s">
        <v>97</v>
      </c>
      <c r="E19" s="113">
        <v>18.48</v>
      </c>
      <c r="F19" s="114">
        <f>SUM(E19/10)</f>
        <v>1.8480000000000001</v>
      </c>
      <c r="G19" s="114">
        <v>223.17</v>
      </c>
      <c r="H19" s="115">
        <f t="shared" si="0"/>
        <v>0.41241815999999998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111" t="s">
        <v>98</v>
      </c>
      <c r="C20" s="112" t="s">
        <v>88</v>
      </c>
      <c r="D20" s="111" t="s">
        <v>224</v>
      </c>
      <c r="E20" s="113">
        <v>10.5</v>
      </c>
      <c r="F20" s="114">
        <f>SUM(E20*12/100)</f>
        <v>1.26</v>
      </c>
      <c r="G20" s="114">
        <v>285.76</v>
      </c>
      <c r="H20" s="115">
        <f t="shared" si="0"/>
        <v>0.36005759999999998</v>
      </c>
      <c r="I20" s="13">
        <f>F20/12*G20</f>
        <v>30.004799999999999</v>
      </c>
      <c r="J20" s="26"/>
      <c r="K20" s="8"/>
      <c r="L20" s="8"/>
      <c r="M20" s="8"/>
    </row>
    <row r="21" spans="1:13" ht="15.75" hidden="1" customHeight="1">
      <c r="A21" s="33">
        <v>5</v>
      </c>
      <c r="B21" s="111" t="s">
        <v>99</v>
      </c>
      <c r="C21" s="112" t="s">
        <v>88</v>
      </c>
      <c r="D21" s="111" t="s">
        <v>42</v>
      </c>
      <c r="E21" s="113">
        <v>3</v>
      </c>
      <c r="F21" s="114">
        <f>SUM(E21*2/100)</f>
        <v>0.06</v>
      </c>
      <c r="G21" s="114">
        <v>283.44</v>
      </c>
      <c r="H21" s="115">
        <f t="shared" si="0"/>
        <v>1.7006399999999998E-2</v>
      </c>
      <c r="I21" s="13">
        <f>F21/6*G21</f>
        <v>2.8344</v>
      </c>
      <c r="J21" s="26"/>
      <c r="K21" s="8"/>
      <c r="L21" s="8"/>
      <c r="M21" s="8"/>
    </row>
    <row r="22" spans="1:13" ht="15.75" hidden="1" customHeight="1">
      <c r="A22" s="33"/>
      <c r="B22" s="111" t="s">
        <v>100</v>
      </c>
      <c r="C22" s="112" t="s">
        <v>53</v>
      </c>
      <c r="D22" s="111" t="s">
        <v>97</v>
      </c>
      <c r="E22" s="113">
        <v>267.75</v>
      </c>
      <c r="F22" s="114">
        <f>SUM(E22/100)</f>
        <v>2.6775000000000002</v>
      </c>
      <c r="G22" s="114">
        <v>353.14</v>
      </c>
      <c r="H22" s="115">
        <f t="shared" si="0"/>
        <v>0.94553235000000002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111" t="s">
        <v>101</v>
      </c>
      <c r="C23" s="112" t="s">
        <v>53</v>
      </c>
      <c r="D23" s="111" t="s">
        <v>97</v>
      </c>
      <c r="E23" s="116">
        <v>36.229999999999997</v>
      </c>
      <c r="F23" s="114">
        <f>SUM(E23/100)</f>
        <v>0.36229999999999996</v>
      </c>
      <c r="G23" s="114">
        <v>58.08</v>
      </c>
      <c r="H23" s="115">
        <f t="shared" si="0"/>
        <v>2.1042383999999997E-2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111" t="s">
        <v>102</v>
      </c>
      <c r="C24" s="112" t="s">
        <v>53</v>
      </c>
      <c r="D24" s="111" t="s">
        <v>54</v>
      </c>
      <c r="E24" s="113">
        <v>15</v>
      </c>
      <c r="F24" s="114">
        <f>SUM(E24/100)</f>
        <v>0.15</v>
      </c>
      <c r="G24" s="114">
        <v>511.12</v>
      </c>
      <c r="H24" s="115">
        <f t="shared" si="0"/>
        <v>7.6667999999999986E-2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111" t="s">
        <v>103</v>
      </c>
      <c r="C25" s="112" t="s">
        <v>53</v>
      </c>
      <c r="D25" s="111" t="s">
        <v>54</v>
      </c>
      <c r="E25" s="113">
        <v>6.38</v>
      </c>
      <c r="F25" s="114">
        <f>SUM(E25/100)</f>
        <v>6.3799999999999996E-2</v>
      </c>
      <c r="G25" s="114">
        <v>683.05</v>
      </c>
      <c r="H25" s="115">
        <f t="shared" si="0"/>
        <v>4.3578589999999993E-2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111" t="s">
        <v>128</v>
      </c>
      <c r="C26" s="112" t="s">
        <v>53</v>
      </c>
      <c r="D26" s="111" t="s">
        <v>54</v>
      </c>
      <c r="E26" s="113">
        <v>14.25</v>
      </c>
      <c r="F26" s="114">
        <v>0.14000000000000001</v>
      </c>
      <c r="G26" s="114">
        <v>283.44</v>
      </c>
      <c r="H26" s="115">
        <f>G26*F26/1000</f>
        <v>3.9681600000000004E-2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111" t="s">
        <v>64</v>
      </c>
      <c r="C27" s="112" t="s">
        <v>33</v>
      </c>
      <c r="D27" s="111" t="s">
        <v>63</v>
      </c>
      <c r="E27" s="118">
        <v>0.1</v>
      </c>
      <c r="F27" s="114">
        <f>SUM(E27*155)</f>
        <v>15.5</v>
      </c>
      <c r="G27" s="114">
        <v>264.85000000000002</v>
      </c>
      <c r="H27" s="115">
        <f>SUM(F27*G27/1000)</f>
        <v>4.105175</v>
      </c>
      <c r="I27" s="13">
        <f>F27/12*G27</f>
        <v>342.09791666666672</v>
      </c>
      <c r="J27" s="27"/>
    </row>
    <row r="28" spans="1:13" ht="15.75" customHeight="1">
      <c r="A28" s="33">
        <v>6</v>
      </c>
      <c r="B28" s="119" t="s">
        <v>23</v>
      </c>
      <c r="C28" s="112" t="s">
        <v>24</v>
      </c>
      <c r="D28" s="119" t="s">
        <v>145</v>
      </c>
      <c r="E28" s="113">
        <v>2626.5</v>
      </c>
      <c r="F28" s="114">
        <f>SUM(E28*12)</f>
        <v>31518</v>
      </c>
      <c r="G28" s="114">
        <v>3.36</v>
      </c>
      <c r="H28" s="115">
        <f>SUM(F28*G28/1000)</f>
        <v>105.90048</v>
      </c>
      <c r="I28" s="13">
        <f t="shared" ref="I28" si="1">F28/12*G28</f>
        <v>8825.0399999999991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hidden="1" customHeight="1">
      <c r="A30" s="33"/>
      <c r="B30" s="142" t="s">
        <v>28</v>
      </c>
      <c r="C30" s="112"/>
      <c r="D30" s="111"/>
      <c r="E30" s="113"/>
      <c r="F30" s="114"/>
      <c r="G30" s="114"/>
      <c r="H30" s="115"/>
      <c r="I30" s="13"/>
      <c r="J30" s="27"/>
    </row>
    <row r="31" spans="1:13" ht="15.75" hidden="1" customHeight="1">
      <c r="A31" s="33"/>
      <c r="B31" s="111" t="s">
        <v>107</v>
      </c>
      <c r="C31" s="112" t="s">
        <v>90</v>
      </c>
      <c r="D31" s="111" t="s">
        <v>187</v>
      </c>
      <c r="E31" s="114">
        <v>665</v>
      </c>
      <c r="F31" s="114">
        <f>SUM(E31*52/1000)</f>
        <v>34.58</v>
      </c>
      <c r="G31" s="114">
        <v>204.44</v>
      </c>
      <c r="H31" s="115">
        <f t="shared" ref="H31:H37" si="2">SUM(F31*G31/1000)</f>
        <v>7.0695351999999989</v>
      </c>
      <c r="I31" s="13">
        <f t="shared" ref="I31:I32" si="3">F31/6*G31</f>
        <v>1178.2558666666666</v>
      </c>
      <c r="J31" s="26"/>
      <c r="K31" s="8"/>
      <c r="L31" s="8"/>
      <c r="M31" s="8"/>
    </row>
    <row r="32" spans="1:13" ht="15.75" hidden="1" customHeight="1">
      <c r="A32" s="33"/>
      <c r="B32" s="111" t="s">
        <v>122</v>
      </c>
      <c r="C32" s="112" t="s">
        <v>90</v>
      </c>
      <c r="D32" s="111" t="s">
        <v>188</v>
      </c>
      <c r="E32" s="114">
        <v>81.5</v>
      </c>
      <c r="F32" s="114">
        <f>SUM(E32*78/1000)</f>
        <v>6.3570000000000002</v>
      </c>
      <c r="G32" s="114">
        <v>339.21</v>
      </c>
      <c r="H32" s="115">
        <f t="shared" si="2"/>
        <v>2.1563579700000002</v>
      </c>
      <c r="I32" s="13">
        <f t="shared" si="3"/>
        <v>359.39299500000004</v>
      </c>
      <c r="J32" s="26"/>
      <c r="K32" s="8"/>
      <c r="L32" s="8"/>
      <c r="M32" s="8"/>
    </row>
    <row r="33" spans="1:14" ht="15.75" hidden="1" customHeight="1">
      <c r="A33" s="33"/>
      <c r="B33" s="111" t="s">
        <v>27</v>
      </c>
      <c r="C33" s="112" t="s">
        <v>90</v>
      </c>
      <c r="D33" s="111" t="s">
        <v>54</v>
      </c>
      <c r="E33" s="114">
        <v>665</v>
      </c>
      <c r="F33" s="114">
        <f>SUM(E33/1000)</f>
        <v>0.66500000000000004</v>
      </c>
      <c r="G33" s="114">
        <v>3961.23</v>
      </c>
      <c r="H33" s="115">
        <f t="shared" si="2"/>
        <v>2.63421795</v>
      </c>
      <c r="I33" s="13">
        <f>F33*G33</f>
        <v>2634.2179500000002</v>
      </c>
      <c r="J33" s="26"/>
      <c r="K33" s="8"/>
      <c r="L33" s="8"/>
      <c r="M33" s="8"/>
    </row>
    <row r="34" spans="1:14" ht="15.75" hidden="1" customHeight="1">
      <c r="A34" s="33"/>
      <c r="B34" s="111" t="s">
        <v>121</v>
      </c>
      <c r="C34" s="112" t="s">
        <v>40</v>
      </c>
      <c r="D34" s="111" t="s">
        <v>63</v>
      </c>
      <c r="E34" s="114">
        <v>3</v>
      </c>
      <c r="F34" s="114">
        <f>E34*155/100</f>
        <v>4.6500000000000004</v>
      </c>
      <c r="G34" s="114">
        <v>1707.63</v>
      </c>
      <c r="H34" s="115">
        <f>G34*F34/1000</f>
        <v>7.9404795000000012</v>
      </c>
      <c r="I34" s="13">
        <f>F34/6*G34</f>
        <v>1323.4132500000001</v>
      </c>
      <c r="J34" s="26"/>
      <c r="K34" s="8"/>
      <c r="L34" s="8"/>
      <c r="M34" s="8"/>
    </row>
    <row r="35" spans="1:14" ht="15.75" hidden="1" customHeight="1">
      <c r="A35" s="33"/>
      <c r="B35" s="111" t="s">
        <v>106</v>
      </c>
      <c r="C35" s="112" t="s">
        <v>31</v>
      </c>
      <c r="D35" s="111" t="s">
        <v>63</v>
      </c>
      <c r="E35" s="117">
        <f>1/3</f>
        <v>0.33333333333333331</v>
      </c>
      <c r="F35" s="114">
        <f>155/3</f>
        <v>51.666666666666664</v>
      </c>
      <c r="G35" s="114">
        <v>74.349999999999994</v>
      </c>
      <c r="H35" s="115">
        <f>SUM(G35*155/3/1000)</f>
        <v>3.8414166666666665</v>
      </c>
      <c r="I35" s="13">
        <f>F35/6*G35</f>
        <v>640.23611111111109</v>
      </c>
      <c r="J35" s="26"/>
      <c r="K35" s="8"/>
    </row>
    <row r="36" spans="1:14" ht="15.75" hidden="1" customHeight="1">
      <c r="A36" s="33"/>
      <c r="B36" s="111" t="s">
        <v>65</v>
      </c>
      <c r="C36" s="112" t="s">
        <v>33</v>
      </c>
      <c r="D36" s="111" t="s">
        <v>67</v>
      </c>
      <c r="E36" s="113"/>
      <c r="F36" s="114">
        <v>1</v>
      </c>
      <c r="G36" s="114">
        <v>250.92</v>
      </c>
      <c r="H36" s="115">
        <f t="shared" si="2"/>
        <v>0.25091999999999998</v>
      </c>
      <c r="I36" s="13">
        <v>0</v>
      </c>
      <c r="J36" s="27"/>
    </row>
    <row r="37" spans="1:14" ht="15.75" hidden="1" customHeight="1">
      <c r="A37" s="33"/>
      <c r="B37" s="111" t="s">
        <v>66</v>
      </c>
      <c r="C37" s="112" t="s">
        <v>32</v>
      </c>
      <c r="D37" s="111" t="s">
        <v>67</v>
      </c>
      <c r="E37" s="113"/>
      <c r="F37" s="114">
        <v>1</v>
      </c>
      <c r="G37" s="114">
        <v>1490.31</v>
      </c>
      <c r="H37" s="115">
        <f t="shared" si="2"/>
        <v>1.49031</v>
      </c>
      <c r="I37" s="13">
        <v>0</v>
      </c>
      <c r="J37" s="27"/>
    </row>
    <row r="38" spans="1:14" ht="15.75" customHeight="1">
      <c r="A38" s="33"/>
      <c r="B38" s="142" t="s">
        <v>5</v>
      </c>
      <c r="C38" s="112"/>
      <c r="D38" s="111"/>
      <c r="E38" s="113"/>
      <c r="F38" s="114"/>
      <c r="G38" s="114"/>
      <c r="H38" s="115" t="s">
        <v>145</v>
      </c>
      <c r="I38" s="13"/>
      <c r="J38" s="27"/>
    </row>
    <row r="39" spans="1:14" ht="15.75" customHeight="1">
      <c r="A39" s="33">
        <v>7</v>
      </c>
      <c r="B39" s="120" t="s">
        <v>26</v>
      </c>
      <c r="C39" s="112" t="s">
        <v>32</v>
      </c>
      <c r="D39" s="111"/>
      <c r="E39" s="113"/>
      <c r="F39" s="114">
        <v>5</v>
      </c>
      <c r="G39" s="114">
        <v>2003</v>
      </c>
      <c r="H39" s="115">
        <f t="shared" ref="H39:H46" si="4">SUM(F39*G39/1000)</f>
        <v>10.015000000000001</v>
      </c>
      <c r="I39" s="13">
        <f t="shared" ref="I39:I46" si="5">F39/6*G39</f>
        <v>1669.1666666666667</v>
      </c>
      <c r="J39" s="27"/>
    </row>
    <row r="40" spans="1:14" ht="15.75" customHeight="1">
      <c r="A40" s="33">
        <v>8</v>
      </c>
      <c r="B40" s="120" t="s">
        <v>108</v>
      </c>
      <c r="C40" s="121" t="s">
        <v>29</v>
      </c>
      <c r="D40" s="111" t="s">
        <v>129</v>
      </c>
      <c r="E40" s="113">
        <v>81.5</v>
      </c>
      <c r="F40" s="122">
        <f>E40*30/1000</f>
        <v>2.4449999999999998</v>
      </c>
      <c r="G40" s="114">
        <v>2757.78</v>
      </c>
      <c r="H40" s="115">
        <f t="shared" si="4"/>
        <v>6.7427720999999998</v>
      </c>
      <c r="I40" s="13">
        <f t="shared" si="5"/>
        <v>1123.7953500000001</v>
      </c>
      <c r="J40" s="27"/>
    </row>
    <row r="41" spans="1:14" ht="15.75" customHeight="1">
      <c r="A41" s="33">
        <v>9</v>
      </c>
      <c r="B41" s="111" t="s">
        <v>68</v>
      </c>
      <c r="C41" s="112" t="s">
        <v>29</v>
      </c>
      <c r="D41" s="111" t="s">
        <v>89</v>
      </c>
      <c r="E41" s="114">
        <v>81.5</v>
      </c>
      <c r="F41" s="122">
        <f>SUM(E41*155/1000)</f>
        <v>12.6325</v>
      </c>
      <c r="G41" s="114">
        <v>460.02</v>
      </c>
      <c r="H41" s="115">
        <f t="shared" si="4"/>
        <v>5.8112026500000002</v>
      </c>
      <c r="I41" s="13">
        <f t="shared" si="5"/>
        <v>968.53377499999999</v>
      </c>
      <c r="J41" s="27"/>
      <c r="L41" s="20"/>
      <c r="M41" s="21"/>
      <c r="N41" s="22"/>
    </row>
    <row r="42" spans="1:14" ht="15.75" hidden="1" customHeight="1">
      <c r="A42" s="33"/>
      <c r="B42" s="111" t="s">
        <v>123</v>
      </c>
      <c r="C42" s="112" t="s">
        <v>124</v>
      </c>
      <c r="D42" s="111" t="s">
        <v>67</v>
      </c>
      <c r="E42" s="113"/>
      <c r="F42" s="122">
        <v>26</v>
      </c>
      <c r="G42" s="114">
        <v>314</v>
      </c>
      <c r="H42" s="115">
        <f t="shared" si="4"/>
        <v>8.1639999999999997</v>
      </c>
      <c r="I42" s="13">
        <v>0</v>
      </c>
      <c r="J42" s="27"/>
      <c r="L42" s="20"/>
      <c r="M42" s="21"/>
      <c r="N42" s="22"/>
    </row>
    <row r="43" spans="1:14" ht="47.25" customHeight="1">
      <c r="A43" s="33">
        <v>10</v>
      </c>
      <c r="B43" s="111" t="s">
        <v>83</v>
      </c>
      <c r="C43" s="112" t="s">
        <v>90</v>
      </c>
      <c r="D43" s="111" t="s">
        <v>131</v>
      </c>
      <c r="E43" s="114">
        <v>81.5</v>
      </c>
      <c r="F43" s="122">
        <f>SUM(E43*35/1000)</f>
        <v>2.8525</v>
      </c>
      <c r="G43" s="114">
        <v>7611.16</v>
      </c>
      <c r="H43" s="115">
        <f t="shared" si="4"/>
        <v>21.710833900000001</v>
      </c>
      <c r="I43" s="13">
        <f t="shared" si="5"/>
        <v>3618.4723166666663</v>
      </c>
      <c r="J43" s="27"/>
      <c r="L43" s="20"/>
      <c r="M43" s="21"/>
      <c r="N43" s="22"/>
    </row>
    <row r="44" spans="1:14" ht="15.75" hidden="1" customHeight="1">
      <c r="A44" s="33">
        <v>11</v>
      </c>
      <c r="B44" s="111" t="s">
        <v>91</v>
      </c>
      <c r="C44" s="112" t="s">
        <v>90</v>
      </c>
      <c r="D44" s="111" t="s">
        <v>69</v>
      </c>
      <c r="E44" s="114">
        <v>81.5</v>
      </c>
      <c r="F44" s="122">
        <f>SUM(E44*45/1000)</f>
        <v>3.6675</v>
      </c>
      <c r="G44" s="114">
        <v>562.25</v>
      </c>
      <c r="H44" s="115">
        <f t="shared" si="4"/>
        <v>2.0620518750000003</v>
      </c>
      <c r="I44" s="13">
        <f t="shared" si="5"/>
        <v>343.67531249999996</v>
      </c>
      <c r="J44" s="27"/>
      <c r="L44" s="20"/>
      <c r="M44" s="21"/>
      <c r="N44" s="22"/>
    </row>
    <row r="45" spans="1:14" ht="15.75" customHeight="1">
      <c r="A45" s="33">
        <v>11</v>
      </c>
      <c r="B45" s="120" t="s">
        <v>70</v>
      </c>
      <c r="C45" s="121" t="s">
        <v>33</v>
      </c>
      <c r="D45" s="120"/>
      <c r="E45" s="118"/>
      <c r="F45" s="122">
        <v>0.9</v>
      </c>
      <c r="G45" s="122">
        <v>974.83</v>
      </c>
      <c r="H45" s="115">
        <f t="shared" si="4"/>
        <v>0.8773470000000001</v>
      </c>
      <c r="I45" s="13">
        <f t="shared" si="5"/>
        <v>146.22450000000001</v>
      </c>
      <c r="J45" s="27"/>
      <c r="L45" s="20"/>
      <c r="M45" s="21"/>
      <c r="N45" s="22"/>
    </row>
    <row r="46" spans="1:14" ht="15.75" customHeight="1">
      <c r="A46" s="33">
        <v>12</v>
      </c>
      <c r="B46" s="51" t="s">
        <v>225</v>
      </c>
      <c r="C46" s="52" t="s">
        <v>29</v>
      </c>
      <c r="D46" s="120" t="s">
        <v>226</v>
      </c>
      <c r="E46" s="118">
        <v>2.4</v>
      </c>
      <c r="F46" s="122">
        <f>SUM(E46*12/1000)</f>
        <v>2.8799999999999996E-2</v>
      </c>
      <c r="G46" s="122">
        <v>260.2</v>
      </c>
      <c r="H46" s="115">
        <f t="shared" si="4"/>
        <v>7.4937599999999986E-3</v>
      </c>
      <c r="I46" s="13">
        <f t="shared" si="5"/>
        <v>1.2489599999999998</v>
      </c>
      <c r="J46" s="27"/>
      <c r="L46" s="20"/>
      <c r="M46" s="21"/>
      <c r="N46" s="22"/>
    </row>
    <row r="47" spans="1:14" ht="15.75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hidden="1" customHeight="1">
      <c r="A48" s="33"/>
      <c r="B48" s="111" t="s">
        <v>132</v>
      </c>
      <c r="C48" s="112" t="s">
        <v>90</v>
      </c>
      <c r="D48" s="111" t="s">
        <v>42</v>
      </c>
      <c r="E48" s="113">
        <v>1080</v>
      </c>
      <c r="F48" s="114">
        <f>SUM(E48*2/1000)</f>
        <v>2.16</v>
      </c>
      <c r="G48" s="37">
        <v>1172.4100000000001</v>
      </c>
      <c r="H48" s="115">
        <f t="shared" ref="H48:H56" si="6">SUM(F48*G48/1000)</f>
        <v>2.5324056000000006</v>
      </c>
      <c r="I48" s="13">
        <f t="shared" ref="I48:I51" si="7">F48/2*G48</f>
        <v>1266.2028000000003</v>
      </c>
      <c r="J48" s="27"/>
      <c r="L48" s="20"/>
      <c r="M48" s="21"/>
      <c r="N48" s="22"/>
    </row>
    <row r="49" spans="1:22" ht="15.75" hidden="1" customHeight="1">
      <c r="A49" s="33"/>
      <c r="B49" s="111" t="s">
        <v>35</v>
      </c>
      <c r="C49" s="112" t="s">
        <v>90</v>
      </c>
      <c r="D49" s="111" t="s">
        <v>42</v>
      </c>
      <c r="E49" s="113">
        <v>39</v>
      </c>
      <c r="F49" s="114">
        <f>SUM(E49*2/1000)</f>
        <v>7.8E-2</v>
      </c>
      <c r="G49" s="37">
        <v>4419.05</v>
      </c>
      <c r="H49" s="115">
        <f t="shared" si="6"/>
        <v>0.34468589999999999</v>
      </c>
      <c r="I49" s="13">
        <f t="shared" si="7"/>
        <v>172.34295</v>
      </c>
      <c r="J49" s="27"/>
      <c r="L49" s="20"/>
      <c r="M49" s="21"/>
      <c r="N49" s="22"/>
    </row>
    <row r="50" spans="1:22" ht="15.75" hidden="1" customHeight="1">
      <c r="A50" s="33"/>
      <c r="B50" s="111" t="s">
        <v>36</v>
      </c>
      <c r="C50" s="112" t="s">
        <v>90</v>
      </c>
      <c r="D50" s="111" t="s">
        <v>42</v>
      </c>
      <c r="E50" s="113">
        <v>1037</v>
      </c>
      <c r="F50" s="114">
        <f>SUM(E50*2/1000)</f>
        <v>2.0739999999999998</v>
      </c>
      <c r="G50" s="37">
        <v>1803.69</v>
      </c>
      <c r="H50" s="115">
        <f t="shared" si="6"/>
        <v>3.7408530600000001</v>
      </c>
      <c r="I50" s="13">
        <f t="shared" si="7"/>
        <v>1870.42653</v>
      </c>
      <c r="J50" s="27"/>
      <c r="L50" s="20"/>
      <c r="M50" s="21"/>
      <c r="N50" s="22"/>
    </row>
    <row r="51" spans="1:22" ht="15.75" hidden="1" customHeight="1">
      <c r="A51" s="33"/>
      <c r="B51" s="111" t="s">
        <v>37</v>
      </c>
      <c r="C51" s="112" t="s">
        <v>90</v>
      </c>
      <c r="D51" s="111" t="s">
        <v>42</v>
      </c>
      <c r="E51" s="113">
        <v>2274</v>
      </c>
      <c r="F51" s="114">
        <f>SUM(E51*2/1000)</f>
        <v>4.548</v>
      </c>
      <c r="G51" s="37">
        <v>1243.43</v>
      </c>
      <c r="H51" s="115">
        <f t="shared" si="6"/>
        <v>5.6551196399999997</v>
      </c>
      <c r="I51" s="13">
        <f t="shared" si="7"/>
        <v>2827.5598199999999</v>
      </c>
      <c r="J51" s="27"/>
      <c r="L51" s="20"/>
      <c r="M51" s="21"/>
      <c r="N51" s="22"/>
    </row>
    <row r="52" spans="1:22" ht="15.75" hidden="1" customHeight="1">
      <c r="A52" s="33"/>
      <c r="B52" s="111" t="s">
        <v>34</v>
      </c>
      <c r="C52" s="112" t="s">
        <v>53</v>
      </c>
      <c r="D52" s="111" t="s">
        <v>42</v>
      </c>
      <c r="E52" s="113">
        <v>83.04</v>
      </c>
      <c r="F52" s="114">
        <v>1.66</v>
      </c>
      <c r="G52" s="37">
        <v>1352.76</v>
      </c>
      <c r="H52" s="115">
        <f>SUM(F52*G52/1000)</f>
        <v>2.2455816</v>
      </c>
      <c r="I52" s="13">
        <f>F52/2*G52</f>
        <v>1122.7908</v>
      </c>
      <c r="J52" s="27"/>
      <c r="L52" s="20"/>
      <c r="M52" s="21"/>
      <c r="N52" s="22"/>
    </row>
    <row r="53" spans="1:22" ht="15.75" customHeight="1">
      <c r="A53" s="33">
        <v>13</v>
      </c>
      <c r="B53" s="111" t="s">
        <v>56</v>
      </c>
      <c r="C53" s="112" t="s">
        <v>90</v>
      </c>
      <c r="D53" s="111" t="s">
        <v>153</v>
      </c>
      <c r="E53" s="113">
        <v>2626.5</v>
      </c>
      <c r="F53" s="114">
        <f>SUM(E53*5/1000)</f>
        <v>13.1325</v>
      </c>
      <c r="G53" s="37">
        <v>1803.69</v>
      </c>
      <c r="H53" s="115">
        <f t="shared" ref="H53:H55" si="8">SUM(F53*G53/1000)</f>
        <v>23.686958925000003</v>
      </c>
      <c r="I53" s="13">
        <f>F53/5*G53</f>
        <v>4737.3917849999998</v>
      </c>
      <c r="J53" s="27"/>
      <c r="L53" s="20"/>
      <c r="M53" s="21"/>
      <c r="N53" s="22"/>
    </row>
    <row r="54" spans="1:22" ht="31.5" hidden="1" customHeight="1">
      <c r="A54" s="33"/>
      <c r="B54" s="111" t="s">
        <v>92</v>
      </c>
      <c r="C54" s="112" t="s">
        <v>90</v>
      </c>
      <c r="D54" s="111" t="s">
        <v>42</v>
      </c>
      <c r="E54" s="113">
        <v>2626.5</v>
      </c>
      <c r="F54" s="114">
        <f>SUM(E54*2/1000)</f>
        <v>5.2530000000000001</v>
      </c>
      <c r="G54" s="37">
        <v>1591.6</v>
      </c>
      <c r="H54" s="115">
        <f t="shared" si="8"/>
        <v>8.3606747999999982</v>
      </c>
      <c r="I54" s="13">
        <f>F54/2*G54</f>
        <v>4180.3373999999994</v>
      </c>
      <c r="J54" s="27"/>
      <c r="L54" s="20"/>
      <c r="M54" s="21"/>
      <c r="N54" s="22"/>
    </row>
    <row r="55" spans="1:22" ht="31.5" hidden="1" customHeight="1">
      <c r="A55" s="33"/>
      <c r="B55" s="111" t="s">
        <v>93</v>
      </c>
      <c r="C55" s="112" t="s">
        <v>38</v>
      </c>
      <c r="D55" s="111" t="s">
        <v>42</v>
      </c>
      <c r="E55" s="113">
        <v>15</v>
      </c>
      <c r="F55" s="114">
        <f>SUM(E55*2/100)</f>
        <v>0.3</v>
      </c>
      <c r="G55" s="37">
        <v>4058.32</v>
      </c>
      <c r="H55" s="115">
        <f t="shared" si="8"/>
        <v>1.2174960000000001</v>
      </c>
      <c r="I55" s="13">
        <f t="shared" ref="I55:I56" si="9">F55/2*G55</f>
        <v>608.74800000000005</v>
      </c>
      <c r="J55" s="27"/>
      <c r="L55" s="20"/>
      <c r="M55" s="21"/>
      <c r="N55" s="22"/>
    </row>
    <row r="56" spans="1:22" ht="15.75" hidden="1" customHeight="1">
      <c r="A56" s="33"/>
      <c r="B56" s="111" t="s">
        <v>39</v>
      </c>
      <c r="C56" s="112" t="s">
        <v>40</v>
      </c>
      <c r="D56" s="111" t="s">
        <v>42</v>
      </c>
      <c r="E56" s="113">
        <v>1</v>
      </c>
      <c r="F56" s="114">
        <v>0.02</v>
      </c>
      <c r="G56" s="37">
        <v>7412.92</v>
      </c>
      <c r="H56" s="115">
        <f t="shared" si="6"/>
        <v>0.14825839999999998</v>
      </c>
      <c r="I56" s="13">
        <f t="shared" si="9"/>
        <v>74.129199999999997</v>
      </c>
      <c r="J56" s="27"/>
      <c r="L56" s="20"/>
      <c r="M56" s="21"/>
      <c r="N56" s="22"/>
    </row>
    <row r="57" spans="1:22" ht="15.75" customHeight="1">
      <c r="A57" s="33">
        <v>14</v>
      </c>
      <c r="B57" s="111" t="s">
        <v>41</v>
      </c>
      <c r="C57" s="112" t="s">
        <v>109</v>
      </c>
      <c r="D57" s="111" t="s">
        <v>71</v>
      </c>
      <c r="E57" s="113">
        <v>90</v>
      </c>
      <c r="F57" s="114">
        <f>SUM(E57)*3</f>
        <v>270</v>
      </c>
      <c r="G57" s="110">
        <v>86.15</v>
      </c>
      <c r="H57" s="115">
        <f>SUM(F57*G57/1000)</f>
        <v>23.2605</v>
      </c>
      <c r="I57" s="13">
        <f>F57/3*G57</f>
        <v>7753.5000000000009</v>
      </c>
      <c r="J57" s="27"/>
      <c r="L57" s="20"/>
      <c r="M57" s="21"/>
      <c r="N57" s="22"/>
    </row>
    <row r="58" spans="1:22" ht="15.75" customHeight="1">
      <c r="A58" s="158" t="s">
        <v>138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</row>
    <row r="59" spans="1:22" ht="15.75" customHeight="1">
      <c r="A59" s="33"/>
      <c r="B59" s="142" t="s">
        <v>43</v>
      </c>
      <c r="C59" s="112"/>
      <c r="D59" s="111"/>
      <c r="E59" s="113"/>
      <c r="F59" s="114"/>
      <c r="G59" s="114"/>
      <c r="H59" s="115"/>
      <c r="I59" s="13"/>
    </row>
    <row r="60" spans="1:22" ht="31.5" customHeight="1">
      <c r="A60" s="33">
        <v>15</v>
      </c>
      <c r="B60" s="111" t="s">
        <v>146</v>
      </c>
      <c r="C60" s="112" t="s">
        <v>88</v>
      </c>
      <c r="D60" s="111" t="s">
        <v>110</v>
      </c>
      <c r="E60" s="113">
        <v>111</v>
      </c>
      <c r="F60" s="114">
        <f>SUM(E60*6/100)</f>
        <v>6.66</v>
      </c>
      <c r="G60" s="37">
        <v>2029.3</v>
      </c>
      <c r="H60" s="115">
        <f>SUM(F60*G60/1000)</f>
        <v>13.515138</v>
      </c>
      <c r="I60" s="13">
        <f t="shared" ref="I60" si="10">F60/6*G60</f>
        <v>2252.5230000000001</v>
      </c>
    </row>
    <row r="61" spans="1:22" ht="15.75" customHeight="1">
      <c r="A61" s="33">
        <v>16</v>
      </c>
      <c r="B61" s="111" t="s">
        <v>227</v>
      </c>
      <c r="C61" s="112" t="s">
        <v>228</v>
      </c>
      <c r="D61" s="111" t="s">
        <v>67</v>
      </c>
      <c r="E61" s="113"/>
      <c r="F61" s="114">
        <v>3</v>
      </c>
      <c r="G61" s="37">
        <v>1582.05</v>
      </c>
      <c r="H61" s="115">
        <f>SUM(F61*G61/1000)</f>
        <v>4.7461499999999992</v>
      </c>
      <c r="I61" s="13">
        <f>G61*2.5</f>
        <v>3955.125</v>
      </c>
    </row>
    <row r="62" spans="1:22" ht="15.75" customHeight="1">
      <c r="A62" s="33"/>
      <c r="B62" s="143" t="s">
        <v>44</v>
      </c>
      <c r="C62" s="123"/>
      <c r="D62" s="124"/>
      <c r="E62" s="125"/>
      <c r="F62" s="126"/>
      <c r="G62" s="37"/>
      <c r="H62" s="127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3"/>
      <c r="B63" s="124" t="s">
        <v>45</v>
      </c>
      <c r="C63" s="123" t="s">
        <v>53</v>
      </c>
      <c r="D63" s="124" t="s">
        <v>54</v>
      </c>
      <c r="E63" s="125">
        <v>130</v>
      </c>
      <c r="F63" s="126">
        <f>E63/100</f>
        <v>1.3</v>
      </c>
      <c r="G63" s="37">
        <v>1040.8399999999999</v>
      </c>
      <c r="H63" s="127">
        <f>F63*G63/1000</f>
        <v>1.353092</v>
      </c>
      <c r="I63" s="13">
        <v>0</v>
      </c>
      <c r="J63" s="29"/>
      <c r="K63" s="29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33">
        <v>17</v>
      </c>
      <c r="B64" s="124" t="s">
        <v>125</v>
      </c>
      <c r="C64" s="123" t="s">
        <v>25</v>
      </c>
      <c r="D64" s="124" t="s">
        <v>30</v>
      </c>
      <c r="E64" s="125">
        <v>130</v>
      </c>
      <c r="F64" s="128">
        <f>E64*12</f>
        <v>1560</v>
      </c>
      <c r="G64" s="129">
        <v>2.8</v>
      </c>
      <c r="H64" s="126">
        <f>F64*G64/1000</f>
        <v>4.3680000000000003</v>
      </c>
      <c r="I64" s="13">
        <f t="shared" ref="I64" si="11">F64/12*G64</f>
        <v>364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3"/>
      <c r="B65" s="144" t="s">
        <v>46</v>
      </c>
      <c r="C65" s="123"/>
      <c r="D65" s="124"/>
      <c r="E65" s="125"/>
      <c r="F65" s="128"/>
      <c r="G65" s="128"/>
      <c r="H65" s="126" t="s">
        <v>145</v>
      </c>
      <c r="I65" s="13"/>
      <c r="J65" s="5"/>
      <c r="K65" s="5"/>
      <c r="L65" s="5"/>
      <c r="M65" s="5"/>
      <c r="N65" s="5"/>
      <c r="O65" s="5"/>
      <c r="P65" s="5"/>
      <c r="Q65" s="5"/>
      <c r="R65" s="161"/>
      <c r="S65" s="161"/>
      <c r="T65" s="161"/>
      <c r="U65" s="161"/>
    </row>
    <row r="66" spans="1:21" ht="15.75" hidden="1" customHeight="1">
      <c r="A66" s="33"/>
      <c r="B66" s="130" t="s">
        <v>47</v>
      </c>
      <c r="C66" s="131" t="s">
        <v>109</v>
      </c>
      <c r="D66" s="111" t="s">
        <v>67</v>
      </c>
      <c r="E66" s="18">
        <v>9</v>
      </c>
      <c r="F66" s="110">
        <f>SUM(E66)</f>
        <v>9</v>
      </c>
      <c r="G66" s="37">
        <v>291.68</v>
      </c>
      <c r="H66" s="103">
        <f t="shared" ref="H66:H84" si="12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3"/>
      <c r="B67" s="130" t="s">
        <v>48</v>
      </c>
      <c r="C67" s="131" t="s">
        <v>109</v>
      </c>
      <c r="D67" s="111" t="s">
        <v>67</v>
      </c>
      <c r="E67" s="18">
        <v>4</v>
      </c>
      <c r="F67" s="110">
        <f>SUM(E67)</f>
        <v>4</v>
      </c>
      <c r="G67" s="37">
        <v>100.01</v>
      </c>
      <c r="H67" s="103">
        <f t="shared" si="12"/>
        <v>0.40004000000000001</v>
      </c>
      <c r="I67" s="13">
        <v>0</v>
      </c>
    </row>
    <row r="68" spans="1:21" ht="15.75" hidden="1" customHeight="1">
      <c r="A68" s="33"/>
      <c r="B68" s="130" t="s">
        <v>49</v>
      </c>
      <c r="C68" s="132" t="s">
        <v>111</v>
      </c>
      <c r="D68" s="39" t="s">
        <v>54</v>
      </c>
      <c r="E68" s="113">
        <v>13287</v>
      </c>
      <c r="F68" s="110">
        <f>SUM(E68/100)</f>
        <v>132.87</v>
      </c>
      <c r="G68" s="37">
        <v>278.24</v>
      </c>
      <c r="H68" s="103">
        <f t="shared" si="12"/>
        <v>36.969748799999998</v>
      </c>
      <c r="I68" s="13">
        <v>0</v>
      </c>
    </row>
    <row r="69" spans="1:21" ht="15.75" hidden="1" customHeight="1">
      <c r="A69" s="33"/>
      <c r="B69" s="130" t="s">
        <v>50</v>
      </c>
      <c r="C69" s="131" t="s">
        <v>112</v>
      </c>
      <c r="D69" s="39" t="s">
        <v>54</v>
      </c>
      <c r="E69" s="113">
        <v>13287</v>
      </c>
      <c r="F69" s="37">
        <f>SUM(E69/1000)</f>
        <v>13.287000000000001</v>
      </c>
      <c r="G69" s="37">
        <v>216.68</v>
      </c>
      <c r="H69" s="103">
        <f t="shared" si="12"/>
        <v>2.8790271600000001</v>
      </c>
      <c r="I69" s="13">
        <v>0</v>
      </c>
    </row>
    <row r="70" spans="1:21" ht="15.75" hidden="1" customHeight="1">
      <c r="A70" s="33"/>
      <c r="B70" s="130" t="s">
        <v>51</v>
      </c>
      <c r="C70" s="131" t="s">
        <v>77</v>
      </c>
      <c r="D70" s="39" t="s">
        <v>54</v>
      </c>
      <c r="E70" s="113">
        <v>2110</v>
      </c>
      <c r="F70" s="37">
        <f>SUM(E70/100)</f>
        <v>21.1</v>
      </c>
      <c r="G70" s="37">
        <v>2720.94</v>
      </c>
      <c r="H70" s="103">
        <f>SUM(F70*G70/1000)</f>
        <v>57.411834000000006</v>
      </c>
      <c r="I70" s="13">
        <v>0</v>
      </c>
    </row>
    <row r="71" spans="1:21" ht="15.75" hidden="1" customHeight="1">
      <c r="A71" s="33"/>
      <c r="B71" s="133" t="s">
        <v>113</v>
      </c>
      <c r="C71" s="131" t="s">
        <v>33</v>
      </c>
      <c r="D71" s="39"/>
      <c r="E71" s="113">
        <v>8.6</v>
      </c>
      <c r="F71" s="37">
        <f>SUM(E71)</f>
        <v>8.6</v>
      </c>
      <c r="G71" s="37">
        <v>42.61</v>
      </c>
      <c r="H71" s="103">
        <f t="shared" si="12"/>
        <v>0.36644599999999999</v>
      </c>
      <c r="I71" s="13">
        <v>0</v>
      </c>
    </row>
    <row r="72" spans="1:21" ht="15.75" hidden="1" customHeight="1">
      <c r="A72" s="33"/>
      <c r="B72" s="133" t="s">
        <v>114</v>
      </c>
      <c r="C72" s="131" t="s">
        <v>33</v>
      </c>
      <c r="D72" s="39"/>
      <c r="E72" s="113">
        <v>8.6</v>
      </c>
      <c r="F72" s="37">
        <f>SUM(E72)</f>
        <v>8.6</v>
      </c>
      <c r="G72" s="37">
        <v>46.04</v>
      </c>
      <c r="H72" s="103">
        <f t="shared" si="12"/>
        <v>0.39594399999999996</v>
      </c>
      <c r="I72" s="13">
        <v>0</v>
      </c>
    </row>
    <row r="73" spans="1:21" ht="15.75" hidden="1" customHeight="1">
      <c r="A73" s="33"/>
      <c r="B73" s="39" t="s">
        <v>57</v>
      </c>
      <c r="C73" s="131" t="s">
        <v>58</v>
      </c>
      <c r="D73" s="39" t="s">
        <v>54</v>
      </c>
      <c r="E73" s="18">
        <v>3</v>
      </c>
      <c r="F73" s="37">
        <f>SUM(E73)</f>
        <v>3</v>
      </c>
      <c r="G73" s="37">
        <v>65.42</v>
      </c>
      <c r="H73" s="103">
        <f t="shared" si="12"/>
        <v>0.19625999999999999</v>
      </c>
      <c r="I73" s="13">
        <v>0</v>
      </c>
    </row>
    <row r="74" spans="1:21" ht="15.75" customHeight="1">
      <c r="A74" s="33"/>
      <c r="B74" s="145" t="s">
        <v>72</v>
      </c>
      <c r="C74" s="131"/>
      <c r="D74" s="39"/>
      <c r="E74" s="18"/>
      <c r="F74" s="37"/>
      <c r="G74" s="37"/>
      <c r="H74" s="103" t="s">
        <v>145</v>
      </c>
      <c r="I74" s="13"/>
    </row>
    <row r="75" spans="1:21" ht="31.5" hidden="1" customHeight="1">
      <c r="A75" s="33"/>
      <c r="B75" s="39" t="s">
        <v>229</v>
      </c>
      <c r="C75" s="131" t="s">
        <v>109</v>
      </c>
      <c r="D75" s="111" t="s">
        <v>67</v>
      </c>
      <c r="E75" s="18">
        <v>1</v>
      </c>
      <c r="F75" s="37">
        <v>1</v>
      </c>
      <c r="G75" s="37">
        <v>1543.4</v>
      </c>
      <c r="H75" s="103">
        <f t="shared" ref="H75:H77" si="13">SUM(F75*G75/1000)</f>
        <v>1.5434000000000001</v>
      </c>
      <c r="I75" s="13">
        <v>0</v>
      </c>
    </row>
    <row r="76" spans="1:21" ht="15.75" hidden="1" customHeight="1">
      <c r="A76" s="33">
        <v>17</v>
      </c>
      <c r="B76" s="39" t="s">
        <v>73</v>
      </c>
      <c r="C76" s="131" t="s">
        <v>75</v>
      </c>
      <c r="D76" s="111" t="s">
        <v>67</v>
      </c>
      <c r="E76" s="18">
        <v>3</v>
      </c>
      <c r="F76" s="37">
        <f>E76/10</f>
        <v>0.3</v>
      </c>
      <c r="G76" s="37">
        <v>657.87</v>
      </c>
      <c r="H76" s="103">
        <f t="shared" si="13"/>
        <v>0.19736099999999998</v>
      </c>
      <c r="I76" s="13">
        <f>G76*0.9</f>
        <v>592.08299999999997</v>
      </c>
    </row>
    <row r="77" spans="1:21" ht="15.75" hidden="1" customHeight="1">
      <c r="A77" s="33"/>
      <c r="B77" s="39" t="s">
        <v>230</v>
      </c>
      <c r="C77" s="131" t="s">
        <v>109</v>
      </c>
      <c r="D77" s="111" t="s">
        <v>67</v>
      </c>
      <c r="E77" s="18">
        <v>2</v>
      </c>
      <c r="F77" s="114">
        <f>SUM(E77)</f>
        <v>2</v>
      </c>
      <c r="G77" s="37">
        <v>1118.72</v>
      </c>
      <c r="H77" s="103">
        <f t="shared" si="13"/>
        <v>2.2374399999999999</v>
      </c>
      <c r="I77" s="13">
        <v>0</v>
      </c>
    </row>
    <row r="78" spans="1:21" ht="15.75" hidden="1" customHeight="1">
      <c r="A78" s="33"/>
      <c r="B78" s="51" t="s">
        <v>231</v>
      </c>
      <c r="C78" s="52" t="s">
        <v>109</v>
      </c>
      <c r="D78" s="111" t="s">
        <v>67</v>
      </c>
      <c r="E78" s="18">
        <v>1</v>
      </c>
      <c r="F78" s="129">
        <v>1</v>
      </c>
      <c r="G78" s="37">
        <v>1605.83</v>
      </c>
      <c r="H78" s="103">
        <f>SUM(F78*G78/1000)</f>
        <v>1.6058299999999999</v>
      </c>
      <c r="I78" s="13">
        <v>0</v>
      </c>
    </row>
    <row r="79" spans="1:21" ht="15.75" customHeight="1">
      <c r="A79" s="33">
        <v>18</v>
      </c>
      <c r="B79" s="51" t="s">
        <v>232</v>
      </c>
      <c r="C79" s="52" t="s">
        <v>109</v>
      </c>
      <c r="D79" s="39" t="s">
        <v>30</v>
      </c>
      <c r="E79" s="134">
        <v>2</v>
      </c>
      <c r="F79" s="128">
        <f>E79*12</f>
        <v>24</v>
      </c>
      <c r="G79" s="135">
        <v>53.42</v>
      </c>
      <c r="H79" s="103">
        <f t="shared" ref="H79:H80" si="14">SUM(F79*G79/1000)</f>
        <v>1.2820799999999999</v>
      </c>
      <c r="I79" s="13">
        <f t="shared" ref="I79:I82" si="15">F79/12*G79</f>
        <v>106.84</v>
      </c>
    </row>
    <row r="80" spans="1:21" ht="15.75" customHeight="1">
      <c r="A80" s="33">
        <v>19</v>
      </c>
      <c r="B80" s="88" t="s">
        <v>233</v>
      </c>
      <c r="C80" s="131"/>
      <c r="D80" s="39" t="s">
        <v>30</v>
      </c>
      <c r="E80" s="18">
        <v>1</v>
      </c>
      <c r="F80" s="37">
        <v>12</v>
      </c>
      <c r="G80" s="37">
        <v>1194</v>
      </c>
      <c r="H80" s="103">
        <f t="shared" si="14"/>
        <v>14.327999999999999</v>
      </c>
      <c r="I80" s="13">
        <f t="shared" si="15"/>
        <v>1194</v>
      </c>
    </row>
    <row r="81" spans="1:9" ht="15.75" customHeight="1">
      <c r="A81" s="33"/>
      <c r="B81" s="146" t="s">
        <v>234</v>
      </c>
      <c r="C81" s="52"/>
      <c r="D81" s="39"/>
      <c r="E81" s="18"/>
      <c r="F81" s="37"/>
      <c r="G81" s="37"/>
      <c r="H81" s="103"/>
      <c r="I81" s="13"/>
    </row>
    <row r="82" spans="1:9" ht="15.75" customHeight="1">
      <c r="A82" s="33">
        <v>20</v>
      </c>
      <c r="B82" s="39" t="s">
        <v>235</v>
      </c>
      <c r="C82" s="136" t="s">
        <v>236</v>
      </c>
      <c r="D82" s="111" t="s">
        <v>67</v>
      </c>
      <c r="E82" s="18">
        <v>2626.5</v>
      </c>
      <c r="F82" s="37">
        <f>SUM(E82*12)</f>
        <v>31518</v>
      </c>
      <c r="G82" s="37">
        <v>2.2799999999999998</v>
      </c>
      <c r="H82" s="103">
        <f t="shared" ref="H82" si="16">SUM(F82*G82/1000)</f>
        <v>71.861039999999988</v>
      </c>
      <c r="I82" s="13">
        <f t="shared" si="15"/>
        <v>5988.4199999999992</v>
      </c>
    </row>
    <row r="83" spans="1:9" ht="15.75" hidden="1" customHeight="1">
      <c r="A83" s="33"/>
      <c r="B83" s="147" t="s">
        <v>76</v>
      </c>
      <c r="C83" s="131"/>
      <c r="D83" s="39"/>
      <c r="E83" s="18"/>
      <c r="F83" s="37"/>
      <c r="G83" s="37" t="s">
        <v>145</v>
      </c>
      <c r="H83" s="103" t="s">
        <v>145</v>
      </c>
      <c r="I83" s="13"/>
    </row>
    <row r="84" spans="1:9" ht="15.75" hidden="1" customHeight="1">
      <c r="A84" s="33"/>
      <c r="B84" s="137" t="s">
        <v>133</v>
      </c>
      <c r="C84" s="132" t="s">
        <v>77</v>
      </c>
      <c r="D84" s="130"/>
      <c r="E84" s="138"/>
      <c r="F84" s="110">
        <v>0.5</v>
      </c>
      <c r="G84" s="110">
        <v>3619.09</v>
      </c>
      <c r="H84" s="103">
        <f t="shared" si="12"/>
        <v>1.8095450000000002</v>
      </c>
      <c r="I84" s="13"/>
    </row>
    <row r="85" spans="1:9" ht="15.75" hidden="1" customHeight="1">
      <c r="A85" s="33"/>
      <c r="B85" s="97" t="s">
        <v>94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33"/>
      <c r="B86" s="111" t="s">
        <v>115</v>
      </c>
      <c r="C86" s="139"/>
      <c r="D86" s="140"/>
      <c r="E86" s="141"/>
      <c r="F86" s="38">
        <v>1</v>
      </c>
      <c r="G86" s="38">
        <v>8275.7000000000007</v>
      </c>
      <c r="H86" s="103">
        <f>G86*F86/1000</f>
        <v>8.2757000000000005</v>
      </c>
      <c r="I86" s="13"/>
    </row>
    <row r="87" spans="1:9" ht="15" customHeight="1">
      <c r="A87" s="162" t="s">
        <v>139</v>
      </c>
      <c r="B87" s="163"/>
      <c r="C87" s="163"/>
      <c r="D87" s="163"/>
      <c r="E87" s="163"/>
      <c r="F87" s="163"/>
      <c r="G87" s="163"/>
      <c r="H87" s="163"/>
      <c r="I87" s="164"/>
    </row>
    <row r="88" spans="1:9" ht="15.75" customHeight="1">
      <c r="A88" s="33">
        <v>21</v>
      </c>
      <c r="B88" s="111" t="s">
        <v>117</v>
      </c>
      <c r="C88" s="131" t="s">
        <v>55</v>
      </c>
      <c r="D88" s="92" t="s">
        <v>163</v>
      </c>
      <c r="E88" s="37">
        <v>2626.5</v>
      </c>
      <c r="F88" s="37">
        <f>SUM(E88*12)</f>
        <v>31518</v>
      </c>
      <c r="G88" s="37">
        <v>3.1</v>
      </c>
      <c r="H88" s="103">
        <f>SUM(F88*G88/1000)</f>
        <v>97.705799999999996</v>
      </c>
      <c r="I88" s="13">
        <f t="shared" ref="I88:I89" si="17">F88/12*G88</f>
        <v>8142.1500000000005</v>
      </c>
    </row>
    <row r="89" spans="1:9" ht="31.5" customHeight="1">
      <c r="A89" s="33">
        <v>22</v>
      </c>
      <c r="B89" s="39" t="s">
        <v>78</v>
      </c>
      <c r="C89" s="131"/>
      <c r="D89" s="92" t="s">
        <v>163</v>
      </c>
      <c r="E89" s="113">
        <f>E88</f>
        <v>2626.5</v>
      </c>
      <c r="F89" s="37">
        <f>E89*12</f>
        <v>31518</v>
      </c>
      <c r="G89" s="37">
        <v>3.5</v>
      </c>
      <c r="H89" s="103">
        <f>F89*G89/1000</f>
        <v>110.313</v>
      </c>
      <c r="I89" s="13">
        <f t="shared" si="17"/>
        <v>9192.75</v>
      </c>
    </row>
    <row r="90" spans="1:9" ht="15.75" customHeight="1">
      <c r="A90" s="33"/>
      <c r="B90" s="40" t="s">
        <v>81</v>
      </c>
      <c r="C90" s="90"/>
      <c r="D90" s="89"/>
      <c r="E90" s="78"/>
      <c r="F90" s="78"/>
      <c r="G90" s="78"/>
      <c r="H90" s="91">
        <f>H80</f>
        <v>14.327999999999999</v>
      </c>
      <c r="I90" s="78">
        <f>I16+I17+I18+I20+I27+I28+I39+I40+I41+I43+I45+I46+I53+I57+I60+I61+I64+I79+I80+I82+I88+I89</f>
        <v>69152.076643333334</v>
      </c>
    </row>
    <row r="91" spans="1:9" ht="15.75" customHeight="1">
      <c r="A91" s="173" t="s">
        <v>60</v>
      </c>
      <c r="B91" s="174"/>
      <c r="C91" s="174"/>
      <c r="D91" s="174"/>
      <c r="E91" s="174"/>
      <c r="F91" s="174"/>
      <c r="G91" s="174"/>
      <c r="H91" s="174"/>
      <c r="I91" s="175"/>
    </row>
    <row r="92" spans="1:9" ht="15.75" customHeight="1">
      <c r="A92" s="33">
        <v>23</v>
      </c>
      <c r="B92" s="50" t="s">
        <v>126</v>
      </c>
      <c r="C92" s="53" t="s">
        <v>109</v>
      </c>
      <c r="D92" s="39"/>
      <c r="E92" s="18"/>
      <c r="F92" s="37">
        <v>92</v>
      </c>
      <c r="G92" s="37">
        <v>53.42</v>
      </c>
      <c r="H92" s="103">
        <f>G92*F92/1000</f>
        <v>4.9146400000000003</v>
      </c>
      <c r="I92" s="13">
        <f>G92*45</f>
        <v>2403.9</v>
      </c>
    </row>
    <row r="93" spans="1:9" ht="15.75" customHeight="1">
      <c r="A93" s="33">
        <v>24</v>
      </c>
      <c r="B93" s="50" t="s">
        <v>134</v>
      </c>
      <c r="C93" s="53" t="s">
        <v>84</v>
      </c>
      <c r="D93" s="39"/>
      <c r="E93" s="18"/>
      <c r="F93" s="37">
        <v>2</v>
      </c>
      <c r="G93" s="37">
        <v>195.85</v>
      </c>
      <c r="H93" s="103">
        <f t="shared" ref="H93:H94" si="18">G93*F93/1000</f>
        <v>0.39169999999999999</v>
      </c>
      <c r="I93" s="13">
        <f>G93*2</f>
        <v>391.7</v>
      </c>
    </row>
    <row r="94" spans="1:9" ht="31.5" customHeight="1">
      <c r="A94" s="33">
        <v>25</v>
      </c>
      <c r="B94" s="66" t="s">
        <v>150</v>
      </c>
      <c r="C94" s="33" t="s">
        <v>82</v>
      </c>
      <c r="D94" s="39"/>
      <c r="E94" s="18"/>
      <c r="F94" s="37">
        <v>0.6</v>
      </c>
      <c r="G94" s="13">
        <v>1272</v>
      </c>
      <c r="H94" s="103">
        <f t="shared" si="18"/>
        <v>0.76319999999999988</v>
      </c>
      <c r="I94" s="13">
        <f>G94*(0.3+0.3)</f>
        <v>763.19999999999993</v>
      </c>
    </row>
    <row r="95" spans="1:9" ht="31.5" customHeight="1">
      <c r="A95" s="33">
        <v>26</v>
      </c>
      <c r="B95" s="50" t="s">
        <v>215</v>
      </c>
      <c r="C95" s="53" t="s">
        <v>216</v>
      </c>
      <c r="D95" s="39"/>
      <c r="E95" s="18"/>
      <c r="F95" s="37">
        <v>1</v>
      </c>
      <c r="G95" s="37">
        <v>589.84</v>
      </c>
      <c r="H95" s="103">
        <f>G95*F95/1000</f>
        <v>0.58984000000000003</v>
      </c>
      <c r="I95" s="13">
        <f t="shared" ref="I95:I96" si="19">G95</f>
        <v>589.84</v>
      </c>
    </row>
    <row r="96" spans="1:9" ht="15.75" customHeight="1">
      <c r="A96" s="33">
        <v>27</v>
      </c>
      <c r="B96" s="50" t="s">
        <v>171</v>
      </c>
      <c r="C96" s="53" t="s">
        <v>109</v>
      </c>
      <c r="D96" s="39"/>
      <c r="E96" s="18"/>
      <c r="F96" s="37">
        <v>1</v>
      </c>
      <c r="G96" s="37">
        <v>189.88</v>
      </c>
      <c r="H96" s="37">
        <f>G96*F96/1000</f>
        <v>0.18987999999999999</v>
      </c>
      <c r="I96" s="13">
        <f t="shared" si="19"/>
        <v>189.88</v>
      </c>
    </row>
    <row r="97" spans="1:9" ht="16.5" customHeight="1">
      <c r="A97" s="33"/>
      <c r="B97" s="45" t="s">
        <v>52</v>
      </c>
      <c r="C97" s="41"/>
      <c r="D97" s="48"/>
      <c r="E97" s="41">
        <v>1</v>
      </c>
      <c r="F97" s="41"/>
      <c r="G97" s="41"/>
      <c r="H97" s="41"/>
      <c r="I97" s="35">
        <f>SUM(I92:I96)</f>
        <v>4338.5199999999995</v>
      </c>
    </row>
    <row r="98" spans="1:9" ht="15.75" customHeight="1">
      <c r="A98" s="33"/>
      <c r="B98" s="47" t="s">
        <v>79</v>
      </c>
      <c r="C98" s="15"/>
      <c r="D98" s="15"/>
      <c r="E98" s="42"/>
      <c r="F98" s="42"/>
      <c r="G98" s="43"/>
      <c r="H98" s="43"/>
      <c r="I98" s="18">
        <v>0</v>
      </c>
    </row>
    <row r="99" spans="1:9" ht="15.75" customHeight="1">
      <c r="A99" s="49"/>
      <c r="B99" s="46" t="s">
        <v>174</v>
      </c>
      <c r="C99" s="36"/>
      <c r="D99" s="36"/>
      <c r="E99" s="36"/>
      <c r="F99" s="36"/>
      <c r="G99" s="36"/>
      <c r="H99" s="36"/>
      <c r="I99" s="44">
        <f>I90+I97</f>
        <v>73490.596643333338</v>
      </c>
    </row>
    <row r="100" spans="1:9" ht="15.75" customHeight="1">
      <c r="A100" s="165" t="s">
        <v>248</v>
      </c>
      <c r="B100" s="165"/>
      <c r="C100" s="165"/>
      <c r="D100" s="165"/>
      <c r="E100" s="165"/>
      <c r="F100" s="165"/>
      <c r="G100" s="165"/>
      <c r="H100" s="165"/>
      <c r="I100" s="165"/>
    </row>
    <row r="101" spans="1:9" ht="15.75">
      <c r="A101" s="60"/>
      <c r="B101" s="166" t="s">
        <v>249</v>
      </c>
      <c r="C101" s="166"/>
      <c r="D101" s="166"/>
      <c r="E101" s="166"/>
      <c r="F101" s="166"/>
      <c r="G101" s="166"/>
      <c r="H101" s="65"/>
      <c r="I101" s="3"/>
    </row>
    <row r="102" spans="1:9">
      <c r="A102" s="99"/>
      <c r="B102" s="167" t="s">
        <v>6</v>
      </c>
      <c r="C102" s="167"/>
      <c r="D102" s="167"/>
      <c r="E102" s="167"/>
      <c r="F102" s="167"/>
      <c r="G102" s="167"/>
      <c r="H102" s="28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68" t="s">
        <v>7</v>
      </c>
      <c r="B104" s="168"/>
      <c r="C104" s="168"/>
      <c r="D104" s="168"/>
      <c r="E104" s="168"/>
      <c r="F104" s="168"/>
      <c r="G104" s="168"/>
      <c r="H104" s="168"/>
      <c r="I104" s="168"/>
    </row>
    <row r="105" spans="1:9" ht="15.75">
      <c r="A105" s="168" t="s">
        <v>8</v>
      </c>
      <c r="B105" s="168"/>
      <c r="C105" s="168"/>
      <c r="D105" s="168"/>
      <c r="E105" s="168"/>
      <c r="F105" s="168"/>
      <c r="G105" s="168"/>
      <c r="H105" s="168"/>
      <c r="I105" s="168"/>
    </row>
    <row r="106" spans="1:9" ht="15.75">
      <c r="A106" s="169" t="s">
        <v>61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>
      <c r="A107" s="11"/>
    </row>
    <row r="108" spans="1:9" ht="15.75">
      <c r="A108" s="170" t="s">
        <v>9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15.75" customHeight="1">
      <c r="A109" s="4"/>
    </row>
    <row r="110" spans="1:9" ht="15.75">
      <c r="B110" s="101" t="s">
        <v>10</v>
      </c>
      <c r="C110" s="171" t="s">
        <v>140</v>
      </c>
      <c r="D110" s="171"/>
      <c r="E110" s="171"/>
      <c r="F110" s="63"/>
      <c r="I110" s="102"/>
    </row>
    <row r="111" spans="1:9">
      <c r="A111" s="99"/>
      <c r="C111" s="167" t="s">
        <v>11</v>
      </c>
      <c r="D111" s="167"/>
      <c r="E111" s="167"/>
      <c r="F111" s="28"/>
      <c r="I111" s="100" t="s">
        <v>12</v>
      </c>
    </row>
    <row r="112" spans="1:9" ht="15.75" customHeight="1">
      <c r="A112" s="29"/>
      <c r="C112" s="12"/>
      <c r="D112" s="12"/>
      <c r="G112" s="12"/>
      <c r="H112" s="12"/>
    </row>
    <row r="113" spans="1:9" ht="15.75" customHeight="1">
      <c r="B113" s="101" t="s">
        <v>13</v>
      </c>
      <c r="C113" s="172"/>
      <c r="D113" s="172"/>
      <c r="E113" s="172"/>
      <c r="F113" s="64"/>
      <c r="I113" s="102"/>
    </row>
    <row r="114" spans="1:9" ht="15.75" customHeight="1">
      <c r="A114" s="99"/>
      <c r="C114" s="161" t="s">
        <v>11</v>
      </c>
      <c r="D114" s="161"/>
      <c r="E114" s="161"/>
      <c r="F114" s="99"/>
      <c r="I114" s="100" t="s">
        <v>12</v>
      </c>
    </row>
    <row r="115" spans="1:9" ht="15.75">
      <c r="A115" s="4" t="s">
        <v>14</v>
      </c>
    </row>
    <row r="116" spans="1:9">
      <c r="A116" s="176" t="s">
        <v>15</v>
      </c>
      <c r="B116" s="176"/>
      <c r="C116" s="176"/>
      <c r="D116" s="176"/>
      <c r="E116" s="176"/>
      <c r="F116" s="176"/>
      <c r="G116" s="176"/>
      <c r="H116" s="176"/>
      <c r="I116" s="176"/>
    </row>
    <row r="117" spans="1:9" ht="45" customHeight="1">
      <c r="A117" s="177" t="s">
        <v>16</v>
      </c>
      <c r="B117" s="177"/>
      <c r="C117" s="177"/>
      <c r="D117" s="177"/>
      <c r="E117" s="177"/>
      <c r="F117" s="177"/>
      <c r="G117" s="177"/>
      <c r="H117" s="177"/>
      <c r="I117" s="177"/>
    </row>
    <row r="118" spans="1:9" ht="30" customHeight="1">
      <c r="A118" s="177" t="s">
        <v>17</v>
      </c>
      <c r="B118" s="177"/>
      <c r="C118" s="177"/>
      <c r="D118" s="177"/>
      <c r="E118" s="177"/>
      <c r="F118" s="177"/>
      <c r="G118" s="177"/>
      <c r="H118" s="177"/>
      <c r="I118" s="177"/>
    </row>
    <row r="119" spans="1:9" ht="30" customHeight="1">
      <c r="A119" s="177" t="s">
        <v>21</v>
      </c>
      <c r="B119" s="177"/>
      <c r="C119" s="177"/>
      <c r="D119" s="177"/>
      <c r="E119" s="177"/>
      <c r="F119" s="177"/>
      <c r="G119" s="177"/>
      <c r="H119" s="177"/>
      <c r="I119" s="177"/>
    </row>
    <row r="120" spans="1:9" ht="15" customHeight="1">
      <c r="A120" s="177" t="s">
        <v>20</v>
      </c>
      <c r="B120" s="177"/>
      <c r="C120" s="177"/>
      <c r="D120" s="177"/>
      <c r="E120" s="177"/>
      <c r="F120" s="177"/>
      <c r="G120" s="177"/>
      <c r="H120" s="177"/>
      <c r="I120" s="177"/>
    </row>
  </sheetData>
  <autoFilter ref="I12:I60"/>
  <mergeCells count="29">
    <mergeCell ref="A87:I87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  <mergeCell ref="R65:U65"/>
    <mergeCell ref="C114:E114"/>
    <mergeCell ref="A91:I91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116:I116"/>
    <mergeCell ref="A117:I117"/>
    <mergeCell ref="A118:I118"/>
    <mergeCell ref="A119:I119"/>
    <mergeCell ref="A120:I120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154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175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42794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.7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hidden="1" customHeight="1">
      <c r="A19" s="33"/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hidden="1" customHeight="1">
      <c r="A22" s="33"/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hidden="1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7" t="s">
        <v>107</v>
      </c>
      <c r="C31" s="68" t="s">
        <v>90</v>
      </c>
      <c r="D31" s="67" t="s">
        <v>104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1">SUM(F31*G31/1000)</f>
        <v>5.7627569999999997</v>
      </c>
      <c r="I31" s="13">
        <f t="shared" ref="I31:I35" si="2">F31/6*G31</f>
        <v>960.45949999999993</v>
      </c>
      <c r="J31" s="26"/>
      <c r="K31" s="8"/>
      <c r="L31" s="8"/>
      <c r="M31" s="8"/>
    </row>
    <row r="32" spans="1:13" ht="31.5" hidden="1" customHeight="1">
      <c r="A32" s="33">
        <v>9</v>
      </c>
      <c r="B32" s="67" t="s">
        <v>122</v>
      </c>
      <c r="C32" s="68" t="s">
        <v>90</v>
      </c>
      <c r="D32" s="67" t="s">
        <v>105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1"/>
        <v>1.7575833600000001</v>
      </c>
      <c r="I32" s="13">
        <f t="shared" si="2"/>
        <v>292.93056000000007</v>
      </c>
      <c r="J32" s="26"/>
      <c r="K32" s="8"/>
      <c r="L32" s="8"/>
      <c r="M32" s="8"/>
    </row>
    <row r="33" spans="1:14" ht="15.75" hidden="1" customHeight="1">
      <c r="A33" s="33"/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1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hidden="1" customHeight="1">
      <c r="A34" s="33">
        <v>10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2"/>
        <v>1078.6914999999999</v>
      </c>
      <c r="J34" s="26"/>
      <c r="K34" s="8"/>
    </row>
    <row r="35" spans="1:14" ht="15.75" hidden="1" customHeight="1">
      <c r="A35" s="33">
        <v>11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2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1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1"/>
        <v>2.4294600000000002</v>
      </c>
      <c r="I37" s="13">
        <v>0</v>
      </c>
      <c r="J37" s="27"/>
    </row>
    <row r="38" spans="1:14" ht="15.75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customHeight="1">
      <c r="A39" s="33">
        <v>7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3">SUM(F39*G39/1000)</f>
        <v>13.060799999999999</v>
      </c>
      <c r="I39" s="13">
        <f t="shared" ref="I39:I45" si="4">F39/6*G39</f>
        <v>2176.7999999999997</v>
      </c>
      <c r="J39" s="27"/>
      <c r="L39" s="20"/>
      <c r="M39" s="21"/>
      <c r="N39" s="22"/>
    </row>
    <row r="40" spans="1:14" ht="15.75" customHeight="1">
      <c r="A40" s="33">
        <v>8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4"/>
        <v>915.97850000000005</v>
      </c>
      <c r="J40" s="27"/>
      <c r="L40" s="20"/>
      <c r="M40" s="21"/>
      <c r="N40" s="22"/>
    </row>
    <row r="41" spans="1:14" ht="15.75" hidden="1" customHeight="1">
      <c r="A41" s="33"/>
      <c r="B41" s="67" t="s">
        <v>123</v>
      </c>
      <c r="C41" s="68" t="s">
        <v>124</v>
      </c>
      <c r="D41" s="67" t="s">
        <v>130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v>0</v>
      </c>
      <c r="J41" s="27"/>
      <c r="L41" s="20"/>
      <c r="M41" s="21"/>
      <c r="N41" s="22"/>
    </row>
    <row r="42" spans="1:14" ht="15.75" customHeight="1">
      <c r="A42" s="33">
        <v>9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3"/>
        <v>8.9156542499999993</v>
      </c>
      <c r="I42" s="13">
        <f t="shared" si="4"/>
        <v>1485.9423750000001</v>
      </c>
      <c r="J42" s="27"/>
      <c r="L42" s="20"/>
      <c r="M42" s="21"/>
      <c r="N42" s="22"/>
    </row>
    <row r="43" spans="1:14" ht="47.25" customHeight="1">
      <c r="A43" s="33">
        <v>10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3"/>
        <v>17.69605425</v>
      </c>
      <c r="I43" s="13">
        <f t="shared" si="4"/>
        <v>2949.3423749999997</v>
      </c>
      <c r="J43" s="27"/>
      <c r="L43" s="20"/>
      <c r="M43" s="21"/>
      <c r="N43" s="22"/>
    </row>
    <row r="44" spans="1:14" ht="15.75" hidden="1" customHeight="1">
      <c r="A44" s="33">
        <v>11</v>
      </c>
      <c r="B44" s="67" t="s">
        <v>91</v>
      </c>
      <c r="C44" s="68" t="s">
        <v>90</v>
      </c>
      <c r="D44" s="67" t="s">
        <v>69</v>
      </c>
      <c r="E44" s="70">
        <v>81.5</v>
      </c>
      <c r="F44" s="70">
        <f>SUM(E44*45/1000)</f>
        <v>3.6675</v>
      </c>
      <c r="G44" s="70">
        <v>458.28</v>
      </c>
      <c r="H44" s="71">
        <f t="shared" si="3"/>
        <v>1.6807418999999999</v>
      </c>
      <c r="I44" s="13">
        <f t="shared" si="4"/>
        <v>280.12364999999994</v>
      </c>
      <c r="J44" s="27"/>
      <c r="L44" s="20"/>
      <c r="M44" s="21"/>
      <c r="N44" s="22"/>
    </row>
    <row r="45" spans="1:14" ht="15.75" customHeight="1">
      <c r="A45" s="33">
        <v>11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3"/>
        <v>0.76775400000000005</v>
      </c>
      <c r="I45" s="13">
        <f t="shared" si="4"/>
        <v>127.95899999999999</v>
      </c>
      <c r="J45" s="27"/>
      <c r="L45" s="20"/>
      <c r="M45" s="21"/>
      <c r="N45" s="22"/>
    </row>
    <row r="46" spans="1:14" ht="15.75" hidden="1" customHeight="1">
      <c r="A46" s="33"/>
      <c r="B46" s="73" t="s">
        <v>144</v>
      </c>
      <c r="C46" s="74"/>
      <c r="D46" s="73"/>
      <c r="E46" s="75"/>
      <c r="F46" s="76" t="s">
        <v>145</v>
      </c>
      <c r="G46" s="76"/>
      <c r="H46" s="77">
        <f>SUM(H39:H45)</f>
        <v>67.870875400000003</v>
      </c>
      <c r="I46" s="78"/>
      <c r="J46" s="27"/>
      <c r="L46" s="20"/>
      <c r="M46" s="21"/>
      <c r="N46" s="22"/>
    </row>
    <row r="47" spans="1:14" ht="15.75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hidden="1" customHeight="1">
      <c r="A48" s="33"/>
      <c r="B48" s="67" t="s">
        <v>132</v>
      </c>
      <c r="C48" s="68" t="s">
        <v>90</v>
      </c>
      <c r="D48" s="67" t="s">
        <v>42</v>
      </c>
      <c r="E48" s="69">
        <v>1080</v>
      </c>
      <c r="F48" s="70">
        <f>SUM(E48*2/1000)</f>
        <v>2.16</v>
      </c>
      <c r="G48" s="13">
        <v>865.61</v>
      </c>
      <c r="H48" s="71">
        <f t="shared" ref="H48:H56" si="5">SUM(F48*G48/1000)</f>
        <v>1.8697176000000002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7" t="s">
        <v>35</v>
      </c>
      <c r="C49" s="68" t="s">
        <v>90</v>
      </c>
      <c r="D49" s="67" t="s">
        <v>42</v>
      </c>
      <c r="E49" s="69">
        <v>39</v>
      </c>
      <c r="F49" s="70">
        <f>E49*2/1000</f>
        <v>7.8E-2</v>
      </c>
      <c r="G49" s="13">
        <v>619.46</v>
      </c>
      <c r="H49" s="71">
        <f t="shared" si="5"/>
        <v>4.8317880000000001E-2</v>
      </c>
      <c r="I49" s="13">
        <v>0</v>
      </c>
      <c r="J49" s="27"/>
      <c r="L49" s="20"/>
      <c r="M49" s="21"/>
      <c r="N49" s="22"/>
    </row>
    <row r="50" spans="1:22" ht="15.75" hidden="1" customHeight="1">
      <c r="A50" s="33"/>
      <c r="B50" s="67" t="s">
        <v>36</v>
      </c>
      <c r="C50" s="68" t="s">
        <v>90</v>
      </c>
      <c r="D50" s="67" t="s">
        <v>42</v>
      </c>
      <c r="E50" s="69">
        <v>1037</v>
      </c>
      <c r="F50" s="70">
        <f>SUM(E50*2/1000)</f>
        <v>2.0739999999999998</v>
      </c>
      <c r="G50" s="13">
        <v>619.46</v>
      </c>
      <c r="H50" s="71">
        <f t="shared" si="5"/>
        <v>1.2847600399999999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7" t="s">
        <v>37</v>
      </c>
      <c r="C51" s="68" t="s">
        <v>90</v>
      </c>
      <c r="D51" s="67" t="s">
        <v>42</v>
      </c>
      <c r="E51" s="69">
        <v>2274</v>
      </c>
      <c r="F51" s="70">
        <f>SUM(E51*2/1000)</f>
        <v>4.548</v>
      </c>
      <c r="G51" s="13">
        <v>648.64</v>
      </c>
      <c r="H51" s="71">
        <f t="shared" si="5"/>
        <v>2.95001472</v>
      </c>
      <c r="I51" s="13">
        <v>0</v>
      </c>
      <c r="J51" s="27"/>
      <c r="L51" s="20"/>
      <c r="M51" s="21"/>
      <c r="N51" s="22"/>
    </row>
    <row r="52" spans="1:22" ht="15.75" hidden="1" customHeight="1">
      <c r="A52" s="33"/>
      <c r="B52" s="67" t="s">
        <v>34</v>
      </c>
      <c r="C52" s="68" t="s">
        <v>53</v>
      </c>
      <c r="D52" s="67" t="s">
        <v>42</v>
      </c>
      <c r="E52" s="69">
        <v>83.04</v>
      </c>
      <c r="F52" s="70">
        <v>1.66</v>
      </c>
      <c r="G52" s="13">
        <v>77.84</v>
      </c>
      <c r="H52" s="71">
        <f>SUM(F52*G52/1000)</f>
        <v>0.12921440000000001</v>
      </c>
      <c r="I52" s="13">
        <v>0</v>
      </c>
      <c r="J52" s="27"/>
      <c r="L52" s="20"/>
      <c r="M52" s="21"/>
      <c r="N52" s="22"/>
    </row>
    <row r="53" spans="1:22" ht="15.75" customHeight="1">
      <c r="A53" s="33">
        <v>12</v>
      </c>
      <c r="B53" s="67" t="s">
        <v>56</v>
      </c>
      <c r="C53" s="68" t="s">
        <v>90</v>
      </c>
      <c r="D53" s="67" t="s">
        <v>153</v>
      </c>
      <c r="E53" s="69">
        <v>1728</v>
      </c>
      <c r="F53" s="70">
        <f>SUM(E53*5/1000)</f>
        <v>8.64</v>
      </c>
      <c r="G53" s="13">
        <v>1297.28</v>
      </c>
      <c r="H53" s="71">
        <f>SUM(F53*G53/1000)</f>
        <v>11.2084992</v>
      </c>
      <c r="I53" s="13">
        <f>F53/5*G53</f>
        <v>2241.6998400000002</v>
      </c>
      <c r="J53" s="27"/>
      <c r="L53" s="20"/>
      <c r="M53" s="21"/>
      <c r="N53" s="22"/>
    </row>
    <row r="54" spans="1:22" ht="31.5" hidden="1" customHeight="1">
      <c r="A54" s="33"/>
      <c r="B54" s="67" t="s">
        <v>92</v>
      </c>
      <c r="C54" s="68" t="s">
        <v>90</v>
      </c>
      <c r="D54" s="67" t="s">
        <v>42</v>
      </c>
      <c r="E54" s="69">
        <v>1728</v>
      </c>
      <c r="F54" s="70">
        <f>SUM(E54*2/1000)</f>
        <v>3.456</v>
      </c>
      <c r="G54" s="13">
        <v>1297.28</v>
      </c>
      <c r="H54" s="71">
        <f>SUM(G54*F54/1000)</f>
        <v>4.4833996799999998</v>
      </c>
      <c r="I54" s="13">
        <v>0</v>
      </c>
      <c r="J54" s="27"/>
      <c r="L54" s="20"/>
      <c r="M54" s="21"/>
      <c r="N54" s="22"/>
    </row>
    <row r="55" spans="1:22" ht="31.5" hidden="1" customHeight="1">
      <c r="A55" s="33"/>
      <c r="B55" s="67" t="s">
        <v>93</v>
      </c>
      <c r="C55" s="68" t="s">
        <v>38</v>
      </c>
      <c r="D55" s="67" t="s">
        <v>42</v>
      </c>
      <c r="E55" s="69">
        <v>15</v>
      </c>
      <c r="F55" s="70">
        <f>SUM(E55*2/100)</f>
        <v>0.3</v>
      </c>
      <c r="G55" s="13">
        <v>2918.89</v>
      </c>
      <c r="H55" s="71">
        <f>SUM(F55*G55/1000)</f>
        <v>0.87566699999999986</v>
      </c>
      <c r="I55" s="13">
        <v>0</v>
      </c>
      <c r="J55" s="27"/>
      <c r="L55" s="20"/>
      <c r="M55" s="21"/>
      <c r="N55" s="22"/>
    </row>
    <row r="56" spans="1:22" ht="15.75" hidden="1" customHeight="1">
      <c r="A56" s="33">
        <v>14</v>
      </c>
      <c r="B56" s="67" t="s">
        <v>39</v>
      </c>
      <c r="C56" s="68" t="s">
        <v>40</v>
      </c>
      <c r="D56" s="67" t="s">
        <v>42</v>
      </c>
      <c r="E56" s="69">
        <v>1</v>
      </c>
      <c r="F56" s="70">
        <v>0.02</v>
      </c>
      <c r="G56" s="13">
        <v>6042.12</v>
      </c>
      <c r="H56" s="71">
        <f t="shared" si="5"/>
        <v>0.1208424</v>
      </c>
      <c r="I56" s="13">
        <f>F56/2*G56</f>
        <v>60.421199999999999</v>
      </c>
      <c r="J56" s="27"/>
      <c r="L56" s="20"/>
      <c r="M56" s="21"/>
      <c r="N56" s="22"/>
    </row>
    <row r="57" spans="1:22" ht="15.75" hidden="1" customHeight="1">
      <c r="A57" s="33">
        <v>15</v>
      </c>
      <c r="B57" s="67" t="s">
        <v>41</v>
      </c>
      <c r="C57" s="68" t="s">
        <v>109</v>
      </c>
      <c r="D57" s="67" t="s">
        <v>71</v>
      </c>
      <c r="E57" s="69">
        <v>90</v>
      </c>
      <c r="F57" s="70">
        <f>SUM(E57)*3</f>
        <v>270</v>
      </c>
      <c r="G57" s="13">
        <v>70.209999999999994</v>
      </c>
      <c r="H57" s="71">
        <f>SUM(F57*G57/1000)</f>
        <v>18.956699999999998</v>
      </c>
      <c r="I57" s="13">
        <f>E57*G57</f>
        <v>6318.9</v>
      </c>
      <c r="J57" s="27"/>
      <c r="L57" s="20"/>
      <c r="M57" s="21"/>
      <c r="N57" s="22"/>
    </row>
    <row r="58" spans="1:22" ht="15.75" customHeight="1">
      <c r="A58" s="158" t="s">
        <v>138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  <c r="M58" s="21"/>
      <c r="N58" s="22"/>
    </row>
    <row r="59" spans="1:22" ht="15.75" customHeight="1">
      <c r="A59" s="33"/>
      <c r="B59" s="93" t="s">
        <v>43</v>
      </c>
      <c r="C59" s="68"/>
      <c r="D59" s="67"/>
      <c r="E59" s="69"/>
      <c r="F59" s="70"/>
      <c r="G59" s="70"/>
      <c r="H59" s="71"/>
      <c r="I59" s="13"/>
      <c r="J59" s="27"/>
      <c r="L59" s="20"/>
      <c r="M59" s="21"/>
      <c r="N59" s="22"/>
    </row>
    <row r="60" spans="1:22" ht="31.5" customHeight="1">
      <c r="A60" s="33">
        <v>13</v>
      </c>
      <c r="B60" s="67" t="s">
        <v>146</v>
      </c>
      <c r="C60" s="68" t="s">
        <v>88</v>
      </c>
      <c r="D60" s="67" t="s">
        <v>110</v>
      </c>
      <c r="E60" s="69">
        <v>111</v>
      </c>
      <c r="F60" s="70">
        <f>SUM(E60*6/100)</f>
        <v>6.66</v>
      </c>
      <c r="G60" s="13">
        <v>1654.04</v>
      </c>
      <c r="H60" s="71">
        <f>SUM(F60*G60/1000)</f>
        <v>11.0159064</v>
      </c>
      <c r="I60" s="13">
        <f>F60/6*G60</f>
        <v>1835.9844000000001</v>
      </c>
      <c r="J60" s="27"/>
      <c r="L60" s="20"/>
    </row>
    <row r="61" spans="1:22" ht="15.75" customHeight="1">
      <c r="A61" s="33"/>
      <c r="B61" s="94" t="s">
        <v>44</v>
      </c>
      <c r="C61" s="81"/>
      <c r="D61" s="82"/>
      <c r="E61" s="83"/>
      <c r="F61" s="84"/>
      <c r="G61" s="13"/>
      <c r="H61" s="85"/>
      <c r="I61" s="13"/>
    </row>
    <row r="62" spans="1:22" ht="15.75" hidden="1" customHeight="1">
      <c r="A62" s="33"/>
      <c r="B62" s="82" t="s">
        <v>45</v>
      </c>
      <c r="C62" s="81" t="s">
        <v>53</v>
      </c>
      <c r="D62" s="82" t="s">
        <v>54</v>
      </c>
      <c r="E62" s="83">
        <v>330</v>
      </c>
      <c r="F62" s="84">
        <f>E62/100</f>
        <v>3.3</v>
      </c>
      <c r="G62" s="13">
        <v>848.37</v>
      </c>
      <c r="H62" s="85">
        <f>F62*G62/1000</f>
        <v>2.7996209999999997</v>
      </c>
      <c r="I62" s="13">
        <v>0</v>
      </c>
    </row>
    <row r="63" spans="1:22" ht="15.75" customHeight="1">
      <c r="A63" s="33">
        <v>14</v>
      </c>
      <c r="B63" s="82" t="s">
        <v>125</v>
      </c>
      <c r="C63" s="81" t="s">
        <v>25</v>
      </c>
      <c r="D63" s="82" t="s">
        <v>30</v>
      </c>
      <c r="E63" s="83">
        <v>130</v>
      </c>
      <c r="F63" s="86">
        <f>E63*12</f>
        <v>1560</v>
      </c>
      <c r="G63" s="61">
        <v>2.6</v>
      </c>
      <c r="H63" s="84">
        <f>F63*G63/1000</f>
        <v>4.056</v>
      </c>
      <c r="I63" s="13">
        <f>F63/12*G63</f>
        <v>338</v>
      </c>
    </row>
    <row r="64" spans="1:22" ht="15.75" hidden="1" customHeight="1">
      <c r="A64" s="33"/>
      <c r="B64" s="94" t="s">
        <v>46</v>
      </c>
      <c r="C64" s="81"/>
      <c r="D64" s="82"/>
      <c r="E64" s="83"/>
      <c r="F64" s="86"/>
      <c r="G64" s="86"/>
      <c r="H64" s="84" t="s">
        <v>145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3">
        <v>18</v>
      </c>
      <c r="B65" s="14" t="s">
        <v>47</v>
      </c>
      <c r="C65" s="16" t="s">
        <v>109</v>
      </c>
      <c r="D65" s="14" t="s">
        <v>130</v>
      </c>
      <c r="E65" s="19">
        <v>10</v>
      </c>
      <c r="F65" s="70">
        <v>10</v>
      </c>
      <c r="G65" s="13">
        <v>237.74</v>
      </c>
      <c r="H65" s="87">
        <f t="shared" ref="H65:H78" si="6">SUM(F65*G65/1000)</f>
        <v>2.3774000000000002</v>
      </c>
      <c r="I65" s="13">
        <f>G65*2</f>
        <v>475.48</v>
      </c>
      <c r="J65" s="29"/>
      <c r="K65" s="29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3"/>
      <c r="B66" s="14" t="s">
        <v>48</v>
      </c>
      <c r="C66" s="16" t="s">
        <v>109</v>
      </c>
      <c r="D66" s="14" t="s">
        <v>130</v>
      </c>
      <c r="E66" s="19">
        <v>5</v>
      </c>
      <c r="F66" s="70">
        <v>5</v>
      </c>
      <c r="G66" s="13">
        <v>81.510000000000005</v>
      </c>
      <c r="H66" s="87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3"/>
      <c r="B67" s="14" t="s">
        <v>49</v>
      </c>
      <c r="C67" s="16" t="s">
        <v>111</v>
      </c>
      <c r="D67" s="14" t="s">
        <v>54</v>
      </c>
      <c r="E67" s="69">
        <v>13287</v>
      </c>
      <c r="F67" s="13">
        <f>SUM(E67/100)</f>
        <v>132.87</v>
      </c>
      <c r="G67" s="13">
        <v>226.79</v>
      </c>
      <c r="H67" s="87">
        <f t="shared" si="6"/>
        <v>30.133587299999999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1"/>
      <c r="S67" s="161"/>
      <c r="T67" s="161"/>
      <c r="U67" s="161"/>
    </row>
    <row r="68" spans="1:21" ht="15.75" hidden="1" customHeight="1">
      <c r="A68" s="33"/>
      <c r="B68" s="14" t="s">
        <v>50</v>
      </c>
      <c r="C68" s="16" t="s">
        <v>112</v>
      </c>
      <c r="D68" s="14"/>
      <c r="E68" s="69">
        <v>13287</v>
      </c>
      <c r="F68" s="13">
        <f>SUM(E68/1000)</f>
        <v>13.287000000000001</v>
      </c>
      <c r="G68" s="13">
        <v>176.61</v>
      </c>
      <c r="H68" s="87">
        <f t="shared" si="6"/>
        <v>2.3466170700000002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3"/>
      <c r="B69" s="14" t="s">
        <v>51</v>
      </c>
      <c r="C69" s="16" t="s">
        <v>77</v>
      </c>
      <c r="D69" s="14" t="s">
        <v>54</v>
      </c>
      <c r="E69" s="69">
        <v>2110</v>
      </c>
      <c r="F69" s="13">
        <f>SUM(E69/100)</f>
        <v>21.1</v>
      </c>
      <c r="G69" s="13">
        <v>2217.7800000000002</v>
      </c>
      <c r="H69" s="87">
        <f>SUM(F69*G69/1000)</f>
        <v>46.795158000000008</v>
      </c>
      <c r="I69" s="13">
        <v>0</v>
      </c>
    </row>
    <row r="70" spans="1:21" ht="15.75" hidden="1" customHeight="1">
      <c r="A70" s="33"/>
      <c r="B70" s="88" t="s">
        <v>113</v>
      </c>
      <c r="C70" s="16" t="s">
        <v>33</v>
      </c>
      <c r="D70" s="14"/>
      <c r="E70" s="69">
        <v>8.6</v>
      </c>
      <c r="F70" s="13">
        <f>SUM(E70)</f>
        <v>8.6</v>
      </c>
      <c r="G70" s="13">
        <v>42.67</v>
      </c>
      <c r="H70" s="87">
        <f t="shared" si="6"/>
        <v>0.36696200000000001</v>
      </c>
      <c r="I70" s="13">
        <v>0</v>
      </c>
    </row>
    <row r="71" spans="1:21" ht="15.75" hidden="1" customHeight="1">
      <c r="A71" s="33"/>
      <c r="B71" s="88" t="s">
        <v>114</v>
      </c>
      <c r="C71" s="16" t="s">
        <v>33</v>
      </c>
      <c r="D71" s="14"/>
      <c r="E71" s="69">
        <v>8.6</v>
      </c>
      <c r="F71" s="13">
        <f>SUM(E71)</f>
        <v>8.6</v>
      </c>
      <c r="G71" s="13">
        <v>39.81</v>
      </c>
      <c r="H71" s="87">
        <f t="shared" si="6"/>
        <v>0.342366</v>
      </c>
      <c r="I71" s="13">
        <v>0</v>
      </c>
    </row>
    <row r="72" spans="1:21" ht="15.75" hidden="1" customHeight="1">
      <c r="A72" s="33"/>
      <c r="B72" s="14" t="s">
        <v>57</v>
      </c>
      <c r="C72" s="16" t="s">
        <v>58</v>
      </c>
      <c r="D72" s="14" t="s">
        <v>54</v>
      </c>
      <c r="E72" s="19">
        <v>6</v>
      </c>
      <c r="F72" s="70">
        <v>6</v>
      </c>
      <c r="G72" s="13">
        <v>53.32</v>
      </c>
      <c r="H72" s="87">
        <f t="shared" si="6"/>
        <v>0.31992000000000004</v>
      </c>
      <c r="I72" s="13">
        <v>0</v>
      </c>
    </row>
    <row r="73" spans="1:21" ht="15.75" hidden="1" customHeight="1">
      <c r="A73" s="33"/>
      <c r="B73" s="54" t="s">
        <v>72</v>
      </c>
      <c r="C73" s="16"/>
      <c r="D73" s="14"/>
      <c r="E73" s="19"/>
      <c r="F73" s="13"/>
      <c r="G73" s="13"/>
      <c r="H73" s="87" t="s">
        <v>145</v>
      </c>
      <c r="I73" s="13"/>
    </row>
    <row r="74" spans="1:21" ht="15.75" hidden="1" customHeight="1">
      <c r="A74" s="33"/>
      <c r="B74" s="14" t="s">
        <v>73</v>
      </c>
      <c r="C74" s="16" t="s">
        <v>75</v>
      </c>
      <c r="D74" s="14"/>
      <c r="E74" s="19">
        <v>2</v>
      </c>
      <c r="F74" s="13">
        <v>0.2</v>
      </c>
      <c r="G74" s="13">
        <v>536.23</v>
      </c>
      <c r="H74" s="87">
        <f t="shared" si="6"/>
        <v>0.10724600000000001</v>
      </c>
      <c r="I74" s="13">
        <v>0</v>
      </c>
    </row>
    <row r="75" spans="1:21" ht="15.75" hidden="1" customHeight="1">
      <c r="A75" s="33"/>
      <c r="B75" s="14" t="s">
        <v>74</v>
      </c>
      <c r="C75" s="16" t="s">
        <v>31</v>
      </c>
      <c r="D75" s="14"/>
      <c r="E75" s="19">
        <v>2</v>
      </c>
      <c r="F75" s="61">
        <v>2</v>
      </c>
      <c r="G75" s="13">
        <v>911.85</v>
      </c>
      <c r="H75" s="87">
        <f>F75*G75/1000</f>
        <v>1.8237000000000001</v>
      </c>
      <c r="I75" s="13">
        <v>0</v>
      </c>
    </row>
    <row r="76" spans="1:21" ht="15.75" hidden="1" customHeight="1">
      <c r="A76" s="33"/>
      <c r="B76" s="14" t="s">
        <v>116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87">
        <f>G76*F76/1000</f>
        <v>0.38324999999999998</v>
      </c>
      <c r="I76" s="13">
        <v>0</v>
      </c>
    </row>
    <row r="77" spans="1:21" ht="15.75" hidden="1" customHeight="1">
      <c r="A77" s="33"/>
      <c r="B77" s="90" t="s">
        <v>76</v>
      </c>
      <c r="C77" s="16"/>
      <c r="D77" s="14"/>
      <c r="E77" s="19"/>
      <c r="F77" s="13"/>
      <c r="G77" s="13" t="s">
        <v>145</v>
      </c>
      <c r="H77" s="87" t="s">
        <v>145</v>
      </c>
      <c r="I77" s="13"/>
    </row>
    <row r="78" spans="1:21" ht="15.75" hidden="1" customHeight="1">
      <c r="A78" s="33"/>
      <c r="B78" s="47" t="s">
        <v>133</v>
      </c>
      <c r="C78" s="16" t="s">
        <v>77</v>
      </c>
      <c r="D78" s="14"/>
      <c r="E78" s="19"/>
      <c r="F78" s="13">
        <v>0.5</v>
      </c>
      <c r="G78" s="13">
        <v>2949.85</v>
      </c>
      <c r="H78" s="87">
        <f t="shared" si="6"/>
        <v>1.474925</v>
      </c>
      <c r="I78" s="13">
        <v>0</v>
      </c>
    </row>
    <row r="79" spans="1:21" ht="15.75" customHeight="1">
      <c r="A79" s="33"/>
      <c r="B79" s="97" t="s">
        <v>94</v>
      </c>
      <c r="C79" s="97"/>
      <c r="D79" s="97"/>
      <c r="E79" s="97"/>
      <c r="F79" s="97"/>
      <c r="G79" s="78"/>
      <c r="H79" s="91">
        <f>SUM(H60:H78)</f>
        <v>104.75020877000001</v>
      </c>
      <c r="I79" s="78"/>
    </row>
    <row r="80" spans="1:21" ht="15.75" customHeight="1">
      <c r="A80" s="33">
        <v>15</v>
      </c>
      <c r="B80" s="95" t="s">
        <v>115</v>
      </c>
      <c r="C80" s="24"/>
      <c r="D80" s="23"/>
      <c r="E80" s="62"/>
      <c r="F80" s="96">
        <v>1</v>
      </c>
      <c r="G80" s="38">
        <v>8275.7000000000007</v>
      </c>
      <c r="H80" s="87">
        <f>G80*F80/1000</f>
        <v>8.2757000000000005</v>
      </c>
      <c r="I80" s="13">
        <f>G80</f>
        <v>8275.7000000000007</v>
      </c>
    </row>
    <row r="81" spans="1:9" ht="15" customHeight="1">
      <c r="A81" s="162" t="s">
        <v>139</v>
      </c>
      <c r="B81" s="163"/>
      <c r="C81" s="163"/>
      <c r="D81" s="163"/>
      <c r="E81" s="163"/>
      <c r="F81" s="163"/>
      <c r="G81" s="163"/>
      <c r="H81" s="163"/>
      <c r="I81" s="164"/>
    </row>
    <row r="82" spans="1:9" ht="15.75" customHeight="1">
      <c r="A82" s="33">
        <v>16</v>
      </c>
      <c r="B82" s="67" t="s">
        <v>117</v>
      </c>
      <c r="C82" s="16" t="s">
        <v>55</v>
      </c>
      <c r="D82" s="92" t="s">
        <v>163</v>
      </c>
      <c r="E82" s="13">
        <v>2626.5</v>
      </c>
      <c r="F82" s="13">
        <f>SUM(E82*12)</f>
        <v>31518</v>
      </c>
      <c r="G82" s="13">
        <v>2.2400000000000002</v>
      </c>
      <c r="H82" s="87">
        <f>SUM(F82*G82/1000)</f>
        <v>70.600320000000011</v>
      </c>
      <c r="I82" s="13">
        <f>F82/12*G82</f>
        <v>5883.3600000000006</v>
      </c>
    </row>
    <row r="83" spans="1:9" ht="31.5" customHeight="1">
      <c r="A83" s="33">
        <v>17</v>
      </c>
      <c r="B83" s="14" t="s">
        <v>78</v>
      </c>
      <c r="C83" s="16"/>
      <c r="D83" s="92" t="s">
        <v>163</v>
      </c>
      <c r="E83" s="69">
        <f>E82</f>
        <v>2626.5</v>
      </c>
      <c r="F83" s="13">
        <f>E83*12</f>
        <v>31518</v>
      </c>
      <c r="G83" s="13">
        <v>1.74</v>
      </c>
      <c r="H83" s="87">
        <f>F83*G83/1000</f>
        <v>54.841320000000003</v>
      </c>
      <c r="I83" s="13">
        <f>F83/12*G83</f>
        <v>4570.1099999999997</v>
      </c>
    </row>
    <row r="84" spans="1:9" ht="15.75" customHeight="1">
      <c r="A84" s="33"/>
      <c r="B84" s="40" t="s">
        <v>81</v>
      </c>
      <c r="C84" s="90"/>
      <c r="D84" s="89"/>
      <c r="E84" s="78"/>
      <c r="F84" s="78"/>
      <c r="G84" s="78"/>
      <c r="H84" s="91">
        <f>H83</f>
        <v>54.841320000000003</v>
      </c>
      <c r="I84" s="78">
        <f>I16+I17+I18+I20+I27+I28+I39+I40+I42+I43+I45+I53+I60+I63+I80+I82+I83</f>
        <v>50772.672579333332</v>
      </c>
    </row>
    <row r="85" spans="1:9" ht="15.75" customHeight="1">
      <c r="A85" s="173" t="s">
        <v>60</v>
      </c>
      <c r="B85" s="174"/>
      <c r="C85" s="174"/>
      <c r="D85" s="174"/>
      <c r="E85" s="174"/>
      <c r="F85" s="174"/>
      <c r="G85" s="174"/>
      <c r="H85" s="174"/>
      <c r="I85" s="175"/>
    </row>
    <row r="86" spans="1:9" ht="15.75" customHeight="1">
      <c r="A86" s="33">
        <v>18</v>
      </c>
      <c r="B86" s="50" t="s">
        <v>126</v>
      </c>
      <c r="C86" s="53" t="s">
        <v>109</v>
      </c>
      <c r="D86" s="14"/>
      <c r="E86" s="19"/>
      <c r="F86" s="13">
        <v>552</v>
      </c>
      <c r="G86" s="13">
        <v>53.42</v>
      </c>
      <c r="H86" s="87">
        <f>G86*F86/1000</f>
        <v>29.487839999999998</v>
      </c>
      <c r="I86" s="13">
        <f>G86*46</f>
        <v>2457.3200000000002</v>
      </c>
    </row>
    <row r="87" spans="1:9" ht="31.5" customHeight="1">
      <c r="A87" s="33">
        <v>19</v>
      </c>
      <c r="B87" s="66" t="s">
        <v>176</v>
      </c>
      <c r="C87" s="33" t="s">
        <v>148</v>
      </c>
      <c r="D87" s="39"/>
      <c r="E87" s="18"/>
      <c r="F87" s="37">
        <v>1</v>
      </c>
      <c r="G87" s="37">
        <v>1934.94</v>
      </c>
      <c r="H87" s="37">
        <f t="shared" ref="H87" si="7">G87*F87/1000</f>
        <v>1.9349400000000001</v>
      </c>
      <c r="I87" s="13">
        <f>G87</f>
        <v>1934.94</v>
      </c>
    </row>
    <row r="88" spans="1:9" ht="31.5" customHeight="1">
      <c r="A88" s="33">
        <v>20</v>
      </c>
      <c r="B88" s="50" t="s">
        <v>177</v>
      </c>
      <c r="C88" s="53" t="s">
        <v>38</v>
      </c>
      <c r="D88" s="39"/>
      <c r="E88" s="18"/>
      <c r="F88" s="37">
        <v>0.03</v>
      </c>
      <c r="G88" s="37">
        <v>3581.13</v>
      </c>
      <c r="H88" s="103">
        <f>G88*F88/1000</f>
        <v>0.1074339</v>
      </c>
      <c r="I88" s="13">
        <f>G88*0.01</f>
        <v>35.811300000000003</v>
      </c>
    </row>
    <row r="89" spans="1:9" ht="31.5" customHeight="1">
      <c r="A89" s="33">
        <v>21</v>
      </c>
      <c r="B89" s="51" t="s">
        <v>178</v>
      </c>
      <c r="C89" s="52" t="s">
        <v>29</v>
      </c>
      <c r="D89" s="39"/>
      <c r="E89" s="18"/>
      <c r="F89" s="104">
        <v>4.0000000000000001E-3</v>
      </c>
      <c r="G89" s="37">
        <v>1591.6</v>
      </c>
      <c r="H89" s="105">
        <f>G89*F89/1000</f>
        <v>6.3663999999999995E-3</v>
      </c>
      <c r="I89" s="13">
        <f>G89*0.001</f>
        <v>1.5915999999999999</v>
      </c>
    </row>
    <row r="90" spans="1:9" ht="31.5" customHeight="1">
      <c r="A90" s="33">
        <v>22</v>
      </c>
      <c r="B90" s="50" t="s">
        <v>80</v>
      </c>
      <c r="C90" s="53" t="s">
        <v>109</v>
      </c>
      <c r="D90" s="39"/>
      <c r="E90" s="18"/>
      <c r="F90" s="37">
        <v>1</v>
      </c>
      <c r="G90" s="37">
        <v>83.36</v>
      </c>
      <c r="H90" s="103">
        <f t="shared" ref="H90:H91" si="8">G90*F90/1000</f>
        <v>8.3360000000000004E-2</v>
      </c>
      <c r="I90" s="13">
        <f t="shared" ref="I90" si="9">G90</f>
        <v>83.36</v>
      </c>
    </row>
    <row r="91" spans="1:9" ht="15.75" customHeight="1">
      <c r="A91" s="33">
        <v>23</v>
      </c>
      <c r="B91" s="50" t="s">
        <v>207</v>
      </c>
      <c r="C91" s="53" t="s">
        <v>152</v>
      </c>
      <c r="D91" s="39"/>
      <c r="E91" s="18"/>
      <c r="F91" s="37">
        <v>1</v>
      </c>
      <c r="G91" s="37">
        <v>10279</v>
      </c>
      <c r="H91" s="103">
        <f t="shared" si="8"/>
        <v>10.279</v>
      </c>
      <c r="I91" s="13">
        <f>G91</f>
        <v>10279</v>
      </c>
    </row>
    <row r="92" spans="1:9" ht="16.5" customHeight="1">
      <c r="A92" s="33"/>
      <c r="B92" s="45" t="s">
        <v>52</v>
      </c>
      <c r="C92" s="41"/>
      <c r="D92" s="48"/>
      <c r="E92" s="41">
        <v>1</v>
      </c>
      <c r="F92" s="41"/>
      <c r="G92" s="41"/>
      <c r="H92" s="41"/>
      <c r="I92" s="35">
        <f>SUM(I86:I91)</f>
        <v>14792.0229</v>
      </c>
    </row>
    <row r="93" spans="1:9" ht="15.75" customHeight="1">
      <c r="A93" s="33"/>
      <c r="B93" s="47" t="s">
        <v>79</v>
      </c>
      <c r="C93" s="15"/>
      <c r="D93" s="15"/>
      <c r="E93" s="42"/>
      <c r="F93" s="42"/>
      <c r="G93" s="43"/>
      <c r="H93" s="43"/>
      <c r="I93" s="18">
        <v>0</v>
      </c>
    </row>
    <row r="94" spans="1:9" ht="15.75" customHeight="1">
      <c r="A94" s="49"/>
      <c r="B94" s="46" t="s">
        <v>174</v>
      </c>
      <c r="C94" s="36"/>
      <c r="D94" s="36"/>
      <c r="E94" s="36"/>
      <c r="F94" s="36"/>
      <c r="G94" s="36"/>
      <c r="H94" s="36"/>
      <c r="I94" s="44">
        <f>I84+I92</f>
        <v>65564.695479333328</v>
      </c>
    </row>
    <row r="95" spans="1:9" ht="15.75" customHeight="1">
      <c r="A95" s="165" t="s">
        <v>243</v>
      </c>
      <c r="B95" s="165"/>
      <c r="C95" s="165"/>
      <c r="D95" s="165"/>
      <c r="E95" s="165"/>
      <c r="F95" s="165"/>
      <c r="G95" s="165"/>
      <c r="H95" s="165"/>
      <c r="I95" s="165"/>
    </row>
    <row r="96" spans="1:9" ht="15.75">
      <c r="A96" s="60"/>
      <c r="B96" s="166" t="s">
        <v>244</v>
      </c>
      <c r="C96" s="166"/>
      <c r="D96" s="166"/>
      <c r="E96" s="166"/>
      <c r="F96" s="166"/>
      <c r="G96" s="166"/>
      <c r="H96" s="65"/>
      <c r="I96" s="3"/>
    </row>
    <row r="97" spans="1:9">
      <c r="A97" s="59"/>
      <c r="B97" s="167" t="s">
        <v>6</v>
      </c>
      <c r="C97" s="167"/>
      <c r="D97" s="167"/>
      <c r="E97" s="167"/>
      <c r="F97" s="167"/>
      <c r="G97" s="167"/>
      <c r="H97" s="28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68" t="s">
        <v>7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168" t="s">
        <v>8</v>
      </c>
      <c r="B100" s="168"/>
      <c r="C100" s="168"/>
      <c r="D100" s="168"/>
      <c r="E100" s="168"/>
      <c r="F100" s="168"/>
      <c r="G100" s="168"/>
      <c r="H100" s="168"/>
      <c r="I100" s="168"/>
    </row>
    <row r="101" spans="1:9" ht="15.75">
      <c r="A101" s="169" t="s">
        <v>61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>
      <c r="A102" s="11"/>
    </row>
    <row r="103" spans="1:9" ht="15.75">
      <c r="A103" s="170" t="s">
        <v>9</v>
      </c>
      <c r="B103" s="170"/>
      <c r="C103" s="170"/>
      <c r="D103" s="170"/>
      <c r="E103" s="170"/>
      <c r="F103" s="170"/>
      <c r="G103" s="170"/>
      <c r="H103" s="170"/>
      <c r="I103" s="170"/>
    </row>
    <row r="104" spans="1:9" ht="15.75" customHeight="1">
      <c r="A104" s="4"/>
    </row>
    <row r="105" spans="1:9" ht="15.75">
      <c r="B105" s="56" t="s">
        <v>10</v>
      </c>
      <c r="C105" s="171" t="s">
        <v>140</v>
      </c>
      <c r="D105" s="171"/>
      <c r="E105" s="171"/>
      <c r="F105" s="63"/>
      <c r="I105" s="58"/>
    </row>
    <row r="106" spans="1:9">
      <c r="A106" s="59"/>
      <c r="C106" s="167" t="s">
        <v>11</v>
      </c>
      <c r="D106" s="167"/>
      <c r="E106" s="167"/>
      <c r="F106" s="28"/>
      <c r="I106" s="57" t="s">
        <v>12</v>
      </c>
    </row>
    <row r="107" spans="1:9" ht="15.75" customHeight="1">
      <c r="A107" s="29"/>
      <c r="C107" s="12"/>
      <c r="D107" s="12"/>
      <c r="G107" s="12"/>
      <c r="H107" s="12"/>
    </row>
    <row r="108" spans="1:9" ht="15.75" customHeight="1">
      <c r="B108" s="56" t="s">
        <v>13</v>
      </c>
      <c r="C108" s="172"/>
      <c r="D108" s="172"/>
      <c r="E108" s="172"/>
      <c r="F108" s="64"/>
      <c r="I108" s="58"/>
    </row>
    <row r="109" spans="1:9" ht="15.75" customHeight="1">
      <c r="A109" s="59"/>
      <c r="C109" s="161" t="s">
        <v>11</v>
      </c>
      <c r="D109" s="161"/>
      <c r="E109" s="161"/>
      <c r="F109" s="59"/>
      <c r="I109" s="57" t="s">
        <v>12</v>
      </c>
    </row>
    <row r="110" spans="1:9" ht="15.75">
      <c r="A110" s="4" t="s">
        <v>14</v>
      </c>
    </row>
    <row r="111" spans="1:9">
      <c r="A111" s="176" t="s">
        <v>15</v>
      </c>
      <c r="B111" s="176"/>
      <c r="C111" s="176"/>
      <c r="D111" s="176"/>
      <c r="E111" s="176"/>
      <c r="F111" s="176"/>
      <c r="G111" s="176"/>
      <c r="H111" s="176"/>
      <c r="I111" s="176"/>
    </row>
    <row r="112" spans="1:9" ht="45" customHeight="1">
      <c r="A112" s="177" t="s">
        <v>16</v>
      </c>
      <c r="B112" s="177"/>
      <c r="C112" s="177"/>
      <c r="D112" s="177"/>
      <c r="E112" s="177"/>
      <c r="F112" s="177"/>
      <c r="G112" s="177"/>
      <c r="H112" s="177"/>
      <c r="I112" s="177"/>
    </row>
    <row r="113" spans="1:9" ht="30" customHeight="1">
      <c r="A113" s="177" t="s">
        <v>17</v>
      </c>
      <c r="B113" s="177"/>
      <c r="C113" s="177"/>
      <c r="D113" s="177"/>
      <c r="E113" s="177"/>
      <c r="F113" s="177"/>
      <c r="G113" s="177"/>
      <c r="H113" s="177"/>
      <c r="I113" s="177"/>
    </row>
    <row r="114" spans="1:9" ht="30" customHeight="1">
      <c r="A114" s="177" t="s">
        <v>21</v>
      </c>
      <c r="B114" s="177"/>
      <c r="C114" s="177"/>
      <c r="D114" s="177"/>
      <c r="E114" s="177"/>
      <c r="F114" s="177"/>
      <c r="G114" s="177"/>
      <c r="H114" s="177"/>
      <c r="I114" s="177"/>
    </row>
    <row r="115" spans="1:9" ht="15" customHeight="1">
      <c r="A115" s="177" t="s">
        <v>20</v>
      </c>
      <c r="B115" s="177"/>
      <c r="C115" s="177"/>
      <c r="D115" s="177"/>
      <c r="E115" s="177"/>
      <c r="F115" s="177"/>
      <c r="G115" s="177"/>
      <c r="H115" s="177"/>
      <c r="I115" s="177"/>
    </row>
  </sheetData>
  <autoFilter ref="I12:I62"/>
  <mergeCells count="29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9:I29"/>
    <mergeCell ref="A47:I47"/>
    <mergeCell ref="A58:I58"/>
    <mergeCell ref="A95:I95"/>
    <mergeCell ref="B96:G96"/>
    <mergeCell ref="B97:G97"/>
    <mergeCell ref="A99:I99"/>
    <mergeCell ref="A100:I100"/>
    <mergeCell ref="A85:I85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155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179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42825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.7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hidden="1" customHeight="1">
      <c r="A19" s="33"/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customHeight="1">
      <c r="A21" s="33">
        <v>5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hidden="1" customHeight="1">
      <c r="A22" s="33"/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7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hidden="1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7" t="s">
        <v>107</v>
      </c>
      <c r="C31" s="68" t="s">
        <v>90</v>
      </c>
      <c r="D31" s="67" t="s">
        <v>104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1">SUM(F31*G31/1000)</f>
        <v>5.7627569999999997</v>
      </c>
      <c r="I31" s="13">
        <f t="shared" ref="I31:I35" si="2">F31/6*G31</f>
        <v>960.45949999999993</v>
      </c>
      <c r="J31" s="26"/>
      <c r="K31" s="8"/>
      <c r="L31" s="8"/>
      <c r="M31" s="8"/>
    </row>
    <row r="32" spans="1:13" ht="31.5" hidden="1" customHeight="1">
      <c r="A32" s="33">
        <v>9</v>
      </c>
      <c r="B32" s="67" t="s">
        <v>122</v>
      </c>
      <c r="C32" s="68" t="s">
        <v>90</v>
      </c>
      <c r="D32" s="67" t="s">
        <v>105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1"/>
        <v>1.7575833600000001</v>
      </c>
      <c r="I32" s="13">
        <f t="shared" si="2"/>
        <v>292.93056000000007</v>
      </c>
      <c r="J32" s="26"/>
      <c r="K32" s="8"/>
      <c r="L32" s="8"/>
      <c r="M32" s="8"/>
    </row>
    <row r="33" spans="1:14" ht="15.75" hidden="1" customHeight="1">
      <c r="A33" s="33"/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1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hidden="1" customHeight="1">
      <c r="A34" s="33">
        <v>10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2"/>
        <v>1078.6914999999999</v>
      </c>
      <c r="J34" s="26"/>
      <c r="K34" s="8"/>
    </row>
    <row r="35" spans="1:14" ht="15.75" hidden="1" customHeight="1">
      <c r="A35" s="33">
        <v>11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2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1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1"/>
        <v>2.4294600000000002</v>
      </c>
      <c r="I37" s="13">
        <v>0</v>
      </c>
      <c r="J37" s="27"/>
    </row>
    <row r="38" spans="1:14" ht="15.75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customHeight="1">
      <c r="A39" s="33">
        <v>8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3">SUM(F39*G39/1000)</f>
        <v>13.060799999999999</v>
      </c>
      <c r="I39" s="13">
        <f t="shared" ref="I39:I45" si="4">F39/6*G39</f>
        <v>2176.7999999999997</v>
      </c>
      <c r="J39" s="27"/>
      <c r="L39" s="20"/>
      <c r="M39" s="21"/>
      <c r="N39" s="22"/>
    </row>
    <row r="40" spans="1:14" ht="15.75" customHeight="1">
      <c r="A40" s="33">
        <v>9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4"/>
        <v>915.97850000000005</v>
      </c>
      <c r="J40" s="27"/>
      <c r="L40" s="20"/>
      <c r="M40" s="21"/>
      <c r="N40" s="22"/>
    </row>
    <row r="41" spans="1:14" ht="15.75" hidden="1" customHeight="1">
      <c r="A41" s="33"/>
      <c r="B41" s="67" t="s">
        <v>123</v>
      </c>
      <c r="C41" s="68" t="s">
        <v>124</v>
      </c>
      <c r="D41" s="67" t="s">
        <v>130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v>0</v>
      </c>
      <c r="J41" s="27"/>
      <c r="L41" s="20"/>
      <c r="M41" s="21"/>
      <c r="N41" s="22"/>
    </row>
    <row r="42" spans="1:14" ht="15.75" customHeight="1">
      <c r="A42" s="33">
        <v>10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3"/>
        <v>8.9156542499999993</v>
      </c>
      <c r="I42" s="13">
        <f t="shared" si="4"/>
        <v>1485.9423750000001</v>
      </c>
      <c r="J42" s="27"/>
      <c r="L42" s="20"/>
      <c r="M42" s="21"/>
      <c r="N42" s="22"/>
    </row>
    <row r="43" spans="1:14" ht="47.25" customHeight="1">
      <c r="A43" s="33">
        <v>11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3"/>
        <v>17.69605425</v>
      </c>
      <c r="I43" s="13">
        <f t="shared" si="4"/>
        <v>2949.3423749999997</v>
      </c>
      <c r="J43" s="27"/>
      <c r="L43" s="20"/>
      <c r="M43" s="21"/>
      <c r="N43" s="22"/>
    </row>
    <row r="44" spans="1:14" ht="15.75" customHeight="1">
      <c r="A44" s="33">
        <v>12</v>
      </c>
      <c r="B44" s="67" t="s">
        <v>91</v>
      </c>
      <c r="C44" s="68" t="s">
        <v>90</v>
      </c>
      <c r="D44" s="111" t="s">
        <v>245</v>
      </c>
      <c r="E44" s="114">
        <v>81.5</v>
      </c>
      <c r="F44" s="122">
        <f>SUM(E44*15/1000)</f>
        <v>1.2224999999999999</v>
      </c>
      <c r="G44" s="114">
        <v>458.28</v>
      </c>
      <c r="H44" s="115">
        <f t="shared" ref="H44" si="5">SUM(F44*G44/1000)</f>
        <v>0.56024729999999989</v>
      </c>
      <c r="I44" s="13">
        <f>F44/2*G44</f>
        <v>280.12364999999994</v>
      </c>
      <c r="J44" s="27"/>
      <c r="L44" s="20"/>
      <c r="M44" s="21"/>
      <c r="N44" s="22"/>
    </row>
    <row r="45" spans="1:14" ht="15.75" customHeight="1">
      <c r="A45" s="33">
        <v>13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3"/>
        <v>0.76775400000000005</v>
      </c>
      <c r="I45" s="13">
        <f t="shared" si="4"/>
        <v>127.95899999999999</v>
      </c>
      <c r="J45" s="27"/>
      <c r="L45" s="20"/>
      <c r="M45" s="21"/>
      <c r="N45" s="22"/>
    </row>
    <row r="46" spans="1:14" ht="15" customHeight="1">
      <c r="A46" s="158" t="s">
        <v>137</v>
      </c>
      <c r="B46" s="159"/>
      <c r="C46" s="159"/>
      <c r="D46" s="159"/>
      <c r="E46" s="159"/>
      <c r="F46" s="159"/>
      <c r="G46" s="159"/>
      <c r="H46" s="159"/>
      <c r="I46" s="160"/>
      <c r="J46" s="27"/>
      <c r="L46" s="20"/>
      <c r="M46" s="21"/>
      <c r="N46" s="22"/>
    </row>
    <row r="47" spans="1:14" ht="15.75" hidden="1" customHeight="1">
      <c r="A47" s="33"/>
      <c r="B47" s="67" t="s">
        <v>132</v>
      </c>
      <c r="C47" s="68" t="s">
        <v>90</v>
      </c>
      <c r="D47" s="67" t="s">
        <v>42</v>
      </c>
      <c r="E47" s="69">
        <v>1080</v>
      </c>
      <c r="F47" s="70">
        <f>SUM(E47*2/1000)</f>
        <v>2.16</v>
      </c>
      <c r="G47" s="13">
        <v>865.61</v>
      </c>
      <c r="H47" s="71">
        <f t="shared" ref="H47:H55" si="6">SUM(F47*G47/1000)</f>
        <v>1.8697176000000002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7" t="s">
        <v>35</v>
      </c>
      <c r="C48" s="68" t="s">
        <v>90</v>
      </c>
      <c r="D48" s="67" t="s">
        <v>42</v>
      </c>
      <c r="E48" s="69">
        <v>39</v>
      </c>
      <c r="F48" s="70">
        <f>E48*2/1000</f>
        <v>7.8E-2</v>
      </c>
      <c r="G48" s="13">
        <v>619.46</v>
      </c>
      <c r="H48" s="71">
        <f t="shared" si="6"/>
        <v>4.8317880000000001E-2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7" t="s">
        <v>36</v>
      </c>
      <c r="C49" s="68" t="s">
        <v>90</v>
      </c>
      <c r="D49" s="67" t="s">
        <v>42</v>
      </c>
      <c r="E49" s="69">
        <v>1037</v>
      </c>
      <c r="F49" s="70">
        <f>SUM(E49*2/1000)</f>
        <v>2.0739999999999998</v>
      </c>
      <c r="G49" s="13">
        <v>619.46</v>
      </c>
      <c r="H49" s="71">
        <f t="shared" si="6"/>
        <v>1.2847600399999999</v>
      </c>
      <c r="I49" s="13">
        <v>0</v>
      </c>
      <c r="J49" s="27"/>
      <c r="L49" s="20"/>
      <c r="M49" s="21"/>
      <c r="N49" s="22"/>
    </row>
    <row r="50" spans="1:22" ht="15.75" hidden="1" customHeight="1">
      <c r="A50" s="33"/>
      <c r="B50" s="67" t="s">
        <v>37</v>
      </c>
      <c r="C50" s="68" t="s">
        <v>90</v>
      </c>
      <c r="D50" s="67" t="s">
        <v>42</v>
      </c>
      <c r="E50" s="69">
        <v>2274</v>
      </c>
      <c r="F50" s="70">
        <f>SUM(E50*2/1000)</f>
        <v>4.548</v>
      </c>
      <c r="G50" s="13">
        <v>648.64</v>
      </c>
      <c r="H50" s="71">
        <f t="shared" si="6"/>
        <v>2.95001472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7" t="s">
        <v>34</v>
      </c>
      <c r="C51" s="68" t="s">
        <v>53</v>
      </c>
      <c r="D51" s="67" t="s">
        <v>42</v>
      </c>
      <c r="E51" s="69">
        <v>83.04</v>
      </c>
      <c r="F51" s="70">
        <v>1.66</v>
      </c>
      <c r="G51" s="13">
        <v>77.84</v>
      </c>
      <c r="H51" s="71">
        <f>SUM(F51*G51/1000)</f>
        <v>0.12921440000000001</v>
      </c>
      <c r="I51" s="13">
        <v>0</v>
      </c>
      <c r="J51" s="27"/>
      <c r="L51" s="20"/>
      <c r="M51" s="21"/>
      <c r="N51" s="22"/>
    </row>
    <row r="52" spans="1:22" ht="15.75" hidden="1" customHeight="1">
      <c r="A52" s="33">
        <v>14</v>
      </c>
      <c r="B52" s="67" t="s">
        <v>56</v>
      </c>
      <c r="C52" s="68" t="s">
        <v>90</v>
      </c>
      <c r="D52" s="67" t="s">
        <v>153</v>
      </c>
      <c r="E52" s="69">
        <v>1728</v>
      </c>
      <c r="F52" s="70">
        <f>SUM(E52*5/1000)</f>
        <v>8.64</v>
      </c>
      <c r="G52" s="13">
        <v>1297.28</v>
      </c>
      <c r="H52" s="71">
        <f>SUM(F52*G52/1000)</f>
        <v>11.2084992</v>
      </c>
      <c r="I52" s="13">
        <f>F52/5*G52</f>
        <v>2241.6998400000002</v>
      </c>
      <c r="J52" s="27"/>
      <c r="L52" s="20"/>
      <c r="M52" s="21"/>
      <c r="N52" s="22"/>
    </row>
    <row r="53" spans="1:22" ht="31.5" hidden="1" customHeight="1">
      <c r="A53" s="33"/>
      <c r="B53" s="67" t="s">
        <v>92</v>
      </c>
      <c r="C53" s="68" t="s">
        <v>90</v>
      </c>
      <c r="D53" s="67" t="s">
        <v>42</v>
      </c>
      <c r="E53" s="69">
        <v>1728</v>
      </c>
      <c r="F53" s="70">
        <f>SUM(E53*2/1000)</f>
        <v>3.456</v>
      </c>
      <c r="G53" s="13">
        <v>1297.28</v>
      </c>
      <c r="H53" s="71">
        <f>SUM(G53*F53/1000)</f>
        <v>4.4833996799999998</v>
      </c>
      <c r="I53" s="13">
        <v>0</v>
      </c>
      <c r="J53" s="27"/>
      <c r="L53" s="20"/>
      <c r="M53" s="21"/>
      <c r="N53" s="22"/>
    </row>
    <row r="54" spans="1:22" ht="31.5" hidden="1" customHeight="1">
      <c r="A54" s="33"/>
      <c r="B54" s="67" t="s">
        <v>93</v>
      </c>
      <c r="C54" s="68" t="s">
        <v>38</v>
      </c>
      <c r="D54" s="67" t="s">
        <v>42</v>
      </c>
      <c r="E54" s="69">
        <v>15</v>
      </c>
      <c r="F54" s="70">
        <f>SUM(E54*2/100)</f>
        <v>0.3</v>
      </c>
      <c r="G54" s="13">
        <v>2918.89</v>
      </c>
      <c r="H54" s="71">
        <f>SUM(F54*G54/1000)</f>
        <v>0.87566699999999986</v>
      </c>
      <c r="I54" s="13">
        <v>0</v>
      </c>
      <c r="J54" s="27"/>
      <c r="L54" s="20"/>
      <c r="M54" s="21"/>
      <c r="N54" s="22"/>
    </row>
    <row r="55" spans="1:22" ht="15.75" customHeight="1">
      <c r="A55" s="33">
        <v>14</v>
      </c>
      <c r="B55" s="67" t="s">
        <v>39</v>
      </c>
      <c r="C55" s="68" t="s">
        <v>40</v>
      </c>
      <c r="D55" s="67" t="s">
        <v>42</v>
      </c>
      <c r="E55" s="69">
        <v>1</v>
      </c>
      <c r="F55" s="70">
        <v>0.02</v>
      </c>
      <c r="G55" s="13">
        <v>6042.12</v>
      </c>
      <c r="H55" s="71">
        <f t="shared" si="6"/>
        <v>0.1208424</v>
      </c>
      <c r="I55" s="13">
        <f>F55/2*G55</f>
        <v>60.421199999999999</v>
      </c>
      <c r="J55" s="27"/>
      <c r="L55" s="20"/>
      <c r="M55" s="21"/>
      <c r="N55" s="22"/>
    </row>
    <row r="56" spans="1:22" ht="15.75" hidden="1" customHeight="1">
      <c r="A56" s="33">
        <v>15</v>
      </c>
      <c r="B56" s="67" t="s">
        <v>41</v>
      </c>
      <c r="C56" s="68" t="s">
        <v>109</v>
      </c>
      <c r="D56" s="67" t="s">
        <v>71</v>
      </c>
      <c r="E56" s="69">
        <v>90</v>
      </c>
      <c r="F56" s="70">
        <f>SUM(E56)*3</f>
        <v>270</v>
      </c>
      <c r="G56" s="13">
        <v>70.209999999999994</v>
      </c>
      <c r="H56" s="71">
        <f>SUM(F56*G56/1000)</f>
        <v>18.956699999999998</v>
      </c>
      <c r="I56" s="13">
        <f>E56*G56</f>
        <v>6318.9</v>
      </c>
      <c r="J56" s="27"/>
      <c r="L56" s="20"/>
      <c r="M56" s="21"/>
      <c r="N56" s="22"/>
    </row>
    <row r="57" spans="1:22" ht="15.75" customHeight="1">
      <c r="A57" s="158" t="s">
        <v>138</v>
      </c>
      <c r="B57" s="159"/>
      <c r="C57" s="159"/>
      <c r="D57" s="159"/>
      <c r="E57" s="159"/>
      <c r="F57" s="159"/>
      <c r="G57" s="159"/>
      <c r="H57" s="159"/>
      <c r="I57" s="160"/>
      <c r="J57" s="27"/>
      <c r="L57" s="20"/>
      <c r="M57" s="21"/>
      <c r="N57" s="22"/>
    </row>
    <row r="58" spans="1:22" ht="15.75" customHeight="1">
      <c r="A58" s="33"/>
      <c r="B58" s="93" t="s">
        <v>43</v>
      </c>
      <c r="C58" s="68"/>
      <c r="D58" s="67"/>
      <c r="E58" s="69"/>
      <c r="F58" s="70"/>
      <c r="G58" s="70"/>
      <c r="H58" s="71"/>
      <c r="I58" s="13"/>
      <c r="J58" s="27"/>
      <c r="L58" s="20"/>
      <c r="M58" s="21"/>
      <c r="N58" s="22"/>
    </row>
    <row r="59" spans="1:22" ht="31.5" customHeight="1">
      <c r="A59" s="33">
        <v>15</v>
      </c>
      <c r="B59" s="67" t="s">
        <v>146</v>
      </c>
      <c r="C59" s="68" t="s">
        <v>88</v>
      </c>
      <c r="D59" s="67" t="s">
        <v>110</v>
      </c>
      <c r="E59" s="69">
        <v>111</v>
      </c>
      <c r="F59" s="70">
        <f>SUM(E59*6/100)</f>
        <v>6.66</v>
      </c>
      <c r="G59" s="13">
        <v>1654.04</v>
      </c>
      <c r="H59" s="71">
        <f>SUM(F59*G59/1000)</f>
        <v>11.0159064</v>
      </c>
      <c r="I59" s="13">
        <f>F59/6*G59</f>
        <v>1835.9844000000001</v>
      </c>
      <c r="J59" s="27"/>
      <c r="L59" s="20"/>
    </row>
    <row r="60" spans="1:22" ht="15.75" customHeight="1">
      <c r="A60" s="33"/>
      <c r="B60" s="94" t="s">
        <v>44</v>
      </c>
      <c r="C60" s="81"/>
      <c r="D60" s="82"/>
      <c r="E60" s="83"/>
      <c r="F60" s="84"/>
      <c r="G60" s="13"/>
      <c r="H60" s="85"/>
      <c r="I60" s="13"/>
    </row>
    <row r="61" spans="1:22" ht="15.75" hidden="1" customHeight="1">
      <c r="A61" s="33"/>
      <c r="B61" s="82" t="s">
        <v>45</v>
      </c>
      <c r="C61" s="81" t="s">
        <v>53</v>
      </c>
      <c r="D61" s="82" t="s">
        <v>54</v>
      </c>
      <c r="E61" s="83">
        <v>330</v>
      </c>
      <c r="F61" s="84">
        <f>E61/100</f>
        <v>3.3</v>
      </c>
      <c r="G61" s="13">
        <v>848.37</v>
      </c>
      <c r="H61" s="85">
        <f>F61*G61/1000</f>
        <v>2.7996209999999997</v>
      </c>
      <c r="I61" s="13">
        <v>0</v>
      </c>
    </row>
    <row r="62" spans="1:22" ht="15.75" customHeight="1">
      <c r="A62" s="33">
        <v>16</v>
      </c>
      <c r="B62" s="82" t="s">
        <v>125</v>
      </c>
      <c r="C62" s="81" t="s">
        <v>25</v>
      </c>
      <c r="D62" s="82" t="s">
        <v>30</v>
      </c>
      <c r="E62" s="83">
        <v>130</v>
      </c>
      <c r="F62" s="86">
        <f>E62*12</f>
        <v>1560</v>
      </c>
      <c r="G62" s="61">
        <v>2.6</v>
      </c>
      <c r="H62" s="84">
        <f>F62*G62/1000</f>
        <v>4.056</v>
      </c>
      <c r="I62" s="13">
        <f>F62/12*G62</f>
        <v>338</v>
      </c>
    </row>
    <row r="63" spans="1:22" ht="15.75" hidden="1" customHeight="1">
      <c r="A63" s="33"/>
      <c r="B63" s="94" t="s">
        <v>46</v>
      </c>
      <c r="C63" s="81"/>
      <c r="D63" s="82"/>
      <c r="E63" s="83"/>
      <c r="F63" s="86"/>
      <c r="G63" s="86"/>
      <c r="H63" s="84" t="s">
        <v>145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>
        <v>18</v>
      </c>
      <c r="B64" s="14" t="s">
        <v>47</v>
      </c>
      <c r="C64" s="16" t="s">
        <v>109</v>
      </c>
      <c r="D64" s="14" t="s">
        <v>130</v>
      </c>
      <c r="E64" s="19">
        <v>10</v>
      </c>
      <c r="F64" s="70">
        <v>10</v>
      </c>
      <c r="G64" s="13">
        <v>237.74</v>
      </c>
      <c r="H64" s="87">
        <f t="shared" ref="H64:H77" si="7">SUM(F64*G64/1000)</f>
        <v>2.3774000000000002</v>
      </c>
      <c r="I64" s="13">
        <f>G64*2</f>
        <v>475.48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48</v>
      </c>
      <c r="C65" s="16" t="s">
        <v>109</v>
      </c>
      <c r="D65" s="14" t="s">
        <v>130</v>
      </c>
      <c r="E65" s="19">
        <v>5</v>
      </c>
      <c r="F65" s="70">
        <v>5</v>
      </c>
      <c r="G65" s="13">
        <v>81.510000000000005</v>
      </c>
      <c r="H65" s="87">
        <f t="shared" si="7"/>
        <v>0.40755000000000002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14" t="s">
        <v>49</v>
      </c>
      <c r="C66" s="16" t="s">
        <v>111</v>
      </c>
      <c r="D66" s="14" t="s">
        <v>54</v>
      </c>
      <c r="E66" s="69">
        <v>13287</v>
      </c>
      <c r="F66" s="13">
        <f>SUM(E66/100)</f>
        <v>132.87</v>
      </c>
      <c r="G66" s="13">
        <v>226.79</v>
      </c>
      <c r="H66" s="87">
        <f t="shared" si="7"/>
        <v>30.133587299999999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61"/>
      <c r="S66" s="161"/>
      <c r="T66" s="161"/>
      <c r="U66" s="161"/>
    </row>
    <row r="67" spans="1:21" ht="15.75" hidden="1" customHeight="1">
      <c r="A67" s="33"/>
      <c r="B67" s="14" t="s">
        <v>50</v>
      </c>
      <c r="C67" s="16" t="s">
        <v>112</v>
      </c>
      <c r="D67" s="14"/>
      <c r="E67" s="69">
        <v>13287</v>
      </c>
      <c r="F67" s="13">
        <f>SUM(E67/1000)</f>
        <v>13.287000000000001</v>
      </c>
      <c r="G67" s="13">
        <v>176.61</v>
      </c>
      <c r="H67" s="87">
        <f t="shared" si="7"/>
        <v>2.3466170700000002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51</v>
      </c>
      <c r="C68" s="16" t="s">
        <v>77</v>
      </c>
      <c r="D68" s="14" t="s">
        <v>54</v>
      </c>
      <c r="E68" s="69">
        <v>2110</v>
      </c>
      <c r="F68" s="13">
        <f>SUM(E68/100)</f>
        <v>21.1</v>
      </c>
      <c r="G68" s="13">
        <v>2217.7800000000002</v>
      </c>
      <c r="H68" s="87">
        <f>SUM(F68*G68/1000)</f>
        <v>46.795158000000008</v>
      </c>
      <c r="I68" s="13">
        <v>0</v>
      </c>
    </row>
    <row r="69" spans="1:21" ht="15.75" hidden="1" customHeight="1">
      <c r="A69" s="33"/>
      <c r="B69" s="88" t="s">
        <v>113</v>
      </c>
      <c r="C69" s="16" t="s">
        <v>33</v>
      </c>
      <c r="D69" s="14"/>
      <c r="E69" s="69">
        <v>8.6</v>
      </c>
      <c r="F69" s="13">
        <f>SUM(E69)</f>
        <v>8.6</v>
      </c>
      <c r="G69" s="13">
        <v>42.67</v>
      </c>
      <c r="H69" s="87">
        <f t="shared" si="7"/>
        <v>0.36696200000000001</v>
      </c>
      <c r="I69" s="13">
        <v>0</v>
      </c>
    </row>
    <row r="70" spans="1:21" ht="15.75" hidden="1" customHeight="1">
      <c r="A70" s="33"/>
      <c r="B70" s="88" t="s">
        <v>114</v>
      </c>
      <c r="C70" s="16" t="s">
        <v>33</v>
      </c>
      <c r="D70" s="14"/>
      <c r="E70" s="69">
        <v>8.6</v>
      </c>
      <c r="F70" s="13">
        <f>SUM(E70)</f>
        <v>8.6</v>
      </c>
      <c r="G70" s="13">
        <v>39.81</v>
      </c>
      <c r="H70" s="87">
        <f t="shared" si="7"/>
        <v>0.342366</v>
      </c>
      <c r="I70" s="13">
        <v>0</v>
      </c>
    </row>
    <row r="71" spans="1:21" ht="15.75" hidden="1" customHeight="1">
      <c r="A71" s="33"/>
      <c r="B71" s="14" t="s">
        <v>57</v>
      </c>
      <c r="C71" s="16" t="s">
        <v>58</v>
      </c>
      <c r="D71" s="14" t="s">
        <v>54</v>
      </c>
      <c r="E71" s="19">
        <v>6</v>
      </c>
      <c r="F71" s="70">
        <v>6</v>
      </c>
      <c r="G71" s="13">
        <v>53.32</v>
      </c>
      <c r="H71" s="87">
        <f t="shared" si="7"/>
        <v>0.31992000000000004</v>
      </c>
      <c r="I71" s="13">
        <v>0</v>
      </c>
    </row>
    <row r="72" spans="1:21" ht="15.75" hidden="1" customHeight="1">
      <c r="A72" s="33"/>
      <c r="B72" s="54" t="s">
        <v>72</v>
      </c>
      <c r="C72" s="16"/>
      <c r="D72" s="14"/>
      <c r="E72" s="19"/>
      <c r="F72" s="13"/>
      <c r="G72" s="13"/>
      <c r="H72" s="87" t="s">
        <v>145</v>
      </c>
      <c r="I72" s="13"/>
    </row>
    <row r="73" spans="1:21" ht="15.75" hidden="1" customHeight="1">
      <c r="A73" s="33"/>
      <c r="B73" s="14" t="s">
        <v>73</v>
      </c>
      <c r="C73" s="16" t="s">
        <v>75</v>
      </c>
      <c r="D73" s="14"/>
      <c r="E73" s="19">
        <v>2</v>
      </c>
      <c r="F73" s="13">
        <v>0.2</v>
      </c>
      <c r="G73" s="13">
        <v>536.23</v>
      </c>
      <c r="H73" s="87">
        <f t="shared" si="7"/>
        <v>0.10724600000000001</v>
      </c>
      <c r="I73" s="13">
        <v>0</v>
      </c>
    </row>
    <row r="74" spans="1:21" ht="15.75" hidden="1" customHeight="1">
      <c r="A74" s="33"/>
      <c r="B74" s="14" t="s">
        <v>74</v>
      </c>
      <c r="C74" s="16" t="s">
        <v>31</v>
      </c>
      <c r="D74" s="14"/>
      <c r="E74" s="19">
        <v>2</v>
      </c>
      <c r="F74" s="61">
        <v>2</v>
      </c>
      <c r="G74" s="13">
        <v>911.85</v>
      </c>
      <c r="H74" s="87">
        <f>F74*G74/1000</f>
        <v>1.8237000000000001</v>
      </c>
      <c r="I74" s="13">
        <v>0</v>
      </c>
    </row>
    <row r="75" spans="1:21" ht="15.75" hidden="1" customHeight="1">
      <c r="A75" s="33"/>
      <c r="B75" s="14" t="s">
        <v>116</v>
      </c>
      <c r="C75" s="16" t="s">
        <v>31</v>
      </c>
      <c r="D75" s="14"/>
      <c r="E75" s="19">
        <v>1</v>
      </c>
      <c r="F75" s="13">
        <v>1</v>
      </c>
      <c r="G75" s="13">
        <v>383.25</v>
      </c>
      <c r="H75" s="87">
        <f>G75*F75/1000</f>
        <v>0.38324999999999998</v>
      </c>
      <c r="I75" s="13">
        <v>0</v>
      </c>
    </row>
    <row r="76" spans="1:21" ht="15.75" hidden="1" customHeight="1">
      <c r="A76" s="33"/>
      <c r="B76" s="90" t="s">
        <v>76</v>
      </c>
      <c r="C76" s="16"/>
      <c r="D76" s="14"/>
      <c r="E76" s="19"/>
      <c r="F76" s="13"/>
      <c r="G76" s="13" t="s">
        <v>145</v>
      </c>
      <c r="H76" s="87" t="s">
        <v>145</v>
      </c>
      <c r="I76" s="13"/>
    </row>
    <row r="77" spans="1:21" ht="15.75" hidden="1" customHeight="1">
      <c r="A77" s="33"/>
      <c r="B77" s="47" t="s">
        <v>133</v>
      </c>
      <c r="C77" s="16" t="s">
        <v>77</v>
      </c>
      <c r="D77" s="14"/>
      <c r="E77" s="19"/>
      <c r="F77" s="13">
        <v>0.5</v>
      </c>
      <c r="G77" s="13">
        <v>2949.85</v>
      </c>
      <c r="H77" s="87">
        <f t="shared" si="7"/>
        <v>1.474925</v>
      </c>
      <c r="I77" s="13">
        <v>0</v>
      </c>
    </row>
    <row r="78" spans="1:21" ht="15.75" hidden="1" customHeight="1">
      <c r="A78" s="33"/>
      <c r="B78" s="97" t="s">
        <v>94</v>
      </c>
      <c r="C78" s="97"/>
      <c r="D78" s="97"/>
      <c r="E78" s="97"/>
      <c r="F78" s="97"/>
      <c r="G78" s="78"/>
      <c r="H78" s="91">
        <f>SUM(H59:H77)</f>
        <v>104.75020877000001</v>
      </c>
      <c r="I78" s="78"/>
    </row>
    <row r="79" spans="1:21" ht="15.75" hidden="1" customHeight="1">
      <c r="A79" s="33"/>
      <c r="B79" s="95" t="s">
        <v>115</v>
      </c>
      <c r="C79" s="24"/>
      <c r="D79" s="23"/>
      <c r="E79" s="62"/>
      <c r="F79" s="96">
        <v>1</v>
      </c>
      <c r="G79" s="13">
        <v>7634.7</v>
      </c>
      <c r="H79" s="87">
        <f>G79*F79/1000</f>
        <v>7.6346999999999996</v>
      </c>
      <c r="I79" s="13">
        <v>0</v>
      </c>
    </row>
    <row r="80" spans="1:21" ht="15" customHeight="1">
      <c r="A80" s="162" t="s">
        <v>139</v>
      </c>
      <c r="B80" s="163"/>
      <c r="C80" s="163"/>
      <c r="D80" s="163"/>
      <c r="E80" s="163"/>
      <c r="F80" s="163"/>
      <c r="G80" s="163"/>
      <c r="H80" s="163"/>
      <c r="I80" s="164"/>
    </row>
    <row r="81" spans="1:9" ht="15.75" customHeight="1">
      <c r="A81" s="33">
        <v>17</v>
      </c>
      <c r="B81" s="67" t="s">
        <v>117</v>
      </c>
      <c r="C81" s="16" t="s">
        <v>55</v>
      </c>
      <c r="D81" s="92" t="s">
        <v>163</v>
      </c>
      <c r="E81" s="13">
        <v>2626.5</v>
      </c>
      <c r="F81" s="13">
        <f>SUM(E81*12)</f>
        <v>31518</v>
      </c>
      <c r="G81" s="13">
        <v>2.2400000000000002</v>
      </c>
      <c r="H81" s="87">
        <f>SUM(F81*G81/1000)</f>
        <v>70.600320000000011</v>
      </c>
      <c r="I81" s="13">
        <f>F81/12*G81</f>
        <v>5883.3600000000006</v>
      </c>
    </row>
    <row r="82" spans="1:9" ht="31.5" customHeight="1">
      <c r="A82" s="33">
        <v>18</v>
      </c>
      <c r="B82" s="14" t="s">
        <v>78</v>
      </c>
      <c r="C82" s="16"/>
      <c r="D82" s="92" t="s">
        <v>163</v>
      </c>
      <c r="E82" s="69">
        <f>E81</f>
        <v>2626.5</v>
      </c>
      <c r="F82" s="13">
        <f>E82*12</f>
        <v>31518</v>
      </c>
      <c r="G82" s="13">
        <v>1.74</v>
      </c>
      <c r="H82" s="87">
        <f>F82*G82/1000</f>
        <v>54.841320000000003</v>
      </c>
      <c r="I82" s="13">
        <f>F82/12*G82</f>
        <v>4570.1099999999997</v>
      </c>
    </row>
    <row r="83" spans="1:9" ht="15.75" customHeight="1">
      <c r="A83" s="33"/>
      <c r="B83" s="40" t="s">
        <v>81</v>
      </c>
      <c r="C83" s="90"/>
      <c r="D83" s="89"/>
      <c r="E83" s="78"/>
      <c r="F83" s="78"/>
      <c r="G83" s="78"/>
      <c r="H83" s="91">
        <f>H82</f>
        <v>54.841320000000003</v>
      </c>
      <c r="I83" s="78">
        <f>I16+I17+I18+I20+I21+I27+I28+I39+I40+I42+I43+I44+I45+I55+I59+I62+I81+I82</f>
        <v>40602.055399333338</v>
      </c>
    </row>
    <row r="84" spans="1:9" ht="15.75" customHeight="1">
      <c r="A84" s="173" t="s">
        <v>60</v>
      </c>
      <c r="B84" s="174"/>
      <c r="C84" s="174"/>
      <c r="D84" s="174"/>
      <c r="E84" s="174"/>
      <c r="F84" s="174"/>
      <c r="G84" s="174"/>
      <c r="H84" s="174"/>
      <c r="I84" s="175"/>
    </row>
    <row r="85" spans="1:9" ht="15.75" customHeight="1">
      <c r="A85" s="33">
        <v>19</v>
      </c>
      <c r="B85" s="50" t="s">
        <v>126</v>
      </c>
      <c r="C85" s="53" t="s">
        <v>109</v>
      </c>
      <c r="D85" s="14"/>
      <c r="E85" s="19"/>
      <c r="F85" s="13">
        <v>552</v>
      </c>
      <c r="G85" s="13">
        <v>53.42</v>
      </c>
      <c r="H85" s="87">
        <f>G85*F85/1000</f>
        <v>29.487839999999998</v>
      </c>
      <c r="I85" s="13">
        <f>G85*46</f>
        <v>2457.3200000000002</v>
      </c>
    </row>
    <row r="86" spans="1:9" ht="31.5" customHeight="1">
      <c r="A86" s="33">
        <v>20</v>
      </c>
      <c r="B86" s="50" t="s">
        <v>177</v>
      </c>
      <c r="C86" s="53" t="s">
        <v>38</v>
      </c>
      <c r="D86" s="14"/>
      <c r="E86" s="19"/>
      <c r="F86" s="13">
        <v>0.03</v>
      </c>
      <c r="G86" s="13">
        <v>3581.13</v>
      </c>
      <c r="H86" s="87">
        <f>G86*F86/1000</f>
        <v>0.1074339</v>
      </c>
      <c r="I86" s="13">
        <f>G86*0.01</f>
        <v>35.811300000000003</v>
      </c>
    </row>
    <row r="87" spans="1:9" ht="31.5" customHeight="1">
      <c r="A87" s="33">
        <v>21</v>
      </c>
      <c r="B87" s="50" t="s">
        <v>178</v>
      </c>
      <c r="C87" s="53" t="s">
        <v>29</v>
      </c>
      <c r="D87" s="14"/>
      <c r="E87" s="19"/>
      <c r="F87" s="17">
        <v>4.0000000000000001E-3</v>
      </c>
      <c r="G87" s="13">
        <v>1591.6</v>
      </c>
      <c r="H87" s="106">
        <f>G87*F87/1000</f>
        <v>6.3663999999999995E-3</v>
      </c>
      <c r="I87" s="13">
        <f>G87*0.001</f>
        <v>1.5915999999999999</v>
      </c>
    </row>
    <row r="88" spans="1:9" ht="16.5" customHeight="1">
      <c r="A88" s="33"/>
      <c r="B88" s="45" t="s">
        <v>52</v>
      </c>
      <c r="C88" s="41"/>
      <c r="D88" s="48"/>
      <c r="E88" s="41">
        <v>1</v>
      </c>
      <c r="F88" s="41"/>
      <c r="G88" s="41"/>
      <c r="H88" s="41"/>
      <c r="I88" s="35">
        <f>SUM(I85:I87)</f>
        <v>2494.7229000000002</v>
      </c>
    </row>
    <row r="89" spans="1:9" ht="15.75" customHeight="1">
      <c r="A89" s="33"/>
      <c r="B89" s="47" t="s">
        <v>79</v>
      </c>
      <c r="C89" s="15"/>
      <c r="D89" s="15"/>
      <c r="E89" s="42"/>
      <c r="F89" s="42"/>
      <c r="G89" s="43"/>
      <c r="H89" s="43"/>
      <c r="I89" s="18">
        <v>0</v>
      </c>
    </row>
    <row r="90" spans="1:9" ht="15.75" customHeight="1">
      <c r="A90" s="49"/>
      <c r="B90" s="46" t="s">
        <v>174</v>
      </c>
      <c r="C90" s="36"/>
      <c r="D90" s="36"/>
      <c r="E90" s="36"/>
      <c r="F90" s="36"/>
      <c r="G90" s="36"/>
      <c r="H90" s="36"/>
      <c r="I90" s="44">
        <f>I83+I88</f>
        <v>43096.778299333339</v>
      </c>
    </row>
    <row r="91" spans="1:9" ht="15.75" customHeight="1">
      <c r="A91" s="165" t="s">
        <v>180</v>
      </c>
      <c r="B91" s="165"/>
      <c r="C91" s="165"/>
      <c r="D91" s="165"/>
      <c r="E91" s="165"/>
      <c r="F91" s="165"/>
      <c r="G91" s="165"/>
      <c r="H91" s="165"/>
      <c r="I91" s="165"/>
    </row>
    <row r="92" spans="1:9" ht="15.75">
      <c r="A92" s="60"/>
      <c r="B92" s="166" t="s">
        <v>181</v>
      </c>
      <c r="C92" s="166"/>
      <c r="D92" s="166"/>
      <c r="E92" s="166"/>
      <c r="F92" s="166"/>
      <c r="G92" s="166"/>
      <c r="H92" s="65"/>
      <c r="I92" s="3"/>
    </row>
    <row r="93" spans="1:9">
      <c r="A93" s="59"/>
      <c r="B93" s="167" t="s">
        <v>6</v>
      </c>
      <c r="C93" s="167"/>
      <c r="D93" s="167"/>
      <c r="E93" s="167"/>
      <c r="F93" s="167"/>
      <c r="G93" s="167"/>
      <c r="H93" s="28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68" t="s">
        <v>7</v>
      </c>
      <c r="B95" s="168"/>
      <c r="C95" s="168"/>
      <c r="D95" s="168"/>
      <c r="E95" s="168"/>
      <c r="F95" s="168"/>
      <c r="G95" s="168"/>
      <c r="H95" s="168"/>
      <c r="I95" s="168"/>
    </row>
    <row r="96" spans="1:9" ht="15.75">
      <c r="A96" s="168" t="s">
        <v>8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>
      <c r="A97" s="169" t="s">
        <v>61</v>
      </c>
      <c r="B97" s="169"/>
      <c r="C97" s="169"/>
      <c r="D97" s="169"/>
      <c r="E97" s="169"/>
      <c r="F97" s="169"/>
      <c r="G97" s="169"/>
      <c r="H97" s="169"/>
      <c r="I97" s="169"/>
    </row>
    <row r="98" spans="1:9" ht="15.75">
      <c r="A98" s="11"/>
    </row>
    <row r="99" spans="1:9" ht="15.75">
      <c r="A99" s="170" t="s">
        <v>9</v>
      </c>
      <c r="B99" s="170"/>
      <c r="C99" s="170"/>
      <c r="D99" s="170"/>
      <c r="E99" s="170"/>
      <c r="F99" s="170"/>
      <c r="G99" s="170"/>
      <c r="H99" s="170"/>
      <c r="I99" s="170"/>
    </row>
    <row r="100" spans="1:9" ht="15.75" customHeight="1">
      <c r="A100" s="4"/>
    </row>
    <row r="101" spans="1:9" ht="15.75">
      <c r="B101" s="56" t="s">
        <v>10</v>
      </c>
      <c r="C101" s="171" t="s">
        <v>140</v>
      </c>
      <c r="D101" s="171"/>
      <c r="E101" s="171"/>
      <c r="F101" s="63"/>
      <c r="I101" s="58"/>
    </row>
    <row r="102" spans="1:9">
      <c r="A102" s="59"/>
      <c r="C102" s="167" t="s">
        <v>11</v>
      </c>
      <c r="D102" s="167"/>
      <c r="E102" s="167"/>
      <c r="F102" s="28"/>
      <c r="I102" s="57" t="s">
        <v>12</v>
      </c>
    </row>
    <row r="103" spans="1:9" ht="15.75" customHeight="1">
      <c r="A103" s="29"/>
      <c r="C103" s="12"/>
      <c r="D103" s="12"/>
      <c r="G103" s="12"/>
      <c r="H103" s="12"/>
    </row>
    <row r="104" spans="1:9" ht="15.75" customHeight="1">
      <c r="B104" s="56" t="s">
        <v>13</v>
      </c>
      <c r="C104" s="172"/>
      <c r="D104" s="172"/>
      <c r="E104" s="172"/>
      <c r="F104" s="64"/>
      <c r="I104" s="58"/>
    </row>
    <row r="105" spans="1:9" ht="15.75" customHeight="1">
      <c r="A105" s="59"/>
      <c r="C105" s="161" t="s">
        <v>11</v>
      </c>
      <c r="D105" s="161"/>
      <c r="E105" s="161"/>
      <c r="F105" s="59"/>
      <c r="I105" s="57" t="s">
        <v>12</v>
      </c>
    </row>
    <row r="106" spans="1:9" ht="15.75">
      <c r="A106" s="4" t="s">
        <v>14</v>
      </c>
    </row>
    <row r="107" spans="1:9">
      <c r="A107" s="176" t="s">
        <v>15</v>
      </c>
      <c r="B107" s="176"/>
      <c r="C107" s="176"/>
      <c r="D107" s="176"/>
      <c r="E107" s="176"/>
      <c r="F107" s="176"/>
      <c r="G107" s="176"/>
      <c r="H107" s="176"/>
      <c r="I107" s="176"/>
    </row>
    <row r="108" spans="1:9" ht="45" customHeight="1">
      <c r="A108" s="177" t="s">
        <v>16</v>
      </c>
      <c r="B108" s="177"/>
      <c r="C108" s="177"/>
      <c r="D108" s="177"/>
      <c r="E108" s="177"/>
      <c r="F108" s="177"/>
      <c r="G108" s="177"/>
      <c r="H108" s="177"/>
      <c r="I108" s="177"/>
    </row>
    <row r="109" spans="1:9" ht="30" customHeight="1">
      <c r="A109" s="177" t="s">
        <v>17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30" customHeight="1">
      <c r="A110" s="177" t="s">
        <v>21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15" customHeight="1">
      <c r="A111" s="177" t="s">
        <v>20</v>
      </c>
      <c r="B111" s="177"/>
      <c r="C111" s="177"/>
      <c r="D111" s="177"/>
      <c r="E111" s="177"/>
      <c r="F111" s="177"/>
      <c r="G111" s="177"/>
      <c r="H111" s="177"/>
      <c r="I111" s="177"/>
    </row>
  </sheetData>
  <autoFilter ref="I12:I61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9:I29"/>
    <mergeCell ref="A46:I46"/>
    <mergeCell ref="A57:I57"/>
    <mergeCell ref="A91:I91"/>
    <mergeCell ref="B92:G92"/>
    <mergeCell ref="B93:G93"/>
    <mergeCell ref="A95:I95"/>
    <mergeCell ref="A96:I96"/>
    <mergeCell ref="A84:I84"/>
    <mergeCell ref="R66:U66"/>
    <mergeCell ref="A80:I80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156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182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42855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.7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hidden="1" customHeight="1">
      <c r="A19" s="33"/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hidden="1" customHeight="1">
      <c r="A22" s="33"/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hidden="1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7" t="s">
        <v>107</v>
      </c>
      <c r="C31" s="68" t="s">
        <v>90</v>
      </c>
      <c r="D31" s="67" t="s">
        <v>104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1">SUM(F31*G31/1000)</f>
        <v>5.7627569999999997</v>
      </c>
      <c r="I31" s="13">
        <f t="shared" ref="I31:I35" si="2">F31/6*G31</f>
        <v>960.45949999999993</v>
      </c>
      <c r="J31" s="26"/>
      <c r="K31" s="8"/>
      <c r="L31" s="8"/>
      <c r="M31" s="8"/>
    </row>
    <row r="32" spans="1:13" ht="31.5" hidden="1" customHeight="1">
      <c r="A32" s="33">
        <v>9</v>
      </c>
      <c r="B32" s="67" t="s">
        <v>122</v>
      </c>
      <c r="C32" s="68" t="s">
        <v>90</v>
      </c>
      <c r="D32" s="67" t="s">
        <v>105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1"/>
        <v>1.7575833600000001</v>
      </c>
      <c r="I32" s="13">
        <f t="shared" si="2"/>
        <v>292.93056000000007</v>
      </c>
      <c r="J32" s="26"/>
      <c r="K32" s="8"/>
      <c r="L32" s="8"/>
      <c r="M32" s="8"/>
    </row>
    <row r="33" spans="1:14" ht="15.75" hidden="1" customHeight="1">
      <c r="A33" s="33"/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1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hidden="1" customHeight="1">
      <c r="A34" s="33">
        <v>10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2"/>
        <v>1078.6914999999999</v>
      </c>
      <c r="J34" s="26"/>
      <c r="K34" s="8"/>
    </row>
    <row r="35" spans="1:14" ht="15.75" hidden="1" customHeight="1">
      <c r="A35" s="33">
        <v>11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2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1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1"/>
        <v>2.4294600000000002</v>
      </c>
      <c r="I37" s="13">
        <v>0</v>
      </c>
      <c r="J37" s="27"/>
    </row>
    <row r="38" spans="1:14" ht="15.75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customHeight="1">
      <c r="A39" s="33">
        <v>7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3">SUM(F39*G39/1000)</f>
        <v>13.060799999999999</v>
      </c>
      <c r="I39" s="13">
        <f t="shared" ref="I39:I45" si="4">F39/6*G39</f>
        <v>2176.7999999999997</v>
      </c>
      <c r="J39" s="27"/>
      <c r="L39" s="20"/>
      <c r="M39" s="21"/>
      <c r="N39" s="22"/>
    </row>
    <row r="40" spans="1:14" ht="15.75" customHeight="1">
      <c r="A40" s="33">
        <v>8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4"/>
        <v>915.97850000000005</v>
      </c>
      <c r="J40" s="27"/>
      <c r="L40" s="20"/>
      <c r="M40" s="21"/>
      <c r="N40" s="22"/>
    </row>
    <row r="41" spans="1:14" ht="15.75" customHeight="1">
      <c r="A41" s="33">
        <v>9</v>
      </c>
      <c r="B41" s="67" t="s">
        <v>123</v>
      </c>
      <c r="C41" s="68" t="s">
        <v>124</v>
      </c>
      <c r="D41" s="67" t="s">
        <v>67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f>G41*26</f>
        <v>5543.2</v>
      </c>
      <c r="J41" s="27"/>
      <c r="L41" s="20"/>
      <c r="M41" s="21"/>
      <c r="N41" s="22"/>
    </row>
    <row r="42" spans="1:14" ht="15.75" customHeight="1">
      <c r="A42" s="33">
        <v>10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3"/>
        <v>8.9156542499999993</v>
      </c>
      <c r="I42" s="13">
        <f t="shared" si="4"/>
        <v>1485.9423750000001</v>
      </c>
      <c r="J42" s="27"/>
      <c r="L42" s="20"/>
      <c r="M42" s="21"/>
      <c r="N42" s="22"/>
    </row>
    <row r="43" spans="1:14" ht="47.25" customHeight="1">
      <c r="A43" s="33">
        <v>11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3"/>
        <v>17.69605425</v>
      </c>
      <c r="I43" s="13">
        <f t="shared" si="4"/>
        <v>2949.3423749999997</v>
      </c>
      <c r="J43" s="27"/>
      <c r="L43" s="20"/>
      <c r="M43" s="21"/>
      <c r="N43" s="22"/>
    </row>
    <row r="44" spans="1:14" ht="15.75" customHeight="1">
      <c r="A44" s="33">
        <v>12</v>
      </c>
      <c r="B44" s="67" t="s">
        <v>91</v>
      </c>
      <c r="C44" s="68" t="s">
        <v>90</v>
      </c>
      <c r="D44" s="111" t="s">
        <v>245</v>
      </c>
      <c r="E44" s="114">
        <v>81.5</v>
      </c>
      <c r="F44" s="122">
        <f>SUM(E44*15/1000)</f>
        <v>1.2224999999999999</v>
      </c>
      <c r="G44" s="114">
        <v>458.28</v>
      </c>
      <c r="H44" s="115">
        <f t="shared" ref="H44" si="5">SUM(F44*G44/1000)</f>
        <v>0.56024729999999989</v>
      </c>
      <c r="I44" s="13">
        <f>F44/2*G44</f>
        <v>280.12364999999994</v>
      </c>
      <c r="J44" s="27"/>
      <c r="L44" s="20"/>
      <c r="M44" s="21"/>
      <c r="N44" s="22"/>
    </row>
    <row r="45" spans="1:14" ht="15.75" customHeight="1">
      <c r="A45" s="33">
        <v>13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3"/>
        <v>0.76775400000000005</v>
      </c>
      <c r="I45" s="13">
        <f t="shared" si="4"/>
        <v>127.95899999999999</v>
      </c>
      <c r="J45" s="27"/>
      <c r="L45" s="20"/>
      <c r="M45" s="21"/>
      <c r="N45" s="22"/>
    </row>
    <row r="46" spans="1:14" ht="15.75" hidden="1" customHeight="1">
      <c r="A46" s="33">
        <v>14</v>
      </c>
      <c r="B46" s="73" t="s">
        <v>144</v>
      </c>
      <c r="C46" s="74"/>
      <c r="D46" s="73"/>
      <c r="E46" s="75"/>
      <c r="F46" s="76" t="s">
        <v>145</v>
      </c>
      <c r="G46" s="76"/>
      <c r="H46" s="77">
        <f>SUM(H39:H45)</f>
        <v>66.750380800000002</v>
      </c>
      <c r="I46" s="78"/>
      <c r="J46" s="27"/>
      <c r="L46" s="20"/>
      <c r="M46" s="21"/>
      <c r="N46" s="22"/>
    </row>
    <row r="47" spans="1:14" ht="15.75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hidden="1" customHeight="1">
      <c r="A48" s="33"/>
      <c r="B48" s="67" t="s">
        <v>132</v>
      </c>
      <c r="C48" s="68" t="s">
        <v>90</v>
      </c>
      <c r="D48" s="67" t="s">
        <v>42</v>
      </c>
      <c r="E48" s="69">
        <v>1080</v>
      </c>
      <c r="F48" s="70">
        <f>SUM(E48*2/1000)</f>
        <v>2.16</v>
      </c>
      <c r="G48" s="13">
        <v>865.61</v>
      </c>
      <c r="H48" s="71">
        <f t="shared" ref="H48:H56" si="6">SUM(F48*G48/1000)</f>
        <v>1.8697176000000002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7" t="s">
        <v>35</v>
      </c>
      <c r="C49" s="68" t="s">
        <v>90</v>
      </c>
      <c r="D49" s="67" t="s">
        <v>42</v>
      </c>
      <c r="E49" s="69">
        <v>39</v>
      </c>
      <c r="F49" s="70">
        <f>E49*2/1000</f>
        <v>7.8E-2</v>
      </c>
      <c r="G49" s="13">
        <v>619.46</v>
      </c>
      <c r="H49" s="71">
        <f t="shared" si="6"/>
        <v>4.8317880000000001E-2</v>
      </c>
      <c r="I49" s="13">
        <v>0</v>
      </c>
      <c r="J49" s="27"/>
      <c r="L49" s="20"/>
      <c r="M49" s="21"/>
      <c r="N49" s="22"/>
    </row>
    <row r="50" spans="1:22" ht="15.75" hidden="1" customHeight="1">
      <c r="A50" s="33"/>
      <c r="B50" s="67" t="s">
        <v>36</v>
      </c>
      <c r="C50" s="68" t="s">
        <v>90</v>
      </c>
      <c r="D50" s="67" t="s">
        <v>42</v>
      </c>
      <c r="E50" s="69">
        <v>1037</v>
      </c>
      <c r="F50" s="70">
        <f>SUM(E50*2/1000)</f>
        <v>2.0739999999999998</v>
      </c>
      <c r="G50" s="13">
        <v>619.46</v>
      </c>
      <c r="H50" s="71">
        <f t="shared" si="6"/>
        <v>1.2847600399999999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7" t="s">
        <v>37</v>
      </c>
      <c r="C51" s="68" t="s">
        <v>90</v>
      </c>
      <c r="D51" s="67" t="s">
        <v>42</v>
      </c>
      <c r="E51" s="69">
        <v>2274</v>
      </c>
      <c r="F51" s="70">
        <f>SUM(E51*2/1000)</f>
        <v>4.548</v>
      </c>
      <c r="G51" s="13">
        <v>648.64</v>
      </c>
      <c r="H51" s="71">
        <f t="shared" si="6"/>
        <v>2.95001472</v>
      </c>
      <c r="I51" s="13">
        <v>0</v>
      </c>
      <c r="J51" s="27"/>
      <c r="L51" s="20"/>
      <c r="M51" s="21"/>
      <c r="N51" s="22"/>
    </row>
    <row r="52" spans="1:22" ht="15.75" hidden="1" customHeight="1">
      <c r="A52" s="33"/>
      <c r="B52" s="67" t="s">
        <v>34</v>
      </c>
      <c r="C52" s="68" t="s">
        <v>53</v>
      </c>
      <c r="D52" s="67" t="s">
        <v>42</v>
      </c>
      <c r="E52" s="69">
        <v>83.04</v>
      </c>
      <c r="F52" s="70">
        <v>1.66</v>
      </c>
      <c r="G52" s="13">
        <v>77.84</v>
      </c>
      <c r="H52" s="71">
        <f>SUM(F52*G52/1000)</f>
        <v>0.12921440000000001</v>
      </c>
      <c r="I52" s="13">
        <v>0</v>
      </c>
      <c r="J52" s="27"/>
      <c r="L52" s="20"/>
      <c r="M52" s="21"/>
      <c r="N52" s="22"/>
    </row>
    <row r="53" spans="1:22" ht="15.75" hidden="1" customHeight="1">
      <c r="A53" s="33">
        <v>14</v>
      </c>
      <c r="B53" s="67" t="s">
        <v>56</v>
      </c>
      <c r="C53" s="68" t="s">
        <v>90</v>
      </c>
      <c r="D53" s="67" t="s">
        <v>153</v>
      </c>
      <c r="E53" s="69">
        <v>1728</v>
      </c>
      <c r="F53" s="70">
        <f>SUM(E53*5/1000)</f>
        <v>8.64</v>
      </c>
      <c r="G53" s="13">
        <v>1297.28</v>
      </c>
      <c r="H53" s="71">
        <f>SUM(F53*G53/1000)</f>
        <v>11.2084992</v>
      </c>
      <c r="I53" s="13">
        <f>F53/5*G53</f>
        <v>2241.6998400000002</v>
      </c>
      <c r="J53" s="27"/>
      <c r="L53" s="20"/>
      <c r="M53" s="21"/>
      <c r="N53" s="22"/>
    </row>
    <row r="54" spans="1:22" ht="31.5" customHeight="1">
      <c r="A54" s="33">
        <v>14</v>
      </c>
      <c r="B54" s="67" t="s">
        <v>92</v>
      </c>
      <c r="C54" s="68" t="s">
        <v>90</v>
      </c>
      <c r="D54" s="67" t="s">
        <v>42</v>
      </c>
      <c r="E54" s="69">
        <v>1728</v>
      </c>
      <c r="F54" s="70">
        <f>SUM(E54*2/1000)</f>
        <v>3.456</v>
      </c>
      <c r="G54" s="13">
        <v>1297.28</v>
      </c>
      <c r="H54" s="71">
        <f>SUM(G54*F54/1000)</f>
        <v>4.4833996799999998</v>
      </c>
      <c r="I54" s="13">
        <f>F54/2*G54</f>
        <v>2241.6998399999998</v>
      </c>
      <c r="J54" s="27"/>
      <c r="L54" s="20"/>
      <c r="M54" s="21"/>
      <c r="N54" s="22"/>
    </row>
    <row r="55" spans="1:22" ht="31.5" customHeight="1">
      <c r="A55" s="33">
        <v>15</v>
      </c>
      <c r="B55" s="67" t="s">
        <v>93</v>
      </c>
      <c r="C55" s="68" t="s">
        <v>38</v>
      </c>
      <c r="D55" s="67" t="s">
        <v>42</v>
      </c>
      <c r="E55" s="69">
        <v>15</v>
      </c>
      <c r="F55" s="70">
        <f>SUM(E55*2/100)</f>
        <v>0.3</v>
      </c>
      <c r="G55" s="13">
        <v>2918.89</v>
      </c>
      <c r="H55" s="71">
        <f>SUM(F55*G55/1000)</f>
        <v>0.87566699999999986</v>
      </c>
      <c r="I55" s="13">
        <f>F55/2*G55</f>
        <v>437.83349999999996</v>
      </c>
      <c r="J55" s="27"/>
      <c r="L55" s="20"/>
      <c r="M55" s="21"/>
      <c r="N55" s="22"/>
    </row>
    <row r="56" spans="1:22" ht="15.75" hidden="1" customHeight="1">
      <c r="A56" s="33"/>
      <c r="B56" s="67" t="s">
        <v>39</v>
      </c>
      <c r="C56" s="68" t="s">
        <v>40</v>
      </c>
      <c r="D56" s="67" t="s">
        <v>42</v>
      </c>
      <c r="E56" s="69">
        <v>1</v>
      </c>
      <c r="F56" s="70">
        <v>0.02</v>
      </c>
      <c r="G56" s="13">
        <v>6042.12</v>
      </c>
      <c r="H56" s="71">
        <f t="shared" si="6"/>
        <v>0.1208424</v>
      </c>
      <c r="I56" s="13">
        <v>0</v>
      </c>
      <c r="J56" s="27"/>
      <c r="L56" s="20"/>
      <c r="M56" s="21"/>
      <c r="N56" s="22"/>
    </row>
    <row r="57" spans="1:22" ht="15.75" customHeight="1">
      <c r="A57" s="33">
        <v>16</v>
      </c>
      <c r="B57" s="67" t="s">
        <v>41</v>
      </c>
      <c r="C57" s="68" t="s">
        <v>109</v>
      </c>
      <c r="D57" s="67" t="s">
        <v>71</v>
      </c>
      <c r="E57" s="69">
        <v>90</v>
      </c>
      <c r="F57" s="70">
        <f>SUM(E57)*3</f>
        <v>270</v>
      </c>
      <c r="G57" s="13">
        <v>70.209999999999994</v>
      </c>
      <c r="H57" s="71">
        <f>SUM(F57*G57/1000)</f>
        <v>18.956699999999998</v>
      </c>
      <c r="I57" s="13">
        <f>E57*G57</f>
        <v>6318.9</v>
      </c>
      <c r="J57" s="27"/>
      <c r="L57" s="20"/>
      <c r="M57" s="21"/>
      <c r="N57" s="22"/>
    </row>
    <row r="58" spans="1:22" ht="15.75" customHeight="1">
      <c r="A58" s="158" t="s">
        <v>138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  <c r="M58" s="21"/>
      <c r="N58" s="22"/>
    </row>
    <row r="59" spans="1:22" ht="15.75" customHeight="1">
      <c r="A59" s="33"/>
      <c r="B59" s="93" t="s">
        <v>43</v>
      </c>
      <c r="C59" s="68"/>
      <c r="D59" s="67"/>
      <c r="E59" s="69"/>
      <c r="F59" s="70"/>
      <c r="G59" s="70"/>
      <c r="H59" s="71"/>
      <c r="I59" s="13"/>
      <c r="J59" s="27"/>
      <c r="L59" s="20"/>
      <c r="M59" s="21"/>
      <c r="N59" s="22"/>
    </row>
    <row r="60" spans="1:22" ht="31.5" customHeight="1">
      <c r="A60" s="33">
        <v>17</v>
      </c>
      <c r="B60" s="67" t="s">
        <v>146</v>
      </c>
      <c r="C60" s="68" t="s">
        <v>88</v>
      </c>
      <c r="D60" s="67" t="s">
        <v>110</v>
      </c>
      <c r="E60" s="69">
        <v>111</v>
      </c>
      <c r="F60" s="70">
        <f>SUM(E60*6/100)</f>
        <v>6.66</v>
      </c>
      <c r="G60" s="13">
        <v>1654.04</v>
      </c>
      <c r="H60" s="71">
        <f>SUM(F60*G60/1000)</f>
        <v>11.0159064</v>
      </c>
      <c r="I60" s="13">
        <f>F60/6*G60</f>
        <v>1835.9844000000001</v>
      </c>
      <c r="J60" s="27"/>
      <c r="L60" s="20"/>
    </row>
    <row r="61" spans="1:22" ht="15.75" customHeight="1">
      <c r="A61" s="33"/>
      <c r="B61" s="94" t="s">
        <v>44</v>
      </c>
      <c r="C61" s="81"/>
      <c r="D61" s="82"/>
      <c r="E61" s="83"/>
      <c r="F61" s="84"/>
      <c r="G61" s="13"/>
      <c r="H61" s="85"/>
      <c r="I61" s="13"/>
    </row>
    <row r="62" spans="1:22" ht="15.75" hidden="1" customHeight="1">
      <c r="A62" s="33"/>
      <c r="B62" s="82" t="s">
        <v>45</v>
      </c>
      <c r="C62" s="81" t="s">
        <v>53</v>
      </c>
      <c r="D62" s="82" t="s">
        <v>54</v>
      </c>
      <c r="E62" s="83">
        <v>330</v>
      </c>
      <c r="F62" s="84">
        <f>E62/100</f>
        <v>3.3</v>
      </c>
      <c r="G62" s="13">
        <v>848.37</v>
      </c>
      <c r="H62" s="85">
        <f>F62*G62/1000</f>
        <v>2.7996209999999997</v>
      </c>
      <c r="I62" s="13">
        <v>0</v>
      </c>
    </row>
    <row r="63" spans="1:22" ht="15.75" customHeight="1">
      <c r="A63" s="33">
        <v>18</v>
      </c>
      <c r="B63" s="82" t="s">
        <v>125</v>
      </c>
      <c r="C63" s="81" t="s">
        <v>25</v>
      </c>
      <c r="D63" s="82" t="s">
        <v>30</v>
      </c>
      <c r="E63" s="83">
        <v>130</v>
      </c>
      <c r="F63" s="86">
        <f>E63*12</f>
        <v>1560</v>
      </c>
      <c r="G63" s="61">
        <v>2.6</v>
      </c>
      <c r="H63" s="84">
        <f>F63*G63/1000</f>
        <v>4.056</v>
      </c>
      <c r="I63" s="13">
        <f>F63/12*G63</f>
        <v>338</v>
      </c>
    </row>
    <row r="64" spans="1:22" ht="15.75" hidden="1" customHeight="1">
      <c r="A64" s="33"/>
      <c r="B64" s="94" t="s">
        <v>46</v>
      </c>
      <c r="C64" s="81"/>
      <c r="D64" s="82"/>
      <c r="E64" s="83"/>
      <c r="F64" s="86"/>
      <c r="G64" s="86"/>
      <c r="H64" s="84" t="s">
        <v>145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3">
        <v>18</v>
      </c>
      <c r="B65" s="14" t="s">
        <v>47</v>
      </c>
      <c r="C65" s="16" t="s">
        <v>109</v>
      </c>
      <c r="D65" s="14" t="s">
        <v>130</v>
      </c>
      <c r="E65" s="19">
        <v>10</v>
      </c>
      <c r="F65" s="70">
        <v>10</v>
      </c>
      <c r="G65" s="13">
        <v>237.74</v>
      </c>
      <c r="H65" s="87">
        <f t="shared" ref="H65:H78" si="7">SUM(F65*G65/1000)</f>
        <v>2.3774000000000002</v>
      </c>
      <c r="I65" s="13">
        <f>G65*2</f>
        <v>475.48</v>
      </c>
      <c r="J65" s="29"/>
      <c r="K65" s="29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3"/>
      <c r="B66" s="14" t="s">
        <v>48</v>
      </c>
      <c r="C66" s="16" t="s">
        <v>109</v>
      </c>
      <c r="D66" s="14" t="s">
        <v>130</v>
      </c>
      <c r="E66" s="19">
        <v>5</v>
      </c>
      <c r="F66" s="70">
        <v>5</v>
      </c>
      <c r="G66" s="13">
        <v>81.510000000000005</v>
      </c>
      <c r="H66" s="87">
        <f t="shared" si="7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3"/>
      <c r="B67" s="14" t="s">
        <v>49</v>
      </c>
      <c r="C67" s="16" t="s">
        <v>111</v>
      </c>
      <c r="D67" s="14" t="s">
        <v>54</v>
      </c>
      <c r="E67" s="69">
        <v>13287</v>
      </c>
      <c r="F67" s="13">
        <f>SUM(E67/100)</f>
        <v>132.87</v>
      </c>
      <c r="G67" s="13">
        <v>226.79</v>
      </c>
      <c r="H67" s="87">
        <f t="shared" si="7"/>
        <v>30.133587299999999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1"/>
      <c r="S67" s="161"/>
      <c r="T67" s="161"/>
      <c r="U67" s="161"/>
    </row>
    <row r="68" spans="1:21" ht="15.75" hidden="1" customHeight="1">
      <c r="A68" s="33"/>
      <c r="B68" s="14" t="s">
        <v>50</v>
      </c>
      <c r="C68" s="16" t="s">
        <v>112</v>
      </c>
      <c r="D68" s="14"/>
      <c r="E68" s="69">
        <v>13287</v>
      </c>
      <c r="F68" s="13">
        <f>SUM(E68/1000)</f>
        <v>13.287000000000001</v>
      </c>
      <c r="G68" s="13">
        <v>176.61</v>
      </c>
      <c r="H68" s="87">
        <f t="shared" si="7"/>
        <v>2.3466170700000002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3"/>
      <c r="B69" s="14" t="s">
        <v>51</v>
      </c>
      <c r="C69" s="16" t="s">
        <v>77</v>
      </c>
      <c r="D69" s="14" t="s">
        <v>54</v>
      </c>
      <c r="E69" s="69">
        <v>2110</v>
      </c>
      <c r="F69" s="13">
        <f>SUM(E69/100)</f>
        <v>21.1</v>
      </c>
      <c r="G69" s="13">
        <v>2217.7800000000002</v>
      </c>
      <c r="H69" s="87">
        <f>SUM(F69*G69/1000)</f>
        <v>46.795158000000008</v>
      </c>
      <c r="I69" s="13">
        <v>0</v>
      </c>
    </row>
    <row r="70" spans="1:21" ht="15.75" hidden="1" customHeight="1">
      <c r="A70" s="33"/>
      <c r="B70" s="88" t="s">
        <v>113</v>
      </c>
      <c r="C70" s="16" t="s">
        <v>33</v>
      </c>
      <c r="D70" s="14"/>
      <c r="E70" s="69">
        <v>8.6</v>
      </c>
      <c r="F70" s="13">
        <f>SUM(E70)</f>
        <v>8.6</v>
      </c>
      <c r="G70" s="13">
        <v>42.67</v>
      </c>
      <c r="H70" s="87">
        <f t="shared" si="7"/>
        <v>0.36696200000000001</v>
      </c>
      <c r="I70" s="13">
        <v>0</v>
      </c>
    </row>
    <row r="71" spans="1:21" ht="15.75" hidden="1" customHeight="1">
      <c r="A71" s="33"/>
      <c r="B71" s="88" t="s">
        <v>114</v>
      </c>
      <c r="C71" s="16" t="s">
        <v>33</v>
      </c>
      <c r="D71" s="14"/>
      <c r="E71" s="69">
        <v>8.6</v>
      </c>
      <c r="F71" s="13">
        <f>SUM(E71)</f>
        <v>8.6</v>
      </c>
      <c r="G71" s="13">
        <v>39.81</v>
      </c>
      <c r="H71" s="87">
        <f t="shared" si="7"/>
        <v>0.342366</v>
      </c>
      <c r="I71" s="13">
        <v>0</v>
      </c>
    </row>
    <row r="72" spans="1:21" ht="15.75" hidden="1" customHeight="1">
      <c r="A72" s="33"/>
      <c r="B72" s="14" t="s">
        <v>57</v>
      </c>
      <c r="C72" s="16" t="s">
        <v>58</v>
      </c>
      <c r="D72" s="14" t="s">
        <v>54</v>
      </c>
      <c r="E72" s="19">
        <v>6</v>
      </c>
      <c r="F72" s="70">
        <v>6</v>
      </c>
      <c r="G72" s="13">
        <v>53.32</v>
      </c>
      <c r="H72" s="87">
        <f t="shared" si="7"/>
        <v>0.31992000000000004</v>
      </c>
      <c r="I72" s="13">
        <v>0</v>
      </c>
    </row>
    <row r="73" spans="1:21" ht="15.75" hidden="1" customHeight="1">
      <c r="A73" s="33"/>
      <c r="B73" s="54" t="s">
        <v>72</v>
      </c>
      <c r="C73" s="16"/>
      <c r="D73" s="14"/>
      <c r="E73" s="19"/>
      <c r="F73" s="13"/>
      <c r="G73" s="13"/>
      <c r="H73" s="87" t="s">
        <v>145</v>
      </c>
      <c r="I73" s="13"/>
    </row>
    <row r="74" spans="1:21" ht="15.75" hidden="1" customHeight="1">
      <c r="A74" s="33"/>
      <c r="B74" s="14" t="s">
        <v>73</v>
      </c>
      <c r="C74" s="16" t="s">
        <v>75</v>
      </c>
      <c r="D74" s="14"/>
      <c r="E74" s="19">
        <v>2</v>
      </c>
      <c r="F74" s="13">
        <v>0.2</v>
      </c>
      <c r="G74" s="13">
        <v>536.23</v>
      </c>
      <c r="H74" s="87">
        <f t="shared" si="7"/>
        <v>0.10724600000000001</v>
      </c>
      <c r="I74" s="13">
        <v>0</v>
      </c>
    </row>
    <row r="75" spans="1:21" ht="15.75" hidden="1" customHeight="1">
      <c r="A75" s="33"/>
      <c r="B75" s="14" t="s">
        <v>74</v>
      </c>
      <c r="C75" s="16" t="s">
        <v>31</v>
      </c>
      <c r="D75" s="14"/>
      <c r="E75" s="19">
        <v>2</v>
      </c>
      <c r="F75" s="61">
        <v>2</v>
      </c>
      <c r="G75" s="13">
        <v>911.85</v>
      </c>
      <c r="H75" s="87">
        <f>F75*G75/1000</f>
        <v>1.8237000000000001</v>
      </c>
      <c r="I75" s="13">
        <v>0</v>
      </c>
    </row>
    <row r="76" spans="1:21" ht="15.75" hidden="1" customHeight="1">
      <c r="A76" s="33"/>
      <c r="B76" s="14" t="s">
        <v>116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87">
        <f>G76*F76/1000</f>
        <v>0.38324999999999998</v>
      </c>
      <c r="I76" s="13">
        <v>0</v>
      </c>
    </row>
    <row r="77" spans="1:21" ht="15.75" hidden="1" customHeight="1">
      <c r="A77" s="33"/>
      <c r="B77" s="90" t="s">
        <v>76</v>
      </c>
      <c r="C77" s="16"/>
      <c r="D77" s="14"/>
      <c r="E77" s="19"/>
      <c r="F77" s="13"/>
      <c r="G77" s="13" t="s">
        <v>145</v>
      </c>
      <c r="H77" s="87" t="s">
        <v>145</v>
      </c>
      <c r="I77" s="13"/>
    </row>
    <row r="78" spans="1:21" ht="15.75" hidden="1" customHeight="1">
      <c r="A78" s="33"/>
      <c r="B78" s="47" t="s">
        <v>133</v>
      </c>
      <c r="C78" s="16" t="s">
        <v>77</v>
      </c>
      <c r="D78" s="14"/>
      <c r="E78" s="19"/>
      <c r="F78" s="13">
        <v>0.5</v>
      </c>
      <c r="G78" s="13">
        <v>2949.85</v>
      </c>
      <c r="H78" s="87">
        <f t="shared" si="7"/>
        <v>1.474925</v>
      </c>
      <c r="I78" s="13">
        <v>0</v>
      </c>
    </row>
    <row r="79" spans="1:21" ht="15.75" hidden="1" customHeight="1">
      <c r="A79" s="33"/>
      <c r="B79" s="97" t="s">
        <v>94</v>
      </c>
      <c r="C79" s="97"/>
      <c r="D79" s="97"/>
      <c r="E79" s="97"/>
      <c r="F79" s="97"/>
      <c r="G79" s="78"/>
      <c r="H79" s="91">
        <f>SUM(H60:H78)</f>
        <v>104.75020877000001</v>
      </c>
      <c r="I79" s="78"/>
    </row>
    <row r="80" spans="1:21" ht="15.75" hidden="1" customHeight="1">
      <c r="A80" s="33"/>
      <c r="B80" s="95" t="s">
        <v>115</v>
      </c>
      <c r="C80" s="24"/>
      <c r="D80" s="23"/>
      <c r="E80" s="62"/>
      <c r="F80" s="96">
        <v>1</v>
      </c>
      <c r="G80" s="13">
        <v>7634.7</v>
      </c>
      <c r="H80" s="87">
        <f>G80*F80/1000</f>
        <v>7.6346999999999996</v>
      </c>
      <c r="I80" s="13">
        <v>0</v>
      </c>
    </row>
    <row r="81" spans="1:9" ht="15" customHeight="1">
      <c r="A81" s="162" t="s">
        <v>139</v>
      </c>
      <c r="B81" s="163"/>
      <c r="C81" s="163"/>
      <c r="D81" s="163"/>
      <c r="E81" s="163"/>
      <c r="F81" s="163"/>
      <c r="G81" s="163"/>
      <c r="H81" s="163"/>
      <c r="I81" s="164"/>
    </row>
    <row r="82" spans="1:9" ht="15.75" customHeight="1">
      <c r="A82" s="33">
        <v>19</v>
      </c>
      <c r="B82" s="67" t="s">
        <v>117</v>
      </c>
      <c r="C82" s="16" t="s">
        <v>55</v>
      </c>
      <c r="D82" s="92" t="s">
        <v>163</v>
      </c>
      <c r="E82" s="13">
        <v>2626.5</v>
      </c>
      <c r="F82" s="13">
        <f>SUM(E82*12)</f>
        <v>31518</v>
      </c>
      <c r="G82" s="13">
        <v>2.2400000000000002</v>
      </c>
      <c r="H82" s="87">
        <f>SUM(F82*G82/1000)</f>
        <v>70.600320000000011</v>
      </c>
      <c r="I82" s="13">
        <f>F82/12*G82</f>
        <v>5883.3600000000006</v>
      </c>
    </row>
    <row r="83" spans="1:9" ht="31.5" customHeight="1">
      <c r="A83" s="33">
        <v>20</v>
      </c>
      <c r="B83" s="14" t="s">
        <v>78</v>
      </c>
      <c r="C83" s="16"/>
      <c r="D83" s="92" t="s">
        <v>163</v>
      </c>
      <c r="E83" s="69">
        <f>E82</f>
        <v>2626.5</v>
      </c>
      <c r="F83" s="13">
        <f>E83*12</f>
        <v>31518</v>
      </c>
      <c r="G83" s="13">
        <v>1.74</v>
      </c>
      <c r="H83" s="87">
        <f>F83*G83/1000</f>
        <v>54.841320000000003</v>
      </c>
      <c r="I83" s="13">
        <f>F83/12*G83</f>
        <v>4570.1099999999997</v>
      </c>
    </row>
    <row r="84" spans="1:9" ht="15.75" customHeight="1">
      <c r="A84" s="33"/>
      <c r="B84" s="40" t="s">
        <v>81</v>
      </c>
      <c r="C84" s="90"/>
      <c r="D84" s="89"/>
      <c r="E84" s="78"/>
      <c r="F84" s="78"/>
      <c r="G84" s="78"/>
      <c r="H84" s="91">
        <f>H83</f>
        <v>54.841320000000003</v>
      </c>
      <c r="I84" s="78">
        <f>I16+I17+I18+I20+I27+I28+I39+I40+I41+I42+I43+I44+I45+I54+I55+I57+I60+I63+I82+I83</f>
        <v>55077.029729333342</v>
      </c>
    </row>
    <row r="85" spans="1:9" ht="15.75" customHeight="1">
      <c r="A85" s="173" t="s">
        <v>60</v>
      </c>
      <c r="B85" s="174"/>
      <c r="C85" s="174"/>
      <c r="D85" s="174"/>
      <c r="E85" s="174"/>
      <c r="F85" s="174"/>
      <c r="G85" s="174"/>
      <c r="H85" s="174"/>
      <c r="I85" s="175"/>
    </row>
    <row r="86" spans="1:9" ht="15.75" customHeight="1">
      <c r="A86" s="33">
        <v>21</v>
      </c>
      <c r="B86" s="50" t="s">
        <v>126</v>
      </c>
      <c r="C86" s="53" t="s">
        <v>109</v>
      </c>
      <c r="D86" s="14"/>
      <c r="E86" s="19"/>
      <c r="F86" s="13">
        <v>552</v>
      </c>
      <c r="G86" s="13">
        <v>53.42</v>
      </c>
      <c r="H86" s="87">
        <f>G86*F86/1000</f>
        <v>29.487839999999998</v>
      </c>
      <c r="I86" s="13">
        <f>G86*46</f>
        <v>2457.3200000000002</v>
      </c>
    </row>
    <row r="87" spans="1:9" ht="15.75" customHeight="1">
      <c r="A87" s="33">
        <v>22</v>
      </c>
      <c r="B87" s="50" t="s">
        <v>183</v>
      </c>
      <c r="C87" s="53" t="s">
        <v>149</v>
      </c>
      <c r="D87" s="107"/>
      <c r="E87" s="37"/>
      <c r="F87" s="37">
        <v>0.01</v>
      </c>
      <c r="G87" s="37">
        <v>7412.92</v>
      </c>
      <c r="H87" s="103">
        <f>G87*F87/1000</f>
        <v>7.4129199999999992E-2</v>
      </c>
      <c r="I87" s="13">
        <f>G87*0.01</f>
        <v>74.129199999999997</v>
      </c>
    </row>
    <row r="88" spans="1:9" ht="16.5" customHeight="1">
      <c r="A88" s="33"/>
      <c r="B88" s="45" t="s">
        <v>52</v>
      </c>
      <c r="C88" s="41"/>
      <c r="D88" s="48"/>
      <c r="E88" s="41">
        <v>1</v>
      </c>
      <c r="F88" s="41"/>
      <c r="G88" s="41"/>
      <c r="H88" s="41"/>
      <c r="I88" s="35">
        <f>SUM(I86:I87)</f>
        <v>2531.4492</v>
      </c>
    </row>
    <row r="89" spans="1:9" ht="15.75" customHeight="1">
      <c r="A89" s="33"/>
      <c r="B89" s="47" t="s">
        <v>79</v>
      </c>
      <c r="C89" s="15"/>
      <c r="D89" s="15"/>
      <c r="E89" s="42"/>
      <c r="F89" s="42"/>
      <c r="G89" s="43"/>
      <c r="H89" s="43"/>
      <c r="I89" s="18">
        <v>0</v>
      </c>
    </row>
    <row r="90" spans="1:9" ht="15.75" customHeight="1">
      <c r="A90" s="49"/>
      <c r="B90" s="46" t="s">
        <v>174</v>
      </c>
      <c r="C90" s="36"/>
      <c r="D90" s="36"/>
      <c r="E90" s="36"/>
      <c r="F90" s="36"/>
      <c r="G90" s="36"/>
      <c r="H90" s="36"/>
      <c r="I90" s="44">
        <f>I84+I88</f>
        <v>57608.478929333345</v>
      </c>
    </row>
    <row r="91" spans="1:9" ht="15.75" customHeight="1">
      <c r="A91" s="165" t="s">
        <v>184</v>
      </c>
      <c r="B91" s="165"/>
      <c r="C91" s="165"/>
      <c r="D91" s="165"/>
      <c r="E91" s="165"/>
      <c r="F91" s="165"/>
      <c r="G91" s="165"/>
      <c r="H91" s="165"/>
      <c r="I91" s="165"/>
    </row>
    <row r="92" spans="1:9" ht="15.75">
      <c r="A92" s="60"/>
      <c r="B92" s="166" t="s">
        <v>185</v>
      </c>
      <c r="C92" s="166"/>
      <c r="D92" s="166"/>
      <c r="E92" s="166"/>
      <c r="F92" s="166"/>
      <c r="G92" s="166"/>
      <c r="H92" s="65"/>
      <c r="I92" s="3"/>
    </row>
    <row r="93" spans="1:9">
      <c r="A93" s="59"/>
      <c r="B93" s="167" t="s">
        <v>6</v>
      </c>
      <c r="C93" s="167"/>
      <c r="D93" s="167"/>
      <c r="E93" s="167"/>
      <c r="F93" s="167"/>
      <c r="G93" s="167"/>
      <c r="H93" s="28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68" t="s">
        <v>7</v>
      </c>
      <c r="B95" s="168"/>
      <c r="C95" s="168"/>
      <c r="D95" s="168"/>
      <c r="E95" s="168"/>
      <c r="F95" s="168"/>
      <c r="G95" s="168"/>
      <c r="H95" s="168"/>
      <c r="I95" s="168"/>
    </row>
    <row r="96" spans="1:9" ht="15.75">
      <c r="A96" s="168" t="s">
        <v>8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>
      <c r="A97" s="169" t="s">
        <v>61</v>
      </c>
      <c r="B97" s="169"/>
      <c r="C97" s="169"/>
      <c r="D97" s="169"/>
      <c r="E97" s="169"/>
      <c r="F97" s="169"/>
      <c r="G97" s="169"/>
      <c r="H97" s="169"/>
      <c r="I97" s="169"/>
    </row>
    <row r="98" spans="1:9" ht="15.75">
      <c r="A98" s="11"/>
    </row>
    <row r="99" spans="1:9" ht="15.75">
      <c r="A99" s="170" t="s">
        <v>9</v>
      </c>
      <c r="B99" s="170"/>
      <c r="C99" s="170"/>
      <c r="D99" s="170"/>
      <c r="E99" s="170"/>
      <c r="F99" s="170"/>
      <c r="G99" s="170"/>
      <c r="H99" s="170"/>
      <c r="I99" s="170"/>
    </row>
    <row r="100" spans="1:9" ht="15.75" customHeight="1">
      <c r="A100" s="4"/>
    </row>
    <row r="101" spans="1:9" ht="15.75">
      <c r="B101" s="56" t="s">
        <v>10</v>
      </c>
      <c r="C101" s="171" t="s">
        <v>140</v>
      </c>
      <c r="D101" s="171"/>
      <c r="E101" s="171"/>
      <c r="F101" s="63"/>
      <c r="I101" s="58"/>
    </row>
    <row r="102" spans="1:9">
      <c r="A102" s="59"/>
      <c r="C102" s="167" t="s">
        <v>11</v>
      </c>
      <c r="D102" s="167"/>
      <c r="E102" s="167"/>
      <c r="F102" s="28"/>
      <c r="I102" s="57" t="s">
        <v>12</v>
      </c>
    </row>
    <row r="103" spans="1:9" ht="15.75" customHeight="1">
      <c r="A103" s="29"/>
      <c r="C103" s="12"/>
      <c r="D103" s="12"/>
      <c r="G103" s="12"/>
      <c r="H103" s="12"/>
    </row>
    <row r="104" spans="1:9" ht="15.75" customHeight="1">
      <c r="B104" s="56" t="s">
        <v>13</v>
      </c>
      <c r="C104" s="172"/>
      <c r="D104" s="172"/>
      <c r="E104" s="172"/>
      <c r="F104" s="64"/>
      <c r="I104" s="58"/>
    </row>
    <row r="105" spans="1:9" ht="15.75" customHeight="1">
      <c r="A105" s="59"/>
      <c r="C105" s="161" t="s">
        <v>11</v>
      </c>
      <c r="D105" s="161"/>
      <c r="E105" s="161"/>
      <c r="F105" s="59"/>
      <c r="I105" s="57" t="s">
        <v>12</v>
      </c>
    </row>
    <row r="106" spans="1:9" ht="15.75">
      <c r="A106" s="4" t="s">
        <v>14</v>
      </c>
    </row>
    <row r="107" spans="1:9">
      <c r="A107" s="176" t="s">
        <v>15</v>
      </c>
      <c r="B107" s="176"/>
      <c r="C107" s="176"/>
      <c r="D107" s="176"/>
      <c r="E107" s="176"/>
      <c r="F107" s="176"/>
      <c r="G107" s="176"/>
      <c r="H107" s="176"/>
      <c r="I107" s="176"/>
    </row>
    <row r="108" spans="1:9" ht="45" customHeight="1">
      <c r="A108" s="177" t="s">
        <v>16</v>
      </c>
      <c r="B108" s="177"/>
      <c r="C108" s="177"/>
      <c r="D108" s="177"/>
      <c r="E108" s="177"/>
      <c r="F108" s="177"/>
      <c r="G108" s="177"/>
      <c r="H108" s="177"/>
      <c r="I108" s="177"/>
    </row>
    <row r="109" spans="1:9" ht="30" customHeight="1">
      <c r="A109" s="177" t="s">
        <v>17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30" customHeight="1">
      <c r="A110" s="177" t="s">
        <v>21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15" customHeight="1">
      <c r="A111" s="177" t="s">
        <v>20</v>
      </c>
      <c r="B111" s="177"/>
      <c r="C111" s="177"/>
      <c r="D111" s="177"/>
      <c r="E111" s="177"/>
      <c r="F111" s="177"/>
      <c r="G111" s="177"/>
      <c r="H111" s="177"/>
      <c r="I111" s="177"/>
    </row>
  </sheetData>
  <autoFilter ref="I12:I62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9:I29"/>
    <mergeCell ref="A47:I47"/>
    <mergeCell ref="A58:I58"/>
    <mergeCell ref="A91:I91"/>
    <mergeCell ref="B92:G92"/>
    <mergeCell ref="B93:G93"/>
    <mergeCell ref="A95:I95"/>
    <mergeCell ref="A96:I96"/>
    <mergeCell ref="A85:I85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157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186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42886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.7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customHeight="1">
      <c r="A19" s="33">
        <v>4</v>
      </c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f>F19/2*G19</f>
        <v>168.08484000000001</v>
      </c>
      <c r="J19" s="26"/>
      <c r="K19" s="8"/>
      <c r="L19" s="8"/>
      <c r="M19" s="8"/>
    </row>
    <row r="20" spans="1:13" ht="15.75" customHeight="1">
      <c r="A20" s="33">
        <v>5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customHeight="1">
      <c r="A21" s="33">
        <v>6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customHeight="1">
      <c r="A22" s="33">
        <v>7</v>
      </c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f>F22*G22</f>
        <v>770.69159999999999</v>
      </c>
      <c r="J22" s="26"/>
      <c r="K22" s="8"/>
      <c r="L22" s="8"/>
      <c r="M22" s="8"/>
    </row>
    <row r="23" spans="1:13" ht="15.75" customHeight="1">
      <c r="A23" s="33">
        <v>8</v>
      </c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f t="shared" ref="I23:I26" si="1">F23*G23</f>
        <v>17.151281999999998</v>
      </c>
      <c r="J23" s="26"/>
      <c r="K23" s="8"/>
      <c r="L23" s="8"/>
      <c r="M23" s="8"/>
    </row>
    <row r="24" spans="1:13" ht="15.75" customHeight="1">
      <c r="A24" s="33">
        <v>9</v>
      </c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f t="shared" si="1"/>
        <v>62.492999999999995</v>
      </c>
      <c r="J24" s="26"/>
      <c r="K24" s="8"/>
      <c r="L24" s="8"/>
      <c r="M24" s="8"/>
    </row>
    <row r="25" spans="1:13" ht="15.75" customHeight="1">
      <c r="A25" s="33">
        <v>10</v>
      </c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f t="shared" si="1"/>
        <v>35.520012000000001</v>
      </c>
      <c r="J25" s="26"/>
      <c r="K25" s="8"/>
      <c r="L25" s="8"/>
      <c r="M25" s="8"/>
    </row>
    <row r="26" spans="1:13" ht="15.75" customHeight="1">
      <c r="A26" s="33">
        <v>11</v>
      </c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f t="shared" si="1"/>
        <v>32.344200000000001</v>
      </c>
      <c r="J26" s="26"/>
      <c r="K26" s="8"/>
      <c r="L26" s="8"/>
      <c r="M26" s="8"/>
    </row>
    <row r="27" spans="1:13" ht="15.75" customHeight="1">
      <c r="A27" s="33">
        <v>12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13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15.75" customHeight="1">
      <c r="A31" s="33">
        <v>14</v>
      </c>
      <c r="B31" s="67" t="s">
        <v>107</v>
      </c>
      <c r="C31" s="68" t="s">
        <v>90</v>
      </c>
      <c r="D31" s="67" t="s">
        <v>187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2">SUM(F31*G31/1000)</f>
        <v>5.7627569999999997</v>
      </c>
      <c r="I31" s="13">
        <f t="shared" ref="I31:I35" si="3">F31/6*G31</f>
        <v>960.45949999999993</v>
      </c>
      <c r="J31" s="26"/>
      <c r="K31" s="8"/>
      <c r="L31" s="8"/>
      <c r="M31" s="8"/>
    </row>
    <row r="32" spans="1:13" ht="31.5" customHeight="1">
      <c r="A32" s="33">
        <v>15</v>
      </c>
      <c r="B32" s="67" t="s">
        <v>122</v>
      </c>
      <c r="C32" s="68" t="s">
        <v>90</v>
      </c>
      <c r="D32" s="67" t="s">
        <v>188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2"/>
        <v>1.7575833600000001</v>
      </c>
      <c r="I32" s="13">
        <f t="shared" si="3"/>
        <v>292.93056000000007</v>
      </c>
      <c r="J32" s="26"/>
      <c r="K32" s="8"/>
      <c r="L32" s="8"/>
      <c r="M32" s="8"/>
    </row>
    <row r="33" spans="1:14" ht="15.75" customHeight="1">
      <c r="A33" s="33">
        <v>16</v>
      </c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2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customHeight="1">
      <c r="A34" s="33">
        <v>17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3"/>
        <v>1078.6914999999999</v>
      </c>
      <c r="J34" s="26"/>
      <c r="K34" s="8"/>
    </row>
    <row r="35" spans="1:14" ht="15.75" customHeight="1">
      <c r="A35" s="33">
        <v>18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3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2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2"/>
        <v>2.4294600000000002</v>
      </c>
      <c r="I37" s="13">
        <v>0</v>
      </c>
      <c r="J37" s="27"/>
    </row>
    <row r="38" spans="1:14" ht="15.75" hidden="1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hidden="1" customHeight="1">
      <c r="A39" s="33">
        <v>8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4">SUM(F39*G39/1000)</f>
        <v>13.060799999999999</v>
      </c>
      <c r="I39" s="13">
        <f t="shared" ref="I39:I45" si="5">F39/6*G39</f>
        <v>2176.7999999999997</v>
      </c>
      <c r="J39" s="27"/>
      <c r="L39" s="20"/>
      <c r="M39" s="21"/>
      <c r="N39" s="22"/>
    </row>
    <row r="40" spans="1:14" ht="15.75" hidden="1" customHeight="1">
      <c r="A40" s="33">
        <v>9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5"/>
        <v>915.97850000000005</v>
      </c>
      <c r="J40" s="27"/>
      <c r="L40" s="20"/>
      <c r="M40" s="21"/>
      <c r="N40" s="22"/>
    </row>
    <row r="41" spans="1:14" ht="15.75" hidden="1" customHeight="1">
      <c r="A41" s="33"/>
      <c r="B41" s="67" t="s">
        <v>123</v>
      </c>
      <c r="C41" s="68" t="s">
        <v>124</v>
      </c>
      <c r="D41" s="67" t="s">
        <v>130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v>0</v>
      </c>
      <c r="J41" s="27"/>
      <c r="L41" s="20"/>
      <c r="M41" s="21"/>
      <c r="N41" s="22"/>
    </row>
    <row r="42" spans="1:14" ht="15.75" hidden="1" customHeight="1">
      <c r="A42" s="33">
        <v>10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4"/>
        <v>8.9156542499999993</v>
      </c>
      <c r="I42" s="13">
        <f t="shared" si="5"/>
        <v>1485.9423750000001</v>
      </c>
      <c r="J42" s="27"/>
      <c r="L42" s="20"/>
      <c r="M42" s="21"/>
      <c r="N42" s="22"/>
    </row>
    <row r="43" spans="1:14" ht="47.25" hidden="1" customHeight="1">
      <c r="A43" s="33">
        <v>11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4"/>
        <v>17.69605425</v>
      </c>
      <c r="I43" s="13">
        <f t="shared" si="5"/>
        <v>2949.3423749999997</v>
      </c>
      <c r="J43" s="27"/>
      <c r="L43" s="20"/>
      <c r="M43" s="21"/>
      <c r="N43" s="22"/>
    </row>
    <row r="44" spans="1:14" ht="15.75" hidden="1" customHeight="1">
      <c r="A44" s="33">
        <v>12</v>
      </c>
      <c r="B44" s="67" t="s">
        <v>91</v>
      </c>
      <c r="C44" s="68" t="s">
        <v>90</v>
      </c>
      <c r="D44" s="67" t="s">
        <v>69</v>
      </c>
      <c r="E44" s="70">
        <v>81.5</v>
      </c>
      <c r="F44" s="70">
        <f>SUM(E44*45/1000)</f>
        <v>3.6675</v>
      </c>
      <c r="G44" s="70">
        <v>458.28</v>
      </c>
      <c r="H44" s="71">
        <f t="shared" si="4"/>
        <v>1.6807418999999999</v>
      </c>
      <c r="I44" s="13">
        <f t="shared" si="5"/>
        <v>280.12364999999994</v>
      </c>
      <c r="J44" s="27"/>
      <c r="L44" s="20"/>
      <c r="M44" s="21"/>
      <c r="N44" s="22"/>
    </row>
    <row r="45" spans="1:14" ht="15.75" hidden="1" customHeight="1">
      <c r="A45" s="33">
        <v>13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4"/>
        <v>0.76775400000000005</v>
      </c>
      <c r="I45" s="13">
        <f t="shared" si="5"/>
        <v>127.95899999999999</v>
      </c>
      <c r="J45" s="27"/>
      <c r="L45" s="20"/>
      <c r="M45" s="21"/>
      <c r="N45" s="22"/>
    </row>
    <row r="46" spans="1:14" ht="15.75" hidden="1" customHeight="1">
      <c r="A46" s="33"/>
      <c r="B46" s="73" t="s">
        <v>144</v>
      </c>
      <c r="C46" s="74"/>
      <c r="D46" s="73"/>
      <c r="E46" s="75"/>
      <c r="F46" s="76" t="s">
        <v>145</v>
      </c>
      <c r="G46" s="76"/>
      <c r="H46" s="77">
        <f>SUM(H39:H45)</f>
        <v>67.870875400000003</v>
      </c>
      <c r="I46" s="78"/>
      <c r="J46" s="27"/>
      <c r="L46" s="20"/>
      <c r="M46" s="21"/>
      <c r="N46" s="22"/>
    </row>
    <row r="47" spans="1:14" ht="15.75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customHeight="1">
      <c r="A48" s="33">
        <v>19</v>
      </c>
      <c r="B48" s="67" t="s">
        <v>132</v>
      </c>
      <c r="C48" s="68" t="s">
        <v>90</v>
      </c>
      <c r="D48" s="67" t="s">
        <v>42</v>
      </c>
      <c r="E48" s="69">
        <v>1080</v>
      </c>
      <c r="F48" s="70">
        <f>SUM(E48*2/1000)</f>
        <v>2.16</v>
      </c>
      <c r="G48" s="13">
        <v>865.61</v>
      </c>
      <c r="H48" s="71">
        <f t="shared" ref="H48:H56" si="6">SUM(F48*G48/1000)</f>
        <v>1.8697176000000002</v>
      </c>
      <c r="I48" s="13">
        <f>F48/2*G48</f>
        <v>934.85880000000009</v>
      </c>
      <c r="J48" s="27"/>
      <c r="L48" s="20"/>
      <c r="M48" s="21"/>
      <c r="N48" s="22"/>
    </row>
    <row r="49" spans="1:22" ht="15.75" customHeight="1">
      <c r="A49" s="33">
        <v>20</v>
      </c>
      <c r="B49" s="67" t="s">
        <v>35</v>
      </c>
      <c r="C49" s="68" t="s">
        <v>90</v>
      </c>
      <c r="D49" s="67" t="s">
        <v>42</v>
      </c>
      <c r="E49" s="69">
        <v>39</v>
      </c>
      <c r="F49" s="70">
        <f>E49*2/1000</f>
        <v>7.8E-2</v>
      </c>
      <c r="G49" s="13">
        <v>619.46</v>
      </c>
      <c r="H49" s="71">
        <f t="shared" si="6"/>
        <v>4.8317880000000001E-2</v>
      </c>
      <c r="I49" s="13">
        <f t="shared" ref="I49:I52" si="7">F49/2*G49</f>
        <v>24.158940000000001</v>
      </c>
      <c r="J49" s="27"/>
      <c r="L49" s="20"/>
      <c r="M49" s="21"/>
      <c r="N49" s="22"/>
    </row>
    <row r="50" spans="1:22" ht="15.75" customHeight="1">
      <c r="A50" s="33">
        <v>21</v>
      </c>
      <c r="B50" s="67" t="s">
        <v>36</v>
      </c>
      <c r="C50" s="68" t="s">
        <v>90</v>
      </c>
      <c r="D50" s="67" t="s">
        <v>42</v>
      </c>
      <c r="E50" s="69">
        <v>1037</v>
      </c>
      <c r="F50" s="70">
        <f>SUM(E50*2/1000)</f>
        <v>2.0739999999999998</v>
      </c>
      <c r="G50" s="13">
        <v>619.46</v>
      </c>
      <c r="H50" s="71">
        <f t="shared" si="6"/>
        <v>1.2847600399999999</v>
      </c>
      <c r="I50" s="13">
        <f t="shared" si="7"/>
        <v>642.38001999999994</v>
      </c>
      <c r="J50" s="27"/>
      <c r="L50" s="20"/>
      <c r="M50" s="21"/>
      <c r="N50" s="22"/>
    </row>
    <row r="51" spans="1:22" ht="15.75" customHeight="1">
      <c r="A51" s="33">
        <v>22</v>
      </c>
      <c r="B51" s="67" t="s">
        <v>37</v>
      </c>
      <c r="C51" s="68" t="s">
        <v>90</v>
      </c>
      <c r="D51" s="67" t="s">
        <v>42</v>
      </c>
      <c r="E51" s="69">
        <v>2274</v>
      </c>
      <c r="F51" s="70">
        <f>SUM(E51*2/1000)</f>
        <v>4.548</v>
      </c>
      <c r="G51" s="13">
        <v>648.64</v>
      </c>
      <c r="H51" s="71">
        <f t="shared" si="6"/>
        <v>2.95001472</v>
      </c>
      <c r="I51" s="13">
        <f t="shared" si="7"/>
        <v>1475.0073600000001</v>
      </c>
      <c r="J51" s="27"/>
      <c r="L51" s="20"/>
      <c r="M51" s="21"/>
      <c r="N51" s="22"/>
    </row>
    <row r="52" spans="1:22" ht="15.75" customHeight="1">
      <c r="A52" s="33">
        <v>23</v>
      </c>
      <c r="B52" s="67" t="s">
        <v>34</v>
      </c>
      <c r="C52" s="68" t="s">
        <v>53</v>
      </c>
      <c r="D52" s="67" t="s">
        <v>42</v>
      </c>
      <c r="E52" s="69">
        <v>83.04</v>
      </c>
      <c r="F52" s="70">
        <v>1.66</v>
      </c>
      <c r="G52" s="13">
        <v>77.84</v>
      </c>
      <c r="H52" s="71">
        <f>SUM(F52*G52/1000)</f>
        <v>0.12921440000000001</v>
      </c>
      <c r="I52" s="13">
        <f t="shared" si="7"/>
        <v>64.607200000000006</v>
      </c>
      <c r="J52" s="27"/>
      <c r="L52" s="20"/>
      <c r="M52" s="21"/>
      <c r="N52" s="22"/>
    </row>
    <row r="53" spans="1:22" ht="15.75" customHeight="1">
      <c r="A53" s="33">
        <v>24</v>
      </c>
      <c r="B53" s="67" t="s">
        <v>56</v>
      </c>
      <c r="C53" s="68" t="s">
        <v>90</v>
      </c>
      <c r="D53" s="67" t="s">
        <v>153</v>
      </c>
      <c r="E53" s="69">
        <v>1728</v>
      </c>
      <c r="F53" s="70">
        <f>SUM(E53*5/1000)</f>
        <v>8.64</v>
      </c>
      <c r="G53" s="13">
        <v>1297.28</v>
      </c>
      <c r="H53" s="71">
        <f>SUM(F53*G53/1000)</f>
        <v>11.2084992</v>
      </c>
      <c r="I53" s="13">
        <f>F53/5*G53</f>
        <v>2241.6998400000002</v>
      </c>
      <c r="J53" s="27"/>
      <c r="L53" s="20"/>
      <c r="M53" s="21"/>
      <c r="N53" s="22"/>
    </row>
    <row r="54" spans="1:22" ht="31.5" hidden="1" customHeight="1">
      <c r="A54" s="33"/>
      <c r="B54" s="67" t="s">
        <v>92</v>
      </c>
      <c r="C54" s="68" t="s">
        <v>90</v>
      </c>
      <c r="D54" s="67" t="s">
        <v>42</v>
      </c>
      <c r="E54" s="69">
        <v>1728</v>
      </c>
      <c r="F54" s="70">
        <f>SUM(E54*2/1000)</f>
        <v>3.456</v>
      </c>
      <c r="G54" s="13">
        <v>1297.28</v>
      </c>
      <c r="H54" s="71">
        <f>SUM(G54*F54/1000)</f>
        <v>4.4833996799999998</v>
      </c>
      <c r="I54" s="13">
        <v>0</v>
      </c>
      <c r="J54" s="27"/>
      <c r="L54" s="20"/>
      <c r="M54" s="21"/>
      <c r="N54" s="22"/>
    </row>
    <row r="55" spans="1:22" ht="31.5" hidden="1" customHeight="1">
      <c r="A55" s="33"/>
      <c r="B55" s="67" t="s">
        <v>93</v>
      </c>
      <c r="C55" s="68" t="s">
        <v>38</v>
      </c>
      <c r="D55" s="67" t="s">
        <v>42</v>
      </c>
      <c r="E55" s="69">
        <v>15</v>
      </c>
      <c r="F55" s="70">
        <f>SUM(E55*2/100)</f>
        <v>0.3</v>
      </c>
      <c r="G55" s="13">
        <v>2918.89</v>
      </c>
      <c r="H55" s="71">
        <f>SUM(F55*G55/1000)</f>
        <v>0.87566699999999986</v>
      </c>
      <c r="I55" s="13">
        <v>0</v>
      </c>
      <c r="J55" s="27"/>
      <c r="L55" s="20"/>
      <c r="M55" s="21"/>
      <c r="N55" s="22"/>
    </row>
    <row r="56" spans="1:22" ht="15.75" hidden="1" customHeight="1">
      <c r="A56" s="33"/>
      <c r="B56" s="67" t="s">
        <v>39</v>
      </c>
      <c r="C56" s="68" t="s">
        <v>40</v>
      </c>
      <c r="D56" s="67" t="s">
        <v>42</v>
      </c>
      <c r="E56" s="69">
        <v>1</v>
      </c>
      <c r="F56" s="70">
        <v>0.02</v>
      </c>
      <c r="G56" s="13">
        <v>6042.12</v>
      </c>
      <c r="H56" s="71">
        <f t="shared" si="6"/>
        <v>0.1208424</v>
      </c>
      <c r="I56" s="13">
        <v>0</v>
      </c>
      <c r="J56" s="27"/>
      <c r="L56" s="20"/>
      <c r="M56" s="21"/>
      <c r="N56" s="22"/>
    </row>
    <row r="57" spans="1:22" ht="15.75" hidden="1" customHeight="1">
      <c r="A57" s="33">
        <v>15</v>
      </c>
      <c r="B57" s="67" t="s">
        <v>41</v>
      </c>
      <c r="C57" s="68" t="s">
        <v>109</v>
      </c>
      <c r="D57" s="67" t="s">
        <v>71</v>
      </c>
      <c r="E57" s="69">
        <v>90</v>
      </c>
      <c r="F57" s="70">
        <f>SUM(E57)*3</f>
        <v>270</v>
      </c>
      <c r="G57" s="13">
        <v>70.209999999999994</v>
      </c>
      <c r="H57" s="71">
        <f>SUM(F57*G57/1000)</f>
        <v>18.956699999999998</v>
      </c>
      <c r="I57" s="13">
        <f>E57*G57</f>
        <v>6318.9</v>
      </c>
      <c r="J57" s="27"/>
      <c r="L57" s="20"/>
      <c r="M57" s="21"/>
      <c r="N57" s="22"/>
    </row>
    <row r="58" spans="1:22" ht="15.75" customHeight="1">
      <c r="A58" s="158" t="s">
        <v>138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  <c r="M58" s="21"/>
      <c r="N58" s="22"/>
    </row>
    <row r="59" spans="1:22" ht="15.75" hidden="1" customHeight="1">
      <c r="A59" s="33"/>
      <c r="B59" s="93" t="s">
        <v>43</v>
      </c>
      <c r="C59" s="68"/>
      <c r="D59" s="67"/>
      <c r="E59" s="69"/>
      <c r="F59" s="70"/>
      <c r="G59" s="70"/>
      <c r="H59" s="71"/>
      <c r="I59" s="13"/>
      <c r="J59" s="27"/>
      <c r="L59" s="20"/>
      <c r="M59" s="21"/>
      <c r="N59" s="22"/>
    </row>
    <row r="60" spans="1:22" ht="31.5" hidden="1" customHeight="1">
      <c r="A60" s="33">
        <v>16</v>
      </c>
      <c r="B60" s="67" t="s">
        <v>146</v>
      </c>
      <c r="C60" s="68" t="s">
        <v>88</v>
      </c>
      <c r="D60" s="67" t="s">
        <v>110</v>
      </c>
      <c r="E60" s="69">
        <v>111</v>
      </c>
      <c r="F60" s="70">
        <f>SUM(E60*6/100)</f>
        <v>6.66</v>
      </c>
      <c r="G60" s="13">
        <v>1654.04</v>
      </c>
      <c r="H60" s="71">
        <f>SUM(F60*G60/1000)</f>
        <v>11.0159064</v>
      </c>
      <c r="I60" s="13">
        <f>F60/6*G60</f>
        <v>1835.9844000000001</v>
      </c>
      <c r="J60" s="27"/>
      <c r="L60" s="20"/>
    </row>
    <row r="61" spans="1:22" ht="15.75" customHeight="1">
      <c r="A61" s="33"/>
      <c r="B61" s="94" t="s">
        <v>44</v>
      </c>
      <c r="C61" s="81"/>
      <c r="D61" s="82"/>
      <c r="E61" s="83"/>
      <c r="F61" s="84"/>
      <c r="G61" s="13"/>
      <c r="H61" s="85"/>
      <c r="I61" s="13"/>
    </row>
    <row r="62" spans="1:22" ht="15.75" hidden="1" customHeight="1">
      <c r="A62" s="33"/>
      <c r="B62" s="82" t="s">
        <v>45</v>
      </c>
      <c r="C62" s="81" t="s">
        <v>53</v>
      </c>
      <c r="D62" s="82" t="s">
        <v>54</v>
      </c>
      <c r="E62" s="83">
        <v>330</v>
      </c>
      <c r="F62" s="84">
        <f>E62/100</f>
        <v>3.3</v>
      </c>
      <c r="G62" s="13">
        <v>848.37</v>
      </c>
      <c r="H62" s="85">
        <f>F62*G62/1000</f>
        <v>2.7996209999999997</v>
      </c>
      <c r="I62" s="13">
        <v>0</v>
      </c>
    </row>
    <row r="63" spans="1:22" ht="15.75" customHeight="1">
      <c r="A63" s="33">
        <v>25</v>
      </c>
      <c r="B63" s="82" t="s">
        <v>125</v>
      </c>
      <c r="C63" s="81" t="s">
        <v>25</v>
      </c>
      <c r="D63" s="82" t="s">
        <v>30</v>
      </c>
      <c r="E63" s="83">
        <v>130</v>
      </c>
      <c r="F63" s="86">
        <f>E63*12</f>
        <v>1560</v>
      </c>
      <c r="G63" s="61">
        <v>2.6</v>
      </c>
      <c r="H63" s="84">
        <f>F63*G63/1000</f>
        <v>4.056</v>
      </c>
      <c r="I63" s="13">
        <f>F63/12*G63</f>
        <v>338</v>
      </c>
    </row>
    <row r="64" spans="1:22" ht="15.75" customHeight="1">
      <c r="A64" s="33"/>
      <c r="B64" s="94" t="s">
        <v>46</v>
      </c>
      <c r="C64" s="81"/>
      <c r="D64" s="82"/>
      <c r="E64" s="83"/>
      <c r="F64" s="86"/>
      <c r="G64" s="86"/>
      <c r="H64" s="84" t="s">
        <v>145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3">
        <v>26</v>
      </c>
      <c r="B65" s="14" t="s">
        <v>47</v>
      </c>
      <c r="C65" s="16" t="s">
        <v>109</v>
      </c>
      <c r="D65" s="14" t="s">
        <v>130</v>
      </c>
      <c r="E65" s="19">
        <v>10</v>
      </c>
      <c r="F65" s="70">
        <v>10</v>
      </c>
      <c r="G65" s="13">
        <v>237.74</v>
      </c>
      <c r="H65" s="87">
        <f t="shared" ref="H65:H78" si="8">SUM(F65*G65/1000)</f>
        <v>2.3774000000000002</v>
      </c>
      <c r="I65" s="13">
        <f>G65*4</f>
        <v>950.96</v>
      </c>
      <c r="J65" s="29"/>
      <c r="K65" s="29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3"/>
      <c r="B66" s="14" t="s">
        <v>48</v>
      </c>
      <c r="C66" s="16" t="s">
        <v>109</v>
      </c>
      <c r="D66" s="14" t="s">
        <v>130</v>
      </c>
      <c r="E66" s="19">
        <v>5</v>
      </c>
      <c r="F66" s="70">
        <v>5</v>
      </c>
      <c r="G66" s="13">
        <v>81.510000000000005</v>
      </c>
      <c r="H66" s="87">
        <f t="shared" si="8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customHeight="1">
      <c r="A67" s="33">
        <v>26</v>
      </c>
      <c r="B67" s="14" t="s">
        <v>49</v>
      </c>
      <c r="C67" s="16" t="s">
        <v>111</v>
      </c>
      <c r="D67" s="14" t="s">
        <v>54</v>
      </c>
      <c r="E67" s="69">
        <v>13287</v>
      </c>
      <c r="F67" s="13">
        <f>SUM(E67/100)</f>
        <v>132.87</v>
      </c>
      <c r="G67" s="13">
        <v>226.79</v>
      </c>
      <c r="H67" s="87">
        <f t="shared" si="8"/>
        <v>30.133587299999999</v>
      </c>
      <c r="I67" s="13">
        <f>F67*G67</f>
        <v>30133.587299999999</v>
      </c>
      <c r="J67" s="5"/>
      <c r="K67" s="5"/>
      <c r="L67" s="5"/>
      <c r="M67" s="5"/>
      <c r="N67" s="5"/>
      <c r="O67" s="5"/>
      <c r="P67" s="5"/>
      <c r="Q67" s="5"/>
      <c r="R67" s="161"/>
      <c r="S67" s="161"/>
      <c r="T67" s="161"/>
      <c r="U67" s="161"/>
    </row>
    <row r="68" spans="1:21" ht="15.75" customHeight="1">
      <c r="A68" s="33">
        <v>27</v>
      </c>
      <c r="B68" s="14" t="s">
        <v>50</v>
      </c>
      <c r="C68" s="16" t="s">
        <v>112</v>
      </c>
      <c r="D68" s="14"/>
      <c r="E68" s="69">
        <v>13287</v>
      </c>
      <c r="F68" s="13">
        <f>SUM(E68/1000)</f>
        <v>13.287000000000001</v>
      </c>
      <c r="G68" s="13">
        <v>176.61</v>
      </c>
      <c r="H68" s="87">
        <f t="shared" si="8"/>
        <v>2.3466170700000002</v>
      </c>
      <c r="I68" s="13">
        <f t="shared" ref="I68:I71" si="9">F68*G68</f>
        <v>2346.6170700000002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customHeight="1">
      <c r="A69" s="33">
        <v>28</v>
      </c>
      <c r="B69" s="14" t="s">
        <v>51</v>
      </c>
      <c r="C69" s="16" t="s">
        <v>77</v>
      </c>
      <c r="D69" s="14" t="s">
        <v>54</v>
      </c>
      <c r="E69" s="69">
        <v>2110</v>
      </c>
      <c r="F69" s="13">
        <f>SUM(E69/100)</f>
        <v>21.1</v>
      </c>
      <c r="G69" s="13">
        <v>2217.7800000000002</v>
      </c>
      <c r="H69" s="87">
        <f>SUM(F69*G69/1000)</f>
        <v>46.795158000000008</v>
      </c>
      <c r="I69" s="13">
        <f t="shared" si="9"/>
        <v>46795.15800000001</v>
      </c>
    </row>
    <row r="70" spans="1:21" ht="15.75" customHeight="1">
      <c r="A70" s="33">
        <v>29</v>
      </c>
      <c r="B70" s="88" t="s">
        <v>113</v>
      </c>
      <c r="C70" s="16" t="s">
        <v>33</v>
      </c>
      <c r="D70" s="14"/>
      <c r="E70" s="69">
        <v>8.6</v>
      </c>
      <c r="F70" s="13">
        <f>SUM(E70)</f>
        <v>8.6</v>
      </c>
      <c r="G70" s="13">
        <v>42.67</v>
      </c>
      <c r="H70" s="87">
        <f t="shared" si="8"/>
        <v>0.36696200000000001</v>
      </c>
      <c r="I70" s="13">
        <f t="shared" si="9"/>
        <v>366.96199999999999</v>
      </c>
    </row>
    <row r="71" spans="1:21" ht="15.75" customHeight="1">
      <c r="A71" s="33">
        <v>30</v>
      </c>
      <c r="B71" s="88" t="s">
        <v>114</v>
      </c>
      <c r="C71" s="16" t="s">
        <v>33</v>
      </c>
      <c r="D71" s="14"/>
      <c r="E71" s="69">
        <v>8.6</v>
      </c>
      <c r="F71" s="13">
        <f>SUM(E71)</f>
        <v>8.6</v>
      </c>
      <c r="G71" s="13">
        <v>39.81</v>
      </c>
      <c r="H71" s="87">
        <f t="shared" si="8"/>
        <v>0.342366</v>
      </c>
      <c r="I71" s="13">
        <f t="shared" si="9"/>
        <v>342.36599999999999</v>
      </c>
    </row>
    <row r="72" spans="1:21" ht="15.75" hidden="1" customHeight="1">
      <c r="A72" s="33"/>
      <c r="B72" s="14" t="s">
        <v>57</v>
      </c>
      <c r="C72" s="16" t="s">
        <v>58</v>
      </c>
      <c r="D72" s="14" t="s">
        <v>54</v>
      </c>
      <c r="E72" s="19">
        <v>6</v>
      </c>
      <c r="F72" s="70">
        <v>6</v>
      </c>
      <c r="G72" s="13">
        <v>53.32</v>
      </c>
      <c r="H72" s="87">
        <f t="shared" si="8"/>
        <v>0.31992000000000004</v>
      </c>
      <c r="I72" s="13">
        <v>0</v>
      </c>
    </row>
    <row r="73" spans="1:21" ht="15.75" hidden="1" customHeight="1">
      <c r="A73" s="33"/>
      <c r="B73" s="54" t="s">
        <v>72</v>
      </c>
      <c r="C73" s="16"/>
      <c r="D73" s="14"/>
      <c r="E73" s="19"/>
      <c r="F73" s="13"/>
      <c r="G73" s="13"/>
      <c r="H73" s="87" t="s">
        <v>145</v>
      </c>
      <c r="I73" s="13"/>
    </row>
    <row r="74" spans="1:21" ht="15.75" hidden="1" customHeight="1">
      <c r="A74" s="33">
        <v>32</v>
      </c>
      <c r="B74" s="14" t="s">
        <v>73</v>
      </c>
      <c r="C74" s="16" t="s">
        <v>75</v>
      </c>
      <c r="D74" s="14"/>
      <c r="E74" s="19">
        <v>2</v>
      </c>
      <c r="F74" s="13">
        <v>0.2</v>
      </c>
      <c r="G74" s="13">
        <v>536.23</v>
      </c>
      <c r="H74" s="87">
        <f t="shared" si="8"/>
        <v>0.10724600000000001</v>
      </c>
      <c r="I74" s="13">
        <f>G74*0.2</f>
        <v>107.24600000000001</v>
      </c>
    </row>
    <row r="75" spans="1:21" ht="15.75" hidden="1" customHeight="1">
      <c r="A75" s="33"/>
      <c r="B75" s="14" t="s">
        <v>74</v>
      </c>
      <c r="C75" s="16" t="s">
        <v>31</v>
      </c>
      <c r="D75" s="14"/>
      <c r="E75" s="19">
        <v>2</v>
      </c>
      <c r="F75" s="61">
        <v>2</v>
      </c>
      <c r="G75" s="13">
        <v>911.85</v>
      </c>
      <c r="H75" s="87">
        <f>F75*G75/1000</f>
        <v>1.8237000000000001</v>
      </c>
      <c r="I75" s="13">
        <v>0</v>
      </c>
    </row>
    <row r="76" spans="1:21" ht="15.75" hidden="1" customHeight="1">
      <c r="A76" s="33"/>
      <c r="B76" s="14" t="s">
        <v>116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87">
        <f>G76*F76/1000</f>
        <v>0.38324999999999998</v>
      </c>
      <c r="I76" s="13">
        <v>0</v>
      </c>
    </row>
    <row r="77" spans="1:21" ht="15.75" hidden="1" customHeight="1">
      <c r="A77" s="33"/>
      <c r="B77" s="90" t="s">
        <v>76</v>
      </c>
      <c r="C77" s="16"/>
      <c r="D77" s="14"/>
      <c r="E77" s="19"/>
      <c r="F77" s="13"/>
      <c r="G77" s="13" t="s">
        <v>145</v>
      </c>
      <c r="H77" s="87" t="s">
        <v>145</v>
      </c>
      <c r="I77" s="13"/>
    </row>
    <row r="78" spans="1:21" ht="15.75" hidden="1" customHeight="1">
      <c r="A78" s="33"/>
      <c r="B78" s="47" t="s">
        <v>133</v>
      </c>
      <c r="C78" s="16" t="s">
        <v>77</v>
      </c>
      <c r="D78" s="14"/>
      <c r="E78" s="19"/>
      <c r="F78" s="13">
        <v>0.5</v>
      </c>
      <c r="G78" s="13">
        <v>2949.85</v>
      </c>
      <c r="H78" s="87">
        <f t="shared" si="8"/>
        <v>1.474925</v>
      </c>
      <c r="I78" s="13">
        <v>0</v>
      </c>
    </row>
    <row r="79" spans="1:21" ht="15.75" hidden="1" customHeight="1">
      <c r="A79" s="33"/>
      <c r="B79" s="97" t="s">
        <v>94</v>
      </c>
      <c r="C79" s="97"/>
      <c r="D79" s="97"/>
      <c r="E79" s="97"/>
      <c r="F79" s="97"/>
      <c r="G79" s="78"/>
      <c r="H79" s="91">
        <f>SUM(H60:H78)</f>
        <v>104.75020877000001</v>
      </c>
      <c r="I79" s="78"/>
    </row>
    <row r="80" spans="1:21" ht="15.75" hidden="1" customHeight="1">
      <c r="A80" s="33"/>
      <c r="B80" s="95" t="s">
        <v>115</v>
      </c>
      <c r="C80" s="24"/>
      <c r="D80" s="23"/>
      <c r="E80" s="62"/>
      <c r="F80" s="96">
        <v>1</v>
      </c>
      <c r="G80" s="13">
        <v>7634.7</v>
      </c>
      <c r="H80" s="87">
        <f>G80*F80/1000</f>
        <v>7.6346999999999996</v>
      </c>
      <c r="I80" s="13">
        <v>0</v>
      </c>
    </row>
    <row r="81" spans="1:9" ht="15" customHeight="1">
      <c r="A81" s="162" t="s">
        <v>139</v>
      </c>
      <c r="B81" s="163"/>
      <c r="C81" s="163"/>
      <c r="D81" s="163"/>
      <c r="E81" s="163"/>
      <c r="F81" s="163"/>
      <c r="G81" s="163"/>
      <c r="H81" s="163"/>
      <c r="I81" s="164"/>
    </row>
    <row r="82" spans="1:9" ht="15.75" customHeight="1">
      <c r="A82" s="33">
        <v>31</v>
      </c>
      <c r="B82" s="67" t="s">
        <v>117</v>
      </c>
      <c r="C82" s="16" t="s">
        <v>55</v>
      </c>
      <c r="D82" s="92" t="s">
        <v>163</v>
      </c>
      <c r="E82" s="13">
        <v>2626.5</v>
      </c>
      <c r="F82" s="13">
        <f>SUM(E82*12)</f>
        <v>31518</v>
      </c>
      <c r="G82" s="13">
        <v>2.2400000000000002</v>
      </c>
      <c r="H82" s="87">
        <f>SUM(F82*G82/1000)</f>
        <v>70.600320000000011</v>
      </c>
      <c r="I82" s="13">
        <f>F82/12*G82</f>
        <v>5883.3600000000006</v>
      </c>
    </row>
    <row r="83" spans="1:9" ht="31.5" customHeight="1">
      <c r="A83" s="33">
        <v>32</v>
      </c>
      <c r="B83" s="14" t="s">
        <v>78</v>
      </c>
      <c r="C83" s="16"/>
      <c r="D83" s="92" t="s">
        <v>163</v>
      </c>
      <c r="E83" s="69">
        <f>E82</f>
        <v>2626.5</v>
      </c>
      <c r="F83" s="13">
        <f>E83*12</f>
        <v>31518</v>
      </c>
      <c r="G83" s="13">
        <v>1.74</v>
      </c>
      <c r="H83" s="87">
        <f>F83*G83/1000</f>
        <v>54.841320000000003</v>
      </c>
      <c r="I83" s="13">
        <f>F83/12*G83</f>
        <v>4570.1099999999997</v>
      </c>
    </row>
    <row r="84" spans="1:9" ht="15.75" customHeight="1">
      <c r="A84" s="33"/>
      <c r="B84" s="40" t="s">
        <v>81</v>
      </c>
      <c r="C84" s="90"/>
      <c r="D84" s="89"/>
      <c r="E84" s="78"/>
      <c r="F84" s="78"/>
      <c r="G84" s="78"/>
      <c r="H84" s="91">
        <f>H83</f>
        <v>54.841320000000003</v>
      </c>
      <c r="I84" s="78">
        <f>I16+I17+I18+I19+I20+I21+I22+I23+I24+I25+I26+I27+I28+I31+I32+I33+I34+I35+I48+I49+I50+I51+I52+I53+I63+I67+I68+I69+I70+I71+I82+I83</f>
        <v>122224.21170666667</v>
      </c>
    </row>
    <row r="85" spans="1:9" ht="15.75" customHeight="1">
      <c r="A85" s="173" t="s">
        <v>60</v>
      </c>
      <c r="B85" s="174"/>
      <c r="C85" s="174"/>
      <c r="D85" s="174"/>
      <c r="E85" s="174"/>
      <c r="F85" s="174"/>
      <c r="G85" s="174"/>
      <c r="H85" s="174"/>
      <c r="I85" s="175"/>
    </row>
    <row r="86" spans="1:9" ht="15.75" customHeight="1">
      <c r="A86" s="33">
        <v>33</v>
      </c>
      <c r="B86" s="50" t="s">
        <v>126</v>
      </c>
      <c r="C86" s="53" t="s">
        <v>109</v>
      </c>
      <c r="D86" s="14"/>
      <c r="E86" s="19"/>
      <c r="F86" s="13">
        <v>552</v>
      </c>
      <c r="G86" s="13">
        <v>53.42</v>
      </c>
      <c r="H86" s="87">
        <f>G86*F86/1000</f>
        <v>29.487839999999998</v>
      </c>
      <c r="I86" s="13">
        <f>G86*46</f>
        <v>2457.3200000000002</v>
      </c>
    </row>
    <row r="87" spans="1:9" ht="31.5" customHeight="1">
      <c r="A87" s="33">
        <v>34</v>
      </c>
      <c r="B87" s="50" t="s">
        <v>208</v>
      </c>
      <c r="C87" s="53" t="s">
        <v>82</v>
      </c>
      <c r="D87" s="39"/>
      <c r="E87" s="18"/>
      <c r="F87" s="37">
        <v>3</v>
      </c>
      <c r="G87" s="37">
        <v>1332.61</v>
      </c>
      <c r="H87" s="103">
        <f t="shared" ref="H87" si="10">G87*F87/1000</f>
        <v>3.99783</v>
      </c>
      <c r="I87" s="13">
        <f>G87*3</f>
        <v>3997.83</v>
      </c>
    </row>
    <row r="88" spans="1:9" ht="31.5" customHeight="1">
      <c r="A88" s="33">
        <v>35</v>
      </c>
      <c r="B88" s="50" t="s">
        <v>189</v>
      </c>
      <c r="C88" s="53" t="s">
        <v>147</v>
      </c>
      <c r="D88" s="39"/>
      <c r="E88" s="18"/>
      <c r="F88" s="37">
        <v>2</v>
      </c>
      <c r="G88" s="37">
        <v>1020.84</v>
      </c>
      <c r="H88" s="103">
        <f t="shared" ref="H88:H89" si="11">G88*F88/1000</f>
        <v>2.0416799999999999</v>
      </c>
      <c r="I88" s="13">
        <f>G88*2</f>
        <v>2041.68</v>
      </c>
    </row>
    <row r="89" spans="1:9" ht="15.75" customHeight="1">
      <c r="A89" s="33">
        <v>36</v>
      </c>
      <c r="B89" s="50" t="s">
        <v>190</v>
      </c>
      <c r="C89" s="53" t="s">
        <v>147</v>
      </c>
      <c r="D89" s="39"/>
      <c r="E89" s="18"/>
      <c r="F89" s="37">
        <v>4</v>
      </c>
      <c r="G89" s="37">
        <v>520.51</v>
      </c>
      <c r="H89" s="103">
        <f t="shared" si="11"/>
        <v>2.0820400000000001</v>
      </c>
      <c r="I89" s="13">
        <f>G89*4</f>
        <v>2082.04</v>
      </c>
    </row>
    <row r="90" spans="1:9" ht="15.75" customHeight="1">
      <c r="A90" s="33">
        <v>37</v>
      </c>
      <c r="B90" s="108" t="s">
        <v>191</v>
      </c>
      <c r="C90" s="109" t="s">
        <v>192</v>
      </c>
      <c r="D90" s="107"/>
      <c r="E90" s="37"/>
      <c r="F90" s="37">
        <v>1</v>
      </c>
      <c r="G90" s="37">
        <v>1120.8900000000001</v>
      </c>
      <c r="H90" s="103">
        <f>G90*F90/1000</f>
        <v>1.1208900000000002</v>
      </c>
      <c r="I90" s="13">
        <f>G90</f>
        <v>1120.8900000000001</v>
      </c>
    </row>
    <row r="91" spans="1:9" ht="16.5" customHeight="1">
      <c r="A91" s="33"/>
      <c r="B91" s="45" t="s">
        <v>52</v>
      </c>
      <c r="C91" s="41"/>
      <c r="D91" s="48"/>
      <c r="E91" s="41">
        <v>1</v>
      </c>
      <c r="F91" s="41"/>
      <c r="G91" s="41"/>
      <c r="H91" s="41"/>
      <c r="I91" s="35">
        <f>SUM(I86:I90)</f>
        <v>11699.759999999998</v>
      </c>
    </row>
    <row r="92" spans="1:9" ht="15.75" customHeight="1">
      <c r="A92" s="33"/>
      <c r="B92" s="47" t="s">
        <v>79</v>
      </c>
      <c r="C92" s="15"/>
      <c r="D92" s="15"/>
      <c r="E92" s="42"/>
      <c r="F92" s="42"/>
      <c r="G92" s="43"/>
      <c r="H92" s="43"/>
      <c r="I92" s="18">
        <v>0</v>
      </c>
    </row>
    <row r="93" spans="1:9" ht="15.75" customHeight="1">
      <c r="A93" s="49"/>
      <c r="B93" s="46" t="s">
        <v>174</v>
      </c>
      <c r="C93" s="36"/>
      <c r="D93" s="36"/>
      <c r="E93" s="36"/>
      <c r="F93" s="36"/>
      <c r="G93" s="36"/>
      <c r="H93" s="36"/>
      <c r="I93" s="44">
        <f>I84+I91</f>
        <v>133923.97170666666</v>
      </c>
    </row>
    <row r="94" spans="1:9" ht="15.75" customHeight="1">
      <c r="A94" s="165" t="s">
        <v>209</v>
      </c>
      <c r="B94" s="165"/>
      <c r="C94" s="165"/>
      <c r="D94" s="165"/>
      <c r="E94" s="165"/>
      <c r="F94" s="165"/>
      <c r="G94" s="165"/>
      <c r="H94" s="165"/>
      <c r="I94" s="165"/>
    </row>
    <row r="95" spans="1:9" ht="15.75">
      <c r="A95" s="60"/>
      <c r="B95" s="166" t="s">
        <v>210</v>
      </c>
      <c r="C95" s="166"/>
      <c r="D95" s="166"/>
      <c r="E95" s="166"/>
      <c r="F95" s="166"/>
      <c r="G95" s="166"/>
      <c r="H95" s="65"/>
      <c r="I95" s="3"/>
    </row>
    <row r="96" spans="1:9">
      <c r="A96" s="59"/>
      <c r="B96" s="167" t="s">
        <v>6</v>
      </c>
      <c r="C96" s="167"/>
      <c r="D96" s="167"/>
      <c r="E96" s="167"/>
      <c r="F96" s="167"/>
      <c r="G96" s="167"/>
      <c r="H96" s="28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68" t="s">
        <v>7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8" t="s">
        <v>8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169" t="s">
        <v>61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11"/>
    </row>
    <row r="102" spans="1:9" ht="15.75">
      <c r="A102" s="170" t="s">
        <v>9</v>
      </c>
      <c r="B102" s="170"/>
      <c r="C102" s="170"/>
      <c r="D102" s="170"/>
      <c r="E102" s="170"/>
      <c r="F102" s="170"/>
      <c r="G102" s="170"/>
      <c r="H102" s="170"/>
      <c r="I102" s="170"/>
    </row>
    <row r="103" spans="1:9" ht="15.75" customHeight="1">
      <c r="A103" s="4"/>
    </row>
    <row r="104" spans="1:9" ht="15.75">
      <c r="B104" s="56" t="s">
        <v>10</v>
      </c>
      <c r="C104" s="171" t="s">
        <v>140</v>
      </c>
      <c r="D104" s="171"/>
      <c r="E104" s="171"/>
      <c r="F104" s="63"/>
      <c r="I104" s="58"/>
    </row>
    <row r="105" spans="1:9">
      <c r="A105" s="59"/>
      <c r="C105" s="167" t="s">
        <v>11</v>
      </c>
      <c r="D105" s="167"/>
      <c r="E105" s="167"/>
      <c r="F105" s="28"/>
      <c r="I105" s="57" t="s">
        <v>12</v>
      </c>
    </row>
    <row r="106" spans="1:9" ht="15.75" customHeight="1">
      <c r="A106" s="29"/>
      <c r="C106" s="12"/>
      <c r="D106" s="12"/>
      <c r="G106" s="12"/>
      <c r="H106" s="12"/>
    </row>
    <row r="107" spans="1:9" ht="15.75" customHeight="1">
      <c r="B107" s="56" t="s">
        <v>13</v>
      </c>
      <c r="C107" s="172"/>
      <c r="D107" s="172"/>
      <c r="E107" s="172"/>
      <c r="F107" s="64"/>
      <c r="I107" s="58"/>
    </row>
    <row r="108" spans="1:9" ht="15.75" customHeight="1">
      <c r="A108" s="59"/>
      <c r="C108" s="161" t="s">
        <v>11</v>
      </c>
      <c r="D108" s="161"/>
      <c r="E108" s="161"/>
      <c r="F108" s="59"/>
      <c r="I108" s="57" t="s">
        <v>12</v>
      </c>
    </row>
    <row r="109" spans="1:9" ht="15.75">
      <c r="A109" s="4" t="s">
        <v>14</v>
      </c>
    </row>
    <row r="110" spans="1:9">
      <c r="A110" s="176" t="s">
        <v>15</v>
      </c>
      <c r="B110" s="176"/>
      <c r="C110" s="176"/>
      <c r="D110" s="176"/>
      <c r="E110" s="176"/>
      <c r="F110" s="176"/>
      <c r="G110" s="176"/>
      <c r="H110" s="176"/>
      <c r="I110" s="176"/>
    </row>
    <row r="111" spans="1:9" ht="45" customHeight="1">
      <c r="A111" s="177" t="s">
        <v>16</v>
      </c>
      <c r="B111" s="177"/>
      <c r="C111" s="177"/>
      <c r="D111" s="177"/>
      <c r="E111" s="177"/>
      <c r="F111" s="177"/>
      <c r="G111" s="177"/>
      <c r="H111" s="177"/>
      <c r="I111" s="177"/>
    </row>
    <row r="112" spans="1:9" ht="30" customHeight="1">
      <c r="A112" s="177" t="s">
        <v>17</v>
      </c>
      <c r="B112" s="177"/>
      <c r="C112" s="177"/>
      <c r="D112" s="177"/>
      <c r="E112" s="177"/>
      <c r="F112" s="177"/>
      <c r="G112" s="177"/>
      <c r="H112" s="177"/>
      <c r="I112" s="177"/>
    </row>
    <row r="113" spans="1:9" ht="30" customHeight="1">
      <c r="A113" s="177" t="s">
        <v>21</v>
      </c>
      <c r="B113" s="177"/>
      <c r="C113" s="177"/>
      <c r="D113" s="177"/>
      <c r="E113" s="177"/>
      <c r="F113" s="177"/>
      <c r="G113" s="177"/>
      <c r="H113" s="177"/>
      <c r="I113" s="177"/>
    </row>
    <row r="114" spans="1:9" ht="15" customHeight="1">
      <c r="A114" s="177" t="s">
        <v>20</v>
      </c>
      <c r="B114" s="177"/>
      <c r="C114" s="177"/>
      <c r="D114" s="177"/>
      <c r="E114" s="177"/>
      <c r="F114" s="177"/>
      <c r="G114" s="177"/>
      <c r="H114" s="177"/>
      <c r="I114" s="177"/>
    </row>
  </sheetData>
  <autoFilter ref="I12:I62"/>
  <mergeCells count="29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9:I29"/>
    <mergeCell ref="A47:I47"/>
    <mergeCell ref="A58:I58"/>
    <mergeCell ref="A94:I94"/>
    <mergeCell ref="B95:G95"/>
    <mergeCell ref="B96:G96"/>
    <mergeCell ref="A98:I98"/>
    <mergeCell ref="A99:I99"/>
    <mergeCell ref="A85:I85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158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193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42916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.7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hidden="1" customHeight="1">
      <c r="A19" s="33"/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hidden="1" customHeight="1">
      <c r="A22" s="33"/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15.75" customHeight="1">
      <c r="A31" s="33">
        <v>7</v>
      </c>
      <c r="B31" s="67" t="s">
        <v>107</v>
      </c>
      <c r="C31" s="68" t="s">
        <v>90</v>
      </c>
      <c r="D31" s="67" t="s">
        <v>187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1">SUM(F31*G31/1000)</f>
        <v>5.7627569999999997</v>
      </c>
      <c r="I31" s="13">
        <f t="shared" ref="I31:I35" si="2">F31/6*G31</f>
        <v>960.45949999999993</v>
      </c>
      <c r="J31" s="26"/>
      <c r="K31" s="8"/>
      <c r="L31" s="8"/>
      <c r="M31" s="8"/>
    </row>
    <row r="32" spans="1:13" ht="31.5" customHeight="1">
      <c r="A32" s="33">
        <v>8</v>
      </c>
      <c r="B32" s="67" t="s">
        <v>122</v>
      </c>
      <c r="C32" s="68" t="s">
        <v>90</v>
      </c>
      <c r="D32" s="67" t="s">
        <v>188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1"/>
        <v>1.7575833600000001</v>
      </c>
      <c r="I32" s="13">
        <f t="shared" si="2"/>
        <v>292.93056000000007</v>
      </c>
      <c r="J32" s="26"/>
      <c r="K32" s="8"/>
      <c r="L32" s="8"/>
      <c r="M32" s="8"/>
    </row>
    <row r="33" spans="1:14" ht="15.75" hidden="1" customHeight="1">
      <c r="A33" s="33"/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1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customHeight="1">
      <c r="A34" s="33">
        <v>9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2"/>
        <v>1078.6914999999999</v>
      </c>
      <c r="J34" s="26"/>
      <c r="K34" s="8"/>
    </row>
    <row r="35" spans="1:14" ht="15.75" customHeight="1">
      <c r="A35" s="33">
        <v>10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2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1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1"/>
        <v>2.4294600000000002</v>
      </c>
      <c r="I37" s="13">
        <v>0</v>
      </c>
      <c r="J37" s="27"/>
    </row>
    <row r="38" spans="1:14" ht="15.75" hidden="1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hidden="1" customHeight="1">
      <c r="A39" s="33">
        <v>8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3">SUM(F39*G39/1000)</f>
        <v>13.060799999999999</v>
      </c>
      <c r="I39" s="13">
        <f t="shared" ref="I39:I45" si="4">F39/6*G39</f>
        <v>2176.7999999999997</v>
      </c>
      <c r="J39" s="27"/>
      <c r="L39" s="20"/>
      <c r="M39" s="21"/>
      <c r="N39" s="22"/>
    </row>
    <row r="40" spans="1:14" ht="15.75" hidden="1" customHeight="1">
      <c r="A40" s="33">
        <v>9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4"/>
        <v>915.97850000000005</v>
      </c>
      <c r="J40" s="27"/>
      <c r="L40" s="20"/>
      <c r="M40" s="21"/>
      <c r="N40" s="22"/>
    </row>
    <row r="41" spans="1:14" ht="15.75" hidden="1" customHeight="1">
      <c r="A41" s="33"/>
      <c r="B41" s="67" t="s">
        <v>123</v>
      </c>
      <c r="C41" s="68" t="s">
        <v>124</v>
      </c>
      <c r="D41" s="67" t="s">
        <v>130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v>0</v>
      </c>
      <c r="J41" s="27"/>
      <c r="L41" s="20"/>
      <c r="M41" s="21"/>
      <c r="N41" s="22"/>
    </row>
    <row r="42" spans="1:14" ht="15.75" hidden="1" customHeight="1">
      <c r="A42" s="33">
        <v>10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3"/>
        <v>8.9156542499999993</v>
      </c>
      <c r="I42" s="13">
        <f t="shared" si="4"/>
        <v>1485.9423750000001</v>
      </c>
      <c r="J42" s="27"/>
      <c r="L42" s="20"/>
      <c r="M42" s="21"/>
      <c r="N42" s="22"/>
    </row>
    <row r="43" spans="1:14" ht="47.25" hidden="1" customHeight="1">
      <c r="A43" s="33">
        <v>11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3"/>
        <v>17.69605425</v>
      </c>
      <c r="I43" s="13">
        <f t="shared" si="4"/>
        <v>2949.3423749999997</v>
      </c>
      <c r="J43" s="27"/>
      <c r="L43" s="20"/>
      <c r="M43" s="21"/>
      <c r="N43" s="22"/>
    </row>
    <row r="44" spans="1:14" ht="15.75" hidden="1" customHeight="1">
      <c r="A44" s="33">
        <v>12</v>
      </c>
      <c r="B44" s="67" t="s">
        <v>91</v>
      </c>
      <c r="C44" s="68" t="s">
        <v>90</v>
      </c>
      <c r="D44" s="67" t="s">
        <v>69</v>
      </c>
      <c r="E44" s="70">
        <v>81.5</v>
      </c>
      <c r="F44" s="70">
        <f>SUM(E44*45/1000)</f>
        <v>3.6675</v>
      </c>
      <c r="G44" s="70">
        <v>458.28</v>
      </c>
      <c r="H44" s="71">
        <f t="shared" si="3"/>
        <v>1.6807418999999999</v>
      </c>
      <c r="I44" s="13">
        <f t="shared" si="4"/>
        <v>280.12364999999994</v>
      </c>
      <c r="J44" s="27"/>
      <c r="L44" s="20"/>
      <c r="M44" s="21"/>
      <c r="N44" s="22"/>
    </row>
    <row r="45" spans="1:14" ht="15.75" hidden="1" customHeight="1">
      <c r="A45" s="33">
        <v>13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3"/>
        <v>0.76775400000000005</v>
      </c>
      <c r="I45" s="13">
        <f t="shared" si="4"/>
        <v>127.95899999999999</v>
      </c>
      <c r="J45" s="27"/>
      <c r="L45" s="20"/>
      <c r="M45" s="21"/>
      <c r="N45" s="22"/>
    </row>
    <row r="46" spans="1:14" ht="15.75" hidden="1" customHeight="1">
      <c r="A46" s="33"/>
      <c r="B46" s="73" t="s">
        <v>144</v>
      </c>
      <c r="C46" s="74"/>
      <c r="D46" s="73"/>
      <c r="E46" s="75"/>
      <c r="F46" s="76" t="s">
        <v>145</v>
      </c>
      <c r="G46" s="76"/>
      <c r="H46" s="77">
        <f>SUM(H39:H45)</f>
        <v>67.870875400000003</v>
      </c>
      <c r="I46" s="78"/>
      <c r="J46" s="27"/>
      <c r="L46" s="20"/>
      <c r="M46" s="21"/>
      <c r="N46" s="22"/>
    </row>
    <row r="47" spans="1:14" ht="15" hidden="1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hidden="1" customHeight="1">
      <c r="A48" s="33"/>
      <c r="B48" s="67" t="s">
        <v>132</v>
      </c>
      <c r="C48" s="68" t="s">
        <v>90</v>
      </c>
      <c r="D48" s="67" t="s">
        <v>42</v>
      </c>
      <c r="E48" s="69">
        <v>1080</v>
      </c>
      <c r="F48" s="70">
        <f>SUM(E48*2/1000)</f>
        <v>2.16</v>
      </c>
      <c r="G48" s="13">
        <v>865.61</v>
      </c>
      <c r="H48" s="71">
        <f t="shared" ref="H48:H56" si="5">SUM(F48*G48/1000)</f>
        <v>1.8697176000000002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7" t="s">
        <v>35</v>
      </c>
      <c r="C49" s="68" t="s">
        <v>90</v>
      </c>
      <c r="D49" s="67" t="s">
        <v>42</v>
      </c>
      <c r="E49" s="69">
        <v>39</v>
      </c>
      <c r="F49" s="70">
        <f>E49*2/1000</f>
        <v>7.8E-2</v>
      </c>
      <c r="G49" s="13">
        <v>619.46</v>
      </c>
      <c r="H49" s="71">
        <f t="shared" si="5"/>
        <v>4.8317880000000001E-2</v>
      </c>
      <c r="I49" s="13">
        <v>0</v>
      </c>
      <c r="J49" s="27"/>
      <c r="L49" s="20"/>
      <c r="M49" s="21"/>
      <c r="N49" s="22"/>
    </row>
    <row r="50" spans="1:22" ht="15.75" hidden="1" customHeight="1">
      <c r="A50" s="33"/>
      <c r="B50" s="67" t="s">
        <v>36</v>
      </c>
      <c r="C50" s="68" t="s">
        <v>90</v>
      </c>
      <c r="D50" s="67" t="s">
        <v>42</v>
      </c>
      <c r="E50" s="69">
        <v>1037</v>
      </c>
      <c r="F50" s="70">
        <f>SUM(E50*2/1000)</f>
        <v>2.0739999999999998</v>
      </c>
      <c r="G50" s="13">
        <v>619.46</v>
      </c>
      <c r="H50" s="71">
        <f t="shared" si="5"/>
        <v>1.2847600399999999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7" t="s">
        <v>37</v>
      </c>
      <c r="C51" s="68" t="s">
        <v>90</v>
      </c>
      <c r="D51" s="67" t="s">
        <v>42</v>
      </c>
      <c r="E51" s="69">
        <v>2274</v>
      </c>
      <c r="F51" s="70">
        <f>SUM(E51*2/1000)</f>
        <v>4.548</v>
      </c>
      <c r="G51" s="13">
        <v>648.64</v>
      </c>
      <c r="H51" s="71">
        <f t="shared" si="5"/>
        <v>2.95001472</v>
      </c>
      <c r="I51" s="13">
        <v>0</v>
      </c>
      <c r="J51" s="27"/>
      <c r="L51" s="20"/>
      <c r="M51" s="21"/>
      <c r="N51" s="22"/>
    </row>
    <row r="52" spans="1:22" ht="15.75" hidden="1" customHeight="1">
      <c r="A52" s="33"/>
      <c r="B52" s="67" t="s">
        <v>34</v>
      </c>
      <c r="C52" s="68" t="s">
        <v>53</v>
      </c>
      <c r="D52" s="67" t="s">
        <v>42</v>
      </c>
      <c r="E52" s="69">
        <v>83.04</v>
      </c>
      <c r="F52" s="70">
        <v>1.66</v>
      </c>
      <c r="G52" s="13">
        <v>77.84</v>
      </c>
      <c r="H52" s="71">
        <f>SUM(F52*G52/1000)</f>
        <v>0.12921440000000001</v>
      </c>
      <c r="I52" s="13">
        <v>0</v>
      </c>
      <c r="J52" s="27"/>
      <c r="L52" s="20"/>
      <c r="M52" s="21"/>
      <c r="N52" s="22"/>
    </row>
    <row r="53" spans="1:22" ht="15.75" hidden="1" customHeight="1">
      <c r="A53" s="33">
        <v>14</v>
      </c>
      <c r="B53" s="67" t="s">
        <v>56</v>
      </c>
      <c r="C53" s="68" t="s">
        <v>90</v>
      </c>
      <c r="D53" s="67" t="s">
        <v>153</v>
      </c>
      <c r="E53" s="69">
        <v>1728</v>
      </c>
      <c r="F53" s="70">
        <f>SUM(E53*5/1000)</f>
        <v>8.64</v>
      </c>
      <c r="G53" s="13">
        <v>1297.28</v>
      </c>
      <c r="H53" s="71">
        <f>SUM(F53*G53/1000)</f>
        <v>11.2084992</v>
      </c>
      <c r="I53" s="13">
        <f>F53/5*G53</f>
        <v>2241.6998400000002</v>
      </c>
      <c r="J53" s="27"/>
      <c r="L53" s="20"/>
      <c r="M53" s="21"/>
      <c r="N53" s="22"/>
    </row>
    <row r="54" spans="1:22" ht="31.5" hidden="1" customHeight="1">
      <c r="A54" s="33"/>
      <c r="B54" s="67" t="s">
        <v>92</v>
      </c>
      <c r="C54" s="68" t="s">
        <v>90</v>
      </c>
      <c r="D54" s="67" t="s">
        <v>42</v>
      </c>
      <c r="E54" s="69">
        <v>1728</v>
      </c>
      <c r="F54" s="70">
        <f>SUM(E54*2/1000)</f>
        <v>3.456</v>
      </c>
      <c r="G54" s="13">
        <v>1297.28</v>
      </c>
      <c r="H54" s="71">
        <f>SUM(G54*F54/1000)</f>
        <v>4.4833996799999998</v>
      </c>
      <c r="I54" s="13">
        <v>0</v>
      </c>
      <c r="J54" s="27"/>
      <c r="L54" s="20"/>
      <c r="M54" s="21"/>
      <c r="N54" s="22"/>
    </row>
    <row r="55" spans="1:22" ht="31.5" hidden="1" customHeight="1">
      <c r="A55" s="33"/>
      <c r="B55" s="67" t="s">
        <v>93</v>
      </c>
      <c r="C55" s="68" t="s">
        <v>38</v>
      </c>
      <c r="D55" s="67" t="s">
        <v>42</v>
      </c>
      <c r="E55" s="69">
        <v>15</v>
      </c>
      <c r="F55" s="70">
        <f>SUM(E55*2/100)</f>
        <v>0.3</v>
      </c>
      <c r="G55" s="13">
        <v>2918.89</v>
      </c>
      <c r="H55" s="71">
        <f>SUM(F55*G55/1000)</f>
        <v>0.87566699999999986</v>
      </c>
      <c r="I55" s="13">
        <v>0</v>
      </c>
      <c r="J55" s="27"/>
      <c r="L55" s="20"/>
      <c r="M55" s="21"/>
      <c r="N55" s="22"/>
    </row>
    <row r="56" spans="1:22" ht="15.75" hidden="1" customHeight="1">
      <c r="A56" s="33"/>
      <c r="B56" s="67" t="s">
        <v>39</v>
      </c>
      <c r="C56" s="68" t="s">
        <v>40</v>
      </c>
      <c r="D56" s="67" t="s">
        <v>42</v>
      </c>
      <c r="E56" s="69">
        <v>1</v>
      </c>
      <c r="F56" s="70">
        <v>0.02</v>
      </c>
      <c r="G56" s="13">
        <v>6042.12</v>
      </c>
      <c r="H56" s="71">
        <f t="shared" si="5"/>
        <v>0.1208424</v>
      </c>
      <c r="I56" s="13">
        <v>0</v>
      </c>
      <c r="J56" s="27"/>
      <c r="L56" s="20"/>
      <c r="M56" s="21"/>
      <c r="N56" s="22"/>
    </row>
    <row r="57" spans="1:22" ht="15.75" hidden="1" customHeight="1">
      <c r="A57" s="33">
        <v>15</v>
      </c>
      <c r="B57" s="67" t="s">
        <v>41</v>
      </c>
      <c r="C57" s="68" t="s">
        <v>109</v>
      </c>
      <c r="D57" s="67" t="s">
        <v>71</v>
      </c>
      <c r="E57" s="69">
        <v>90</v>
      </c>
      <c r="F57" s="70">
        <f>SUM(E57)*3</f>
        <v>270</v>
      </c>
      <c r="G57" s="13">
        <v>70.209999999999994</v>
      </c>
      <c r="H57" s="71">
        <f>SUM(F57*G57/1000)</f>
        <v>18.956699999999998</v>
      </c>
      <c r="I57" s="13">
        <f>E57*G57</f>
        <v>6318.9</v>
      </c>
      <c r="J57" s="27"/>
      <c r="L57" s="20"/>
      <c r="M57" s="21"/>
      <c r="N57" s="22"/>
    </row>
    <row r="58" spans="1:22" ht="15.75" customHeight="1">
      <c r="A58" s="158" t="s">
        <v>142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  <c r="M58" s="21"/>
      <c r="N58" s="22"/>
    </row>
    <row r="59" spans="1:22" ht="15.75" hidden="1" customHeight="1">
      <c r="A59" s="33"/>
      <c r="B59" s="93" t="s">
        <v>43</v>
      </c>
      <c r="C59" s="68"/>
      <c r="D59" s="67"/>
      <c r="E59" s="69"/>
      <c r="F59" s="70"/>
      <c r="G59" s="70"/>
      <c r="H59" s="71"/>
      <c r="I59" s="13"/>
      <c r="J59" s="27"/>
      <c r="L59" s="20"/>
      <c r="M59" s="21"/>
      <c r="N59" s="22"/>
    </row>
    <row r="60" spans="1:22" ht="31.5" hidden="1" customHeight="1">
      <c r="A60" s="33">
        <v>16</v>
      </c>
      <c r="B60" s="67" t="s">
        <v>146</v>
      </c>
      <c r="C60" s="68" t="s">
        <v>88</v>
      </c>
      <c r="D60" s="67" t="s">
        <v>110</v>
      </c>
      <c r="E60" s="69">
        <v>111</v>
      </c>
      <c r="F60" s="70">
        <f>SUM(E60*6/100)</f>
        <v>6.66</v>
      </c>
      <c r="G60" s="13">
        <v>1654.04</v>
      </c>
      <c r="H60" s="71">
        <f>SUM(F60*G60/1000)</f>
        <v>11.0159064</v>
      </c>
      <c r="I60" s="13">
        <f>F60/6*G60</f>
        <v>1835.9844000000001</v>
      </c>
      <c r="J60" s="27"/>
      <c r="L60" s="20"/>
    </row>
    <row r="61" spans="1:22" ht="15.75" customHeight="1">
      <c r="A61" s="33"/>
      <c r="B61" s="94" t="s">
        <v>44</v>
      </c>
      <c r="C61" s="81"/>
      <c r="D61" s="82"/>
      <c r="E61" s="83"/>
      <c r="F61" s="84"/>
      <c r="G61" s="13"/>
      <c r="H61" s="85"/>
      <c r="I61" s="13"/>
    </row>
    <row r="62" spans="1:22" ht="15.75" hidden="1" customHeight="1">
      <c r="A62" s="33"/>
      <c r="B62" s="82" t="s">
        <v>45</v>
      </c>
      <c r="C62" s="81" t="s">
        <v>53</v>
      </c>
      <c r="D62" s="82" t="s">
        <v>54</v>
      </c>
      <c r="E62" s="83">
        <v>330</v>
      </c>
      <c r="F62" s="84">
        <f>E62/100</f>
        <v>3.3</v>
      </c>
      <c r="G62" s="13">
        <v>848.37</v>
      </c>
      <c r="H62" s="85">
        <f>F62*G62/1000</f>
        <v>2.7996209999999997</v>
      </c>
      <c r="I62" s="13">
        <v>0</v>
      </c>
    </row>
    <row r="63" spans="1:22" ht="15.75" customHeight="1">
      <c r="A63" s="33">
        <v>11</v>
      </c>
      <c r="B63" s="82" t="s">
        <v>125</v>
      </c>
      <c r="C63" s="81" t="s">
        <v>25</v>
      </c>
      <c r="D63" s="82" t="s">
        <v>30</v>
      </c>
      <c r="E63" s="83">
        <v>130</v>
      </c>
      <c r="F63" s="86">
        <f>E63*12</f>
        <v>1560</v>
      </c>
      <c r="G63" s="61">
        <v>2.6</v>
      </c>
      <c r="H63" s="84">
        <f>F63*G63/1000</f>
        <v>4.056</v>
      </c>
      <c r="I63" s="13">
        <f>F63/12*G63</f>
        <v>338</v>
      </c>
    </row>
    <row r="64" spans="1:22" ht="15.75" customHeight="1">
      <c r="A64" s="33"/>
      <c r="B64" s="94" t="s">
        <v>46</v>
      </c>
      <c r="C64" s="81"/>
      <c r="D64" s="82"/>
      <c r="E64" s="83"/>
      <c r="F64" s="86"/>
      <c r="G64" s="86"/>
      <c r="H64" s="84" t="s">
        <v>145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33">
        <v>12</v>
      </c>
      <c r="B65" s="14" t="s">
        <v>47</v>
      </c>
      <c r="C65" s="16" t="s">
        <v>109</v>
      </c>
      <c r="D65" s="14" t="s">
        <v>130</v>
      </c>
      <c r="E65" s="19">
        <v>10</v>
      </c>
      <c r="F65" s="70">
        <v>10</v>
      </c>
      <c r="G65" s="13">
        <v>237.74</v>
      </c>
      <c r="H65" s="87">
        <f t="shared" ref="H65:H78" si="6">SUM(F65*G65/1000)</f>
        <v>2.3774000000000002</v>
      </c>
      <c r="I65" s="13">
        <f>G65</f>
        <v>237.74</v>
      </c>
      <c r="J65" s="29"/>
      <c r="K65" s="29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3"/>
      <c r="B66" s="14" t="s">
        <v>48</v>
      </c>
      <c r="C66" s="16" t="s">
        <v>109</v>
      </c>
      <c r="D66" s="14" t="s">
        <v>130</v>
      </c>
      <c r="E66" s="19">
        <v>5</v>
      </c>
      <c r="F66" s="70">
        <v>5</v>
      </c>
      <c r="G66" s="13">
        <v>81.510000000000005</v>
      </c>
      <c r="H66" s="87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3"/>
      <c r="B67" s="14" t="s">
        <v>49</v>
      </c>
      <c r="C67" s="16" t="s">
        <v>111</v>
      </c>
      <c r="D67" s="14" t="s">
        <v>54</v>
      </c>
      <c r="E67" s="69">
        <v>13287</v>
      </c>
      <c r="F67" s="13">
        <f>SUM(E67/100)</f>
        <v>132.87</v>
      </c>
      <c r="G67" s="13">
        <v>226.79</v>
      </c>
      <c r="H67" s="87">
        <f t="shared" si="6"/>
        <v>30.133587299999999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1"/>
      <c r="S67" s="161"/>
      <c r="T67" s="161"/>
      <c r="U67" s="161"/>
    </row>
    <row r="68" spans="1:21" ht="15.75" hidden="1" customHeight="1">
      <c r="A68" s="33"/>
      <c r="B68" s="14" t="s">
        <v>50</v>
      </c>
      <c r="C68" s="16" t="s">
        <v>112</v>
      </c>
      <c r="D68" s="14"/>
      <c r="E68" s="69">
        <v>13287</v>
      </c>
      <c r="F68" s="13">
        <f>SUM(E68/1000)</f>
        <v>13.287000000000001</v>
      </c>
      <c r="G68" s="13">
        <v>176.61</v>
      </c>
      <c r="H68" s="87">
        <f t="shared" si="6"/>
        <v>2.3466170700000002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3"/>
      <c r="B69" s="14" t="s">
        <v>51</v>
      </c>
      <c r="C69" s="16" t="s">
        <v>77</v>
      </c>
      <c r="D69" s="14" t="s">
        <v>54</v>
      </c>
      <c r="E69" s="69">
        <v>2110</v>
      </c>
      <c r="F69" s="13">
        <f>SUM(E69/100)</f>
        <v>21.1</v>
      </c>
      <c r="G69" s="13">
        <v>2217.7800000000002</v>
      </c>
      <c r="H69" s="87">
        <f>SUM(F69*G69/1000)</f>
        <v>46.795158000000008</v>
      </c>
      <c r="I69" s="13">
        <v>0</v>
      </c>
    </row>
    <row r="70" spans="1:21" ht="15.75" hidden="1" customHeight="1">
      <c r="A70" s="33"/>
      <c r="B70" s="88" t="s">
        <v>113</v>
      </c>
      <c r="C70" s="16" t="s">
        <v>33</v>
      </c>
      <c r="D70" s="14"/>
      <c r="E70" s="69">
        <v>8.6</v>
      </c>
      <c r="F70" s="13">
        <f>SUM(E70)</f>
        <v>8.6</v>
      </c>
      <c r="G70" s="13">
        <v>42.67</v>
      </c>
      <c r="H70" s="87">
        <f t="shared" si="6"/>
        <v>0.36696200000000001</v>
      </c>
      <c r="I70" s="13">
        <v>0</v>
      </c>
    </row>
    <row r="71" spans="1:21" ht="15.75" hidden="1" customHeight="1">
      <c r="A71" s="33"/>
      <c r="B71" s="88" t="s">
        <v>114</v>
      </c>
      <c r="C71" s="16" t="s">
        <v>33</v>
      </c>
      <c r="D71" s="14"/>
      <c r="E71" s="69">
        <v>8.6</v>
      </c>
      <c r="F71" s="13">
        <f>SUM(E71)</f>
        <v>8.6</v>
      </c>
      <c r="G71" s="13">
        <v>39.81</v>
      </c>
      <c r="H71" s="87">
        <f t="shared" si="6"/>
        <v>0.342366</v>
      </c>
      <c r="I71" s="13">
        <v>0</v>
      </c>
    </row>
    <row r="72" spans="1:21" ht="15.75" hidden="1" customHeight="1">
      <c r="A72" s="33"/>
      <c r="B72" s="14" t="s">
        <v>57</v>
      </c>
      <c r="C72" s="16" t="s">
        <v>58</v>
      </c>
      <c r="D72" s="14" t="s">
        <v>54</v>
      </c>
      <c r="E72" s="19">
        <v>6</v>
      </c>
      <c r="F72" s="70">
        <v>6</v>
      </c>
      <c r="G72" s="13">
        <v>53.32</v>
      </c>
      <c r="H72" s="87">
        <f t="shared" si="6"/>
        <v>0.31992000000000004</v>
      </c>
      <c r="I72" s="13">
        <v>0</v>
      </c>
    </row>
    <row r="73" spans="1:21" ht="15.75" hidden="1" customHeight="1">
      <c r="A73" s="33"/>
      <c r="B73" s="54" t="s">
        <v>72</v>
      </c>
      <c r="C73" s="16"/>
      <c r="D73" s="14"/>
      <c r="E73" s="19"/>
      <c r="F73" s="13"/>
      <c r="G73" s="13"/>
      <c r="H73" s="87" t="s">
        <v>145</v>
      </c>
      <c r="I73" s="13"/>
    </row>
    <row r="74" spans="1:21" ht="15.75" hidden="1" customHeight="1">
      <c r="A74" s="33"/>
      <c r="B74" s="14" t="s">
        <v>73</v>
      </c>
      <c r="C74" s="16" t="s">
        <v>75</v>
      </c>
      <c r="D74" s="14"/>
      <c r="E74" s="19">
        <v>2</v>
      </c>
      <c r="F74" s="13">
        <v>0.2</v>
      </c>
      <c r="G74" s="13">
        <v>536.23</v>
      </c>
      <c r="H74" s="87">
        <f t="shared" si="6"/>
        <v>0.10724600000000001</v>
      </c>
      <c r="I74" s="13">
        <v>0</v>
      </c>
    </row>
    <row r="75" spans="1:21" ht="15.75" hidden="1" customHeight="1">
      <c r="A75" s="33"/>
      <c r="B75" s="14" t="s">
        <v>74</v>
      </c>
      <c r="C75" s="16" t="s">
        <v>31</v>
      </c>
      <c r="D75" s="14"/>
      <c r="E75" s="19">
        <v>2</v>
      </c>
      <c r="F75" s="61">
        <v>2</v>
      </c>
      <c r="G75" s="13">
        <v>911.85</v>
      </c>
      <c r="H75" s="87">
        <f>F75*G75/1000</f>
        <v>1.8237000000000001</v>
      </c>
      <c r="I75" s="13">
        <v>0</v>
      </c>
    </row>
    <row r="76" spans="1:21" ht="15.75" hidden="1" customHeight="1">
      <c r="A76" s="33"/>
      <c r="B76" s="14" t="s">
        <v>116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87">
        <f>G76*F76/1000</f>
        <v>0.38324999999999998</v>
      </c>
      <c r="I76" s="13">
        <v>0</v>
      </c>
    </row>
    <row r="77" spans="1:21" ht="15.75" hidden="1" customHeight="1">
      <c r="A77" s="33"/>
      <c r="B77" s="90" t="s">
        <v>76</v>
      </c>
      <c r="C77" s="16"/>
      <c r="D77" s="14"/>
      <c r="E77" s="19"/>
      <c r="F77" s="13"/>
      <c r="G77" s="13" t="s">
        <v>145</v>
      </c>
      <c r="H77" s="87" t="s">
        <v>145</v>
      </c>
      <c r="I77" s="13"/>
    </row>
    <row r="78" spans="1:21" ht="15.75" hidden="1" customHeight="1">
      <c r="A78" s="33"/>
      <c r="B78" s="47" t="s">
        <v>133</v>
      </c>
      <c r="C78" s="16" t="s">
        <v>77</v>
      </c>
      <c r="D78" s="14"/>
      <c r="E78" s="19"/>
      <c r="F78" s="13">
        <v>0.5</v>
      </c>
      <c r="G78" s="13">
        <v>2949.85</v>
      </c>
      <c r="H78" s="87">
        <f t="shared" si="6"/>
        <v>1.474925</v>
      </c>
      <c r="I78" s="13">
        <v>0</v>
      </c>
    </row>
    <row r="79" spans="1:21" ht="15.75" hidden="1" customHeight="1">
      <c r="A79" s="33"/>
      <c r="B79" s="97" t="s">
        <v>94</v>
      </c>
      <c r="C79" s="97"/>
      <c r="D79" s="97"/>
      <c r="E79" s="97"/>
      <c r="F79" s="97"/>
      <c r="G79" s="78"/>
      <c r="H79" s="91">
        <f>SUM(H60:H78)</f>
        <v>104.75020877000001</v>
      </c>
      <c r="I79" s="78"/>
    </row>
    <row r="80" spans="1:21" ht="15.75" hidden="1" customHeight="1">
      <c r="A80" s="33"/>
      <c r="B80" s="95" t="s">
        <v>115</v>
      </c>
      <c r="C80" s="24"/>
      <c r="D80" s="23"/>
      <c r="E80" s="62"/>
      <c r="F80" s="96">
        <v>1</v>
      </c>
      <c r="G80" s="13">
        <v>7634.7</v>
      </c>
      <c r="H80" s="87">
        <f>G80*F80/1000</f>
        <v>7.6346999999999996</v>
      </c>
      <c r="I80" s="13">
        <v>0</v>
      </c>
    </row>
    <row r="81" spans="1:9" ht="15" customHeight="1">
      <c r="A81" s="162" t="s">
        <v>141</v>
      </c>
      <c r="B81" s="163"/>
      <c r="C81" s="163"/>
      <c r="D81" s="163"/>
      <c r="E81" s="163"/>
      <c r="F81" s="163"/>
      <c r="G81" s="163"/>
      <c r="H81" s="163"/>
      <c r="I81" s="164"/>
    </row>
    <row r="82" spans="1:9" ht="15.75" customHeight="1">
      <c r="A82" s="33">
        <v>13</v>
      </c>
      <c r="B82" s="67" t="s">
        <v>117</v>
      </c>
      <c r="C82" s="16" t="s">
        <v>55</v>
      </c>
      <c r="D82" s="92" t="s">
        <v>163</v>
      </c>
      <c r="E82" s="13">
        <v>2626.5</v>
      </c>
      <c r="F82" s="13">
        <f>SUM(E82*12)</f>
        <v>31518</v>
      </c>
      <c r="G82" s="13">
        <v>2.2400000000000002</v>
      </c>
      <c r="H82" s="87">
        <f>SUM(F82*G82/1000)</f>
        <v>70.600320000000011</v>
      </c>
      <c r="I82" s="13">
        <f>F82/12*G82</f>
        <v>5883.3600000000006</v>
      </c>
    </row>
    <row r="83" spans="1:9" ht="31.5" customHeight="1">
      <c r="A83" s="33">
        <v>14</v>
      </c>
      <c r="B83" s="14" t="s">
        <v>78</v>
      </c>
      <c r="C83" s="16"/>
      <c r="D83" s="92" t="s">
        <v>163</v>
      </c>
      <c r="E83" s="69">
        <f>E82</f>
        <v>2626.5</v>
      </c>
      <c r="F83" s="13">
        <f>E83*12</f>
        <v>31518</v>
      </c>
      <c r="G83" s="13">
        <v>1.74</v>
      </c>
      <c r="H83" s="87">
        <f>F83*G83/1000</f>
        <v>54.841320000000003</v>
      </c>
      <c r="I83" s="13">
        <f>F83/12*G83</f>
        <v>4570.1099999999997</v>
      </c>
    </row>
    <row r="84" spans="1:9" ht="15.75" customHeight="1">
      <c r="A84" s="33"/>
      <c r="B84" s="40" t="s">
        <v>81</v>
      </c>
      <c r="C84" s="90"/>
      <c r="D84" s="89"/>
      <c r="E84" s="78"/>
      <c r="F84" s="78"/>
      <c r="G84" s="78"/>
      <c r="H84" s="91">
        <f>H83</f>
        <v>54.841320000000003</v>
      </c>
      <c r="I84" s="78">
        <f>I16+I17+I18+I20+I27+I28+I31+I32+I34+I35+I63+I65+I82+I83</f>
        <v>33854.92098266667</v>
      </c>
    </row>
    <row r="85" spans="1:9" ht="15.75" customHeight="1">
      <c r="A85" s="173" t="s">
        <v>60</v>
      </c>
      <c r="B85" s="174"/>
      <c r="C85" s="174"/>
      <c r="D85" s="174"/>
      <c r="E85" s="174"/>
      <c r="F85" s="174"/>
      <c r="G85" s="174"/>
      <c r="H85" s="174"/>
      <c r="I85" s="175"/>
    </row>
    <row r="86" spans="1:9" ht="15.75" customHeight="1">
      <c r="A86" s="33">
        <v>15</v>
      </c>
      <c r="B86" s="50" t="s">
        <v>126</v>
      </c>
      <c r="C86" s="53" t="s">
        <v>109</v>
      </c>
      <c r="D86" s="14"/>
      <c r="E86" s="19"/>
      <c r="F86" s="13">
        <v>552</v>
      </c>
      <c r="G86" s="13">
        <v>53.42</v>
      </c>
      <c r="H86" s="87">
        <f>G86*F86/1000</f>
        <v>29.487839999999998</v>
      </c>
      <c r="I86" s="13">
        <f>G86*46</f>
        <v>2457.3200000000002</v>
      </c>
    </row>
    <row r="87" spans="1:9" ht="31.5" customHeight="1">
      <c r="A87" s="33">
        <v>16</v>
      </c>
      <c r="B87" s="51" t="s">
        <v>178</v>
      </c>
      <c r="C87" s="52" t="s">
        <v>29</v>
      </c>
      <c r="D87" s="39"/>
      <c r="E87" s="18"/>
      <c r="F87" s="104">
        <v>4.0000000000000001E-3</v>
      </c>
      <c r="G87" s="37">
        <v>1591.6</v>
      </c>
      <c r="H87" s="105">
        <f>G87*F87/1000</f>
        <v>6.3663999999999995E-3</v>
      </c>
      <c r="I87" s="13">
        <f>G87*0.001</f>
        <v>1.5915999999999999</v>
      </c>
    </row>
    <row r="88" spans="1:9" ht="16.5" customHeight="1">
      <c r="A88" s="33"/>
      <c r="B88" s="45" t="s">
        <v>52</v>
      </c>
      <c r="C88" s="41"/>
      <c r="D88" s="48"/>
      <c r="E88" s="41">
        <v>1</v>
      </c>
      <c r="F88" s="41"/>
      <c r="G88" s="41"/>
      <c r="H88" s="41"/>
      <c r="I88" s="35">
        <f>SUM(I86:I87)</f>
        <v>2458.9116000000004</v>
      </c>
    </row>
    <row r="89" spans="1:9" ht="15.75" customHeight="1">
      <c r="A89" s="33"/>
      <c r="B89" s="47" t="s">
        <v>79</v>
      </c>
      <c r="C89" s="15"/>
      <c r="D89" s="15"/>
      <c r="E89" s="42"/>
      <c r="F89" s="42"/>
      <c r="G89" s="43"/>
      <c r="H89" s="43"/>
      <c r="I89" s="18">
        <v>0</v>
      </c>
    </row>
    <row r="90" spans="1:9" ht="15.75" customHeight="1">
      <c r="A90" s="49"/>
      <c r="B90" s="46" t="s">
        <v>174</v>
      </c>
      <c r="C90" s="36"/>
      <c r="D90" s="36"/>
      <c r="E90" s="36"/>
      <c r="F90" s="36"/>
      <c r="G90" s="36"/>
      <c r="H90" s="36"/>
      <c r="I90" s="44">
        <f>I84+I88</f>
        <v>36313.83258266667</v>
      </c>
    </row>
    <row r="91" spans="1:9" ht="15.75" customHeight="1">
      <c r="A91" s="165" t="s">
        <v>194</v>
      </c>
      <c r="B91" s="165"/>
      <c r="C91" s="165"/>
      <c r="D91" s="165"/>
      <c r="E91" s="165"/>
      <c r="F91" s="165"/>
      <c r="G91" s="165"/>
      <c r="H91" s="165"/>
      <c r="I91" s="165"/>
    </row>
    <row r="92" spans="1:9" ht="15.75">
      <c r="A92" s="60"/>
      <c r="B92" s="166" t="s">
        <v>195</v>
      </c>
      <c r="C92" s="166"/>
      <c r="D92" s="166"/>
      <c r="E92" s="166"/>
      <c r="F92" s="166"/>
      <c r="G92" s="166"/>
      <c r="H92" s="65"/>
      <c r="I92" s="3"/>
    </row>
    <row r="93" spans="1:9">
      <c r="A93" s="59"/>
      <c r="B93" s="167" t="s">
        <v>6</v>
      </c>
      <c r="C93" s="167"/>
      <c r="D93" s="167"/>
      <c r="E93" s="167"/>
      <c r="F93" s="167"/>
      <c r="G93" s="167"/>
      <c r="H93" s="28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68" t="s">
        <v>7</v>
      </c>
      <c r="B95" s="168"/>
      <c r="C95" s="168"/>
      <c r="D95" s="168"/>
      <c r="E95" s="168"/>
      <c r="F95" s="168"/>
      <c r="G95" s="168"/>
      <c r="H95" s="168"/>
      <c r="I95" s="168"/>
    </row>
    <row r="96" spans="1:9" ht="15.75">
      <c r="A96" s="168" t="s">
        <v>8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>
      <c r="A97" s="169" t="s">
        <v>61</v>
      </c>
      <c r="B97" s="169"/>
      <c r="C97" s="169"/>
      <c r="D97" s="169"/>
      <c r="E97" s="169"/>
      <c r="F97" s="169"/>
      <c r="G97" s="169"/>
      <c r="H97" s="169"/>
      <c r="I97" s="169"/>
    </row>
    <row r="98" spans="1:9" ht="15.75">
      <c r="A98" s="11"/>
    </row>
    <row r="99" spans="1:9" ht="15.75">
      <c r="A99" s="170" t="s">
        <v>9</v>
      </c>
      <c r="B99" s="170"/>
      <c r="C99" s="170"/>
      <c r="D99" s="170"/>
      <c r="E99" s="170"/>
      <c r="F99" s="170"/>
      <c r="G99" s="170"/>
      <c r="H99" s="170"/>
      <c r="I99" s="170"/>
    </row>
    <row r="100" spans="1:9" ht="15.75" customHeight="1">
      <c r="A100" s="4"/>
    </row>
    <row r="101" spans="1:9" ht="15.75">
      <c r="B101" s="56" t="s">
        <v>10</v>
      </c>
      <c r="C101" s="171" t="s">
        <v>140</v>
      </c>
      <c r="D101" s="171"/>
      <c r="E101" s="171"/>
      <c r="F101" s="63"/>
      <c r="I101" s="58"/>
    </row>
    <row r="102" spans="1:9">
      <c r="A102" s="59"/>
      <c r="C102" s="167" t="s">
        <v>11</v>
      </c>
      <c r="D102" s="167"/>
      <c r="E102" s="167"/>
      <c r="F102" s="28"/>
      <c r="I102" s="57" t="s">
        <v>12</v>
      </c>
    </row>
    <row r="103" spans="1:9" ht="15.75" customHeight="1">
      <c r="A103" s="29"/>
      <c r="C103" s="12"/>
      <c r="D103" s="12"/>
      <c r="G103" s="12"/>
      <c r="H103" s="12"/>
    </row>
    <row r="104" spans="1:9" ht="15.75" customHeight="1">
      <c r="B104" s="56" t="s">
        <v>13</v>
      </c>
      <c r="C104" s="172"/>
      <c r="D104" s="172"/>
      <c r="E104" s="172"/>
      <c r="F104" s="64"/>
      <c r="I104" s="58"/>
    </row>
    <row r="105" spans="1:9" ht="15.75" customHeight="1">
      <c r="A105" s="59"/>
      <c r="C105" s="161" t="s">
        <v>11</v>
      </c>
      <c r="D105" s="161"/>
      <c r="E105" s="161"/>
      <c r="F105" s="59"/>
      <c r="I105" s="57" t="s">
        <v>12</v>
      </c>
    </row>
    <row r="106" spans="1:9" ht="15.75">
      <c r="A106" s="4" t="s">
        <v>14</v>
      </c>
    </row>
    <row r="107" spans="1:9">
      <c r="A107" s="176" t="s">
        <v>15</v>
      </c>
      <c r="B107" s="176"/>
      <c r="C107" s="176"/>
      <c r="D107" s="176"/>
      <c r="E107" s="176"/>
      <c r="F107" s="176"/>
      <c r="G107" s="176"/>
      <c r="H107" s="176"/>
      <c r="I107" s="176"/>
    </row>
    <row r="108" spans="1:9" ht="45" customHeight="1">
      <c r="A108" s="177" t="s">
        <v>16</v>
      </c>
      <c r="B108" s="177"/>
      <c r="C108" s="177"/>
      <c r="D108" s="177"/>
      <c r="E108" s="177"/>
      <c r="F108" s="177"/>
      <c r="G108" s="177"/>
      <c r="H108" s="177"/>
      <c r="I108" s="177"/>
    </row>
    <row r="109" spans="1:9" ht="30" customHeight="1">
      <c r="A109" s="177" t="s">
        <v>17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30" customHeight="1">
      <c r="A110" s="177" t="s">
        <v>21</v>
      </c>
      <c r="B110" s="177"/>
      <c r="C110" s="177"/>
      <c r="D110" s="177"/>
      <c r="E110" s="177"/>
      <c r="F110" s="177"/>
      <c r="G110" s="177"/>
      <c r="H110" s="177"/>
      <c r="I110" s="177"/>
    </row>
    <row r="111" spans="1:9" ht="15" customHeight="1">
      <c r="A111" s="177" t="s">
        <v>20</v>
      </c>
      <c r="B111" s="177"/>
      <c r="C111" s="177"/>
      <c r="D111" s="177"/>
      <c r="E111" s="177"/>
      <c r="F111" s="177"/>
      <c r="G111" s="177"/>
      <c r="H111" s="177"/>
      <c r="I111" s="177"/>
    </row>
  </sheetData>
  <autoFilter ref="I12:I62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9:I29"/>
    <mergeCell ref="A47:I47"/>
    <mergeCell ref="A58:I58"/>
    <mergeCell ref="A91:I91"/>
    <mergeCell ref="B92:G92"/>
    <mergeCell ref="B93:G93"/>
    <mergeCell ref="A95:I95"/>
    <mergeCell ref="A96:I96"/>
    <mergeCell ref="A85:I85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159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196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42947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.7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hidden="1" customHeight="1">
      <c r="A19" s="33"/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customHeight="1">
      <c r="A21" s="33">
        <v>5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hidden="1" customHeight="1">
      <c r="A22" s="33"/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7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15.75" customHeight="1">
      <c r="A31" s="33">
        <v>8</v>
      </c>
      <c r="B31" s="67" t="s">
        <v>107</v>
      </c>
      <c r="C31" s="68" t="s">
        <v>90</v>
      </c>
      <c r="D31" s="67" t="s">
        <v>187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1">SUM(F31*G31/1000)</f>
        <v>5.7627569999999997</v>
      </c>
      <c r="I31" s="13">
        <f t="shared" ref="I31:I35" si="2">F31/6*G31</f>
        <v>960.45949999999993</v>
      </c>
      <c r="J31" s="26"/>
      <c r="K31" s="8"/>
      <c r="L31" s="8"/>
      <c r="M31" s="8"/>
    </row>
    <row r="32" spans="1:13" ht="31.5" customHeight="1">
      <c r="A32" s="33">
        <v>9</v>
      </c>
      <c r="B32" s="67" t="s">
        <v>122</v>
      </c>
      <c r="C32" s="68" t="s">
        <v>90</v>
      </c>
      <c r="D32" s="67" t="s">
        <v>188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1"/>
        <v>1.7575833600000001</v>
      </c>
      <c r="I32" s="13">
        <f t="shared" si="2"/>
        <v>292.93056000000007</v>
      </c>
      <c r="J32" s="26"/>
      <c r="K32" s="8"/>
      <c r="L32" s="8"/>
      <c r="M32" s="8"/>
    </row>
    <row r="33" spans="1:14" ht="15.75" hidden="1" customHeight="1">
      <c r="A33" s="33"/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1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customHeight="1">
      <c r="A34" s="33">
        <v>10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2"/>
        <v>1078.6914999999999</v>
      </c>
      <c r="J34" s="26"/>
      <c r="K34" s="8"/>
    </row>
    <row r="35" spans="1:14" ht="15.75" customHeight="1">
      <c r="A35" s="33">
        <v>11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2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1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1"/>
        <v>2.4294600000000002</v>
      </c>
      <c r="I37" s="13">
        <v>0</v>
      </c>
      <c r="J37" s="27"/>
    </row>
    <row r="38" spans="1:14" ht="15.75" hidden="1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hidden="1" customHeight="1">
      <c r="A39" s="33">
        <v>8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3">SUM(F39*G39/1000)</f>
        <v>13.060799999999999</v>
      </c>
      <c r="I39" s="13">
        <f t="shared" ref="I39:I45" si="4">F39/6*G39</f>
        <v>2176.7999999999997</v>
      </c>
      <c r="J39" s="27"/>
      <c r="L39" s="20"/>
      <c r="M39" s="21"/>
      <c r="N39" s="22"/>
    </row>
    <row r="40" spans="1:14" ht="15.75" hidden="1" customHeight="1">
      <c r="A40" s="33">
        <v>9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4"/>
        <v>915.97850000000005</v>
      </c>
      <c r="J40" s="27"/>
      <c r="L40" s="20"/>
      <c r="M40" s="21"/>
      <c r="N40" s="22"/>
    </row>
    <row r="41" spans="1:14" ht="15.75" hidden="1" customHeight="1">
      <c r="A41" s="33"/>
      <c r="B41" s="67" t="s">
        <v>123</v>
      </c>
      <c r="C41" s="68" t="s">
        <v>124</v>
      </c>
      <c r="D41" s="67" t="s">
        <v>130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v>0</v>
      </c>
      <c r="J41" s="27"/>
      <c r="L41" s="20"/>
      <c r="M41" s="21"/>
      <c r="N41" s="22"/>
    </row>
    <row r="42" spans="1:14" ht="15.75" hidden="1" customHeight="1">
      <c r="A42" s="33">
        <v>10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3"/>
        <v>8.9156542499999993</v>
      </c>
      <c r="I42" s="13">
        <f t="shared" si="4"/>
        <v>1485.9423750000001</v>
      </c>
      <c r="J42" s="27"/>
      <c r="L42" s="20"/>
      <c r="M42" s="21"/>
      <c r="N42" s="22"/>
    </row>
    <row r="43" spans="1:14" ht="47.25" hidden="1" customHeight="1">
      <c r="A43" s="33">
        <v>11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3"/>
        <v>17.69605425</v>
      </c>
      <c r="I43" s="13">
        <f t="shared" si="4"/>
        <v>2949.3423749999997</v>
      </c>
      <c r="J43" s="27"/>
      <c r="L43" s="20"/>
      <c r="M43" s="21"/>
      <c r="N43" s="22"/>
    </row>
    <row r="44" spans="1:14" ht="15.75" hidden="1" customHeight="1">
      <c r="A44" s="33">
        <v>12</v>
      </c>
      <c r="B44" s="67" t="s">
        <v>91</v>
      </c>
      <c r="C44" s="68" t="s">
        <v>90</v>
      </c>
      <c r="D44" s="67" t="s">
        <v>69</v>
      </c>
      <c r="E44" s="70">
        <v>81.5</v>
      </c>
      <c r="F44" s="70">
        <f>SUM(E44*45/1000)</f>
        <v>3.6675</v>
      </c>
      <c r="G44" s="70">
        <v>458.28</v>
      </c>
      <c r="H44" s="71">
        <f t="shared" si="3"/>
        <v>1.6807418999999999</v>
      </c>
      <c r="I44" s="13">
        <f t="shared" si="4"/>
        <v>280.12364999999994</v>
      </c>
      <c r="J44" s="27"/>
      <c r="L44" s="20"/>
      <c r="M44" s="21"/>
      <c r="N44" s="22"/>
    </row>
    <row r="45" spans="1:14" ht="15.75" hidden="1" customHeight="1">
      <c r="A45" s="33">
        <v>13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3"/>
        <v>0.76775400000000005</v>
      </c>
      <c r="I45" s="13">
        <f t="shared" si="4"/>
        <v>127.95899999999999</v>
      </c>
      <c r="J45" s="27"/>
      <c r="L45" s="20"/>
      <c r="M45" s="21"/>
      <c r="N45" s="22"/>
    </row>
    <row r="46" spans="1:14" ht="15.75" hidden="1" customHeight="1">
      <c r="A46" s="33"/>
      <c r="B46" s="73" t="s">
        <v>144</v>
      </c>
      <c r="C46" s="74"/>
      <c r="D46" s="73"/>
      <c r="E46" s="75"/>
      <c r="F46" s="76" t="s">
        <v>145</v>
      </c>
      <c r="G46" s="76"/>
      <c r="H46" s="77">
        <f>SUM(H39:H45)</f>
        <v>67.870875400000003</v>
      </c>
      <c r="I46" s="78"/>
      <c r="J46" s="27"/>
      <c r="L46" s="20"/>
      <c r="M46" s="21"/>
      <c r="N46" s="22"/>
    </row>
    <row r="47" spans="1:14" ht="15" hidden="1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hidden="1" customHeight="1">
      <c r="A48" s="33"/>
      <c r="B48" s="67" t="s">
        <v>132</v>
      </c>
      <c r="C48" s="68" t="s">
        <v>90</v>
      </c>
      <c r="D48" s="67" t="s">
        <v>42</v>
      </c>
      <c r="E48" s="69">
        <v>1080</v>
      </c>
      <c r="F48" s="70">
        <f>SUM(E48*2/1000)</f>
        <v>2.16</v>
      </c>
      <c r="G48" s="13">
        <v>865.61</v>
      </c>
      <c r="H48" s="71">
        <f t="shared" ref="H48:H56" si="5">SUM(F48*G48/1000)</f>
        <v>1.8697176000000002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7" t="s">
        <v>35</v>
      </c>
      <c r="C49" s="68" t="s">
        <v>90</v>
      </c>
      <c r="D49" s="67" t="s">
        <v>42</v>
      </c>
      <c r="E49" s="69">
        <v>39</v>
      </c>
      <c r="F49" s="70">
        <f>E49*2/1000</f>
        <v>7.8E-2</v>
      </c>
      <c r="G49" s="13">
        <v>619.46</v>
      </c>
      <c r="H49" s="71">
        <f t="shared" si="5"/>
        <v>4.8317880000000001E-2</v>
      </c>
      <c r="I49" s="13">
        <v>0</v>
      </c>
      <c r="J49" s="27"/>
      <c r="L49" s="20"/>
      <c r="M49" s="21"/>
      <c r="N49" s="22"/>
    </row>
    <row r="50" spans="1:22" ht="15.75" hidden="1" customHeight="1">
      <c r="A50" s="33"/>
      <c r="B50" s="67" t="s">
        <v>36</v>
      </c>
      <c r="C50" s="68" t="s">
        <v>90</v>
      </c>
      <c r="D50" s="67" t="s">
        <v>42</v>
      </c>
      <c r="E50" s="69">
        <v>1037</v>
      </c>
      <c r="F50" s="70">
        <f>SUM(E50*2/1000)</f>
        <v>2.0739999999999998</v>
      </c>
      <c r="G50" s="13">
        <v>619.46</v>
      </c>
      <c r="H50" s="71">
        <f t="shared" si="5"/>
        <v>1.2847600399999999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7" t="s">
        <v>37</v>
      </c>
      <c r="C51" s="68" t="s">
        <v>90</v>
      </c>
      <c r="D51" s="67" t="s">
        <v>42</v>
      </c>
      <c r="E51" s="69">
        <v>2274</v>
      </c>
      <c r="F51" s="70">
        <f>SUM(E51*2/1000)</f>
        <v>4.548</v>
      </c>
      <c r="G51" s="13">
        <v>648.64</v>
      </c>
      <c r="H51" s="71">
        <f t="shared" si="5"/>
        <v>2.95001472</v>
      </c>
      <c r="I51" s="13">
        <v>0</v>
      </c>
      <c r="J51" s="27"/>
      <c r="L51" s="20"/>
      <c r="M51" s="21"/>
      <c r="N51" s="22"/>
    </row>
    <row r="52" spans="1:22" ht="15.75" hidden="1" customHeight="1">
      <c r="A52" s="33"/>
      <c r="B52" s="67" t="s">
        <v>34</v>
      </c>
      <c r="C52" s="68" t="s">
        <v>53</v>
      </c>
      <c r="D52" s="67" t="s">
        <v>42</v>
      </c>
      <c r="E52" s="69">
        <v>83.04</v>
      </c>
      <c r="F52" s="70">
        <v>1.66</v>
      </c>
      <c r="G52" s="13">
        <v>77.84</v>
      </c>
      <c r="H52" s="71">
        <f>SUM(F52*G52/1000)</f>
        <v>0.12921440000000001</v>
      </c>
      <c r="I52" s="13">
        <v>0</v>
      </c>
      <c r="J52" s="27"/>
      <c r="L52" s="20"/>
      <c r="M52" s="21"/>
      <c r="N52" s="22"/>
    </row>
    <row r="53" spans="1:22" ht="15.75" hidden="1" customHeight="1">
      <c r="A53" s="33">
        <v>14</v>
      </c>
      <c r="B53" s="67" t="s">
        <v>56</v>
      </c>
      <c r="C53" s="68" t="s">
        <v>90</v>
      </c>
      <c r="D53" s="67" t="s">
        <v>153</v>
      </c>
      <c r="E53" s="69">
        <v>1728</v>
      </c>
      <c r="F53" s="70">
        <f>SUM(E53*5/1000)</f>
        <v>8.64</v>
      </c>
      <c r="G53" s="13">
        <v>1297.28</v>
      </c>
      <c r="H53" s="71">
        <f>SUM(F53*G53/1000)</f>
        <v>11.2084992</v>
      </c>
      <c r="I53" s="13">
        <f>F53/5*G53</f>
        <v>2241.6998400000002</v>
      </c>
      <c r="J53" s="27"/>
      <c r="L53" s="20"/>
      <c r="M53" s="21"/>
      <c r="N53" s="22"/>
    </row>
    <row r="54" spans="1:22" ht="31.5" hidden="1" customHeight="1">
      <c r="A54" s="33"/>
      <c r="B54" s="67" t="s">
        <v>92</v>
      </c>
      <c r="C54" s="68" t="s">
        <v>90</v>
      </c>
      <c r="D54" s="67" t="s">
        <v>42</v>
      </c>
      <c r="E54" s="69">
        <v>1728</v>
      </c>
      <c r="F54" s="70">
        <f>SUM(E54*2/1000)</f>
        <v>3.456</v>
      </c>
      <c r="G54" s="13">
        <v>1297.28</v>
      </c>
      <c r="H54" s="71">
        <f>SUM(G54*F54/1000)</f>
        <v>4.4833996799999998</v>
      </c>
      <c r="I54" s="13">
        <v>0</v>
      </c>
      <c r="J54" s="27"/>
      <c r="L54" s="20"/>
      <c r="M54" s="21"/>
      <c r="N54" s="22"/>
    </row>
    <row r="55" spans="1:22" ht="31.5" hidden="1" customHeight="1">
      <c r="A55" s="33"/>
      <c r="B55" s="67" t="s">
        <v>93</v>
      </c>
      <c r="C55" s="68" t="s">
        <v>38</v>
      </c>
      <c r="D55" s="67" t="s">
        <v>42</v>
      </c>
      <c r="E55" s="69">
        <v>15</v>
      </c>
      <c r="F55" s="70">
        <f>SUM(E55*2/100)</f>
        <v>0.3</v>
      </c>
      <c r="G55" s="13">
        <v>2918.89</v>
      </c>
      <c r="H55" s="71">
        <f>SUM(F55*G55/1000)</f>
        <v>0.87566699999999986</v>
      </c>
      <c r="I55" s="13">
        <v>0</v>
      </c>
      <c r="J55" s="27"/>
      <c r="L55" s="20"/>
      <c r="M55" s="21"/>
      <c r="N55" s="22"/>
    </row>
    <row r="56" spans="1:22" ht="15.75" hidden="1" customHeight="1">
      <c r="A56" s="33"/>
      <c r="B56" s="67" t="s">
        <v>39</v>
      </c>
      <c r="C56" s="68" t="s">
        <v>40</v>
      </c>
      <c r="D56" s="67" t="s">
        <v>42</v>
      </c>
      <c r="E56" s="69">
        <v>1</v>
      </c>
      <c r="F56" s="70">
        <v>0.02</v>
      </c>
      <c r="G56" s="13">
        <v>6042.12</v>
      </c>
      <c r="H56" s="71">
        <f t="shared" si="5"/>
        <v>0.1208424</v>
      </c>
      <c r="I56" s="13">
        <v>0</v>
      </c>
      <c r="J56" s="27"/>
      <c r="L56" s="20"/>
      <c r="M56" s="21"/>
      <c r="N56" s="22"/>
    </row>
    <row r="57" spans="1:22" ht="15.75" hidden="1" customHeight="1">
      <c r="A57" s="33">
        <v>15</v>
      </c>
      <c r="B57" s="67" t="s">
        <v>41</v>
      </c>
      <c r="C57" s="68" t="s">
        <v>109</v>
      </c>
      <c r="D57" s="67" t="s">
        <v>71</v>
      </c>
      <c r="E57" s="69">
        <v>90</v>
      </c>
      <c r="F57" s="70">
        <f>SUM(E57)*3</f>
        <v>270</v>
      </c>
      <c r="G57" s="13">
        <v>70.209999999999994</v>
      </c>
      <c r="H57" s="71">
        <f>SUM(F57*G57/1000)</f>
        <v>18.956699999999998</v>
      </c>
      <c r="I57" s="13">
        <f>E57*G57</f>
        <v>6318.9</v>
      </c>
      <c r="J57" s="27"/>
      <c r="L57" s="20"/>
      <c r="M57" s="21"/>
      <c r="N57" s="22"/>
    </row>
    <row r="58" spans="1:22" ht="15.75" customHeight="1">
      <c r="A58" s="158" t="s">
        <v>142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  <c r="M58" s="21"/>
      <c r="N58" s="22"/>
    </row>
    <row r="59" spans="1:22" ht="15.75" hidden="1" customHeight="1">
      <c r="A59" s="33"/>
      <c r="B59" s="93" t="s">
        <v>43</v>
      </c>
      <c r="C59" s="68"/>
      <c r="D59" s="67"/>
      <c r="E59" s="69"/>
      <c r="F59" s="70"/>
      <c r="G59" s="70"/>
      <c r="H59" s="71"/>
      <c r="I59" s="13"/>
      <c r="J59" s="27"/>
      <c r="L59" s="20"/>
      <c r="M59" s="21"/>
      <c r="N59" s="22"/>
    </row>
    <row r="60" spans="1:22" ht="31.5" hidden="1" customHeight="1">
      <c r="A60" s="33">
        <v>16</v>
      </c>
      <c r="B60" s="67" t="s">
        <v>146</v>
      </c>
      <c r="C60" s="68" t="s">
        <v>88</v>
      </c>
      <c r="D60" s="67" t="s">
        <v>110</v>
      </c>
      <c r="E60" s="69">
        <v>111</v>
      </c>
      <c r="F60" s="70">
        <f>SUM(E60*6/100)</f>
        <v>6.66</v>
      </c>
      <c r="G60" s="13">
        <v>1654.04</v>
      </c>
      <c r="H60" s="71">
        <f>SUM(F60*G60/1000)</f>
        <v>11.0159064</v>
      </c>
      <c r="I60" s="13">
        <f>F60/6*G60</f>
        <v>1835.9844000000001</v>
      </c>
      <c r="J60" s="27"/>
      <c r="L60" s="20"/>
    </row>
    <row r="61" spans="1:22" ht="15.75" customHeight="1">
      <c r="A61" s="33"/>
      <c r="B61" s="94" t="s">
        <v>44</v>
      </c>
      <c r="C61" s="81"/>
      <c r="D61" s="82"/>
      <c r="E61" s="83"/>
      <c r="F61" s="84"/>
      <c r="G61" s="13"/>
      <c r="H61" s="85"/>
      <c r="I61" s="13"/>
    </row>
    <row r="62" spans="1:22" ht="15.75" hidden="1" customHeight="1">
      <c r="A62" s="33"/>
      <c r="B62" s="82" t="s">
        <v>45</v>
      </c>
      <c r="C62" s="81" t="s">
        <v>53</v>
      </c>
      <c r="D62" s="82" t="s">
        <v>54</v>
      </c>
      <c r="E62" s="83">
        <v>330</v>
      </c>
      <c r="F62" s="84">
        <f>E62/100</f>
        <v>3.3</v>
      </c>
      <c r="G62" s="13">
        <v>848.37</v>
      </c>
      <c r="H62" s="85">
        <f>F62*G62/1000</f>
        <v>2.7996209999999997</v>
      </c>
      <c r="I62" s="13">
        <v>0</v>
      </c>
    </row>
    <row r="63" spans="1:22" ht="15.75" customHeight="1">
      <c r="A63" s="33">
        <v>12</v>
      </c>
      <c r="B63" s="82" t="s">
        <v>125</v>
      </c>
      <c r="C63" s="81" t="s">
        <v>25</v>
      </c>
      <c r="D63" s="82" t="s">
        <v>30</v>
      </c>
      <c r="E63" s="83">
        <v>130</v>
      </c>
      <c r="F63" s="86">
        <f>E63*12</f>
        <v>1560</v>
      </c>
      <c r="G63" s="61">
        <v>2.6</v>
      </c>
      <c r="H63" s="84">
        <f>F63*G63/1000</f>
        <v>4.056</v>
      </c>
      <c r="I63" s="13">
        <f>F63/12*G63</f>
        <v>338</v>
      </c>
    </row>
    <row r="64" spans="1:22" ht="15.75" hidden="1" customHeight="1">
      <c r="A64" s="33"/>
      <c r="B64" s="94" t="s">
        <v>46</v>
      </c>
      <c r="C64" s="81"/>
      <c r="D64" s="82"/>
      <c r="E64" s="83"/>
      <c r="F64" s="86"/>
      <c r="G64" s="86"/>
      <c r="H64" s="84" t="s">
        <v>145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3">
        <v>18</v>
      </c>
      <c r="B65" s="14" t="s">
        <v>47</v>
      </c>
      <c r="C65" s="16" t="s">
        <v>109</v>
      </c>
      <c r="D65" s="14" t="s">
        <v>130</v>
      </c>
      <c r="E65" s="19">
        <v>10</v>
      </c>
      <c r="F65" s="70">
        <v>10</v>
      </c>
      <c r="G65" s="13">
        <v>237.74</v>
      </c>
      <c r="H65" s="87">
        <f t="shared" ref="H65:H78" si="6">SUM(F65*G65/1000)</f>
        <v>2.3774000000000002</v>
      </c>
      <c r="I65" s="13">
        <f>G65*2</f>
        <v>475.48</v>
      </c>
      <c r="J65" s="29"/>
      <c r="K65" s="29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3"/>
      <c r="B66" s="14" t="s">
        <v>48</v>
      </c>
      <c r="C66" s="16" t="s">
        <v>109</v>
      </c>
      <c r="D66" s="14" t="s">
        <v>130</v>
      </c>
      <c r="E66" s="19">
        <v>5</v>
      </c>
      <c r="F66" s="70">
        <v>5</v>
      </c>
      <c r="G66" s="13">
        <v>81.510000000000005</v>
      </c>
      <c r="H66" s="87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3"/>
      <c r="B67" s="14" t="s">
        <v>49</v>
      </c>
      <c r="C67" s="16" t="s">
        <v>111</v>
      </c>
      <c r="D67" s="14" t="s">
        <v>54</v>
      </c>
      <c r="E67" s="69">
        <v>13287</v>
      </c>
      <c r="F67" s="13">
        <f>SUM(E67/100)</f>
        <v>132.87</v>
      </c>
      <c r="G67" s="13">
        <v>226.79</v>
      </c>
      <c r="H67" s="87">
        <f t="shared" si="6"/>
        <v>30.133587299999999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1"/>
      <c r="S67" s="161"/>
      <c r="T67" s="161"/>
      <c r="U67" s="161"/>
    </row>
    <row r="68" spans="1:21" ht="15.75" hidden="1" customHeight="1">
      <c r="A68" s="33"/>
      <c r="B68" s="14" t="s">
        <v>50</v>
      </c>
      <c r="C68" s="16" t="s">
        <v>112</v>
      </c>
      <c r="D68" s="14"/>
      <c r="E68" s="69">
        <v>13287</v>
      </c>
      <c r="F68" s="13">
        <f>SUM(E68/1000)</f>
        <v>13.287000000000001</v>
      </c>
      <c r="G68" s="13">
        <v>176.61</v>
      </c>
      <c r="H68" s="87">
        <f t="shared" si="6"/>
        <v>2.3466170700000002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3"/>
      <c r="B69" s="14" t="s">
        <v>51</v>
      </c>
      <c r="C69" s="16" t="s">
        <v>77</v>
      </c>
      <c r="D69" s="14" t="s">
        <v>54</v>
      </c>
      <c r="E69" s="69">
        <v>2110</v>
      </c>
      <c r="F69" s="13">
        <f>SUM(E69/100)</f>
        <v>21.1</v>
      </c>
      <c r="G69" s="13">
        <v>2217.7800000000002</v>
      </c>
      <c r="H69" s="87">
        <f>SUM(F69*G69/1000)</f>
        <v>46.795158000000008</v>
      </c>
      <c r="I69" s="13">
        <v>0</v>
      </c>
    </row>
    <row r="70" spans="1:21" ht="15.75" hidden="1" customHeight="1">
      <c r="A70" s="33"/>
      <c r="B70" s="88" t="s">
        <v>113</v>
      </c>
      <c r="C70" s="16" t="s">
        <v>33</v>
      </c>
      <c r="D70" s="14"/>
      <c r="E70" s="69">
        <v>8.6</v>
      </c>
      <c r="F70" s="13">
        <f>SUM(E70)</f>
        <v>8.6</v>
      </c>
      <c r="G70" s="13">
        <v>42.67</v>
      </c>
      <c r="H70" s="87">
        <f t="shared" si="6"/>
        <v>0.36696200000000001</v>
      </c>
      <c r="I70" s="13">
        <v>0</v>
      </c>
    </row>
    <row r="71" spans="1:21" ht="15.75" hidden="1" customHeight="1">
      <c r="A71" s="33"/>
      <c r="B71" s="88" t="s">
        <v>114</v>
      </c>
      <c r="C71" s="16" t="s">
        <v>33</v>
      </c>
      <c r="D71" s="14"/>
      <c r="E71" s="69">
        <v>8.6</v>
      </c>
      <c r="F71" s="13">
        <f>SUM(E71)</f>
        <v>8.6</v>
      </c>
      <c r="G71" s="13">
        <v>39.81</v>
      </c>
      <c r="H71" s="87">
        <f t="shared" si="6"/>
        <v>0.342366</v>
      </c>
      <c r="I71" s="13">
        <v>0</v>
      </c>
    </row>
    <row r="72" spans="1:21" ht="15.75" hidden="1" customHeight="1">
      <c r="A72" s="33"/>
      <c r="B72" s="14" t="s">
        <v>57</v>
      </c>
      <c r="C72" s="16" t="s">
        <v>58</v>
      </c>
      <c r="D72" s="14" t="s">
        <v>54</v>
      </c>
      <c r="E72" s="19">
        <v>6</v>
      </c>
      <c r="F72" s="70">
        <v>6</v>
      </c>
      <c r="G72" s="13">
        <v>53.32</v>
      </c>
      <c r="H72" s="87">
        <f t="shared" si="6"/>
        <v>0.31992000000000004</v>
      </c>
      <c r="I72" s="13">
        <v>0</v>
      </c>
    </row>
    <row r="73" spans="1:21" ht="15.75" hidden="1" customHeight="1">
      <c r="A73" s="33"/>
      <c r="B73" s="54" t="s">
        <v>72</v>
      </c>
      <c r="C73" s="16"/>
      <c r="D73" s="14"/>
      <c r="E73" s="19"/>
      <c r="F73" s="13"/>
      <c r="G73" s="13"/>
      <c r="H73" s="87" t="s">
        <v>145</v>
      </c>
      <c r="I73" s="13"/>
    </row>
    <row r="74" spans="1:21" ht="15.75" hidden="1" customHeight="1">
      <c r="A74" s="33"/>
      <c r="B74" s="14" t="s">
        <v>73</v>
      </c>
      <c r="C74" s="16" t="s">
        <v>75</v>
      </c>
      <c r="D74" s="14"/>
      <c r="E74" s="19">
        <v>2</v>
      </c>
      <c r="F74" s="13">
        <v>0.2</v>
      </c>
      <c r="G74" s="13">
        <v>536.23</v>
      </c>
      <c r="H74" s="87">
        <f t="shared" si="6"/>
        <v>0.10724600000000001</v>
      </c>
      <c r="I74" s="13">
        <v>0</v>
      </c>
    </row>
    <row r="75" spans="1:21" ht="15.75" hidden="1" customHeight="1">
      <c r="A75" s="33"/>
      <c r="B75" s="14" t="s">
        <v>74</v>
      </c>
      <c r="C75" s="16" t="s">
        <v>31</v>
      </c>
      <c r="D75" s="14"/>
      <c r="E75" s="19">
        <v>2</v>
      </c>
      <c r="F75" s="61">
        <v>2</v>
      </c>
      <c r="G75" s="13">
        <v>911.85</v>
      </c>
      <c r="H75" s="87">
        <f>F75*G75/1000</f>
        <v>1.8237000000000001</v>
      </c>
      <c r="I75" s="13">
        <v>0</v>
      </c>
    </row>
    <row r="76" spans="1:21" ht="15.75" hidden="1" customHeight="1">
      <c r="A76" s="33"/>
      <c r="B76" s="14" t="s">
        <v>116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87">
        <f>G76*F76/1000</f>
        <v>0.38324999999999998</v>
      </c>
      <c r="I76" s="13">
        <v>0</v>
      </c>
    </row>
    <row r="77" spans="1:21" ht="15.75" hidden="1" customHeight="1">
      <c r="A77" s="33"/>
      <c r="B77" s="90" t="s">
        <v>76</v>
      </c>
      <c r="C77" s="16"/>
      <c r="D77" s="14"/>
      <c r="E77" s="19"/>
      <c r="F77" s="13"/>
      <c r="G77" s="13" t="s">
        <v>145</v>
      </c>
      <c r="H77" s="87" t="s">
        <v>145</v>
      </c>
      <c r="I77" s="13"/>
    </row>
    <row r="78" spans="1:21" ht="15.75" hidden="1" customHeight="1">
      <c r="A78" s="33"/>
      <c r="B78" s="47" t="s">
        <v>133</v>
      </c>
      <c r="C78" s="16" t="s">
        <v>77</v>
      </c>
      <c r="D78" s="14"/>
      <c r="E78" s="19"/>
      <c r="F78" s="13">
        <v>0.5</v>
      </c>
      <c r="G78" s="13">
        <v>2949.85</v>
      </c>
      <c r="H78" s="87">
        <f t="shared" si="6"/>
        <v>1.474925</v>
      </c>
      <c r="I78" s="13">
        <v>0</v>
      </c>
    </row>
    <row r="79" spans="1:21" ht="15.75" hidden="1" customHeight="1">
      <c r="A79" s="33"/>
      <c r="B79" s="97" t="s">
        <v>94</v>
      </c>
      <c r="C79" s="97"/>
      <c r="D79" s="97"/>
      <c r="E79" s="97"/>
      <c r="F79" s="97"/>
      <c r="G79" s="78"/>
      <c r="H79" s="91">
        <f>SUM(H60:H78)</f>
        <v>104.75020877000001</v>
      </c>
      <c r="I79" s="78"/>
    </row>
    <row r="80" spans="1:21" ht="15.75" hidden="1" customHeight="1">
      <c r="A80" s="33"/>
      <c r="B80" s="95" t="s">
        <v>115</v>
      </c>
      <c r="C80" s="24"/>
      <c r="D80" s="23"/>
      <c r="E80" s="62"/>
      <c r="F80" s="96">
        <v>1</v>
      </c>
      <c r="G80" s="13">
        <v>7634.7</v>
      </c>
      <c r="H80" s="87">
        <f>G80*F80/1000</f>
        <v>7.6346999999999996</v>
      </c>
      <c r="I80" s="13">
        <v>0</v>
      </c>
    </row>
    <row r="81" spans="1:9" ht="15" customHeight="1">
      <c r="A81" s="162" t="s">
        <v>141</v>
      </c>
      <c r="B81" s="163"/>
      <c r="C81" s="163"/>
      <c r="D81" s="163"/>
      <c r="E81" s="163"/>
      <c r="F81" s="163"/>
      <c r="G81" s="163"/>
      <c r="H81" s="163"/>
      <c r="I81" s="164"/>
    </row>
    <row r="82" spans="1:9" ht="15.75" customHeight="1">
      <c r="A82" s="33">
        <v>13</v>
      </c>
      <c r="B82" s="67" t="s">
        <v>117</v>
      </c>
      <c r="C82" s="16" t="s">
        <v>55</v>
      </c>
      <c r="D82" s="92" t="s">
        <v>163</v>
      </c>
      <c r="E82" s="13">
        <v>2626.5</v>
      </c>
      <c r="F82" s="13">
        <f>SUM(E82*12)</f>
        <v>31518</v>
      </c>
      <c r="G82" s="13">
        <v>2.2400000000000002</v>
      </c>
      <c r="H82" s="87">
        <f>SUM(F82*G82/1000)</f>
        <v>70.600320000000011</v>
      </c>
      <c r="I82" s="13">
        <f>F82/12*G82</f>
        <v>5883.3600000000006</v>
      </c>
    </row>
    <row r="83" spans="1:9" ht="31.5" customHeight="1">
      <c r="A83" s="33">
        <v>14</v>
      </c>
      <c r="B83" s="14" t="s">
        <v>78</v>
      </c>
      <c r="C83" s="16"/>
      <c r="D83" s="92" t="s">
        <v>163</v>
      </c>
      <c r="E83" s="69">
        <f>E82</f>
        <v>2626.5</v>
      </c>
      <c r="F83" s="13">
        <f>E83*12</f>
        <v>31518</v>
      </c>
      <c r="G83" s="13">
        <v>1.74</v>
      </c>
      <c r="H83" s="87">
        <f>F83*G83/1000</f>
        <v>54.841320000000003</v>
      </c>
      <c r="I83" s="13">
        <f>F83/12*G83</f>
        <v>4570.1099999999997</v>
      </c>
    </row>
    <row r="84" spans="1:9" ht="15.75" customHeight="1">
      <c r="A84" s="33"/>
      <c r="B84" s="40" t="s">
        <v>81</v>
      </c>
      <c r="C84" s="90"/>
      <c r="D84" s="89"/>
      <c r="E84" s="78"/>
      <c r="F84" s="78"/>
      <c r="G84" s="78"/>
      <c r="H84" s="91">
        <f>H83</f>
        <v>54.841320000000003</v>
      </c>
      <c r="I84" s="78">
        <f>I16+I17+I18+I20+I21+I27+I28+I31+I32+I34+I35+I63+I82+I83</f>
        <v>33623.418792666671</v>
      </c>
    </row>
    <row r="85" spans="1:9" ht="15.75" customHeight="1">
      <c r="A85" s="173" t="s">
        <v>60</v>
      </c>
      <c r="B85" s="174"/>
      <c r="C85" s="174"/>
      <c r="D85" s="174"/>
      <c r="E85" s="174"/>
      <c r="F85" s="174"/>
      <c r="G85" s="174"/>
      <c r="H85" s="174"/>
      <c r="I85" s="175"/>
    </row>
    <row r="86" spans="1:9" ht="15.75" customHeight="1">
      <c r="A86" s="33">
        <v>15</v>
      </c>
      <c r="B86" s="50" t="s">
        <v>126</v>
      </c>
      <c r="C86" s="53" t="s">
        <v>109</v>
      </c>
      <c r="D86" s="14"/>
      <c r="E86" s="19"/>
      <c r="F86" s="13">
        <v>552</v>
      </c>
      <c r="G86" s="13">
        <v>53.42</v>
      </c>
      <c r="H86" s="87">
        <f>G86*F86/1000</f>
        <v>29.487839999999998</v>
      </c>
      <c r="I86" s="13">
        <f>G86*46</f>
        <v>2457.3200000000002</v>
      </c>
    </row>
    <row r="87" spans="1:9" ht="15.75" customHeight="1">
      <c r="A87" s="33">
        <v>16</v>
      </c>
      <c r="B87" s="50" t="s">
        <v>171</v>
      </c>
      <c r="C87" s="53" t="s">
        <v>109</v>
      </c>
      <c r="D87" s="39"/>
      <c r="E87" s="18"/>
      <c r="F87" s="37">
        <v>4</v>
      </c>
      <c r="G87" s="37">
        <v>189.88</v>
      </c>
      <c r="H87" s="37">
        <f>G87*F87/1000</f>
        <v>0.75951999999999997</v>
      </c>
      <c r="I87" s="13">
        <f>G87*2</f>
        <v>379.76</v>
      </c>
    </row>
    <row r="88" spans="1:9" ht="31.5" customHeight="1">
      <c r="A88" s="33">
        <v>17</v>
      </c>
      <c r="B88" s="51" t="s">
        <v>178</v>
      </c>
      <c r="C88" s="52" t="s">
        <v>29</v>
      </c>
      <c r="D88" s="39"/>
      <c r="E88" s="18"/>
      <c r="F88" s="104">
        <v>4.0000000000000001E-3</v>
      </c>
      <c r="G88" s="37">
        <v>1591.6</v>
      </c>
      <c r="H88" s="105">
        <f>G88*F88/1000</f>
        <v>6.3663999999999995E-3</v>
      </c>
      <c r="I88" s="13">
        <f>G88*0.001</f>
        <v>1.5915999999999999</v>
      </c>
    </row>
    <row r="89" spans="1:9" ht="15.75" customHeight="1">
      <c r="A89" s="33">
        <v>18</v>
      </c>
      <c r="B89" s="51" t="s">
        <v>197</v>
      </c>
      <c r="C89" s="52" t="s">
        <v>147</v>
      </c>
      <c r="D89" s="107"/>
      <c r="E89" s="37"/>
      <c r="F89" s="37">
        <v>1</v>
      </c>
      <c r="G89" s="37">
        <v>4369.6099999999997</v>
      </c>
      <c r="H89" s="103">
        <f>G89*F89/1000</f>
        <v>4.3696099999999998</v>
      </c>
      <c r="I89" s="13">
        <f>G89</f>
        <v>4369.6099999999997</v>
      </c>
    </row>
    <row r="90" spans="1:9" ht="31.5" customHeight="1">
      <c r="A90" s="33">
        <v>19</v>
      </c>
      <c r="B90" s="66" t="s">
        <v>151</v>
      </c>
      <c r="C90" s="33" t="s">
        <v>82</v>
      </c>
      <c r="D90" s="39"/>
      <c r="E90" s="18"/>
      <c r="F90" s="37">
        <v>1.5</v>
      </c>
      <c r="G90" s="13">
        <v>1187</v>
      </c>
      <c r="H90" s="103">
        <f>G90*F90/1000</f>
        <v>1.7805</v>
      </c>
      <c r="I90" s="13">
        <f>G90*1.5</f>
        <v>1780.5</v>
      </c>
    </row>
    <row r="91" spans="1:9" ht="31.5" customHeight="1">
      <c r="A91" s="33">
        <v>20</v>
      </c>
      <c r="B91" s="66" t="s">
        <v>150</v>
      </c>
      <c r="C91" s="33" t="s">
        <v>82</v>
      </c>
      <c r="D91" s="39"/>
      <c r="E91" s="18"/>
      <c r="F91" s="37">
        <v>1</v>
      </c>
      <c r="G91" s="13">
        <v>1272</v>
      </c>
      <c r="H91" s="103">
        <f t="shared" ref="H91:H92" si="7">G91*F91/1000</f>
        <v>1.272</v>
      </c>
      <c r="I91" s="13">
        <f t="shared" ref="I91" si="8">G91</f>
        <v>1272</v>
      </c>
    </row>
    <row r="92" spans="1:9" ht="31.5" customHeight="1">
      <c r="A92" s="33">
        <v>21</v>
      </c>
      <c r="B92" s="50" t="s">
        <v>198</v>
      </c>
      <c r="C92" s="53" t="s">
        <v>135</v>
      </c>
      <c r="D92" s="107"/>
      <c r="E92" s="37"/>
      <c r="F92" s="37">
        <f>12/10</f>
        <v>1.2</v>
      </c>
      <c r="G92" s="37">
        <v>2064.25</v>
      </c>
      <c r="H92" s="87">
        <f t="shared" si="7"/>
        <v>2.4771000000000001</v>
      </c>
      <c r="I92" s="13">
        <f>G92*1.2</f>
        <v>2477.1</v>
      </c>
    </row>
    <row r="93" spans="1:9" ht="16.5" customHeight="1">
      <c r="A93" s="33"/>
      <c r="B93" s="45" t="s">
        <v>52</v>
      </c>
      <c r="C93" s="41"/>
      <c r="D93" s="48"/>
      <c r="E93" s="41">
        <v>1</v>
      </c>
      <c r="F93" s="41"/>
      <c r="G93" s="41"/>
      <c r="H93" s="41"/>
      <c r="I93" s="35">
        <f>SUM(I86:I92)</f>
        <v>12737.881600000001</v>
      </c>
    </row>
    <row r="94" spans="1:9" ht="15.75" customHeight="1">
      <c r="A94" s="33"/>
      <c r="B94" s="47" t="s">
        <v>79</v>
      </c>
      <c r="C94" s="15"/>
      <c r="D94" s="15"/>
      <c r="E94" s="42"/>
      <c r="F94" s="42"/>
      <c r="G94" s="43"/>
      <c r="H94" s="43"/>
      <c r="I94" s="18">
        <v>0</v>
      </c>
    </row>
    <row r="95" spans="1:9" ht="15.75" customHeight="1">
      <c r="A95" s="49"/>
      <c r="B95" s="46" t="s">
        <v>174</v>
      </c>
      <c r="C95" s="36"/>
      <c r="D95" s="36"/>
      <c r="E95" s="36"/>
      <c r="F95" s="36"/>
      <c r="G95" s="36"/>
      <c r="H95" s="36"/>
      <c r="I95" s="44">
        <f>I84+I93</f>
        <v>46361.300392666672</v>
      </c>
    </row>
    <row r="96" spans="1:9" ht="15.75" customHeight="1">
      <c r="A96" s="165" t="s">
        <v>199</v>
      </c>
      <c r="B96" s="165"/>
      <c r="C96" s="165"/>
      <c r="D96" s="165"/>
      <c r="E96" s="165"/>
      <c r="F96" s="165"/>
      <c r="G96" s="165"/>
      <c r="H96" s="165"/>
      <c r="I96" s="165"/>
    </row>
    <row r="97" spans="1:9" ht="15.75">
      <c r="A97" s="60"/>
      <c r="B97" s="166" t="s">
        <v>200</v>
      </c>
      <c r="C97" s="166"/>
      <c r="D97" s="166"/>
      <c r="E97" s="166"/>
      <c r="F97" s="166"/>
      <c r="G97" s="166"/>
      <c r="H97" s="65"/>
      <c r="I97" s="3"/>
    </row>
    <row r="98" spans="1:9">
      <c r="A98" s="59"/>
      <c r="B98" s="167" t="s">
        <v>6</v>
      </c>
      <c r="C98" s="167"/>
      <c r="D98" s="167"/>
      <c r="E98" s="167"/>
      <c r="F98" s="167"/>
      <c r="G98" s="167"/>
      <c r="H98" s="28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68" t="s">
        <v>7</v>
      </c>
      <c r="B100" s="168"/>
      <c r="C100" s="168"/>
      <c r="D100" s="168"/>
      <c r="E100" s="168"/>
      <c r="F100" s="168"/>
      <c r="G100" s="168"/>
      <c r="H100" s="168"/>
      <c r="I100" s="168"/>
    </row>
    <row r="101" spans="1:9" ht="15.75">
      <c r="A101" s="168" t="s">
        <v>8</v>
      </c>
      <c r="B101" s="168"/>
      <c r="C101" s="168"/>
      <c r="D101" s="168"/>
      <c r="E101" s="168"/>
      <c r="F101" s="168"/>
      <c r="G101" s="168"/>
      <c r="H101" s="168"/>
      <c r="I101" s="168"/>
    </row>
    <row r="102" spans="1:9" ht="15.75">
      <c r="A102" s="169" t="s">
        <v>61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>
      <c r="A103" s="11"/>
    </row>
    <row r="104" spans="1:9" ht="15.75">
      <c r="A104" s="170" t="s">
        <v>9</v>
      </c>
      <c r="B104" s="170"/>
      <c r="C104" s="170"/>
      <c r="D104" s="170"/>
      <c r="E104" s="170"/>
      <c r="F104" s="170"/>
      <c r="G104" s="170"/>
      <c r="H104" s="170"/>
      <c r="I104" s="170"/>
    </row>
    <row r="105" spans="1:9" ht="15.75" customHeight="1">
      <c r="A105" s="4"/>
    </row>
    <row r="106" spans="1:9" ht="15.75">
      <c r="B106" s="56" t="s">
        <v>10</v>
      </c>
      <c r="C106" s="171" t="s">
        <v>140</v>
      </c>
      <c r="D106" s="171"/>
      <c r="E106" s="171"/>
      <c r="F106" s="63"/>
      <c r="I106" s="58"/>
    </row>
    <row r="107" spans="1:9">
      <c r="A107" s="59"/>
      <c r="C107" s="167" t="s">
        <v>11</v>
      </c>
      <c r="D107" s="167"/>
      <c r="E107" s="167"/>
      <c r="F107" s="28"/>
      <c r="I107" s="57" t="s">
        <v>12</v>
      </c>
    </row>
    <row r="108" spans="1:9" ht="15.75" customHeight="1">
      <c r="A108" s="29"/>
      <c r="C108" s="12"/>
      <c r="D108" s="12"/>
      <c r="G108" s="12"/>
      <c r="H108" s="12"/>
    </row>
    <row r="109" spans="1:9" ht="15.75" customHeight="1">
      <c r="B109" s="56" t="s">
        <v>13</v>
      </c>
      <c r="C109" s="172"/>
      <c r="D109" s="172"/>
      <c r="E109" s="172"/>
      <c r="F109" s="64"/>
      <c r="I109" s="58"/>
    </row>
    <row r="110" spans="1:9" ht="15.75" customHeight="1">
      <c r="A110" s="59"/>
      <c r="C110" s="161" t="s">
        <v>11</v>
      </c>
      <c r="D110" s="161"/>
      <c r="E110" s="161"/>
      <c r="F110" s="59"/>
      <c r="I110" s="57" t="s">
        <v>12</v>
      </c>
    </row>
    <row r="111" spans="1:9" ht="15.75">
      <c r="A111" s="4" t="s">
        <v>14</v>
      </c>
    </row>
    <row r="112" spans="1:9">
      <c r="A112" s="176" t="s">
        <v>15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45" customHeight="1">
      <c r="A113" s="177" t="s">
        <v>16</v>
      </c>
      <c r="B113" s="177"/>
      <c r="C113" s="177"/>
      <c r="D113" s="177"/>
      <c r="E113" s="177"/>
      <c r="F113" s="177"/>
      <c r="G113" s="177"/>
      <c r="H113" s="177"/>
      <c r="I113" s="177"/>
    </row>
    <row r="114" spans="1:9" ht="30" customHeight="1">
      <c r="A114" s="177" t="s">
        <v>17</v>
      </c>
      <c r="B114" s="177"/>
      <c r="C114" s="177"/>
      <c r="D114" s="177"/>
      <c r="E114" s="177"/>
      <c r="F114" s="177"/>
      <c r="G114" s="177"/>
      <c r="H114" s="177"/>
      <c r="I114" s="177"/>
    </row>
    <row r="115" spans="1:9" ht="30" customHeight="1">
      <c r="A115" s="177" t="s">
        <v>21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15" customHeight="1">
      <c r="A116" s="177" t="s">
        <v>20</v>
      </c>
      <c r="B116" s="177"/>
      <c r="C116" s="177"/>
      <c r="D116" s="177"/>
      <c r="E116" s="177"/>
      <c r="F116" s="177"/>
      <c r="G116" s="177"/>
      <c r="H116" s="177"/>
      <c r="I116" s="177"/>
    </row>
  </sheetData>
  <autoFilter ref="I12:I62"/>
  <mergeCells count="29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9:I29"/>
    <mergeCell ref="A47:I47"/>
    <mergeCell ref="A58:I58"/>
    <mergeCell ref="A96:I96"/>
    <mergeCell ref="B97:G97"/>
    <mergeCell ref="B98:G98"/>
    <mergeCell ref="A100:I100"/>
    <mergeCell ref="A101:I101"/>
    <mergeCell ref="A85:I85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160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201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42978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.7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hidden="1" customHeight="1">
      <c r="A19" s="33"/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hidden="1" customHeight="1">
      <c r="A21" s="33">
        <v>5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hidden="1" customHeight="1">
      <c r="A22" s="33"/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6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15.75" customHeight="1">
      <c r="A31" s="33">
        <v>7</v>
      </c>
      <c r="B31" s="67" t="s">
        <v>107</v>
      </c>
      <c r="C31" s="68" t="s">
        <v>90</v>
      </c>
      <c r="D31" s="67" t="s">
        <v>187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1">SUM(F31*G31/1000)</f>
        <v>5.7627569999999997</v>
      </c>
      <c r="I31" s="13">
        <f t="shared" ref="I31:I35" si="2">F31/6*G31</f>
        <v>960.45949999999993</v>
      </c>
      <c r="J31" s="26"/>
      <c r="K31" s="8"/>
      <c r="L31" s="8"/>
      <c r="M31" s="8"/>
    </row>
    <row r="32" spans="1:13" ht="31.5" customHeight="1">
      <c r="A32" s="33">
        <v>8</v>
      </c>
      <c r="B32" s="67" t="s">
        <v>122</v>
      </c>
      <c r="C32" s="68" t="s">
        <v>90</v>
      </c>
      <c r="D32" s="67" t="s">
        <v>188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1"/>
        <v>1.7575833600000001</v>
      </c>
      <c r="I32" s="13">
        <f t="shared" si="2"/>
        <v>292.93056000000007</v>
      </c>
      <c r="J32" s="26"/>
      <c r="K32" s="8"/>
      <c r="L32" s="8"/>
      <c r="M32" s="8"/>
    </row>
    <row r="33" spans="1:14" ht="15.75" hidden="1" customHeight="1">
      <c r="A33" s="33"/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1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customHeight="1">
      <c r="A34" s="33">
        <v>9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2"/>
        <v>1078.6914999999999</v>
      </c>
      <c r="J34" s="26"/>
      <c r="K34" s="8"/>
    </row>
    <row r="35" spans="1:14" ht="15.75" customHeight="1">
      <c r="A35" s="33">
        <v>10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2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1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1"/>
        <v>2.4294600000000002</v>
      </c>
      <c r="I37" s="13">
        <v>0</v>
      </c>
      <c r="J37" s="27"/>
    </row>
    <row r="38" spans="1:14" ht="15.75" hidden="1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hidden="1" customHeight="1">
      <c r="A39" s="33">
        <v>8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3">SUM(F39*G39/1000)</f>
        <v>13.060799999999999</v>
      </c>
      <c r="I39" s="13">
        <f t="shared" ref="I39:I45" si="4">F39/6*G39</f>
        <v>2176.7999999999997</v>
      </c>
      <c r="J39" s="27"/>
      <c r="L39" s="20"/>
      <c r="M39" s="21"/>
      <c r="N39" s="22"/>
    </row>
    <row r="40" spans="1:14" ht="15.75" hidden="1" customHeight="1">
      <c r="A40" s="33">
        <v>9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4"/>
        <v>915.97850000000005</v>
      </c>
      <c r="J40" s="27"/>
      <c r="L40" s="20"/>
      <c r="M40" s="21"/>
      <c r="N40" s="22"/>
    </row>
    <row r="41" spans="1:14" ht="15.75" hidden="1" customHeight="1">
      <c r="A41" s="33"/>
      <c r="B41" s="67" t="s">
        <v>123</v>
      </c>
      <c r="C41" s="68" t="s">
        <v>124</v>
      </c>
      <c r="D41" s="67" t="s">
        <v>130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v>0</v>
      </c>
      <c r="J41" s="27"/>
      <c r="L41" s="20"/>
      <c r="M41" s="21"/>
      <c r="N41" s="22"/>
    </row>
    <row r="42" spans="1:14" ht="15.75" hidden="1" customHeight="1">
      <c r="A42" s="33">
        <v>10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3"/>
        <v>8.9156542499999993</v>
      </c>
      <c r="I42" s="13">
        <f t="shared" si="4"/>
        <v>1485.9423750000001</v>
      </c>
      <c r="J42" s="27"/>
      <c r="L42" s="20"/>
      <c r="M42" s="21"/>
      <c r="N42" s="22"/>
    </row>
    <row r="43" spans="1:14" ht="47.25" hidden="1" customHeight="1">
      <c r="A43" s="33">
        <v>11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3"/>
        <v>17.69605425</v>
      </c>
      <c r="I43" s="13">
        <f t="shared" si="4"/>
        <v>2949.3423749999997</v>
      </c>
      <c r="J43" s="27"/>
      <c r="L43" s="20"/>
      <c r="M43" s="21"/>
      <c r="N43" s="22"/>
    </row>
    <row r="44" spans="1:14" ht="15.75" hidden="1" customHeight="1">
      <c r="A44" s="33">
        <v>12</v>
      </c>
      <c r="B44" s="67" t="s">
        <v>91</v>
      </c>
      <c r="C44" s="68" t="s">
        <v>90</v>
      </c>
      <c r="D44" s="67" t="s">
        <v>69</v>
      </c>
      <c r="E44" s="70">
        <v>81.5</v>
      </c>
      <c r="F44" s="70">
        <f>SUM(E44*45/1000)</f>
        <v>3.6675</v>
      </c>
      <c r="G44" s="70">
        <v>458.28</v>
      </c>
      <c r="H44" s="71">
        <f t="shared" si="3"/>
        <v>1.6807418999999999</v>
      </c>
      <c r="I44" s="13">
        <f t="shared" si="4"/>
        <v>280.12364999999994</v>
      </c>
      <c r="J44" s="27"/>
      <c r="L44" s="20"/>
      <c r="M44" s="21"/>
      <c r="N44" s="22"/>
    </row>
    <row r="45" spans="1:14" ht="15.75" hidden="1" customHeight="1">
      <c r="A45" s="33">
        <v>13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3"/>
        <v>0.76775400000000005</v>
      </c>
      <c r="I45" s="13">
        <f t="shared" si="4"/>
        <v>127.95899999999999</v>
      </c>
      <c r="J45" s="27"/>
      <c r="L45" s="20"/>
      <c r="M45" s="21"/>
      <c r="N45" s="22"/>
    </row>
    <row r="46" spans="1:14" ht="15.75" hidden="1" customHeight="1">
      <c r="A46" s="33"/>
      <c r="B46" s="73" t="s">
        <v>144</v>
      </c>
      <c r="C46" s="74"/>
      <c r="D46" s="73"/>
      <c r="E46" s="75"/>
      <c r="F46" s="76" t="s">
        <v>145</v>
      </c>
      <c r="G46" s="76"/>
      <c r="H46" s="77">
        <f>SUM(H39:H45)</f>
        <v>67.870875400000003</v>
      </c>
      <c r="I46" s="78"/>
      <c r="J46" s="27"/>
      <c r="L46" s="20"/>
      <c r="M46" s="21"/>
      <c r="N46" s="22"/>
    </row>
    <row r="47" spans="1:14" ht="15.75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hidden="1" customHeight="1">
      <c r="A48" s="33"/>
      <c r="B48" s="67" t="s">
        <v>132</v>
      </c>
      <c r="C48" s="68" t="s">
        <v>90</v>
      </c>
      <c r="D48" s="67" t="s">
        <v>42</v>
      </c>
      <c r="E48" s="69">
        <v>1080</v>
      </c>
      <c r="F48" s="70">
        <f>SUM(E48*2/1000)</f>
        <v>2.16</v>
      </c>
      <c r="G48" s="13">
        <v>865.61</v>
      </c>
      <c r="H48" s="71">
        <f t="shared" ref="H48:H56" si="5">SUM(F48*G48/1000)</f>
        <v>1.8697176000000002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7" t="s">
        <v>35</v>
      </c>
      <c r="C49" s="68" t="s">
        <v>90</v>
      </c>
      <c r="D49" s="67" t="s">
        <v>42</v>
      </c>
      <c r="E49" s="69">
        <v>39</v>
      </c>
      <c r="F49" s="70">
        <f>E49*2/1000</f>
        <v>7.8E-2</v>
      </c>
      <c r="G49" s="13">
        <v>619.46</v>
      </c>
      <c r="H49" s="71">
        <f t="shared" si="5"/>
        <v>4.8317880000000001E-2</v>
      </c>
      <c r="I49" s="13">
        <v>0</v>
      </c>
      <c r="J49" s="27"/>
      <c r="L49" s="20"/>
      <c r="M49" s="21"/>
      <c r="N49" s="22"/>
    </row>
    <row r="50" spans="1:22" ht="15.75" hidden="1" customHeight="1">
      <c r="A50" s="33"/>
      <c r="B50" s="67" t="s">
        <v>36</v>
      </c>
      <c r="C50" s="68" t="s">
        <v>90</v>
      </c>
      <c r="D50" s="67" t="s">
        <v>42</v>
      </c>
      <c r="E50" s="69">
        <v>1037</v>
      </c>
      <c r="F50" s="70">
        <f>SUM(E50*2/1000)</f>
        <v>2.0739999999999998</v>
      </c>
      <c r="G50" s="13">
        <v>619.46</v>
      </c>
      <c r="H50" s="71">
        <f t="shared" si="5"/>
        <v>1.2847600399999999</v>
      </c>
      <c r="I50" s="13">
        <v>0</v>
      </c>
      <c r="J50" s="27"/>
      <c r="L50" s="20"/>
      <c r="M50" s="21"/>
      <c r="N50" s="22"/>
    </row>
    <row r="51" spans="1:22" ht="15.75" hidden="1" customHeight="1">
      <c r="A51" s="33"/>
      <c r="B51" s="67" t="s">
        <v>37</v>
      </c>
      <c r="C51" s="68" t="s">
        <v>90</v>
      </c>
      <c r="D51" s="67" t="s">
        <v>42</v>
      </c>
      <c r="E51" s="69">
        <v>2274</v>
      </c>
      <c r="F51" s="70">
        <f>SUM(E51*2/1000)</f>
        <v>4.548</v>
      </c>
      <c r="G51" s="13">
        <v>648.64</v>
      </c>
      <c r="H51" s="71">
        <f t="shared" si="5"/>
        <v>2.95001472</v>
      </c>
      <c r="I51" s="13">
        <v>0</v>
      </c>
      <c r="J51" s="27"/>
      <c r="L51" s="20"/>
      <c r="M51" s="21"/>
      <c r="N51" s="22"/>
    </row>
    <row r="52" spans="1:22" ht="15.75" hidden="1" customHeight="1">
      <c r="A52" s="33"/>
      <c r="B52" s="67" t="s">
        <v>34</v>
      </c>
      <c r="C52" s="68" t="s">
        <v>53</v>
      </c>
      <c r="D52" s="67" t="s">
        <v>42</v>
      </c>
      <c r="E52" s="69">
        <v>83.04</v>
      </c>
      <c r="F52" s="70">
        <v>1.66</v>
      </c>
      <c r="G52" s="13">
        <v>77.84</v>
      </c>
      <c r="H52" s="71">
        <f>SUM(F52*G52/1000)</f>
        <v>0.12921440000000001</v>
      </c>
      <c r="I52" s="13">
        <v>0</v>
      </c>
      <c r="J52" s="27"/>
      <c r="L52" s="20"/>
      <c r="M52" s="21"/>
      <c r="N52" s="22"/>
    </row>
    <row r="53" spans="1:22" ht="15.75" hidden="1" customHeight="1">
      <c r="A53" s="33">
        <v>14</v>
      </c>
      <c r="B53" s="67" t="s">
        <v>56</v>
      </c>
      <c r="C53" s="68" t="s">
        <v>90</v>
      </c>
      <c r="D53" s="67" t="s">
        <v>153</v>
      </c>
      <c r="E53" s="69">
        <v>1728</v>
      </c>
      <c r="F53" s="70">
        <f>SUM(E53*5/1000)</f>
        <v>8.64</v>
      </c>
      <c r="G53" s="13">
        <v>1297.28</v>
      </c>
      <c r="H53" s="71">
        <f>SUM(F53*G53/1000)</f>
        <v>11.2084992</v>
      </c>
      <c r="I53" s="13">
        <f>F53/5*G53</f>
        <v>2241.6998400000002</v>
      </c>
      <c r="J53" s="27"/>
      <c r="L53" s="20"/>
      <c r="M53" s="21"/>
      <c r="N53" s="22"/>
    </row>
    <row r="54" spans="1:22" ht="31.5" hidden="1" customHeight="1">
      <c r="A54" s="33"/>
      <c r="B54" s="67" t="s">
        <v>92</v>
      </c>
      <c r="C54" s="68" t="s">
        <v>90</v>
      </c>
      <c r="D54" s="67" t="s">
        <v>42</v>
      </c>
      <c r="E54" s="69">
        <v>1728</v>
      </c>
      <c r="F54" s="70">
        <f>SUM(E54*2/1000)</f>
        <v>3.456</v>
      </c>
      <c r="G54" s="13">
        <v>1297.28</v>
      </c>
      <c r="H54" s="71">
        <f>SUM(G54*F54/1000)</f>
        <v>4.4833996799999998</v>
      </c>
      <c r="I54" s="13">
        <v>0</v>
      </c>
      <c r="J54" s="27"/>
      <c r="L54" s="20"/>
      <c r="M54" s="21"/>
      <c r="N54" s="22"/>
    </row>
    <row r="55" spans="1:22" ht="31.5" hidden="1" customHeight="1">
      <c r="A55" s="33"/>
      <c r="B55" s="67" t="s">
        <v>93</v>
      </c>
      <c r="C55" s="68" t="s">
        <v>38</v>
      </c>
      <c r="D55" s="67" t="s">
        <v>42</v>
      </c>
      <c r="E55" s="69">
        <v>15</v>
      </c>
      <c r="F55" s="70">
        <f>SUM(E55*2/100)</f>
        <v>0.3</v>
      </c>
      <c r="G55" s="13">
        <v>2918.89</v>
      </c>
      <c r="H55" s="71">
        <f>SUM(F55*G55/1000)</f>
        <v>0.87566699999999986</v>
      </c>
      <c r="I55" s="13">
        <v>0</v>
      </c>
      <c r="J55" s="27"/>
      <c r="L55" s="20"/>
      <c r="M55" s="21"/>
      <c r="N55" s="22"/>
    </row>
    <row r="56" spans="1:22" ht="15.75" hidden="1" customHeight="1">
      <c r="A56" s="33"/>
      <c r="B56" s="67" t="s">
        <v>39</v>
      </c>
      <c r="C56" s="68" t="s">
        <v>40</v>
      </c>
      <c r="D56" s="67" t="s">
        <v>42</v>
      </c>
      <c r="E56" s="69">
        <v>1</v>
      </c>
      <c r="F56" s="70">
        <v>0.02</v>
      </c>
      <c r="G56" s="13">
        <v>6042.12</v>
      </c>
      <c r="H56" s="71">
        <f t="shared" si="5"/>
        <v>0.1208424</v>
      </c>
      <c r="I56" s="13">
        <v>0</v>
      </c>
      <c r="J56" s="27"/>
      <c r="L56" s="20"/>
      <c r="M56" s="21"/>
      <c r="N56" s="22"/>
    </row>
    <row r="57" spans="1:22" ht="15.75" customHeight="1">
      <c r="A57" s="33">
        <v>11</v>
      </c>
      <c r="B57" s="67" t="s">
        <v>41</v>
      </c>
      <c r="C57" s="68" t="s">
        <v>109</v>
      </c>
      <c r="D57" s="67" t="s">
        <v>71</v>
      </c>
      <c r="E57" s="69">
        <v>90</v>
      </c>
      <c r="F57" s="70">
        <f>SUM(E57)*3</f>
        <v>270</v>
      </c>
      <c r="G57" s="13">
        <v>70.209999999999994</v>
      </c>
      <c r="H57" s="71">
        <f>SUM(F57*G57/1000)</f>
        <v>18.956699999999998</v>
      </c>
      <c r="I57" s="13">
        <f>E57*G57</f>
        <v>6318.9</v>
      </c>
      <c r="J57" s="27"/>
      <c r="L57" s="20"/>
      <c r="M57" s="21"/>
      <c r="N57" s="22"/>
    </row>
    <row r="58" spans="1:22" ht="15.75" customHeight="1">
      <c r="A58" s="158" t="s">
        <v>138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  <c r="M58" s="21"/>
      <c r="N58" s="22"/>
    </row>
    <row r="59" spans="1:22" ht="15.75" hidden="1" customHeight="1">
      <c r="A59" s="33"/>
      <c r="B59" s="93" t="s">
        <v>43</v>
      </c>
      <c r="C59" s="68"/>
      <c r="D59" s="67"/>
      <c r="E59" s="69"/>
      <c r="F59" s="70"/>
      <c r="G59" s="70"/>
      <c r="H59" s="71"/>
      <c r="I59" s="13"/>
      <c r="J59" s="27"/>
      <c r="L59" s="20"/>
      <c r="M59" s="21"/>
      <c r="N59" s="22"/>
    </row>
    <row r="60" spans="1:22" ht="31.5" hidden="1" customHeight="1">
      <c r="A60" s="33">
        <v>16</v>
      </c>
      <c r="B60" s="67" t="s">
        <v>146</v>
      </c>
      <c r="C60" s="68" t="s">
        <v>88</v>
      </c>
      <c r="D60" s="67" t="s">
        <v>110</v>
      </c>
      <c r="E60" s="69">
        <v>111</v>
      </c>
      <c r="F60" s="70">
        <f>SUM(E60*6/100)</f>
        <v>6.66</v>
      </c>
      <c r="G60" s="13">
        <v>1654.04</v>
      </c>
      <c r="H60" s="71">
        <f>SUM(F60*G60/1000)</f>
        <v>11.0159064</v>
      </c>
      <c r="I60" s="13">
        <f>F60/6*G60</f>
        <v>1835.9844000000001</v>
      </c>
      <c r="J60" s="27"/>
      <c r="L60" s="20"/>
    </row>
    <row r="61" spans="1:22" ht="15.75" customHeight="1">
      <c r="A61" s="33"/>
      <c r="B61" s="94" t="s">
        <v>44</v>
      </c>
      <c r="C61" s="81"/>
      <c r="D61" s="82"/>
      <c r="E61" s="83"/>
      <c r="F61" s="84"/>
      <c r="G61" s="13"/>
      <c r="H61" s="85"/>
      <c r="I61" s="13"/>
    </row>
    <row r="62" spans="1:22" ht="15.75" hidden="1" customHeight="1">
      <c r="A62" s="33"/>
      <c r="B62" s="82" t="s">
        <v>45</v>
      </c>
      <c r="C62" s="81" t="s">
        <v>53</v>
      </c>
      <c r="D62" s="82" t="s">
        <v>54</v>
      </c>
      <c r="E62" s="83">
        <v>330</v>
      </c>
      <c r="F62" s="84">
        <f>E62/100</f>
        <v>3.3</v>
      </c>
      <c r="G62" s="13">
        <v>848.37</v>
      </c>
      <c r="H62" s="85">
        <f>F62*G62/1000</f>
        <v>2.7996209999999997</v>
      </c>
      <c r="I62" s="13">
        <v>0</v>
      </c>
    </row>
    <row r="63" spans="1:22" ht="15.75" customHeight="1">
      <c r="A63" s="33">
        <v>12</v>
      </c>
      <c r="B63" s="82" t="s">
        <v>125</v>
      </c>
      <c r="C63" s="81" t="s">
        <v>25</v>
      </c>
      <c r="D63" s="82" t="s">
        <v>30</v>
      </c>
      <c r="E63" s="83">
        <v>130</v>
      </c>
      <c r="F63" s="86">
        <f>E63*12</f>
        <v>1560</v>
      </c>
      <c r="G63" s="61">
        <v>2.6</v>
      </c>
      <c r="H63" s="84">
        <f>F63*G63/1000</f>
        <v>4.056</v>
      </c>
      <c r="I63" s="13">
        <f>F63/12*G63</f>
        <v>338</v>
      </c>
    </row>
    <row r="64" spans="1:22" ht="15.75" hidden="1" customHeight="1">
      <c r="A64" s="33"/>
      <c r="B64" s="94" t="s">
        <v>46</v>
      </c>
      <c r="C64" s="81"/>
      <c r="D64" s="82"/>
      <c r="E64" s="83"/>
      <c r="F64" s="86"/>
      <c r="G64" s="86"/>
      <c r="H64" s="84" t="s">
        <v>145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3">
        <v>18</v>
      </c>
      <c r="B65" s="14" t="s">
        <v>47</v>
      </c>
      <c r="C65" s="16" t="s">
        <v>109</v>
      </c>
      <c r="D65" s="14" t="s">
        <v>130</v>
      </c>
      <c r="E65" s="19">
        <v>10</v>
      </c>
      <c r="F65" s="70">
        <v>10</v>
      </c>
      <c r="G65" s="13">
        <v>237.74</v>
      </c>
      <c r="H65" s="87">
        <f t="shared" ref="H65:H78" si="6">SUM(F65*G65/1000)</f>
        <v>2.3774000000000002</v>
      </c>
      <c r="I65" s="13">
        <f>G65*2</f>
        <v>475.48</v>
      </c>
      <c r="J65" s="29"/>
      <c r="K65" s="29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3"/>
      <c r="B66" s="14" t="s">
        <v>48</v>
      </c>
      <c r="C66" s="16" t="s">
        <v>109</v>
      </c>
      <c r="D66" s="14" t="s">
        <v>130</v>
      </c>
      <c r="E66" s="19">
        <v>5</v>
      </c>
      <c r="F66" s="70">
        <v>5</v>
      </c>
      <c r="G66" s="13">
        <v>81.510000000000005</v>
      </c>
      <c r="H66" s="87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3"/>
      <c r="B67" s="14" t="s">
        <v>49</v>
      </c>
      <c r="C67" s="16" t="s">
        <v>111</v>
      </c>
      <c r="D67" s="14" t="s">
        <v>54</v>
      </c>
      <c r="E67" s="69">
        <v>13287</v>
      </c>
      <c r="F67" s="13">
        <f>SUM(E67/100)</f>
        <v>132.87</v>
      </c>
      <c r="G67" s="13">
        <v>226.79</v>
      </c>
      <c r="H67" s="87">
        <f t="shared" si="6"/>
        <v>30.133587299999999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1"/>
      <c r="S67" s="161"/>
      <c r="T67" s="161"/>
      <c r="U67" s="161"/>
    </row>
    <row r="68" spans="1:21" ht="15.75" hidden="1" customHeight="1">
      <c r="A68" s="33"/>
      <c r="B68" s="14" t="s">
        <v>50</v>
      </c>
      <c r="C68" s="16" t="s">
        <v>112</v>
      </c>
      <c r="D68" s="14"/>
      <c r="E68" s="69">
        <v>13287</v>
      </c>
      <c r="F68" s="13">
        <f>SUM(E68/1000)</f>
        <v>13.287000000000001</v>
      </c>
      <c r="G68" s="13">
        <v>176.61</v>
      </c>
      <c r="H68" s="87">
        <f t="shared" si="6"/>
        <v>2.3466170700000002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3"/>
      <c r="B69" s="14" t="s">
        <v>51</v>
      </c>
      <c r="C69" s="16" t="s">
        <v>77</v>
      </c>
      <c r="D69" s="14" t="s">
        <v>54</v>
      </c>
      <c r="E69" s="69">
        <v>2110</v>
      </c>
      <c r="F69" s="13">
        <f>SUM(E69/100)</f>
        <v>21.1</v>
      </c>
      <c r="G69" s="13">
        <v>2217.7800000000002</v>
      </c>
      <c r="H69" s="87">
        <f>SUM(F69*G69/1000)</f>
        <v>46.795158000000008</v>
      </c>
      <c r="I69" s="13">
        <v>0</v>
      </c>
    </row>
    <row r="70" spans="1:21" ht="15.75" hidden="1" customHeight="1">
      <c r="A70" s="33"/>
      <c r="B70" s="88" t="s">
        <v>113</v>
      </c>
      <c r="C70" s="16" t="s">
        <v>33</v>
      </c>
      <c r="D70" s="14"/>
      <c r="E70" s="69">
        <v>8.6</v>
      </c>
      <c r="F70" s="13">
        <f>SUM(E70)</f>
        <v>8.6</v>
      </c>
      <c r="G70" s="13">
        <v>42.67</v>
      </c>
      <c r="H70" s="87">
        <f t="shared" si="6"/>
        <v>0.36696200000000001</v>
      </c>
      <c r="I70" s="13">
        <v>0</v>
      </c>
    </row>
    <row r="71" spans="1:21" ht="15.75" hidden="1" customHeight="1">
      <c r="A71" s="33"/>
      <c r="B71" s="88" t="s">
        <v>114</v>
      </c>
      <c r="C71" s="16" t="s">
        <v>33</v>
      </c>
      <c r="D71" s="14"/>
      <c r="E71" s="69">
        <v>8.6</v>
      </c>
      <c r="F71" s="13">
        <f>SUM(E71)</f>
        <v>8.6</v>
      </c>
      <c r="G71" s="13">
        <v>39.81</v>
      </c>
      <c r="H71" s="87">
        <f t="shared" si="6"/>
        <v>0.342366</v>
      </c>
      <c r="I71" s="13">
        <v>0</v>
      </c>
    </row>
    <row r="72" spans="1:21" ht="15.75" hidden="1" customHeight="1">
      <c r="A72" s="33"/>
      <c r="B72" s="14" t="s">
        <v>57</v>
      </c>
      <c r="C72" s="16" t="s">
        <v>58</v>
      </c>
      <c r="D72" s="14" t="s">
        <v>54</v>
      </c>
      <c r="E72" s="19">
        <v>6</v>
      </c>
      <c r="F72" s="70">
        <v>6</v>
      </c>
      <c r="G72" s="13">
        <v>53.32</v>
      </c>
      <c r="H72" s="87">
        <f t="shared" si="6"/>
        <v>0.31992000000000004</v>
      </c>
      <c r="I72" s="13">
        <v>0</v>
      </c>
    </row>
    <row r="73" spans="1:21" ht="15.75" customHeight="1">
      <c r="A73" s="33"/>
      <c r="B73" s="54" t="s">
        <v>72</v>
      </c>
      <c r="C73" s="16"/>
      <c r="D73" s="14"/>
      <c r="E73" s="19"/>
      <c r="F73" s="13"/>
      <c r="G73" s="13"/>
      <c r="H73" s="87" t="s">
        <v>145</v>
      </c>
      <c r="I73" s="13"/>
    </row>
    <row r="74" spans="1:21" ht="15.75" customHeight="1">
      <c r="A74" s="33">
        <v>13</v>
      </c>
      <c r="B74" s="14" t="s">
        <v>73</v>
      </c>
      <c r="C74" s="16" t="s">
        <v>75</v>
      </c>
      <c r="D74" s="14"/>
      <c r="E74" s="19">
        <v>2</v>
      </c>
      <c r="F74" s="13">
        <v>0.2</v>
      </c>
      <c r="G74" s="13">
        <v>536.23</v>
      </c>
      <c r="H74" s="87">
        <f t="shared" si="6"/>
        <v>0.10724600000000001</v>
      </c>
      <c r="I74" s="13">
        <f>G74*0.2</f>
        <v>107.24600000000001</v>
      </c>
    </row>
    <row r="75" spans="1:21" ht="15.75" hidden="1" customHeight="1">
      <c r="A75" s="33"/>
      <c r="B75" s="14" t="s">
        <v>74</v>
      </c>
      <c r="C75" s="16" t="s">
        <v>31</v>
      </c>
      <c r="D75" s="14"/>
      <c r="E75" s="19">
        <v>2</v>
      </c>
      <c r="F75" s="61">
        <v>2</v>
      </c>
      <c r="G75" s="13">
        <v>911.85</v>
      </c>
      <c r="H75" s="87">
        <f>F75*G75/1000</f>
        <v>1.8237000000000001</v>
      </c>
      <c r="I75" s="13">
        <v>0</v>
      </c>
    </row>
    <row r="76" spans="1:21" ht="15.75" hidden="1" customHeight="1">
      <c r="A76" s="33"/>
      <c r="B76" s="14" t="s">
        <v>116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87">
        <f>G76*F76/1000</f>
        <v>0.38324999999999998</v>
      </c>
      <c r="I76" s="13">
        <v>0</v>
      </c>
    </row>
    <row r="77" spans="1:21" ht="15.75" hidden="1" customHeight="1">
      <c r="A77" s="33"/>
      <c r="B77" s="90" t="s">
        <v>76</v>
      </c>
      <c r="C77" s="16"/>
      <c r="D77" s="14"/>
      <c r="E77" s="19"/>
      <c r="F77" s="13"/>
      <c r="G77" s="13" t="s">
        <v>145</v>
      </c>
      <c r="H77" s="87" t="s">
        <v>145</v>
      </c>
      <c r="I77" s="13"/>
    </row>
    <row r="78" spans="1:21" ht="15.75" hidden="1" customHeight="1">
      <c r="A78" s="33"/>
      <c r="B78" s="47" t="s">
        <v>133</v>
      </c>
      <c r="C78" s="16" t="s">
        <v>77</v>
      </c>
      <c r="D78" s="14"/>
      <c r="E78" s="19"/>
      <c r="F78" s="13">
        <v>0.5</v>
      </c>
      <c r="G78" s="13">
        <v>2949.85</v>
      </c>
      <c r="H78" s="87">
        <f t="shared" si="6"/>
        <v>1.474925</v>
      </c>
      <c r="I78" s="13">
        <v>0</v>
      </c>
    </row>
    <row r="79" spans="1:21" ht="15.75" hidden="1" customHeight="1">
      <c r="A79" s="33"/>
      <c r="B79" s="97" t="s">
        <v>94</v>
      </c>
      <c r="C79" s="97"/>
      <c r="D79" s="97"/>
      <c r="E79" s="97"/>
      <c r="F79" s="97"/>
      <c r="G79" s="78"/>
      <c r="H79" s="91">
        <f>SUM(H60:H78)</f>
        <v>104.75020877000001</v>
      </c>
      <c r="I79" s="78"/>
    </row>
    <row r="80" spans="1:21" ht="15.75" hidden="1" customHeight="1">
      <c r="A80" s="33"/>
      <c r="B80" s="95" t="s">
        <v>115</v>
      </c>
      <c r="C80" s="24"/>
      <c r="D80" s="23"/>
      <c r="E80" s="62"/>
      <c r="F80" s="96">
        <v>1</v>
      </c>
      <c r="G80" s="13">
        <v>7634.7</v>
      </c>
      <c r="H80" s="87">
        <f>G80*F80/1000</f>
        <v>7.6346999999999996</v>
      </c>
      <c r="I80" s="13">
        <v>0</v>
      </c>
    </row>
    <row r="81" spans="1:9" ht="15" customHeight="1">
      <c r="A81" s="162" t="s">
        <v>139</v>
      </c>
      <c r="B81" s="163"/>
      <c r="C81" s="163"/>
      <c r="D81" s="163"/>
      <c r="E81" s="163"/>
      <c r="F81" s="163"/>
      <c r="G81" s="163"/>
      <c r="H81" s="163"/>
      <c r="I81" s="164"/>
    </row>
    <row r="82" spans="1:9" ht="15.75" customHeight="1">
      <c r="A82" s="33">
        <v>14</v>
      </c>
      <c r="B82" s="67" t="s">
        <v>117</v>
      </c>
      <c r="C82" s="16" t="s">
        <v>55</v>
      </c>
      <c r="D82" s="92" t="s">
        <v>163</v>
      </c>
      <c r="E82" s="13">
        <v>2626.5</v>
      </c>
      <c r="F82" s="13">
        <f>SUM(E82*12)</f>
        <v>31518</v>
      </c>
      <c r="G82" s="13">
        <v>2.2400000000000002</v>
      </c>
      <c r="H82" s="87">
        <f>SUM(F82*G82/1000)</f>
        <v>70.600320000000011</v>
      </c>
      <c r="I82" s="13">
        <f>F82/12*G82</f>
        <v>5883.3600000000006</v>
      </c>
    </row>
    <row r="83" spans="1:9" ht="31.5" customHeight="1">
      <c r="A83" s="33">
        <v>15</v>
      </c>
      <c r="B83" s="14" t="s">
        <v>78</v>
      </c>
      <c r="C83" s="16"/>
      <c r="D83" s="92" t="s">
        <v>163</v>
      </c>
      <c r="E83" s="69">
        <f>E82</f>
        <v>2626.5</v>
      </c>
      <c r="F83" s="13">
        <f>E83*12</f>
        <v>31518</v>
      </c>
      <c r="G83" s="13">
        <v>1.74</v>
      </c>
      <c r="H83" s="87">
        <f>F83*G83/1000</f>
        <v>54.841320000000003</v>
      </c>
      <c r="I83" s="13">
        <f>F83/12*G83</f>
        <v>4570.1099999999997</v>
      </c>
    </row>
    <row r="84" spans="1:9" ht="15.75" customHeight="1">
      <c r="A84" s="33"/>
      <c r="B84" s="40" t="s">
        <v>81</v>
      </c>
      <c r="C84" s="90"/>
      <c r="D84" s="89"/>
      <c r="E84" s="78"/>
      <c r="F84" s="78"/>
      <c r="G84" s="78"/>
      <c r="H84" s="91">
        <f>H83</f>
        <v>54.841320000000003</v>
      </c>
      <c r="I84" s="78">
        <f>I16+I17+I18+I20+I27+I28+I31+I32+I34+I35+I57+I63+I74+I82+I83</f>
        <v>40043.326982666666</v>
      </c>
    </row>
    <row r="85" spans="1:9" ht="15.75" customHeight="1">
      <c r="A85" s="173" t="s">
        <v>60</v>
      </c>
      <c r="B85" s="174"/>
      <c r="C85" s="174"/>
      <c r="D85" s="174"/>
      <c r="E85" s="174"/>
      <c r="F85" s="174"/>
      <c r="G85" s="174"/>
      <c r="H85" s="174"/>
      <c r="I85" s="175"/>
    </row>
    <row r="86" spans="1:9" ht="15.75" customHeight="1">
      <c r="A86" s="33">
        <v>16</v>
      </c>
      <c r="B86" s="50" t="s">
        <v>126</v>
      </c>
      <c r="C86" s="53" t="s">
        <v>109</v>
      </c>
      <c r="D86" s="14"/>
      <c r="E86" s="19"/>
      <c r="F86" s="13">
        <v>552</v>
      </c>
      <c r="G86" s="13">
        <v>53.42</v>
      </c>
      <c r="H86" s="87">
        <f>G86*F86/1000</f>
        <v>29.487839999999998</v>
      </c>
      <c r="I86" s="13">
        <f>G86*46</f>
        <v>2457.3200000000002</v>
      </c>
    </row>
    <row r="87" spans="1:9" ht="15.75" customHeight="1">
      <c r="A87" s="33">
        <v>17</v>
      </c>
      <c r="B87" s="50" t="s">
        <v>171</v>
      </c>
      <c r="C87" s="53" t="s">
        <v>109</v>
      </c>
      <c r="D87" s="14"/>
      <c r="E87" s="19"/>
      <c r="F87" s="13">
        <v>4</v>
      </c>
      <c r="G87" s="13">
        <v>189.88</v>
      </c>
      <c r="H87" s="13">
        <f>G87*F87/1000</f>
        <v>0.75951999999999997</v>
      </c>
      <c r="I87" s="13">
        <f>G87</f>
        <v>189.88</v>
      </c>
    </row>
    <row r="88" spans="1:9" ht="31.5" customHeight="1">
      <c r="A88" s="33">
        <v>18</v>
      </c>
      <c r="B88" s="50" t="s">
        <v>177</v>
      </c>
      <c r="C88" s="53" t="s">
        <v>38</v>
      </c>
      <c r="D88" s="39"/>
      <c r="E88" s="18"/>
      <c r="F88" s="37">
        <v>0.03</v>
      </c>
      <c r="G88" s="37">
        <v>3581.13</v>
      </c>
      <c r="H88" s="103">
        <f>G88*F88/1000</f>
        <v>0.1074339</v>
      </c>
      <c r="I88" s="13">
        <f>G88*0.01</f>
        <v>35.811300000000003</v>
      </c>
    </row>
    <row r="89" spans="1:9" ht="15.75" customHeight="1">
      <c r="A89" s="33">
        <v>19</v>
      </c>
      <c r="B89" s="50" t="s">
        <v>134</v>
      </c>
      <c r="C89" s="53" t="s">
        <v>84</v>
      </c>
      <c r="D89" s="39"/>
      <c r="E89" s="18"/>
      <c r="F89" s="37">
        <v>2</v>
      </c>
      <c r="G89" s="37">
        <v>195.85</v>
      </c>
      <c r="H89" s="103">
        <f>G89*F89/1000</f>
        <v>0.39169999999999999</v>
      </c>
      <c r="I89" s="13">
        <f>G89*2</f>
        <v>391.7</v>
      </c>
    </row>
    <row r="90" spans="1:9" ht="15.75" customHeight="1">
      <c r="A90" s="33">
        <v>20</v>
      </c>
      <c r="B90" s="51" t="s">
        <v>202</v>
      </c>
      <c r="C90" s="52" t="s">
        <v>109</v>
      </c>
      <c r="D90" s="39"/>
      <c r="E90" s="18"/>
      <c r="F90" s="37">
        <v>1</v>
      </c>
      <c r="G90" s="37">
        <v>1605.83</v>
      </c>
      <c r="H90" s="103">
        <f>G90*F90/1000</f>
        <v>1.6058299999999999</v>
      </c>
      <c r="I90" s="13">
        <f>G90</f>
        <v>1605.83</v>
      </c>
    </row>
    <row r="91" spans="1:9" ht="16.5" customHeight="1">
      <c r="A91" s="33"/>
      <c r="B91" s="45" t="s">
        <v>52</v>
      </c>
      <c r="C91" s="41"/>
      <c r="D91" s="48"/>
      <c r="E91" s="41">
        <v>1</v>
      </c>
      <c r="F91" s="41"/>
      <c r="G91" s="41"/>
      <c r="H91" s="41"/>
      <c r="I91" s="35">
        <f>SUM(I86:I90)</f>
        <v>4680.5412999999999</v>
      </c>
    </row>
    <row r="92" spans="1:9" ht="15.75" customHeight="1">
      <c r="A92" s="33"/>
      <c r="B92" s="47" t="s">
        <v>79</v>
      </c>
      <c r="C92" s="15"/>
      <c r="D92" s="15"/>
      <c r="E92" s="42"/>
      <c r="F92" s="42"/>
      <c r="G92" s="43"/>
      <c r="H92" s="43"/>
      <c r="I92" s="18">
        <v>0</v>
      </c>
    </row>
    <row r="93" spans="1:9" ht="15.75" customHeight="1">
      <c r="A93" s="49"/>
      <c r="B93" s="46" t="s">
        <v>174</v>
      </c>
      <c r="C93" s="36"/>
      <c r="D93" s="36"/>
      <c r="E93" s="36"/>
      <c r="F93" s="36"/>
      <c r="G93" s="36"/>
      <c r="H93" s="36"/>
      <c r="I93" s="44">
        <f>I84+I91</f>
        <v>44723.868282666663</v>
      </c>
    </row>
    <row r="94" spans="1:9" ht="15.75" customHeight="1">
      <c r="A94" s="165" t="s">
        <v>211</v>
      </c>
      <c r="B94" s="165"/>
      <c r="C94" s="165"/>
      <c r="D94" s="165"/>
      <c r="E94" s="165"/>
      <c r="F94" s="165"/>
      <c r="G94" s="165"/>
      <c r="H94" s="165"/>
      <c r="I94" s="165"/>
    </row>
    <row r="95" spans="1:9" ht="15.75">
      <c r="A95" s="60"/>
      <c r="B95" s="166" t="s">
        <v>212</v>
      </c>
      <c r="C95" s="166"/>
      <c r="D95" s="166"/>
      <c r="E95" s="166"/>
      <c r="F95" s="166"/>
      <c r="G95" s="166"/>
      <c r="H95" s="65"/>
      <c r="I95" s="3"/>
    </row>
    <row r="96" spans="1:9">
      <c r="A96" s="59"/>
      <c r="B96" s="167" t="s">
        <v>6</v>
      </c>
      <c r="C96" s="167"/>
      <c r="D96" s="167"/>
      <c r="E96" s="167"/>
      <c r="F96" s="167"/>
      <c r="G96" s="167"/>
      <c r="H96" s="28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68" t="s">
        <v>7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8" t="s">
        <v>8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169" t="s">
        <v>61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11"/>
    </row>
    <row r="102" spans="1:9" ht="15.75">
      <c r="A102" s="170" t="s">
        <v>9</v>
      </c>
      <c r="B102" s="170"/>
      <c r="C102" s="170"/>
      <c r="D102" s="170"/>
      <c r="E102" s="170"/>
      <c r="F102" s="170"/>
      <c r="G102" s="170"/>
      <c r="H102" s="170"/>
      <c r="I102" s="170"/>
    </row>
    <row r="103" spans="1:9" ht="15.75" customHeight="1">
      <c r="A103" s="4"/>
    </row>
    <row r="104" spans="1:9" ht="15.75">
      <c r="B104" s="56" t="s">
        <v>10</v>
      </c>
      <c r="C104" s="171" t="s">
        <v>140</v>
      </c>
      <c r="D104" s="171"/>
      <c r="E104" s="171"/>
      <c r="F104" s="63"/>
      <c r="I104" s="58"/>
    </row>
    <row r="105" spans="1:9">
      <c r="A105" s="59"/>
      <c r="C105" s="167" t="s">
        <v>11</v>
      </c>
      <c r="D105" s="167"/>
      <c r="E105" s="167"/>
      <c r="F105" s="28"/>
      <c r="I105" s="57" t="s">
        <v>12</v>
      </c>
    </row>
    <row r="106" spans="1:9" ht="15.75" customHeight="1">
      <c r="A106" s="29"/>
      <c r="C106" s="12"/>
      <c r="D106" s="12"/>
      <c r="G106" s="12"/>
      <c r="H106" s="12"/>
    </row>
    <row r="107" spans="1:9" ht="15.75" customHeight="1">
      <c r="B107" s="56" t="s">
        <v>13</v>
      </c>
      <c r="C107" s="172"/>
      <c r="D107" s="172"/>
      <c r="E107" s="172"/>
      <c r="F107" s="64"/>
      <c r="I107" s="58"/>
    </row>
    <row r="108" spans="1:9" ht="15.75" customHeight="1">
      <c r="A108" s="59"/>
      <c r="C108" s="161" t="s">
        <v>11</v>
      </c>
      <c r="D108" s="161"/>
      <c r="E108" s="161"/>
      <c r="F108" s="59"/>
      <c r="I108" s="57" t="s">
        <v>12</v>
      </c>
    </row>
    <row r="109" spans="1:9" ht="15.75">
      <c r="A109" s="4" t="s">
        <v>14</v>
      </c>
    </row>
    <row r="110" spans="1:9">
      <c r="A110" s="176" t="s">
        <v>15</v>
      </c>
      <c r="B110" s="176"/>
      <c r="C110" s="176"/>
      <c r="D110" s="176"/>
      <c r="E110" s="176"/>
      <c r="F110" s="176"/>
      <c r="G110" s="176"/>
      <c r="H110" s="176"/>
      <c r="I110" s="176"/>
    </row>
    <row r="111" spans="1:9" ht="45" customHeight="1">
      <c r="A111" s="177" t="s">
        <v>16</v>
      </c>
      <c r="B111" s="177"/>
      <c r="C111" s="177"/>
      <c r="D111" s="177"/>
      <c r="E111" s="177"/>
      <c r="F111" s="177"/>
      <c r="G111" s="177"/>
      <c r="H111" s="177"/>
      <c r="I111" s="177"/>
    </row>
    <row r="112" spans="1:9" ht="30" customHeight="1">
      <c r="A112" s="177" t="s">
        <v>17</v>
      </c>
      <c r="B112" s="177"/>
      <c r="C112" s="177"/>
      <c r="D112" s="177"/>
      <c r="E112" s="177"/>
      <c r="F112" s="177"/>
      <c r="G112" s="177"/>
      <c r="H112" s="177"/>
      <c r="I112" s="177"/>
    </row>
    <row r="113" spans="1:9" ht="30" customHeight="1">
      <c r="A113" s="177" t="s">
        <v>21</v>
      </c>
      <c r="B113" s="177"/>
      <c r="C113" s="177"/>
      <c r="D113" s="177"/>
      <c r="E113" s="177"/>
      <c r="F113" s="177"/>
      <c r="G113" s="177"/>
      <c r="H113" s="177"/>
      <c r="I113" s="177"/>
    </row>
    <row r="114" spans="1:9" ht="15" customHeight="1">
      <c r="A114" s="177" t="s">
        <v>20</v>
      </c>
      <c r="B114" s="177"/>
      <c r="C114" s="177"/>
      <c r="D114" s="177"/>
      <c r="E114" s="177"/>
      <c r="F114" s="177"/>
      <c r="G114" s="177"/>
      <c r="H114" s="177"/>
      <c r="I114" s="177"/>
    </row>
  </sheetData>
  <autoFilter ref="I12:I62"/>
  <mergeCells count="29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9:I29"/>
    <mergeCell ref="A47:I47"/>
    <mergeCell ref="A58:I58"/>
    <mergeCell ref="A94:I94"/>
    <mergeCell ref="B95:G95"/>
    <mergeCell ref="B96:G96"/>
    <mergeCell ref="A98:I98"/>
    <mergeCell ref="A99:I99"/>
    <mergeCell ref="A85:I85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86</v>
      </c>
      <c r="I1" s="30"/>
      <c r="J1" s="1"/>
      <c r="K1" s="1"/>
      <c r="L1" s="1"/>
      <c r="M1" s="1"/>
    </row>
    <row r="2" spans="1:13" ht="15.75">
      <c r="A2" s="32" t="s">
        <v>62</v>
      </c>
      <c r="J2" s="2"/>
      <c r="K2" s="2"/>
      <c r="L2" s="2"/>
      <c r="M2" s="2"/>
    </row>
    <row r="3" spans="1:13" ht="15.75" customHeight="1">
      <c r="A3" s="152" t="s">
        <v>161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</row>
    <row r="4" spans="1:13" ht="31.5" customHeight="1">
      <c r="A4" s="153" t="s">
        <v>136</v>
      </c>
      <c r="B4" s="153"/>
      <c r="C4" s="153"/>
      <c r="D4" s="153"/>
      <c r="E4" s="153"/>
      <c r="F4" s="153"/>
      <c r="G4" s="153"/>
      <c r="H4" s="153"/>
      <c r="I4" s="153"/>
    </row>
    <row r="5" spans="1:13" ht="15.75">
      <c r="A5" s="152" t="s">
        <v>203</v>
      </c>
      <c r="B5" s="154"/>
      <c r="C5" s="154"/>
      <c r="D5" s="154"/>
      <c r="E5" s="154"/>
      <c r="F5" s="154"/>
      <c r="G5" s="154"/>
      <c r="H5" s="154"/>
      <c r="I5" s="154"/>
      <c r="J5" s="2"/>
      <c r="K5" s="2"/>
      <c r="L5" s="2"/>
      <c r="M5" s="2"/>
    </row>
    <row r="6" spans="1:13" ht="15.75">
      <c r="A6" s="2"/>
      <c r="B6" s="55"/>
      <c r="C6" s="55"/>
      <c r="D6" s="55"/>
      <c r="E6" s="55"/>
      <c r="F6" s="55"/>
      <c r="G6" s="55"/>
      <c r="H6" s="55"/>
      <c r="I6" s="34">
        <v>43008</v>
      </c>
      <c r="J6" s="2"/>
      <c r="K6" s="2"/>
      <c r="L6" s="2"/>
      <c r="M6" s="2"/>
    </row>
    <row r="7" spans="1:13" ht="15.75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5" t="s">
        <v>166</v>
      </c>
      <c r="B8" s="155"/>
      <c r="C8" s="155"/>
      <c r="D8" s="155"/>
      <c r="E8" s="155"/>
      <c r="F8" s="155"/>
      <c r="G8" s="155"/>
      <c r="H8" s="155"/>
      <c r="I8" s="15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6" t="s">
        <v>165</v>
      </c>
      <c r="B10" s="156"/>
      <c r="C10" s="156"/>
      <c r="D10" s="156"/>
      <c r="E10" s="156"/>
      <c r="F10" s="156"/>
      <c r="G10" s="156"/>
      <c r="H10" s="156"/>
      <c r="I10" s="156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1" t="s">
        <v>59</v>
      </c>
      <c r="B14" s="151"/>
      <c r="C14" s="151"/>
      <c r="D14" s="151"/>
      <c r="E14" s="151"/>
      <c r="F14" s="151"/>
      <c r="G14" s="151"/>
      <c r="H14" s="151"/>
      <c r="I14" s="151"/>
      <c r="J14" s="8"/>
      <c r="K14" s="8"/>
      <c r="L14" s="8"/>
      <c r="M14" s="8"/>
    </row>
    <row r="15" spans="1:13" ht="15.75" customHeight="1">
      <c r="A15" s="157" t="s">
        <v>4</v>
      </c>
      <c r="B15" s="157"/>
      <c r="C15" s="157"/>
      <c r="D15" s="157"/>
      <c r="E15" s="157"/>
      <c r="F15" s="157"/>
      <c r="G15" s="157"/>
      <c r="H15" s="157"/>
      <c r="I15" s="157"/>
      <c r="J15" s="8"/>
      <c r="K15" s="8"/>
      <c r="L15" s="8"/>
      <c r="M15" s="8"/>
    </row>
    <row r="16" spans="1:13" ht="15.75" customHeight="1">
      <c r="A16" s="33">
        <v>1</v>
      </c>
      <c r="B16" s="67" t="s">
        <v>87</v>
      </c>
      <c r="C16" s="68" t="s">
        <v>88</v>
      </c>
      <c r="D16" s="67" t="s">
        <v>167</v>
      </c>
      <c r="E16" s="69">
        <v>49.72</v>
      </c>
      <c r="F16" s="70">
        <f>SUM(E16*156/100)</f>
        <v>77.563199999999995</v>
      </c>
      <c r="G16" s="70">
        <v>187.48</v>
      </c>
      <c r="H16" s="71">
        <f t="shared" ref="H16:H25" si="0">SUM(F16*G16/1000)</f>
        <v>14.541548735999999</v>
      </c>
      <c r="I16" s="13">
        <f>F16/12*G16</f>
        <v>1211.7957279999998</v>
      </c>
      <c r="J16" s="25"/>
      <c r="K16" s="8"/>
      <c r="L16" s="8"/>
      <c r="M16" s="8"/>
    </row>
    <row r="17" spans="1:13" ht="15.75" customHeight="1">
      <c r="A17" s="33">
        <v>2</v>
      </c>
      <c r="B17" s="67" t="s">
        <v>118</v>
      </c>
      <c r="C17" s="68" t="s">
        <v>88</v>
      </c>
      <c r="D17" s="67" t="s">
        <v>168</v>
      </c>
      <c r="E17" s="69">
        <v>198.88</v>
      </c>
      <c r="F17" s="70">
        <f>SUM(E17*104/100)</f>
        <v>206.83520000000001</v>
      </c>
      <c r="G17" s="70">
        <v>187.48</v>
      </c>
      <c r="H17" s="71">
        <f t="shared" si="0"/>
        <v>38.777463296000001</v>
      </c>
      <c r="I17" s="13">
        <f>F17/12*G17</f>
        <v>3231.4552746666668</v>
      </c>
      <c r="J17" s="26"/>
      <c r="K17" s="8"/>
      <c r="L17" s="8"/>
      <c r="M17" s="8"/>
    </row>
    <row r="18" spans="1:13" ht="15.75" customHeight="1">
      <c r="A18" s="33">
        <v>3</v>
      </c>
      <c r="B18" s="67" t="s">
        <v>119</v>
      </c>
      <c r="C18" s="68" t="s">
        <v>88</v>
      </c>
      <c r="D18" s="67" t="s">
        <v>169</v>
      </c>
      <c r="E18" s="69">
        <v>248.6</v>
      </c>
      <c r="F18" s="70">
        <f>SUM(E18*24/100)</f>
        <v>59.663999999999994</v>
      </c>
      <c r="G18" s="70">
        <v>539.30999999999995</v>
      </c>
      <c r="H18" s="71">
        <f t="shared" si="0"/>
        <v>32.177391839999991</v>
      </c>
      <c r="I18" s="13">
        <f>F18/12*G18</f>
        <v>2681.4493199999993</v>
      </c>
      <c r="J18" s="26"/>
      <c r="K18" s="8"/>
      <c r="L18" s="8"/>
      <c r="M18" s="8"/>
    </row>
    <row r="19" spans="1:13" ht="15.75" hidden="1" customHeight="1">
      <c r="A19" s="33"/>
      <c r="B19" s="67" t="s">
        <v>95</v>
      </c>
      <c r="C19" s="68" t="s">
        <v>96</v>
      </c>
      <c r="D19" s="67" t="s">
        <v>97</v>
      </c>
      <c r="E19" s="69">
        <v>18.48</v>
      </c>
      <c r="F19" s="70">
        <f>SUM(E19/10)</f>
        <v>1.8480000000000001</v>
      </c>
      <c r="G19" s="70">
        <v>181.91</v>
      </c>
      <c r="H19" s="71">
        <f t="shared" si="0"/>
        <v>0.33616968000000003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7" t="s">
        <v>98</v>
      </c>
      <c r="C20" s="68" t="s">
        <v>88</v>
      </c>
      <c r="D20" s="67" t="s">
        <v>120</v>
      </c>
      <c r="E20" s="69">
        <v>10.5</v>
      </c>
      <c r="F20" s="70">
        <f>SUM(E20*12/100)</f>
        <v>1.26</v>
      </c>
      <c r="G20" s="70">
        <v>232.92</v>
      </c>
      <c r="H20" s="71">
        <f t="shared" si="0"/>
        <v>0.2934792</v>
      </c>
      <c r="I20" s="13">
        <f>F20/12*G20</f>
        <v>24.456599999999998</v>
      </c>
      <c r="J20" s="26"/>
      <c r="K20" s="8"/>
      <c r="L20" s="8"/>
      <c r="M20" s="8"/>
    </row>
    <row r="21" spans="1:13" ht="15.75" customHeight="1">
      <c r="A21" s="33">
        <v>5</v>
      </c>
      <c r="B21" s="67" t="s">
        <v>99</v>
      </c>
      <c r="C21" s="68" t="s">
        <v>88</v>
      </c>
      <c r="D21" s="67" t="s">
        <v>127</v>
      </c>
      <c r="E21" s="69">
        <v>2.7</v>
      </c>
      <c r="F21" s="70">
        <f>SUM(E21*6/100)</f>
        <v>0.16200000000000003</v>
      </c>
      <c r="G21" s="70">
        <v>231.03</v>
      </c>
      <c r="H21" s="71">
        <f t="shared" si="0"/>
        <v>3.7426860000000006E-2</v>
      </c>
      <c r="I21" s="13">
        <f>F21/6*G21</f>
        <v>6.2378100000000014</v>
      </c>
      <c r="J21" s="26"/>
      <c r="K21" s="8"/>
      <c r="L21" s="8"/>
      <c r="M21" s="8"/>
    </row>
    <row r="22" spans="1:13" ht="15.75" hidden="1" customHeight="1">
      <c r="A22" s="33"/>
      <c r="B22" s="67" t="s">
        <v>100</v>
      </c>
      <c r="C22" s="68" t="s">
        <v>53</v>
      </c>
      <c r="D22" s="67" t="s">
        <v>97</v>
      </c>
      <c r="E22" s="69">
        <v>267.75</v>
      </c>
      <c r="F22" s="70">
        <f>SUM(E22/100)</f>
        <v>2.6775000000000002</v>
      </c>
      <c r="G22" s="70">
        <v>287.83999999999997</v>
      </c>
      <c r="H22" s="71">
        <f t="shared" si="0"/>
        <v>0.77069160000000003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67" t="s">
        <v>101</v>
      </c>
      <c r="C23" s="68" t="s">
        <v>53</v>
      </c>
      <c r="D23" s="67" t="s">
        <v>97</v>
      </c>
      <c r="E23" s="72">
        <v>36.229999999999997</v>
      </c>
      <c r="F23" s="70">
        <f>SUM(E23/100)</f>
        <v>0.36229999999999996</v>
      </c>
      <c r="G23" s="70">
        <v>47.34</v>
      </c>
      <c r="H23" s="71">
        <f t="shared" si="0"/>
        <v>1.7151281999999997E-2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67" t="s">
        <v>102</v>
      </c>
      <c r="C24" s="68" t="s">
        <v>53</v>
      </c>
      <c r="D24" s="67" t="s">
        <v>54</v>
      </c>
      <c r="E24" s="69">
        <v>15</v>
      </c>
      <c r="F24" s="70">
        <f>E24/100</f>
        <v>0.15</v>
      </c>
      <c r="G24" s="70">
        <v>416.62</v>
      </c>
      <c r="H24" s="71">
        <f t="shared" si="0"/>
        <v>6.2492999999999993E-2</v>
      </c>
      <c r="I24" s="13">
        <v>0</v>
      </c>
      <c r="J24" s="26"/>
      <c r="K24" s="8"/>
      <c r="L24" s="8"/>
      <c r="M24" s="8"/>
    </row>
    <row r="25" spans="1:13" ht="15.75" hidden="1" customHeight="1">
      <c r="A25" s="33"/>
      <c r="B25" s="67" t="s">
        <v>103</v>
      </c>
      <c r="C25" s="68" t="s">
        <v>53</v>
      </c>
      <c r="D25" s="67" t="s">
        <v>54</v>
      </c>
      <c r="E25" s="69">
        <v>6.38</v>
      </c>
      <c r="F25" s="70">
        <f>SUM(E25/100)</f>
        <v>6.3799999999999996E-2</v>
      </c>
      <c r="G25" s="70">
        <v>556.74</v>
      </c>
      <c r="H25" s="71">
        <f t="shared" si="0"/>
        <v>3.5520012000000004E-2</v>
      </c>
      <c r="I25" s="13">
        <v>0</v>
      </c>
      <c r="J25" s="26"/>
      <c r="K25" s="8"/>
      <c r="L25" s="8"/>
      <c r="M25" s="8"/>
    </row>
    <row r="26" spans="1:13" ht="15.75" hidden="1" customHeight="1">
      <c r="A26" s="33"/>
      <c r="B26" s="67" t="s">
        <v>128</v>
      </c>
      <c r="C26" s="68" t="s">
        <v>53</v>
      </c>
      <c r="D26" s="67" t="s">
        <v>54</v>
      </c>
      <c r="E26" s="69">
        <v>14.25</v>
      </c>
      <c r="F26" s="70">
        <v>0.14000000000000001</v>
      </c>
      <c r="G26" s="70">
        <v>231.03</v>
      </c>
      <c r="H26" s="71">
        <f>G26*F26/1000</f>
        <v>3.2344200000000004E-2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7" t="s">
        <v>64</v>
      </c>
      <c r="C27" s="68" t="s">
        <v>33</v>
      </c>
      <c r="D27" s="67" t="s">
        <v>170</v>
      </c>
      <c r="E27" s="69">
        <v>0.1</v>
      </c>
      <c r="F27" s="70">
        <f>SUM(E27*365)</f>
        <v>36.5</v>
      </c>
      <c r="G27" s="70">
        <v>157.18</v>
      </c>
      <c r="H27" s="71">
        <f>SUM(F27*G27/1000)</f>
        <v>5.737070000000001</v>
      </c>
      <c r="I27" s="13">
        <f>F27/12*G27</f>
        <v>478.08916666666664</v>
      </c>
      <c r="J27" s="27"/>
    </row>
    <row r="28" spans="1:13" ht="15.75" customHeight="1">
      <c r="A28" s="33">
        <v>7</v>
      </c>
      <c r="B28" s="80" t="s">
        <v>23</v>
      </c>
      <c r="C28" s="68" t="s">
        <v>24</v>
      </c>
      <c r="D28" s="67" t="s">
        <v>170</v>
      </c>
      <c r="E28" s="69">
        <v>2626.5</v>
      </c>
      <c r="F28" s="70">
        <f>SUM(E28*12)</f>
        <v>31518</v>
      </c>
      <c r="G28" s="70">
        <v>4.7</v>
      </c>
      <c r="H28" s="71">
        <f>SUM(F28*G28/1000)</f>
        <v>148.13460000000001</v>
      </c>
      <c r="I28" s="13">
        <f>F28/12*G28</f>
        <v>12344.550000000001</v>
      </c>
      <c r="J28" s="27"/>
    </row>
    <row r="29" spans="1:13" ht="15.75" customHeight="1">
      <c r="A29" s="157" t="s">
        <v>85</v>
      </c>
      <c r="B29" s="157"/>
      <c r="C29" s="157"/>
      <c r="D29" s="157"/>
      <c r="E29" s="157"/>
      <c r="F29" s="157"/>
      <c r="G29" s="157"/>
      <c r="H29" s="157"/>
      <c r="I29" s="157"/>
      <c r="J29" s="26"/>
      <c r="K29" s="8"/>
      <c r="L29" s="8"/>
      <c r="M29" s="8"/>
    </row>
    <row r="30" spans="1:13" ht="15.75" customHeight="1">
      <c r="A30" s="33"/>
      <c r="B30" s="93" t="s">
        <v>28</v>
      </c>
      <c r="C30" s="68"/>
      <c r="D30" s="67"/>
      <c r="E30" s="69"/>
      <c r="F30" s="70"/>
      <c r="G30" s="70"/>
      <c r="H30" s="71"/>
      <c r="I30" s="13"/>
      <c r="J30" s="26"/>
      <c r="K30" s="8"/>
      <c r="L30" s="8"/>
      <c r="M30" s="8"/>
    </row>
    <row r="31" spans="1:13" ht="15.75" customHeight="1">
      <c r="A31" s="33">
        <v>8</v>
      </c>
      <c r="B31" s="67" t="s">
        <v>107</v>
      </c>
      <c r="C31" s="68" t="s">
        <v>90</v>
      </c>
      <c r="D31" s="67" t="s">
        <v>187</v>
      </c>
      <c r="E31" s="70">
        <v>665</v>
      </c>
      <c r="F31" s="70">
        <f>SUM(E31*52/1000)</f>
        <v>34.58</v>
      </c>
      <c r="G31" s="70">
        <v>166.65</v>
      </c>
      <c r="H31" s="71">
        <f t="shared" ref="H31:H37" si="1">SUM(F31*G31/1000)</f>
        <v>5.7627569999999997</v>
      </c>
      <c r="I31" s="13">
        <f t="shared" ref="I31:I35" si="2">F31/6*G31</f>
        <v>960.45949999999993</v>
      </c>
      <c r="J31" s="26"/>
      <c r="K31" s="8"/>
      <c r="L31" s="8"/>
      <c r="M31" s="8"/>
    </row>
    <row r="32" spans="1:13" ht="31.5" customHeight="1">
      <c r="A32" s="33">
        <v>9</v>
      </c>
      <c r="B32" s="67" t="s">
        <v>122</v>
      </c>
      <c r="C32" s="68" t="s">
        <v>90</v>
      </c>
      <c r="D32" s="67" t="s">
        <v>188</v>
      </c>
      <c r="E32" s="70">
        <v>81.5</v>
      </c>
      <c r="F32" s="70">
        <f>SUM(E32*78/1000)</f>
        <v>6.3570000000000002</v>
      </c>
      <c r="G32" s="70">
        <v>276.48</v>
      </c>
      <c r="H32" s="71">
        <f t="shared" si="1"/>
        <v>1.7575833600000001</v>
      </c>
      <c r="I32" s="13">
        <f t="shared" si="2"/>
        <v>292.93056000000007</v>
      </c>
      <c r="J32" s="26"/>
      <c r="K32" s="8"/>
      <c r="L32" s="8"/>
      <c r="M32" s="8"/>
    </row>
    <row r="33" spans="1:14" ht="15.75" hidden="1" customHeight="1">
      <c r="A33" s="33"/>
      <c r="B33" s="67" t="s">
        <v>27</v>
      </c>
      <c r="C33" s="68" t="s">
        <v>90</v>
      </c>
      <c r="D33" s="67" t="s">
        <v>54</v>
      </c>
      <c r="E33" s="70">
        <v>665</v>
      </c>
      <c r="F33" s="70">
        <f>SUM(E33/1000)</f>
        <v>0.66500000000000004</v>
      </c>
      <c r="G33" s="70">
        <v>3228.73</v>
      </c>
      <c r="H33" s="71">
        <f t="shared" si="1"/>
        <v>2.1471054500000002</v>
      </c>
      <c r="I33" s="13">
        <f>F33*G33</f>
        <v>2147.10545</v>
      </c>
      <c r="J33" s="26"/>
      <c r="K33" s="8"/>
      <c r="L33" s="8"/>
      <c r="M33" s="8"/>
    </row>
    <row r="34" spans="1:14" ht="15.75" customHeight="1">
      <c r="A34" s="33">
        <v>10</v>
      </c>
      <c r="B34" s="67" t="s">
        <v>121</v>
      </c>
      <c r="C34" s="68" t="s">
        <v>40</v>
      </c>
      <c r="D34" s="67" t="s">
        <v>63</v>
      </c>
      <c r="E34" s="70">
        <v>3</v>
      </c>
      <c r="F34" s="70">
        <f>E34*155/100</f>
        <v>4.6500000000000004</v>
      </c>
      <c r="G34" s="70">
        <v>1391.86</v>
      </c>
      <c r="H34" s="71">
        <f>G34*F34/1000</f>
        <v>6.4721489999999999</v>
      </c>
      <c r="I34" s="13">
        <f t="shared" si="2"/>
        <v>1078.6914999999999</v>
      </c>
      <c r="J34" s="26"/>
      <c r="K34" s="8"/>
    </row>
    <row r="35" spans="1:14" ht="15.75" customHeight="1">
      <c r="A35" s="33">
        <v>11</v>
      </c>
      <c r="B35" s="67" t="s">
        <v>106</v>
      </c>
      <c r="C35" s="68" t="s">
        <v>31</v>
      </c>
      <c r="D35" s="67" t="s">
        <v>63</v>
      </c>
      <c r="E35" s="79">
        <v>0.33333333333333331</v>
      </c>
      <c r="F35" s="70">
        <f>155/3</f>
        <v>51.666666666666664</v>
      </c>
      <c r="G35" s="70">
        <v>60.6</v>
      </c>
      <c r="H35" s="71">
        <f>SUM(G35*155/3/1000)</f>
        <v>3.1309999999999998</v>
      </c>
      <c r="I35" s="13">
        <f t="shared" si="2"/>
        <v>521.83333333333337</v>
      </c>
      <c r="J35" s="27"/>
    </row>
    <row r="36" spans="1:14" ht="15.75" hidden="1" customHeight="1">
      <c r="A36" s="33"/>
      <c r="B36" s="67" t="s">
        <v>65</v>
      </c>
      <c r="C36" s="68" t="s">
        <v>33</v>
      </c>
      <c r="D36" s="67" t="s">
        <v>67</v>
      </c>
      <c r="E36" s="69"/>
      <c r="F36" s="70">
        <v>3</v>
      </c>
      <c r="G36" s="70">
        <v>204.52</v>
      </c>
      <c r="H36" s="71">
        <f t="shared" si="1"/>
        <v>0.61356000000000011</v>
      </c>
      <c r="I36" s="13">
        <v>0</v>
      </c>
      <c r="J36" s="27"/>
    </row>
    <row r="37" spans="1:14" ht="15.75" hidden="1" customHeight="1">
      <c r="A37" s="33"/>
      <c r="B37" s="67" t="s">
        <v>66</v>
      </c>
      <c r="C37" s="68" t="s">
        <v>32</v>
      </c>
      <c r="D37" s="67" t="s">
        <v>67</v>
      </c>
      <c r="E37" s="69"/>
      <c r="F37" s="70">
        <v>2</v>
      </c>
      <c r="G37" s="70">
        <v>1214.73</v>
      </c>
      <c r="H37" s="71">
        <f t="shared" si="1"/>
        <v>2.4294600000000002</v>
      </c>
      <c r="I37" s="13">
        <v>0</v>
      </c>
      <c r="J37" s="27"/>
    </row>
    <row r="38" spans="1:14" ht="15.75" hidden="1" customHeight="1">
      <c r="A38" s="33"/>
      <c r="B38" s="93" t="s">
        <v>5</v>
      </c>
      <c r="C38" s="68"/>
      <c r="D38" s="67"/>
      <c r="E38" s="69"/>
      <c r="F38" s="70"/>
      <c r="G38" s="70"/>
      <c r="H38" s="71" t="s">
        <v>145</v>
      </c>
      <c r="I38" s="13"/>
      <c r="J38" s="27"/>
    </row>
    <row r="39" spans="1:14" ht="15.75" hidden="1" customHeight="1">
      <c r="A39" s="33">
        <v>8</v>
      </c>
      <c r="B39" s="67" t="s">
        <v>26</v>
      </c>
      <c r="C39" s="68" t="s">
        <v>32</v>
      </c>
      <c r="D39" s="67"/>
      <c r="E39" s="69"/>
      <c r="F39" s="70">
        <v>8</v>
      </c>
      <c r="G39" s="70">
        <v>1632.6</v>
      </c>
      <c r="H39" s="71">
        <f t="shared" ref="H39:H45" si="3">SUM(F39*G39/1000)</f>
        <v>13.060799999999999</v>
      </c>
      <c r="I39" s="13">
        <f t="shared" ref="I39:I45" si="4">F39/6*G39</f>
        <v>2176.7999999999997</v>
      </c>
      <c r="J39" s="27"/>
      <c r="L39" s="20"/>
      <c r="M39" s="21"/>
      <c r="N39" s="22"/>
    </row>
    <row r="40" spans="1:14" ht="15.75" hidden="1" customHeight="1">
      <c r="A40" s="33">
        <v>9</v>
      </c>
      <c r="B40" s="67" t="s">
        <v>108</v>
      </c>
      <c r="C40" s="68" t="s">
        <v>29</v>
      </c>
      <c r="D40" s="67" t="s">
        <v>129</v>
      </c>
      <c r="E40" s="69">
        <v>81.5</v>
      </c>
      <c r="F40" s="70">
        <f>E40*30/1000</f>
        <v>2.4449999999999998</v>
      </c>
      <c r="G40" s="70">
        <v>2247.8000000000002</v>
      </c>
      <c r="H40" s="71">
        <f>G40*F40/1000</f>
        <v>5.4958710000000002</v>
      </c>
      <c r="I40" s="13">
        <f t="shared" si="4"/>
        <v>915.97850000000005</v>
      </c>
      <c r="J40" s="27"/>
      <c r="L40" s="20"/>
      <c r="M40" s="21"/>
      <c r="N40" s="22"/>
    </row>
    <row r="41" spans="1:14" ht="15.75" hidden="1" customHeight="1">
      <c r="A41" s="33"/>
      <c r="B41" s="67" t="s">
        <v>123</v>
      </c>
      <c r="C41" s="68" t="s">
        <v>124</v>
      </c>
      <c r="D41" s="67" t="s">
        <v>130</v>
      </c>
      <c r="E41" s="69"/>
      <c r="F41" s="70">
        <v>95</v>
      </c>
      <c r="G41" s="70">
        <v>213.2</v>
      </c>
      <c r="H41" s="71">
        <f>G41*F41/1000</f>
        <v>20.254000000000001</v>
      </c>
      <c r="I41" s="13">
        <v>0</v>
      </c>
      <c r="J41" s="27"/>
      <c r="L41" s="20"/>
      <c r="M41" s="21"/>
      <c r="N41" s="22"/>
    </row>
    <row r="42" spans="1:14" ht="15.75" hidden="1" customHeight="1">
      <c r="A42" s="33">
        <v>10</v>
      </c>
      <c r="B42" s="67" t="s">
        <v>68</v>
      </c>
      <c r="C42" s="68" t="s">
        <v>29</v>
      </c>
      <c r="D42" s="67" t="s">
        <v>89</v>
      </c>
      <c r="E42" s="70">
        <v>153</v>
      </c>
      <c r="F42" s="70">
        <f>SUM(E42*155/1000)</f>
        <v>23.715</v>
      </c>
      <c r="G42" s="70">
        <v>375.95</v>
      </c>
      <c r="H42" s="71">
        <f t="shared" si="3"/>
        <v>8.9156542499999993</v>
      </c>
      <c r="I42" s="13">
        <f t="shared" si="4"/>
        <v>1485.9423750000001</v>
      </c>
      <c r="J42" s="27"/>
      <c r="L42" s="20"/>
      <c r="M42" s="21"/>
      <c r="N42" s="22"/>
    </row>
    <row r="43" spans="1:14" ht="47.25" hidden="1" customHeight="1">
      <c r="A43" s="33">
        <v>11</v>
      </c>
      <c r="B43" s="67" t="s">
        <v>83</v>
      </c>
      <c r="C43" s="68" t="s">
        <v>90</v>
      </c>
      <c r="D43" s="67" t="s">
        <v>131</v>
      </c>
      <c r="E43" s="70">
        <v>81.5</v>
      </c>
      <c r="F43" s="70">
        <f>SUM(E43*35/1000)</f>
        <v>2.8525</v>
      </c>
      <c r="G43" s="70">
        <v>6203.7</v>
      </c>
      <c r="H43" s="71">
        <f t="shared" si="3"/>
        <v>17.69605425</v>
      </c>
      <c r="I43" s="13">
        <f t="shared" si="4"/>
        <v>2949.3423749999997</v>
      </c>
      <c r="J43" s="27"/>
      <c r="L43" s="20"/>
      <c r="M43" s="21"/>
      <c r="N43" s="22"/>
    </row>
    <row r="44" spans="1:14" ht="15.75" hidden="1" customHeight="1">
      <c r="A44" s="33">
        <v>12</v>
      </c>
      <c r="B44" s="67" t="s">
        <v>91</v>
      </c>
      <c r="C44" s="68" t="s">
        <v>90</v>
      </c>
      <c r="D44" s="67" t="s">
        <v>69</v>
      </c>
      <c r="E44" s="70">
        <v>81.5</v>
      </c>
      <c r="F44" s="70">
        <f>SUM(E44*45/1000)</f>
        <v>3.6675</v>
      </c>
      <c r="G44" s="70">
        <v>458.28</v>
      </c>
      <c r="H44" s="71">
        <f t="shared" si="3"/>
        <v>1.6807418999999999</v>
      </c>
      <c r="I44" s="13">
        <f t="shared" si="4"/>
        <v>280.12364999999994</v>
      </c>
      <c r="J44" s="27"/>
      <c r="L44" s="20"/>
      <c r="M44" s="21"/>
      <c r="N44" s="22"/>
    </row>
    <row r="45" spans="1:14" ht="15.75" hidden="1" customHeight="1">
      <c r="A45" s="33">
        <v>13</v>
      </c>
      <c r="B45" s="67" t="s">
        <v>70</v>
      </c>
      <c r="C45" s="68" t="s">
        <v>33</v>
      </c>
      <c r="D45" s="67"/>
      <c r="E45" s="69"/>
      <c r="F45" s="70">
        <v>0.9</v>
      </c>
      <c r="G45" s="70">
        <v>853.06</v>
      </c>
      <c r="H45" s="71">
        <f t="shared" si="3"/>
        <v>0.76775400000000005</v>
      </c>
      <c r="I45" s="13">
        <f t="shared" si="4"/>
        <v>127.95899999999999</v>
      </c>
      <c r="J45" s="27"/>
      <c r="L45" s="20"/>
      <c r="M45" s="21"/>
      <c r="N45" s="22"/>
    </row>
    <row r="46" spans="1:14" ht="15.75" hidden="1" customHeight="1">
      <c r="A46" s="33"/>
      <c r="B46" s="73" t="s">
        <v>144</v>
      </c>
      <c r="C46" s="74"/>
      <c r="D46" s="73"/>
      <c r="E46" s="75"/>
      <c r="F46" s="76" t="s">
        <v>145</v>
      </c>
      <c r="G46" s="76"/>
      <c r="H46" s="77">
        <f>SUM(H39:H45)</f>
        <v>67.870875400000003</v>
      </c>
      <c r="I46" s="78"/>
      <c r="J46" s="27"/>
      <c r="L46" s="20"/>
      <c r="M46" s="21"/>
      <c r="N46" s="22"/>
    </row>
    <row r="47" spans="1:14" ht="15.75" customHeight="1">
      <c r="A47" s="158" t="s">
        <v>137</v>
      </c>
      <c r="B47" s="159"/>
      <c r="C47" s="159"/>
      <c r="D47" s="159"/>
      <c r="E47" s="159"/>
      <c r="F47" s="159"/>
      <c r="G47" s="159"/>
      <c r="H47" s="159"/>
      <c r="I47" s="160"/>
      <c r="J47" s="27"/>
      <c r="L47" s="20"/>
      <c r="M47" s="21"/>
      <c r="N47" s="22"/>
    </row>
    <row r="48" spans="1:14" ht="15.75" customHeight="1">
      <c r="A48" s="33">
        <v>12</v>
      </c>
      <c r="B48" s="67" t="s">
        <v>132</v>
      </c>
      <c r="C48" s="68" t="s">
        <v>90</v>
      </c>
      <c r="D48" s="67" t="s">
        <v>42</v>
      </c>
      <c r="E48" s="69">
        <v>1080</v>
      </c>
      <c r="F48" s="70">
        <f>SUM(E48*2/1000)</f>
        <v>2.16</v>
      </c>
      <c r="G48" s="13">
        <v>865.61</v>
      </c>
      <c r="H48" s="71">
        <f t="shared" ref="H48:H56" si="5">SUM(F48*G48/1000)</f>
        <v>1.8697176000000002</v>
      </c>
      <c r="I48" s="13">
        <f t="shared" ref="I48:I51" si="6">F48/2*G48</f>
        <v>934.85880000000009</v>
      </c>
      <c r="J48" s="27"/>
      <c r="L48" s="20"/>
      <c r="M48" s="21"/>
      <c r="N48" s="22"/>
    </row>
    <row r="49" spans="1:22" ht="15.75" customHeight="1">
      <c r="A49" s="33">
        <v>13</v>
      </c>
      <c r="B49" s="67" t="s">
        <v>35</v>
      </c>
      <c r="C49" s="68" t="s">
        <v>90</v>
      </c>
      <c r="D49" s="67" t="s">
        <v>42</v>
      </c>
      <c r="E49" s="69">
        <v>39</v>
      </c>
      <c r="F49" s="70">
        <f>E49*2/1000</f>
        <v>7.8E-2</v>
      </c>
      <c r="G49" s="13">
        <v>619.46</v>
      </c>
      <c r="H49" s="71">
        <f t="shared" si="5"/>
        <v>4.8317880000000001E-2</v>
      </c>
      <c r="I49" s="13">
        <f t="shared" si="6"/>
        <v>24.158940000000001</v>
      </c>
      <c r="J49" s="27"/>
      <c r="L49" s="20"/>
      <c r="M49" s="21"/>
      <c r="N49" s="22"/>
    </row>
    <row r="50" spans="1:22" ht="15.75" customHeight="1">
      <c r="A50" s="33">
        <v>14</v>
      </c>
      <c r="B50" s="67" t="s">
        <v>36</v>
      </c>
      <c r="C50" s="68" t="s">
        <v>90</v>
      </c>
      <c r="D50" s="67" t="s">
        <v>42</v>
      </c>
      <c r="E50" s="69">
        <v>1037</v>
      </c>
      <c r="F50" s="70">
        <f>SUM(E50*2/1000)</f>
        <v>2.0739999999999998</v>
      </c>
      <c r="G50" s="13">
        <v>619.46</v>
      </c>
      <c r="H50" s="71">
        <f t="shared" si="5"/>
        <v>1.2847600399999999</v>
      </c>
      <c r="I50" s="13">
        <f t="shared" si="6"/>
        <v>642.38001999999994</v>
      </c>
      <c r="J50" s="27"/>
      <c r="L50" s="20"/>
      <c r="M50" s="21"/>
      <c r="N50" s="22"/>
    </row>
    <row r="51" spans="1:22" ht="15.75" customHeight="1">
      <c r="A51" s="33">
        <v>15</v>
      </c>
      <c r="B51" s="67" t="s">
        <v>37</v>
      </c>
      <c r="C51" s="68" t="s">
        <v>90</v>
      </c>
      <c r="D51" s="67" t="s">
        <v>42</v>
      </c>
      <c r="E51" s="69">
        <v>2274</v>
      </c>
      <c r="F51" s="70">
        <f>SUM(E51*2/1000)</f>
        <v>4.548</v>
      </c>
      <c r="G51" s="13">
        <v>648.64</v>
      </c>
      <c r="H51" s="71">
        <f t="shared" si="5"/>
        <v>2.95001472</v>
      </c>
      <c r="I51" s="13">
        <f t="shared" si="6"/>
        <v>1475.0073600000001</v>
      </c>
      <c r="J51" s="27"/>
      <c r="L51" s="20"/>
      <c r="M51" s="21"/>
      <c r="N51" s="22"/>
    </row>
    <row r="52" spans="1:22" ht="15.75" customHeight="1">
      <c r="A52" s="33">
        <v>16</v>
      </c>
      <c r="B52" s="67" t="s">
        <v>34</v>
      </c>
      <c r="C52" s="68" t="s">
        <v>53</v>
      </c>
      <c r="D52" s="67" t="s">
        <v>42</v>
      </c>
      <c r="E52" s="69">
        <v>83.04</v>
      </c>
      <c r="F52" s="70">
        <v>1.66</v>
      </c>
      <c r="G52" s="13">
        <v>77.84</v>
      </c>
      <c r="H52" s="71">
        <f>SUM(F52*G52/1000)</f>
        <v>0.12921440000000001</v>
      </c>
      <c r="I52" s="13">
        <f>F52/2*G52</f>
        <v>64.607200000000006</v>
      </c>
      <c r="J52" s="27"/>
      <c r="L52" s="20"/>
      <c r="M52" s="21"/>
      <c r="N52" s="22"/>
    </row>
    <row r="53" spans="1:22" ht="15.75" customHeight="1">
      <c r="A53" s="33">
        <v>17</v>
      </c>
      <c r="B53" s="67" t="s">
        <v>56</v>
      </c>
      <c r="C53" s="68" t="s">
        <v>90</v>
      </c>
      <c r="D53" s="67" t="s">
        <v>153</v>
      </c>
      <c r="E53" s="69">
        <v>1728</v>
      </c>
      <c r="F53" s="70">
        <f>SUM(E53*5/1000)</f>
        <v>8.64</v>
      </c>
      <c r="G53" s="13">
        <v>1297.28</v>
      </c>
      <c r="H53" s="71">
        <f>SUM(F53*G53/1000)</f>
        <v>11.2084992</v>
      </c>
      <c r="I53" s="13">
        <f>F53/5*G53</f>
        <v>2241.6998400000002</v>
      </c>
      <c r="J53" s="27"/>
      <c r="L53" s="20"/>
      <c r="M53" s="21"/>
      <c r="N53" s="22"/>
    </row>
    <row r="54" spans="1:22" ht="31.5" customHeight="1">
      <c r="A54" s="33">
        <v>18</v>
      </c>
      <c r="B54" s="67" t="s">
        <v>92</v>
      </c>
      <c r="C54" s="68" t="s">
        <v>90</v>
      </c>
      <c r="D54" s="67" t="s">
        <v>42</v>
      </c>
      <c r="E54" s="69">
        <v>1728</v>
      </c>
      <c r="F54" s="70">
        <f>SUM(E54*2/1000)</f>
        <v>3.456</v>
      </c>
      <c r="G54" s="13">
        <v>1297.28</v>
      </c>
      <c r="H54" s="71">
        <f>SUM(G54*F54/1000)</f>
        <v>4.4833996799999998</v>
      </c>
      <c r="I54" s="13">
        <f>F54/2*G54</f>
        <v>2241.6998399999998</v>
      </c>
      <c r="J54" s="27"/>
      <c r="L54" s="20"/>
      <c r="M54" s="21"/>
      <c r="N54" s="22"/>
    </row>
    <row r="55" spans="1:22" ht="31.5" customHeight="1">
      <c r="A55" s="33">
        <v>19</v>
      </c>
      <c r="B55" s="67" t="s">
        <v>93</v>
      </c>
      <c r="C55" s="68" t="s">
        <v>38</v>
      </c>
      <c r="D55" s="67" t="s">
        <v>42</v>
      </c>
      <c r="E55" s="69">
        <v>15</v>
      </c>
      <c r="F55" s="70">
        <f>SUM(E55*2/100)</f>
        <v>0.3</v>
      </c>
      <c r="G55" s="13">
        <v>2918.89</v>
      </c>
      <c r="H55" s="71">
        <f>SUM(F55*G55/1000)</f>
        <v>0.87566699999999986</v>
      </c>
      <c r="I55" s="13">
        <f t="shared" ref="I55:I56" si="7">F55/2*G55</f>
        <v>437.83349999999996</v>
      </c>
      <c r="J55" s="27"/>
      <c r="L55" s="20"/>
      <c r="M55" s="21"/>
      <c r="N55" s="22"/>
    </row>
    <row r="56" spans="1:22" ht="15.75" customHeight="1">
      <c r="A56" s="33">
        <v>20</v>
      </c>
      <c r="B56" s="67" t="s">
        <v>39</v>
      </c>
      <c r="C56" s="68" t="s">
        <v>40</v>
      </c>
      <c r="D56" s="67" t="s">
        <v>42</v>
      </c>
      <c r="E56" s="69">
        <v>1</v>
      </c>
      <c r="F56" s="70">
        <v>0.02</v>
      </c>
      <c r="G56" s="13">
        <v>6042.12</v>
      </c>
      <c r="H56" s="71">
        <f t="shared" si="5"/>
        <v>0.1208424</v>
      </c>
      <c r="I56" s="13">
        <f t="shared" si="7"/>
        <v>60.421199999999999</v>
      </c>
      <c r="J56" s="27"/>
      <c r="L56" s="20"/>
      <c r="M56" s="21"/>
      <c r="N56" s="22"/>
    </row>
    <row r="57" spans="1:22" ht="15.75" hidden="1" customHeight="1">
      <c r="A57" s="33">
        <v>15</v>
      </c>
      <c r="B57" s="67" t="s">
        <v>41</v>
      </c>
      <c r="C57" s="68" t="s">
        <v>109</v>
      </c>
      <c r="D57" s="67" t="s">
        <v>71</v>
      </c>
      <c r="E57" s="69">
        <v>90</v>
      </c>
      <c r="F57" s="70">
        <f>SUM(E57)*3</f>
        <v>270</v>
      </c>
      <c r="G57" s="13">
        <v>70.209999999999994</v>
      </c>
      <c r="H57" s="71">
        <f>SUM(F57*G57/1000)</f>
        <v>18.956699999999998</v>
      </c>
      <c r="I57" s="13">
        <f>E57*G57</f>
        <v>6318.9</v>
      </c>
      <c r="J57" s="27"/>
      <c r="L57" s="20"/>
      <c r="M57" s="21"/>
      <c r="N57" s="22"/>
    </row>
    <row r="58" spans="1:22" ht="15.75" customHeight="1">
      <c r="A58" s="158" t="s">
        <v>138</v>
      </c>
      <c r="B58" s="159"/>
      <c r="C58" s="159"/>
      <c r="D58" s="159"/>
      <c r="E58" s="159"/>
      <c r="F58" s="159"/>
      <c r="G58" s="159"/>
      <c r="H58" s="159"/>
      <c r="I58" s="160"/>
      <c r="J58" s="27"/>
      <c r="L58" s="20"/>
      <c r="M58" s="21"/>
      <c r="N58" s="22"/>
    </row>
    <row r="59" spans="1:22" ht="15.75" hidden="1" customHeight="1">
      <c r="A59" s="33"/>
      <c r="B59" s="93" t="s">
        <v>43</v>
      </c>
      <c r="C59" s="68"/>
      <c r="D59" s="67"/>
      <c r="E59" s="69"/>
      <c r="F59" s="70"/>
      <c r="G59" s="70"/>
      <c r="H59" s="71"/>
      <c r="I59" s="13"/>
      <c r="J59" s="27"/>
      <c r="L59" s="20"/>
      <c r="M59" s="21"/>
      <c r="N59" s="22"/>
    </row>
    <row r="60" spans="1:22" ht="31.5" hidden="1" customHeight="1">
      <c r="A60" s="33">
        <v>16</v>
      </c>
      <c r="B60" s="67" t="s">
        <v>146</v>
      </c>
      <c r="C60" s="68" t="s">
        <v>88</v>
      </c>
      <c r="D60" s="67" t="s">
        <v>110</v>
      </c>
      <c r="E60" s="69">
        <v>111</v>
      </c>
      <c r="F60" s="70">
        <f>SUM(E60*6/100)</f>
        <v>6.66</v>
      </c>
      <c r="G60" s="13">
        <v>1654.04</v>
      </c>
      <c r="H60" s="71">
        <f>SUM(F60*G60/1000)</f>
        <v>11.0159064</v>
      </c>
      <c r="I60" s="13">
        <f>F60/6*G60</f>
        <v>1835.9844000000001</v>
      </c>
      <c r="J60" s="27"/>
      <c r="L60" s="20"/>
    </row>
    <row r="61" spans="1:22" ht="15.75" customHeight="1">
      <c r="A61" s="33"/>
      <c r="B61" s="94" t="s">
        <v>44</v>
      </c>
      <c r="C61" s="81"/>
      <c r="D61" s="82"/>
      <c r="E61" s="83"/>
      <c r="F61" s="84"/>
      <c r="G61" s="13"/>
      <c r="H61" s="85"/>
      <c r="I61" s="13"/>
    </row>
    <row r="62" spans="1:22" ht="15.75" hidden="1" customHeight="1">
      <c r="A62" s="33"/>
      <c r="B62" s="82" t="s">
        <v>45</v>
      </c>
      <c r="C62" s="81" t="s">
        <v>53</v>
      </c>
      <c r="D62" s="82" t="s">
        <v>54</v>
      </c>
      <c r="E62" s="83">
        <v>330</v>
      </c>
      <c r="F62" s="84">
        <f>E62/100</f>
        <v>3.3</v>
      </c>
      <c r="G62" s="13">
        <v>848.37</v>
      </c>
      <c r="H62" s="85">
        <f>F62*G62/1000</f>
        <v>2.7996209999999997</v>
      </c>
      <c r="I62" s="13">
        <v>0</v>
      </c>
    </row>
    <row r="63" spans="1:22" ht="15.75" customHeight="1">
      <c r="A63" s="33">
        <v>21</v>
      </c>
      <c r="B63" s="82" t="s">
        <v>125</v>
      </c>
      <c r="C63" s="81" t="s">
        <v>25</v>
      </c>
      <c r="D63" s="82" t="s">
        <v>30</v>
      </c>
      <c r="E63" s="83">
        <v>130</v>
      </c>
      <c r="F63" s="86">
        <f>E63*12</f>
        <v>1560</v>
      </c>
      <c r="G63" s="61">
        <v>2.6</v>
      </c>
      <c r="H63" s="84">
        <f>F63*G63/1000</f>
        <v>4.056</v>
      </c>
      <c r="I63" s="13">
        <f>F63/12*G63</f>
        <v>338</v>
      </c>
    </row>
    <row r="64" spans="1:22" ht="15.75" customHeight="1">
      <c r="A64" s="33"/>
      <c r="B64" s="94" t="s">
        <v>46</v>
      </c>
      <c r="C64" s="81"/>
      <c r="D64" s="82"/>
      <c r="E64" s="83"/>
      <c r="F64" s="86"/>
      <c r="G64" s="86"/>
      <c r="H64" s="84" t="s">
        <v>145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3">
        <v>18</v>
      </c>
      <c r="B65" s="14" t="s">
        <v>47</v>
      </c>
      <c r="C65" s="16" t="s">
        <v>109</v>
      </c>
      <c r="D65" s="14" t="s">
        <v>130</v>
      </c>
      <c r="E65" s="19">
        <v>10</v>
      </c>
      <c r="F65" s="70">
        <v>10</v>
      </c>
      <c r="G65" s="13">
        <v>237.74</v>
      </c>
      <c r="H65" s="87">
        <f t="shared" ref="H65:H78" si="8">SUM(F65*G65/1000)</f>
        <v>2.3774000000000002</v>
      </c>
      <c r="I65" s="13">
        <f>G65*2</f>
        <v>475.48</v>
      </c>
      <c r="J65" s="29"/>
      <c r="K65" s="29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3"/>
      <c r="B66" s="14" t="s">
        <v>48</v>
      </c>
      <c r="C66" s="16" t="s">
        <v>109</v>
      </c>
      <c r="D66" s="14" t="s">
        <v>130</v>
      </c>
      <c r="E66" s="19">
        <v>5</v>
      </c>
      <c r="F66" s="70">
        <v>5</v>
      </c>
      <c r="G66" s="13">
        <v>81.510000000000005</v>
      </c>
      <c r="H66" s="87">
        <f t="shared" si="8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3"/>
      <c r="B67" s="14" t="s">
        <v>49</v>
      </c>
      <c r="C67" s="16" t="s">
        <v>111</v>
      </c>
      <c r="D67" s="14" t="s">
        <v>54</v>
      </c>
      <c r="E67" s="69">
        <v>13287</v>
      </c>
      <c r="F67" s="13">
        <f>SUM(E67/100)</f>
        <v>132.87</v>
      </c>
      <c r="G67" s="13">
        <v>226.79</v>
      </c>
      <c r="H67" s="87">
        <f t="shared" si="8"/>
        <v>30.133587299999999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1"/>
      <c r="S67" s="161"/>
      <c r="T67" s="161"/>
      <c r="U67" s="161"/>
    </row>
    <row r="68" spans="1:21" ht="15.75" hidden="1" customHeight="1">
      <c r="A68" s="33"/>
      <c r="B68" s="14" t="s">
        <v>50</v>
      </c>
      <c r="C68" s="16" t="s">
        <v>112</v>
      </c>
      <c r="D68" s="14"/>
      <c r="E68" s="69">
        <v>13287</v>
      </c>
      <c r="F68" s="13">
        <f>SUM(E68/1000)</f>
        <v>13.287000000000001</v>
      </c>
      <c r="G68" s="13">
        <v>176.61</v>
      </c>
      <c r="H68" s="87">
        <f t="shared" si="8"/>
        <v>2.3466170700000002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3"/>
      <c r="B69" s="14" t="s">
        <v>51</v>
      </c>
      <c r="C69" s="16" t="s">
        <v>77</v>
      </c>
      <c r="D69" s="14" t="s">
        <v>54</v>
      </c>
      <c r="E69" s="69">
        <v>2110</v>
      </c>
      <c r="F69" s="13">
        <f>SUM(E69/100)</f>
        <v>21.1</v>
      </c>
      <c r="G69" s="13">
        <v>2217.7800000000002</v>
      </c>
      <c r="H69" s="87">
        <f>SUM(F69*G69/1000)</f>
        <v>46.795158000000008</v>
      </c>
      <c r="I69" s="13">
        <v>0</v>
      </c>
    </row>
    <row r="70" spans="1:21" ht="15.75" hidden="1" customHeight="1">
      <c r="A70" s="33"/>
      <c r="B70" s="88" t="s">
        <v>113</v>
      </c>
      <c r="C70" s="16" t="s">
        <v>33</v>
      </c>
      <c r="D70" s="14"/>
      <c r="E70" s="69">
        <v>8.6</v>
      </c>
      <c r="F70" s="13">
        <f>SUM(E70)</f>
        <v>8.6</v>
      </c>
      <c r="G70" s="13">
        <v>42.67</v>
      </c>
      <c r="H70" s="87">
        <f t="shared" si="8"/>
        <v>0.36696200000000001</v>
      </c>
      <c r="I70" s="13">
        <v>0</v>
      </c>
    </row>
    <row r="71" spans="1:21" ht="15.75" hidden="1" customHeight="1">
      <c r="A71" s="33"/>
      <c r="B71" s="88" t="s">
        <v>114</v>
      </c>
      <c r="C71" s="16" t="s">
        <v>33</v>
      </c>
      <c r="D71" s="14"/>
      <c r="E71" s="69">
        <v>8.6</v>
      </c>
      <c r="F71" s="13">
        <f>SUM(E71)</f>
        <v>8.6</v>
      </c>
      <c r="G71" s="13">
        <v>39.81</v>
      </c>
      <c r="H71" s="87">
        <f t="shared" si="8"/>
        <v>0.342366</v>
      </c>
      <c r="I71" s="13">
        <v>0</v>
      </c>
    </row>
    <row r="72" spans="1:21" ht="15.75" customHeight="1">
      <c r="A72" s="33">
        <v>22</v>
      </c>
      <c r="B72" s="14" t="s">
        <v>57</v>
      </c>
      <c r="C72" s="16" t="s">
        <v>58</v>
      </c>
      <c r="D72" s="14" t="s">
        <v>54</v>
      </c>
      <c r="E72" s="19">
        <v>6</v>
      </c>
      <c r="F72" s="70">
        <v>6</v>
      </c>
      <c r="G72" s="13">
        <v>53.32</v>
      </c>
      <c r="H72" s="87">
        <f t="shared" si="8"/>
        <v>0.31992000000000004</v>
      </c>
      <c r="I72" s="13">
        <f>F72*G72</f>
        <v>319.92</v>
      </c>
    </row>
    <row r="73" spans="1:21" ht="15.75" hidden="1" customHeight="1">
      <c r="A73" s="33"/>
      <c r="B73" s="54" t="s">
        <v>72</v>
      </c>
      <c r="C73" s="16"/>
      <c r="D73" s="14"/>
      <c r="E73" s="19"/>
      <c r="F73" s="13"/>
      <c r="G73" s="13"/>
      <c r="H73" s="87" t="s">
        <v>145</v>
      </c>
      <c r="I73" s="13"/>
    </row>
    <row r="74" spans="1:21" ht="15.75" hidden="1" customHeight="1">
      <c r="A74" s="33"/>
      <c r="B74" s="14" t="s">
        <v>73</v>
      </c>
      <c r="C74" s="16" t="s">
        <v>75</v>
      </c>
      <c r="D74" s="14"/>
      <c r="E74" s="19">
        <v>2</v>
      </c>
      <c r="F74" s="13">
        <v>0.2</v>
      </c>
      <c r="G74" s="13">
        <v>536.23</v>
      </c>
      <c r="H74" s="87">
        <f t="shared" si="8"/>
        <v>0.10724600000000001</v>
      </c>
      <c r="I74" s="13">
        <v>0</v>
      </c>
    </row>
    <row r="75" spans="1:21" ht="15.75" hidden="1" customHeight="1">
      <c r="A75" s="33"/>
      <c r="B75" s="14" t="s">
        <v>74</v>
      </c>
      <c r="C75" s="16" t="s">
        <v>31</v>
      </c>
      <c r="D75" s="14"/>
      <c r="E75" s="19">
        <v>2</v>
      </c>
      <c r="F75" s="61">
        <v>2</v>
      </c>
      <c r="G75" s="13">
        <v>911.85</v>
      </c>
      <c r="H75" s="87">
        <f>F75*G75/1000</f>
        <v>1.8237000000000001</v>
      </c>
      <c r="I75" s="13">
        <v>0</v>
      </c>
    </row>
    <row r="76" spans="1:21" ht="15.75" hidden="1" customHeight="1">
      <c r="A76" s="33"/>
      <c r="B76" s="14" t="s">
        <v>116</v>
      </c>
      <c r="C76" s="16" t="s">
        <v>31</v>
      </c>
      <c r="D76" s="14"/>
      <c r="E76" s="19">
        <v>1</v>
      </c>
      <c r="F76" s="13">
        <v>1</v>
      </c>
      <c r="G76" s="13">
        <v>383.25</v>
      </c>
      <c r="H76" s="87">
        <f>G76*F76/1000</f>
        <v>0.38324999999999998</v>
      </c>
      <c r="I76" s="13">
        <v>0</v>
      </c>
    </row>
    <row r="77" spans="1:21" ht="15.75" hidden="1" customHeight="1">
      <c r="A77" s="33"/>
      <c r="B77" s="90" t="s">
        <v>76</v>
      </c>
      <c r="C77" s="16"/>
      <c r="D77" s="14"/>
      <c r="E77" s="19"/>
      <c r="F77" s="13"/>
      <c r="G77" s="13" t="s">
        <v>145</v>
      </c>
      <c r="H77" s="87" t="s">
        <v>145</v>
      </c>
      <c r="I77" s="13"/>
    </row>
    <row r="78" spans="1:21" ht="15.75" hidden="1" customHeight="1">
      <c r="A78" s="33"/>
      <c r="B78" s="47" t="s">
        <v>133</v>
      </c>
      <c r="C78" s="16" t="s">
        <v>77</v>
      </c>
      <c r="D78" s="14"/>
      <c r="E78" s="19"/>
      <c r="F78" s="13">
        <v>0.5</v>
      </c>
      <c r="G78" s="13">
        <v>2949.85</v>
      </c>
      <c r="H78" s="87">
        <f t="shared" si="8"/>
        <v>1.474925</v>
      </c>
      <c r="I78" s="13">
        <v>0</v>
      </c>
    </row>
    <row r="79" spans="1:21" ht="15.75" hidden="1" customHeight="1">
      <c r="A79" s="33"/>
      <c r="B79" s="97" t="s">
        <v>94</v>
      </c>
      <c r="C79" s="97"/>
      <c r="D79" s="97"/>
      <c r="E79" s="97"/>
      <c r="F79" s="97"/>
      <c r="G79" s="78"/>
      <c r="H79" s="91">
        <f>SUM(H60:H78)</f>
        <v>104.75020877000001</v>
      </c>
      <c r="I79" s="78"/>
    </row>
    <row r="80" spans="1:21" ht="15.75" hidden="1" customHeight="1">
      <c r="A80" s="33"/>
      <c r="B80" s="95" t="s">
        <v>115</v>
      </c>
      <c r="C80" s="24"/>
      <c r="D80" s="23"/>
      <c r="E80" s="62"/>
      <c r="F80" s="96">
        <v>1</v>
      </c>
      <c r="G80" s="13">
        <v>7634.7</v>
      </c>
      <c r="H80" s="87">
        <f>G80*F80/1000</f>
        <v>7.6346999999999996</v>
      </c>
      <c r="I80" s="13">
        <v>0</v>
      </c>
    </row>
    <row r="81" spans="1:9" ht="15" customHeight="1">
      <c r="A81" s="162" t="s">
        <v>139</v>
      </c>
      <c r="B81" s="163"/>
      <c r="C81" s="163"/>
      <c r="D81" s="163"/>
      <c r="E81" s="163"/>
      <c r="F81" s="163"/>
      <c r="G81" s="163"/>
      <c r="H81" s="163"/>
      <c r="I81" s="164"/>
    </row>
    <row r="82" spans="1:9" ht="15.75" customHeight="1">
      <c r="A82" s="33">
        <v>23</v>
      </c>
      <c r="B82" s="67" t="s">
        <v>117</v>
      </c>
      <c r="C82" s="16" t="s">
        <v>55</v>
      </c>
      <c r="D82" s="92" t="s">
        <v>163</v>
      </c>
      <c r="E82" s="13">
        <v>2626.5</v>
      </c>
      <c r="F82" s="13">
        <f>SUM(E82*12)</f>
        <v>31518</v>
      </c>
      <c r="G82" s="13">
        <v>2.2400000000000002</v>
      </c>
      <c r="H82" s="87">
        <f>SUM(F82*G82/1000)</f>
        <v>70.600320000000011</v>
      </c>
      <c r="I82" s="13">
        <f>F82/12*G82</f>
        <v>5883.3600000000006</v>
      </c>
    </row>
    <row r="83" spans="1:9" ht="31.5" customHeight="1">
      <c r="A83" s="33">
        <v>24</v>
      </c>
      <c r="B83" s="14" t="s">
        <v>78</v>
      </c>
      <c r="C83" s="16"/>
      <c r="D83" s="92" t="s">
        <v>163</v>
      </c>
      <c r="E83" s="69">
        <f>E82</f>
        <v>2626.5</v>
      </c>
      <c r="F83" s="13">
        <f>E83*12</f>
        <v>31518</v>
      </c>
      <c r="G83" s="13">
        <v>1.74</v>
      </c>
      <c r="H83" s="87">
        <f>F83*G83/1000</f>
        <v>54.841320000000003</v>
      </c>
      <c r="I83" s="13">
        <f>F83/12*G83</f>
        <v>4570.1099999999997</v>
      </c>
    </row>
    <row r="84" spans="1:9" ht="15.75" customHeight="1">
      <c r="A84" s="33"/>
      <c r="B84" s="40" t="s">
        <v>81</v>
      </c>
      <c r="C84" s="90"/>
      <c r="D84" s="89"/>
      <c r="E84" s="78"/>
      <c r="F84" s="78"/>
      <c r="G84" s="78"/>
      <c r="H84" s="91">
        <f>H83</f>
        <v>54.841320000000003</v>
      </c>
      <c r="I84" s="78">
        <f>I16+I17+I18+I20+I21+I27+I28+I31+I32+I34+I35+I48+I49+I50+I51+I52+I53+I54+I55+I56+I63+I72+I82+I83</f>
        <v>42066.005492666678</v>
      </c>
    </row>
    <row r="85" spans="1:9" ht="15.75" customHeight="1">
      <c r="A85" s="173" t="s">
        <v>60</v>
      </c>
      <c r="B85" s="174"/>
      <c r="C85" s="174"/>
      <c r="D85" s="174"/>
      <c r="E85" s="174"/>
      <c r="F85" s="174"/>
      <c r="G85" s="174"/>
      <c r="H85" s="174"/>
      <c r="I85" s="175"/>
    </row>
    <row r="86" spans="1:9" ht="15.75" customHeight="1">
      <c r="A86" s="33">
        <v>25</v>
      </c>
      <c r="B86" s="50" t="s">
        <v>126</v>
      </c>
      <c r="C86" s="53" t="s">
        <v>109</v>
      </c>
      <c r="D86" s="14"/>
      <c r="E86" s="19"/>
      <c r="F86" s="13">
        <v>552</v>
      </c>
      <c r="G86" s="13">
        <v>53.42</v>
      </c>
      <c r="H86" s="87">
        <f>G86*F86/1000</f>
        <v>29.487839999999998</v>
      </c>
      <c r="I86" s="13">
        <f>G86*46</f>
        <v>2457.3200000000002</v>
      </c>
    </row>
    <row r="87" spans="1:9" ht="16.5" customHeight="1">
      <c r="A87" s="33"/>
      <c r="B87" s="45" t="s">
        <v>52</v>
      </c>
      <c r="C87" s="41"/>
      <c r="D87" s="48"/>
      <c r="E87" s="41">
        <v>1</v>
      </c>
      <c r="F87" s="41"/>
      <c r="G87" s="41"/>
      <c r="H87" s="41"/>
      <c r="I87" s="35">
        <f>SUM(I86:I86)</f>
        <v>2457.3200000000002</v>
      </c>
    </row>
    <row r="88" spans="1:9" ht="15.75" customHeight="1">
      <c r="A88" s="33"/>
      <c r="B88" s="47" t="s">
        <v>79</v>
      </c>
      <c r="C88" s="15"/>
      <c r="D88" s="15"/>
      <c r="E88" s="42"/>
      <c r="F88" s="42"/>
      <c r="G88" s="43"/>
      <c r="H88" s="43"/>
      <c r="I88" s="18">
        <v>0</v>
      </c>
    </row>
    <row r="89" spans="1:9" ht="15.75" customHeight="1">
      <c r="A89" s="49"/>
      <c r="B89" s="46" t="s">
        <v>174</v>
      </c>
      <c r="C89" s="36"/>
      <c r="D89" s="36"/>
      <c r="E89" s="36"/>
      <c r="F89" s="36"/>
      <c r="G89" s="36"/>
      <c r="H89" s="36"/>
      <c r="I89" s="44">
        <f>I84+I87</f>
        <v>44523.325492666678</v>
      </c>
    </row>
    <row r="90" spans="1:9" ht="15.75" customHeight="1">
      <c r="A90" s="165" t="s">
        <v>204</v>
      </c>
      <c r="B90" s="165"/>
      <c r="C90" s="165"/>
      <c r="D90" s="165"/>
      <c r="E90" s="165"/>
      <c r="F90" s="165"/>
      <c r="G90" s="165"/>
      <c r="H90" s="165"/>
      <c r="I90" s="165"/>
    </row>
    <row r="91" spans="1:9" ht="15.75">
      <c r="A91" s="60"/>
      <c r="B91" s="166" t="s">
        <v>205</v>
      </c>
      <c r="C91" s="166"/>
      <c r="D91" s="166"/>
      <c r="E91" s="166"/>
      <c r="F91" s="166"/>
      <c r="G91" s="166"/>
      <c r="H91" s="65"/>
      <c r="I91" s="3"/>
    </row>
    <row r="92" spans="1:9">
      <c r="A92" s="59"/>
      <c r="B92" s="167" t="s">
        <v>6</v>
      </c>
      <c r="C92" s="167"/>
      <c r="D92" s="167"/>
      <c r="E92" s="167"/>
      <c r="F92" s="167"/>
      <c r="G92" s="167"/>
      <c r="H92" s="28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 customHeight="1">
      <c r="A94" s="168" t="s">
        <v>7</v>
      </c>
      <c r="B94" s="168"/>
      <c r="C94" s="168"/>
      <c r="D94" s="168"/>
      <c r="E94" s="168"/>
      <c r="F94" s="168"/>
      <c r="G94" s="168"/>
      <c r="H94" s="168"/>
      <c r="I94" s="168"/>
    </row>
    <row r="95" spans="1:9" ht="15.75">
      <c r="A95" s="168" t="s">
        <v>8</v>
      </c>
      <c r="B95" s="168"/>
      <c r="C95" s="168"/>
      <c r="D95" s="168"/>
      <c r="E95" s="168"/>
      <c r="F95" s="168"/>
      <c r="G95" s="168"/>
      <c r="H95" s="168"/>
      <c r="I95" s="168"/>
    </row>
    <row r="96" spans="1:9" ht="15.75">
      <c r="A96" s="169" t="s">
        <v>61</v>
      </c>
      <c r="B96" s="169"/>
      <c r="C96" s="169"/>
      <c r="D96" s="169"/>
      <c r="E96" s="169"/>
      <c r="F96" s="169"/>
      <c r="G96" s="169"/>
      <c r="H96" s="169"/>
      <c r="I96" s="169"/>
    </row>
    <row r="97" spans="1:9" ht="15.75" customHeight="1">
      <c r="A97" s="11"/>
    </row>
    <row r="98" spans="1:9" ht="15.75">
      <c r="A98" s="170" t="s">
        <v>9</v>
      </c>
      <c r="B98" s="170"/>
      <c r="C98" s="170"/>
      <c r="D98" s="170"/>
      <c r="E98" s="170"/>
      <c r="F98" s="170"/>
      <c r="G98" s="170"/>
      <c r="H98" s="170"/>
      <c r="I98" s="170"/>
    </row>
    <row r="99" spans="1:9" ht="15.75" customHeight="1">
      <c r="A99" s="4"/>
    </row>
    <row r="100" spans="1:9" ht="15.75">
      <c r="B100" s="56" t="s">
        <v>10</v>
      </c>
      <c r="C100" s="171" t="s">
        <v>140</v>
      </c>
      <c r="D100" s="171"/>
      <c r="E100" s="171"/>
      <c r="F100" s="63"/>
      <c r="I100" s="58"/>
    </row>
    <row r="101" spans="1:9">
      <c r="A101" s="59"/>
      <c r="C101" s="167" t="s">
        <v>11</v>
      </c>
      <c r="D101" s="167"/>
      <c r="E101" s="167"/>
      <c r="F101" s="28"/>
      <c r="I101" s="57" t="s">
        <v>12</v>
      </c>
    </row>
    <row r="102" spans="1:9" ht="15.75" customHeight="1">
      <c r="A102" s="29"/>
      <c r="C102" s="12"/>
      <c r="D102" s="12"/>
      <c r="G102" s="12"/>
      <c r="H102" s="12"/>
    </row>
    <row r="103" spans="1:9" ht="15.75" customHeight="1">
      <c r="B103" s="56" t="s">
        <v>13</v>
      </c>
      <c r="C103" s="172"/>
      <c r="D103" s="172"/>
      <c r="E103" s="172"/>
      <c r="F103" s="64"/>
      <c r="I103" s="58"/>
    </row>
    <row r="104" spans="1:9" ht="15.75" customHeight="1">
      <c r="A104" s="59"/>
      <c r="C104" s="161" t="s">
        <v>11</v>
      </c>
      <c r="D104" s="161"/>
      <c r="E104" s="161"/>
      <c r="F104" s="59"/>
      <c r="I104" s="57" t="s">
        <v>12</v>
      </c>
    </row>
    <row r="105" spans="1:9" ht="15.75">
      <c r="A105" s="4" t="s">
        <v>14</v>
      </c>
    </row>
    <row r="106" spans="1:9">
      <c r="A106" s="176" t="s">
        <v>15</v>
      </c>
      <c r="B106" s="176"/>
      <c r="C106" s="176"/>
      <c r="D106" s="176"/>
      <c r="E106" s="176"/>
      <c r="F106" s="176"/>
      <c r="G106" s="176"/>
      <c r="H106" s="176"/>
      <c r="I106" s="176"/>
    </row>
    <row r="107" spans="1:9" ht="45" customHeight="1">
      <c r="A107" s="177" t="s">
        <v>16</v>
      </c>
      <c r="B107" s="177"/>
      <c r="C107" s="177"/>
      <c r="D107" s="177"/>
      <c r="E107" s="177"/>
      <c r="F107" s="177"/>
      <c r="G107" s="177"/>
      <c r="H107" s="177"/>
      <c r="I107" s="177"/>
    </row>
    <row r="108" spans="1:9" ht="30" customHeight="1">
      <c r="A108" s="177" t="s">
        <v>17</v>
      </c>
      <c r="B108" s="177"/>
      <c r="C108" s="177"/>
      <c r="D108" s="177"/>
      <c r="E108" s="177"/>
      <c r="F108" s="177"/>
      <c r="G108" s="177"/>
      <c r="H108" s="177"/>
      <c r="I108" s="177"/>
    </row>
    <row r="109" spans="1:9" ht="30" customHeight="1">
      <c r="A109" s="177" t="s">
        <v>21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15" customHeight="1">
      <c r="A110" s="177" t="s">
        <v>20</v>
      </c>
      <c r="B110" s="177"/>
      <c r="C110" s="177"/>
      <c r="D110" s="177"/>
      <c r="E110" s="177"/>
      <c r="F110" s="177"/>
      <c r="G110" s="177"/>
      <c r="H110" s="177"/>
      <c r="I110" s="177"/>
    </row>
  </sheetData>
  <autoFilter ref="I12:I62"/>
  <mergeCells count="29"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  <mergeCell ref="A96:I96"/>
    <mergeCell ref="A15:I15"/>
    <mergeCell ref="A29:I29"/>
    <mergeCell ref="A47:I47"/>
    <mergeCell ref="A58:I58"/>
    <mergeCell ref="A90:I90"/>
    <mergeCell ref="B91:G91"/>
    <mergeCell ref="B92:G92"/>
    <mergeCell ref="A94:I94"/>
    <mergeCell ref="A95:I95"/>
    <mergeCell ref="A85:I85"/>
    <mergeCell ref="R67:U67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2017-12-20T10:28:33Z</cp:lastPrinted>
  <dcterms:created xsi:type="dcterms:W3CDTF">2016-03-25T08:33:47Z</dcterms:created>
  <dcterms:modified xsi:type="dcterms:W3CDTF">2018-04-17T13:42:49Z</dcterms:modified>
</cp:coreProperties>
</file>