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40" windowWidth="15390" windowHeight="11280" activeTab="11"/>
  </bookViews>
  <sheets>
    <sheet name="01.21" sheetId="17" r:id="rId1"/>
    <sheet name="02.21" sheetId="18" r:id="rId2"/>
    <sheet name="03.21" sheetId="19" r:id="rId3"/>
    <sheet name="04.21" sheetId="20" r:id="rId4"/>
    <sheet name="05.21" sheetId="21" r:id="rId5"/>
    <sheet name="06.21" sheetId="22" r:id="rId6"/>
    <sheet name="07.21" sheetId="23" r:id="rId7"/>
    <sheet name="08.21" sheetId="24" r:id="rId8"/>
    <sheet name="09.21" sheetId="25" r:id="rId9"/>
    <sheet name="10.21" sheetId="26" r:id="rId10"/>
    <sheet name="11.21" sheetId="27" r:id="rId11"/>
    <sheet name="12.21" sheetId="28" r:id="rId12"/>
  </sheets>
  <definedNames>
    <definedName name="_xlnm.Print_Area" localSheetId="0">'01.21'!$A$1:$I$134</definedName>
    <definedName name="_xlnm.Print_Area" localSheetId="1">'02.21'!$A$1:$I$117</definedName>
    <definedName name="_xlnm.Print_Area" localSheetId="2">'03.21'!$A$1:$I$141</definedName>
    <definedName name="_xlnm.Print_Area" localSheetId="3">'04.21'!$A$1:$I$130</definedName>
    <definedName name="_xlnm.Print_Area" localSheetId="5">'06.21'!$A$1:$I$131</definedName>
    <definedName name="_xlnm.Print_Area" localSheetId="6">'07.21'!$A$1:$I$125</definedName>
    <definedName name="_xlnm.Print_Area" localSheetId="7">'08.21'!$A$1:$I$129</definedName>
    <definedName name="_xlnm.Print_Area" localSheetId="8">'09.21'!$A$1:$I$118</definedName>
    <definedName name="_xlnm.Print_Area" localSheetId="9">'10.21'!$A$1:$I$136</definedName>
    <definedName name="_xlnm.Print_Area" localSheetId="10">'11.21'!$A$1:$I$127</definedName>
    <definedName name="_xlnm.Print_Area" localSheetId="11">'12.21'!$A$1:$I$120</definedName>
  </definedNames>
  <calcPr calcId="125725"/>
</workbook>
</file>

<file path=xl/calcChain.xml><?xml version="1.0" encoding="utf-8"?>
<calcChain xmlns="http://schemas.openxmlformats.org/spreadsheetml/2006/main">
  <c r="I68" i="28"/>
  <c r="I92" s="1"/>
  <c r="I97"/>
  <c r="I96"/>
  <c r="I95"/>
  <c r="I94"/>
  <c r="F62"/>
  <c r="I62" s="1"/>
  <c r="I92" i="27"/>
  <c r="F62"/>
  <c r="I62" s="1"/>
  <c r="I39" i="28"/>
  <c r="I100" i="27"/>
  <c r="I104" l="1"/>
  <c r="I102"/>
  <c r="I101"/>
  <c r="I99"/>
  <c r="I98"/>
  <c r="I97"/>
  <c r="I96"/>
  <c r="I94"/>
  <c r="F94"/>
  <c r="I68"/>
  <c r="I39"/>
  <c r="I103" i="26" l="1"/>
  <c r="I113"/>
  <c r="I112"/>
  <c r="I111"/>
  <c r="I110"/>
  <c r="I109"/>
  <c r="I108"/>
  <c r="I107"/>
  <c r="I106"/>
  <c r="I105"/>
  <c r="F105"/>
  <c r="I64" i="25" l="1"/>
  <c r="I86" s="1"/>
  <c r="I94"/>
  <c r="I95" s="1"/>
  <c r="I93"/>
  <c r="I92"/>
  <c r="I91"/>
  <c r="I90"/>
  <c r="I88"/>
  <c r="I101" i="24" l="1"/>
  <c r="I106"/>
  <c r="I104"/>
  <c r="F26" i="23"/>
  <c r="F25"/>
  <c r="I25" s="1"/>
  <c r="I108" i="22"/>
  <c r="I107"/>
  <c r="I102"/>
  <c r="I97"/>
  <c r="I106"/>
  <c r="I105"/>
  <c r="F106"/>
  <c r="I104"/>
  <c r="I101"/>
  <c r="I99"/>
  <c r="F99"/>
  <c r="I96"/>
  <c r="H96"/>
  <c r="F96"/>
  <c r="E96"/>
  <c r="I95"/>
  <c r="H95"/>
  <c r="I80"/>
  <c r="F80"/>
  <c r="H80" s="1"/>
  <c r="I73"/>
  <c r="H73"/>
  <c r="F73"/>
  <c r="I71"/>
  <c r="H71"/>
  <c r="F70"/>
  <c r="F69"/>
  <c r="F68"/>
  <c r="F67"/>
  <c r="F66"/>
  <c r="F65"/>
  <c r="I61"/>
  <c r="H61"/>
  <c r="I33"/>
  <c r="H33"/>
  <c r="I32"/>
  <c r="H32"/>
  <c r="F32"/>
  <c r="F31"/>
  <c r="H31" s="1"/>
  <c r="I30"/>
  <c r="F30"/>
  <c r="H30" s="1"/>
  <c r="F19"/>
  <c r="F18"/>
  <c r="H18" s="1"/>
  <c r="E18"/>
  <c r="I17"/>
  <c r="F17"/>
  <c r="H17" s="1"/>
  <c r="F16"/>
  <c r="I16" s="1"/>
  <c r="H16" l="1"/>
  <c r="I18"/>
  <c r="I31"/>
  <c r="I104" i="20" l="1"/>
  <c r="I105"/>
  <c r="I103"/>
  <c r="I110" i="21"/>
  <c r="I111"/>
  <c r="I109"/>
  <c r="I108"/>
  <c r="I107"/>
  <c r="I105"/>
  <c r="E102"/>
  <c r="F102" s="1"/>
  <c r="I101"/>
  <c r="H101"/>
  <c r="F73"/>
  <c r="H73" s="1"/>
  <c r="H75"/>
  <c r="H76"/>
  <c r="I80"/>
  <c r="F80"/>
  <c r="H80" s="1"/>
  <c r="I71"/>
  <c r="H71"/>
  <c r="I61"/>
  <c r="H61"/>
  <c r="F55"/>
  <c r="F54"/>
  <c r="F52"/>
  <c r="F51"/>
  <c r="F50"/>
  <c r="F49"/>
  <c r="F48"/>
  <c r="F47"/>
  <c r="F46"/>
  <c r="F45"/>
  <c r="F32"/>
  <c r="F31"/>
  <c r="F30"/>
  <c r="E18"/>
  <c r="F18" s="1"/>
  <c r="I18" s="1"/>
  <c r="H17"/>
  <c r="F17"/>
  <c r="I17" s="1"/>
  <c r="F16"/>
  <c r="I16" s="1"/>
  <c r="I112" l="1"/>
  <c r="H102"/>
  <c r="I102"/>
  <c r="I73"/>
  <c r="H18"/>
  <c r="H16"/>
  <c r="I64" i="20" l="1"/>
  <c r="H64"/>
  <c r="I107"/>
  <c r="E100"/>
  <c r="F100" s="1"/>
  <c r="H100" s="1"/>
  <c r="I99"/>
  <c r="H99"/>
  <c r="I85"/>
  <c r="I83"/>
  <c r="I81"/>
  <c r="F81"/>
  <c r="H81" s="1"/>
  <c r="F87"/>
  <c r="H87" s="1"/>
  <c r="I74"/>
  <c r="H74"/>
  <c r="F61"/>
  <c r="I61" s="1"/>
  <c r="I60"/>
  <c r="F60"/>
  <c r="H60" s="1"/>
  <c r="I38"/>
  <c r="I40"/>
  <c r="F45"/>
  <c r="I45" s="1"/>
  <c r="I44"/>
  <c r="H44"/>
  <c r="F43"/>
  <c r="I43" s="1"/>
  <c r="F42"/>
  <c r="I42" s="1"/>
  <c r="F41"/>
  <c r="I41" s="1"/>
  <c r="H40"/>
  <c r="F39"/>
  <c r="I39" s="1"/>
  <c r="E18"/>
  <c r="F18" s="1"/>
  <c r="F17"/>
  <c r="I17" s="1"/>
  <c r="F16"/>
  <c r="I16" s="1"/>
  <c r="I65" i="19"/>
  <c r="H65"/>
  <c r="I69"/>
  <c r="I116"/>
  <c r="I115"/>
  <c r="I114"/>
  <c r="I113"/>
  <c r="I112"/>
  <c r="I111"/>
  <c r="I109"/>
  <c r="I107"/>
  <c r="I118" s="1"/>
  <c r="E104"/>
  <c r="F104" s="1"/>
  <c r="I103"/>
  <c r="H103"/>
  <c r="I85"/>
  <c r="F85"/>
  <c r="H85" s="1"/>
  <c r="F78"/>
  <c r="H78" s="1"/>
  <c r="I76"/>
  <c r="H76"/>
  <c r="I62"/>
  <c r="I60"/>
  <c r="F61"/>
  <c r="I61" s="1"/>
  <c r="F60"/>
  <c r="H60" s="1"/>
  <c r="F66"/>
  <c r="I66" s="1"/>
  <c r="I44"/>
  <c r="F45"/>
  <c r="I45" s="1"/>
  <c r="H44"/>
  <c r="F43"/>
  <c r="I43" s="1"/>
  <c r="F42"/>
  <c r="I42" s="1"/>
  <c r="F41"/>
  <c r="I41" s="1"/>
  <c r="H40"/>
  <c r="F39"/>
  <c r="I39" s="1"/>
  <c r="I38"/>
  <c r="H38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3" i="18"/>
  <c r="E90"/>
  <c r="F90" s="1"/>
  <c r="I89"/>
  <c r="H89"/>
  <c r="I83"/>
  <c r="F83"/>
  <c r="H83" s="1"/>
  <c r="F76"/>
  <c r="H76" s="1"/>
  <c r="I74"/>
  <c r="H74"/>
  <c r="I64"/>
  <c r="H64"/>
  <c r="I60"/>
  <c r="F61"/>
  <c r="I61" s="1"/>
  <c r="F60"/>
  <c r="H60" s="1"/>
  <c r="F52"/>
  <c r="H52" s="1"/>
  <c r="I38"/>
  <c r="F45"/>
  <c r="I45" s="1"/>
  <c r="I44"/>
  <c r="H44"/>
  <c r="F43"/>
  <c r="I43" s="1"/>
  <c r="F42"/>
  <c r="I42" s="1"/>
  <c r="F41"/>
  <c r="I41" s="1"/>
  <c r="H40"/>
  <c r="F39"/>
  <c r="I39" s="1"/>
  <c r="H38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39" i="20" l="1"/>
  <c r="H17"/>
  <c r="H41"/>
  <c r="I100"/>
  <c r="I87"/>
  <c r="H43"/>
  <c r="H42"/>
  <c r="H18"/>
  <c r="I18"/>
  <c r="H16"/>
  <c r="H104" i="19"/>
  <c r="I104"/>
  <c r="I105" s="1"/>
  <c r="H39"/>
  <c r="I78"/>
  <c r="H17"/>
  <c r="H43"/>
  <c r="H21"/>
  <c r="H41"/>
  <c r="H42"/>
  <c r="I18"/>
  <c r="H18"/>
  <c r="I16"/>
  <c r="I20"/>
  <c r="I27"/>
  <c r="H90" i="18"/>
  <c r="I90"/>
  <c r="I91" s="1"/>
  <c r="I76"/>
  <c r="H17"/>
  <c r="H41"/>
  <c r="H21"/>
  <c r="H39"/>
  <c r="I52"/>
  <c r="H43"/>
  <c r="H42"/>
  <c r="I18"/>
  <c r="H18"/>
  <c r="I16"/>
  <c r="I20"/>
  <c r="I27"/>
  <c r="I101" i="20" l="1"/>
  <c r="I68" i="17"/>
  <c r="I111"/>
  <c r="I110"/>
  <c r="I109"/>
  <c r="I60"/>
  <c r="I62"/>
  <c r="F61"/>
  <c r="I61" s="1"/>
  <c r="F60"/>
  <c r="F64"/>
  <c r="F67"/>
  <c r="E106"/>
  <c r="F106" s="1"/>
  <c r="I105"/>
  <c r="H105"/>
  <c r="I84"/>
  <c r="F84"/>
  <c r="H84" s="1"/>
  <c r="F77"/>
  <c r="H77" s="1"/>
  <c r="I65"/>
  <c r="H65"/>
  <c r="F52"/>
  <c r="H52" s="1"/>
  <c r="I38"/>
  <c r="F45"/>
  <c r="I45" s="1"/>
  <c r="I44"/>
  <c r="H44"/>
  <c r="F43"/>
  <c r="I43" s="1"/>
  <c r="F42"/>
  <c r="I42" s="1"/>
  <c r="F41"/>
  <c r="I41" s="1"/>
  <c r="H40"/>
  <c r="F39"/>
  <c r="I39" s="1"/>
  <c r="H38"/>
  <c r="F27"/>
  <c r="H27" s="1"/>
  <c r="F26"/>
  <c r="H26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H17" s="1"/>
  <c r="F16"/>
  <c r="I16" s="1"/>
  <c r="I67" i="28"/>
  <c r="H20" i="17" l="1"/>
  <c r="H41"/>
  <c r="H16"/>
  <c r="H39"/>
  <c r="H43"/>
  <c r="H106"/>
  <c r="I106"/>
  <c r="I77"/>
  <c r="I52"/>
  <c r="H42"/>
  <c r="I17"/>
  <c r="H18"/>
  <c r="H21"/>
  <c r="I27"/>
  <c r="E91" i="28"/>
  <c r="F91" s="1"/>
  <c r="H91" s="1"/>
  <c r="I90"/>
  <c r="H90"/>
  <c r="I84"/>
  <c r="F84"/>
  <c r="H84" s="1"/>
  <c r="F77"/>
  <c r="H77" s="1"/>
  <c r="I75"/>
  <c r="H75"/>
  <c r="I65"/>
  <c r="H65"/>
  <c r="F53"/>
  <c r="F46"/>
  <c r="I46" s="1"/>
  <c r="I45"/>
  <c r="H45"/>
  <c r="F44"/>
  <c r="H44" s="1"/>
  <c r="F43"/>
  <c r="I43" s="1"/>
  <c r="F42"/>
  <c r="I42" s="1"/>
  <c r="H41"/>
  <c r="F40"/>
  <c r="I40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1" l="1"/>
  <c r="H21"/>
  <c r="H42"/>
  <c r="H17"/>
  <c r="H40"/>
  <c r="I77"/>
  <c r="H43"/>
  <c r="I44"/>
  <c r="I18"/>
  <c r="H18"/>
  <c r="I16"/>
  <c r="I20"/>
  <c r="I27"/>
  <c r="E91" i="27" l="1"/>
  <c r="F91" s="1"/>
  <c r="I90"/>
  <c r="H90"/>
  <c r="I84"/>
  <c r="F84"/>
  <c r="H84" s="1"/>
  <c r="F77"/>
  <c r="H77" s="1"/>
  <c r="I75"/>
  <c r="H75"/>
  <c r="I65"/>
  <c r="H65"/>
  <c r="F46"/>
  <c r="I46" s="1"/>
  <c r="F44"/>
  <c r="F43"/>
  <c r="F42"/>
  <c r="F40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I16" l="1"/>
  <c r="H91"/>
  <c r="I91"/>
  <c r="I77"/>
  <c r="H17"/>
  <c r="H21"/>
  <c r="H18"/>
  <c r="I20"/>
  <c r="I27"/>
  <c r="I63" i="26" l="1"/>
  <c r="I33"/>
  <c r="I31"/>
  <c r="F31"/>
  <c r="E102"/>
  <c r="F102" s="1"/>
  <c r="I101"/>
  <c r="H101"/>
  <c r="I80"/>
  <c r="F80"/>
  <c r="H80" s="1"/>
  <c r="F73"/>
  <c r="H73" s="1"/>
  <c r="I71"/>
  <c r="H71"/>
  <c r="I61"/>
  <c r="H6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21" l="1"/>
  <c r="I16"/>
  <c r="H17"/>
  <c r="H102"/>
  <c r="I102"/>
  <c r="I73"/>
  <c r="I18"/>
  <c r="H18"/>
  <c r="I20"/>
  <c r="I27"/>
  <c r="E18" i="25" l="1"/>
  <c r="F18" s="1"/>
  <c r="F17"/>
  <c r="H17" s="1"/>
  <c r="F16"/>
  <c r="I16" s="1"/>
  <c r="E85"/>
  <c r="F85" s="1"/>
  <c r="I84"/>
  <c r="H84"/>
  <c r="I80"/>
  <c r="F80"/>
  <c r="H80" s="1"/>
  <c r="F73"/>
  <c r="H73" s="1"/>
  <c r="H75"/>
  <c r="H76"/>
  <c r="H77"/>
  <c r="I77"/>
  <c r="I71"/>
  <c r="H71"/>
  <c r="I63"/>
  <c r="I61"/>
  <c r="H61"/>
  <c r="I33"/>
  <c r="H33"/>
  <c r="F32"/>
  <c r="H32" s="1"/>
  <c r="F31"/>
  <c r="I31" s="1"/>
  <c r="F30"/>
  <c r="H30" s="1"/>
  <c r="F21"/>
  <c r="I21" s="1"/>
  <c r="F20"/>
  <c r="H20" s="1"/>
  <c r="F27"/>
  <c r="H27" s="1"/>
  <c r="F26"/>
  <c r="H26" s="1"/>
  <c r="F24"/>
  <c r="H24" s="1"/>
  <c r="F23"/>
  <c r="H23" s="1"/>
  <c r="F22"/>
  <c r="H22" s="1"/>
  <c r="F19"/>
  <c r="H19" s="1"/>
  <c r="H21" l="1"/>
  <c r="I20"/>
  <c r="H18"/>
  <c r="I18"/>
  <c r="H16"/>
  <c r="I17"/>
  <c r="H85"/>
  <c r="I85"/>
  <c r="I73"/>
  <c r="I30"/>
  <c r="H31"/>
  <c r="I32"/>
  <c r="I27"/>
  <c r="E100" i="24" l="1"/>
  <c r="F100" s="1"/>
  <c r="H100" s="1"/>
  <c r="I99"/>
  <c r="H99"/>
  <c r="I78"/>
  <c r="F78"/>
  <c r="H78" s="1"/>
  <c r="F88"/>
  <c r="H88" s="1"/>
  <c r="I71"/>
  <c r="H71"/>
  <c r="I61"/>
  <c r="H61"/>
  <c r="I33"/>
  <c r="H33"/>
  <c r="F32"/>
  <c r="H32" s="1"/>
  <c r="F31"/>
  <c r="I31" s="1"/>
  <c r="F30"/>
  <c r="H30" s="1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F99" i="23"/>
  <c r="I99" s="1"/>
  <c r="E98"/>
  <c r="F98" s="1"/>
  <c r="I74"/>
  <c r="F74"/>
  <c r="F86"/>
  <c r="I86" s="1"/>
  <c r="F70"/>
  <c r="F69"/>
  <c r="F68"/>
  <c r="F67"/>
  <c r="F66"/>
  <c r="F65"/>
  <c r="F32"/>
  <c r="F31"/>
  <c r="F30"/>
  <c r="F27"/>
  <c r="E18"/>
  <c r="F18" s="1"/>
  <c r="I18" s="1"/>
  <c r="F17"/>
  <c r="F16"/>
  <c r="I25" i="22"/>
  <c r="H16" i="24" l="1"/>
  <c r="I16"/>
  <c r="H17"/>
  <c r="H31"/>
  <c r="I100"/>
  <c r="I88"/>
  <c r="I30"/>
  <c r="I32"/>
  <c r="I18"/>
  <c r="H18"/>
  <c r="I27"/>
  <c r="I87" i="21"/>
  <c r="I92" i="19" l="1"/>
  <c r="I66" i="18" l="1"/>
  <c r="I90" i="26" l="1"/>
  <c r="I84"/>
  <c r="H33"/>
  <c r="F32"/>
  <c r="H32" s="1"/>
  <c r="F30"/>
  <c r="I53" i="25"/>
  <c r="I80" i="24"/>
  <c r="H30" i="26" l="1"/>
  <c r="I30"/>
  <c r="H31"/>
  <c r="I32"/>
  <c r="H27" i="23" l="1"/>
  <c r="F24"/>
  <c r="F23"/>
  <c r="F22"/>
  <c r="F21"/>
  <c r="F20"/>
  <c r="F19"/>
  <c r="H19" s="1"/>
  <c r="I17"/>
  <c r="H16"/>
  <c r="F27" i="22"/>
  <c r="H27" s="1"/>
  <c r="F26"/>
  <c r="F24"/>
  <c r="F23"/>
  <c r="F22"/>
  <c r="F21"/>
  <c r="F20"/>
  <c r="F27" i="21"/>
  <c r="H27" s="1"/>
  <c r="F27" i="20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I63" i="21"/>
  <c r="F63"/>
  <c r="I90"/>
  <c r="H24" i="23" l="1"/>
  <c r="I24"/>
  <c r="H21"/>
  <c r="I21"/>
  <c r="H26"/>
  <c r="I26"/>
  <c r="H23"/>
  <c r="I23"/>
  <c r="H22"/>
  <c r="I22"/>
  <c r="H20"/>
  <c r="I20"/>
  <c r="H19" i="22"/>
  <c r="I19"/>
  <c r="H20"/>
  <c r="I20"/>
  <c r="H26"/>
  <c r="I26"/>
  <c r="H23"/>
  <c r="I23"/>
  <c r="H24"/>
  <c r="I24"/>
  <c r="H22"/>
  <c r="I22"/>
  <c r="H21"/>
  <c r="I21"/>
  <c r="H17" i="23"/>
  <c r="H18"/>
  <c r="I16"/>
  <c r="I27"/>
  <c r="I27" i="22"/>
  <c r="I27" i="21"/>
  <c r="I27" i="20"/>
  <c r="I100" i="23" l="1"/>
  <c r="I94" i="18"/>
  <c r="I94" i="17" l="1"/>
  <c r="I91"/>
  <c r="I67" i="27"/>
  <c r="I45"/>
  <c r="I87" i="26"/>
  <c r="I77"/>
  <c r="I79" i="25"/>
  <c r="I75" i="24" l="1"/>
  <c r="I77"/>
  <c r="I83" i="23"/>
  <c r="I97" i="20" l="1"/>
  <c r="I100" i="19"/>
  <c r="I89"/>
  <c r="I67" i="17" l="1"/>
  <c r="H92" i="28" l="1"/>
  <c r="H88"/>
  <c r="H86"/>
  <c r="I83"/>
  <c r="F83"/>
  <c r="H83" s="1"/>
  <c r="H82"/>
  <c r="H81"/>
  <c r="H80"/>
  <c r="H79"/>
  <c r="F74"/>
  <c r="H74" s="1"/>
  <c r="F73"/>
  <c r="I73" s="1"/>
  <c r="F72"/>
  <c r="H72" s="1"/>
  <c r="F71"/>
  <c r="I71" s="1"/>
  <c r="F70"/>
  <c r="H70" s="1"/>
  <c r="F69"/>
  <c r="I69" s="1"/>
  <c r="F68"/>
  <c r="H68" s="1"/>
  <c r="F67"/>
  <c r="H67" s="1"/>
  <c r="F64"/>
  <c r="H64" s="1"/>
  <c r="F61"/>
  <c r="I61" s="1"/>
  <c r="I58"/>
  <c r="F58"/>
  <c r="H58" s="1"/>
  <c r="I57"/>
  <c r="F57"/>
  <c r="H57" s="1"/>
  <c r="I56"/>
  <c r="H56"/>
  <c r="F55"/>
  <c r="H55" s="1"/>
  <c r="F54"/>
  <c r="I54" s="1"/>
  <c r="H53"/>
  <c r="F52"/>
  <c r="H52" s="1"/>
  <c r="F51"/>
  <c r="H51" s="1"/>
  <c r="F50"/>
  <c r="H50" s="1"/>
  <c r="F49"/>
  <c r="H49" s="1"/>
  <c r="F48"/>
  <c r="H48" s="1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H88" i="27"/>
  <c r="H86"/>
  <c r="I83"/>
  <c r="F83"/>
  <c r="H83" s="1"/>
  <c r="H82"/>
  <c r="H81"/>
  <c r="H80"/>
  <c r="H79"/>
  <c r="F74"/>
  <c r="I74" s="1"/>
  <c r="F73"/>
  <c r="H73" s="1"/>
  <c r="F72"/>
  <c r="I72" s="1"/>
  <c r="F71"/>
  <c r="H71" s="1"/>
  <c r="F70"/>
  <c r="I70" s="1"/>
  <c r="F69"/>
  <c r="H69" s="1"/>
  <c r="F68"/>
  <c r="H68" s="1"/>
  <c r="F67"/>
  <c r="H67" s="1"/>
  <c r="F64"/>
  <c r="H64" s="1"/>
  <c r="F61"/>
  <c r="H61" s="1"/>
  <c r="I58"/>
  <c r="F58"/>
  <c r="H58" s="1"/>
  <c r="I57"/>
  <c r="F57"/>
  <c r="H57" s="1"/>
  <c r="I56"/>
  <c r="H56"/>
  <c r="F55"/>
  <c r="I55" s="1"/>
  <c r="F54"/>
  <c r="H54" s="1"/>
  <c r="F53"/>
  <c r="I53" s="1"/>
  <c r="F52"/>
  <c r="H52" s="1"/>
  <c r="F51"/>
  <c r="H51" s="1"/>
  <c r="F50"/>
  <c r="H50" s="1"/>
  <c r="F49"/>
  <c r="H49" s="1"/>
  <c r="F48"/>
  <c r="H48" s="1"/>
  <c r="H45"/>
  <c r="I43"/>
  <c r="H42"/>
  <c r="H41"/>
  <c r="H40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I88" i="26"/>
  <c r="H32" i="28" l="1"/>
  <c r="H54"/>
  <c r="H61"/>
  <c r="H28"/>
  <c r="H44" i="27"/>
  <c r="I44"/>
  <c r="H69" i="28"/>
  <c r="H71"/>
  <c r="H73"/>
  <c r="I31"/>
  <c r="I53"/>
  <c r="I55"/>
  <c r="I70"/>
  <c r="I72"/>
  <c r="I74"/>
  <c r="H70" i="27"/>
  <c r="H74"/>
  <c r="H55"/>
  <c r="H72"/>
  <c r="H53"/>
  <c r="H31"/>
  <c r="H43"/>
  <c r="H92"/>
  <c r="I28"/>
  <c r="I32"/>
  <c r="I40"/>
  <c r="I42"/>
  <c r="I54"/>
  <c r="I61"/>
  <c r="I69"/>
  <c r="I71"/>
  <c r="I73"/>
  <c r="I99" i="28" l="1"/>
  <c r="I106" i="27"/>
  <c r="I86" i="24" l="1"/>
  <c r="I77" i="22"/>
  <c r="I88" i="21" l="1"/>
  <c r="I77"/>
  <c r="I66" i="20"/>
  <c r="I82" i="19"/>
  <c r="I68"/>
  <c r="I55"/>
  <c r="I79" i="26" l="1"/>
  <c r="I53"/>
  <c r="H99"/>
  <c r="H98"/>
  <c r="F97"/>
  <c r="H96"/>
  <c r="H95"/>
  <c r="H94"/>
  <c r="H93"/>
  <c r="H92"/>
  <c r="H91"/>
  <c r="H90"/>
  <c r="H89"/>
  <c r="H88"/>
  <c r="H87"/>
  <c r="H86"/>
  <c r="H84"/>
  <c r="H82"/>
  <c r="F79"/>
  <c r="H79" s="1"/>
  <c r="H78"/>
  <c r="H77"/>
  <c r="H76"/>
  <c r="H75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82" i="25"/>
  <c r="F79"/>
  <c r="H79" s="1"/>
  <c r="H78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F60"/>
  <c r="H60" s="1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97" i="24"/>
  <c r="H96"/>
  <c r="F95"/>
  <c r="H95" s="1"/>
  <c r="H94"/>
  <c r="H93"/>
  <c r="H92"/>
  <c r="H91"/>
  <c r="H90"/>
  <c r="H89"/>
  <c r="H87"/>
  <c r="H86"/>
  <c r="H85"/>
  <c r="H84"/>
  <c r="H82"/>
  <c r="H80"/>
  <c r="F77"/>
  <c r="H77" s="1"/>
  <c r="H76"/>
  <c r="H75"/>
  <c r="H74"/>
  <c r="H73"/>
  <c r="F70"/>
  <c r="H70" s="1"/>
  <c r="F69"/>
  <c r="I69" s="1"/>
  <c r="F68"/>
  <c r="H68" s="1"/>
  <c r="F67"/>
  <c r="I67" s="1"/>
  <c r="F66"/>
  <c r="H66" s="1"/>
  <c r="F65"/>
  <c r="I65" s="1"/>
  <c r="F64"/>
  <c r="H64" s="1"/>
  <c r="I63"/>
  <c r="F63"/>
  <c r="H63" s="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I33" i="17"/>
  <c r="I33" i="23"/>
  <c r="I97"/>
  <c r="H97"/>
  <c r="H95"/>
  <c r="H94"/>
  <c r="F93"/>
  <c r="H93" s="1"/>
  <c r="H92"/>
  <c r="H91"/>
  <c r="H90"/>
  <c r="H89"/>
  <c r="H88"/>
  <c r="H87"/>
  <c r="H86"/>
  <c r="H85"/>
  <c r="H84"/>
  <c r="H83"/>
  <c r="H82"/>
  <c r="H80"/>
  <c r="H78"/>
  <c r="H76"/>
  <c r="H75"/>
  <c r="H74"/>
  <c r="H73"/>
  <c r="I71"/>
  <c r="H71"/>
  <c r="I70"/>
  <c r="I69"/>
  <c r="H68"/>
  <c r="I67"/>
  <c r="H66"/>
  <c r="I65"/>
  <c r="F64"/>
  <c r="H64" s="1"/>
  <c r="I63"/>
  <c r="F63"/>
  <c r="H63" s="1"/>
  <c r="I61"/>
  <c r="H61"/>
  <c r="F60"/>
  <c r="H60" s="1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H32"/>
  <c r="H31"/>
  <c r="H30"/>
  <c r="H93" i="22"/>
  <c r="H92"/>
  <c r="F91"/>
  <c r="H91" s="1"/>
  <c r="H90"/>
  <c r="H89"/>
  <c r="H88"/>
  <c r="H87"/>
  <c r="H86"/>
  <c r="H85"/>
  <c r="H84"/>
  <c r="H82"/>
  <c r="F79"/>
  <c r="H79" s="1"/>
  <c r="H78"/>
  <c r="H77"/>
  <c r="H76"/>
  <c r="H75"/>
  <c r="H70"/>
  <c r="I69"/>
  <c r="H68"/>
  <c r="I67"/>
  <c r="H66"/>
  <c r="I65"/>
  <c r="F64"/>
  <c r="H64" s="1"/>
  <c r="I63"/>
  <c r="F63"/>
  <c r="H63" s="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I53" i="21"/>
  <c r="I33"/>
  <c r="I25"/>
  <c r="H99"/>
  <c r="H98"/>
  <c r="F97"/>
  <c r="H96"/>
  <c r="H95"/>
  <c r="H94"/>
  <c r="H93"/>
  <c r="H92"/>
  <c r="H91"/>
  <c r="H90"/>
  <c r="H89"/>
  <c r="H88"/>
  <c r="H87"/>
  <c r="H86"/>
  <c r="H84"/>
  <c r="H82"/>
  <c r="F79"/>
  <c r="H79" s="1"/>
  <c r="H78"/>
  <c r="H77"/>
  <c r="F70"/>
  <c r="H70" s="1"/>
  <c r="F69"/>
  <c r="I69" s="1"/>
  <c r="F68"/>
  <c r="H68" s="1"/>
  <c r="F67"/>
  <c r="I67" s="1"/>
  <c r="F66"/>
  <c r="H66" s="1"/>
  <c r="F65"/>
  <c r="I65" s="1"/>
  <c r="F64"/>
  <c r="H64" s="1"/>
  <c r="F60"/>
  <c r="H60" s="1"/>
  <c r="F58"/>
  <c r="I58" s="1"/>
  <c r="I55"/>
  <c r="H55"/>
  <c r="I54"/>
  <c r="H54"/>
  <c r="H53"/>
  <c r="H52"/>
  <c r="H51"/>
  <c r="I50"/>
  <c r="H49"/>
  <c r="H48"/>
  <c r="H47"/>
  <c r="H46"/>
  <c r="H45"/>
  <c r="I43"/>
  <c r="H43"/>
  <c r="F42"/>
  <c r="H42" s="1"/>
  <c r="F41"/>
  <c r="I41" s="1"/>
  <c r="F40"/>
  <c r="H40" s="1"/>
  <c r="H39"/>
  <c r="F38"/>
  <c r="H38" s="1"/>
  <c r="I37"/>
  <c r="H37"/>
  <c r="H35"/>
  <c r="H34"/>
  <c r="H33"/>
  <c r="H32"/>
  <c r="H31"/>
  <c r="H30"/>
  <c r="F26"/>
  <c r="H26" s="1"/>
  <c r="F24"/>
  <c r="H24" s="1"/>
  <c r="F23"/>
  <c r="H23" s="1"/>
  <c r="F22"/>
  <c r="H22" s="1"/>
  <c r="F21"/>
  <c r="H21" s="1"/>
  <c r="F20"/>
  <c r="H20" s="1"/>
  <c r="F19"/>
  <c r="H96" i="20"/>
  <c r="H95"/>
  <c r="F94"/>
  <c r="H94" s="1"/>
  <c r="H93"/>
  <c r="H92"/>
  <c r="H91"/>
  <c r="H90"/>
  <c r="H89"/>
  <c r="H88"/>
  <c r="H85"/>
  <c r="H83"/>
  <c r="F80"/>
  <c r="H80" s="1"/>
  <c r="H79"/>
  <c r="H78"/>
  <c r="H77"/>
  <c r="H76"/>
  <c r="F73"/>
  <c r="H73" s="1"/>
  <c r="F72"/>
  <c r="I72" s="1"/>
  <c r="F71"/>
  <c r="H71" s="1"/>
  <c r="F70"/>
  <c r="I70" s="1"/>
  <c r="F69"/>
  <c r="H69" s="1"/>
  <c r="F68"/>
  <c r="I68" s="1"/>
  <c r="F67"/>
  <c r="H67" s="1"/>
  <c r="F66"/>
  <c r="H66" s="1"/>
  <c r="F63"/>
  <c r="H63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38"/>
  <c r="H36"/>
  <c r="H35"/>
  <c r="H34"/>
  <c r="F34"/>
  <c r="H33"/>
  <c r="F32"/>
  <c r="H32" s="1"/>
  <c r="F31"/>
  <c r="H31" s="1"/>
  <c r="F30"/>
  <c r="H30" s="1"/>
  <c r="H101" i="19"/>
  <c r="H100"/>
  <c r="F99"/>
  <c r="H99" s="1"/>
  <c r="H98"/>
  <c r="H97"/>
  <c r="H96"/>
  <c r="H95"/>
  <c r="H94"/>
  <c r="H93"/>
  <c r="H92"/>
  <c r="H91"/>
  <c r="H90"/>
  <c r="H89"/>
  <c r="H87"/>
  <c r="F84"/>
  <c r="H84" s="1"/>
  <c r="H83"/>
  <c r="H82"/>
  <c r="H81"/>
  <c r="H80"/>
  <c r="F75"/>
  <c r="I75" s="1"/>
  <c r="F74"/>
  <c r="I74" s="1"/>
  <c r="F73"/>
  <c r="I73" s="1"/>
  <c r="F72"/>
  <c r="I72" s="1"/>
  <c r="F71"/>
  <c r="H71" s="1"/>
  <c r="F70"/>
  <c r="I70" s="1"/>
  <c r="F69"/>
  <c r="H69" s="1"/>
  <c r="F68"/>
  <c r="H68" s="1"/>
  <c r="F64"/>
  <c r="H64" s="1"/>
  <c r="I57"/>
  <c r="F57"/>
  <c r="H57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H36"/>
  <c r="H35"/>
  <c r="H34"/>
  <c r="F34"/>
  <c r="H33"/>
  <c r="F32"/>
  <c r="H32" s="1"/>
  <c r="F31"/>
  <c r="H31" s="1"/>
  <c r="F30"/>
  <c r="H30" s="1"/>
  <c r="I82" i="18"/>
  <c r="H87"/>
  <c r="H85"/>
  <c r="F82"/>
  <c r="H82" s="1"/>
  <c r="H81"/>
  <c r="H80"/>
  <c r="H79"/>
  <c r="H78"/>
  <c r="F73"/>
  <c r="I73" s="1"/>
  <c r="F72"/>
  <c r="I72" s="1"/>
  <c r="F71"/>
  <c r="I71" s="1"/>
  <c r="F70"/>
  <c r="I70" s="1"/>
  <c r="F69"/>
  <c r="I69" s="1"/>
  <c r="F68"/>
  <c r="I68" s="1"/>
  <c r="F67"/>
  <c r="H67" s="1"/>
  <c r="F66"/>
  <c r="H66" s="1"/>
  <c r="F63"/>
  <c r="H63" s="1"/>
  <c r="I57"/>
  <c r="F57"/>
  <c r="H57" s="1"/>
  <c r="I56"/>
  <c r="F56"/>
  <c r="H56" s="1"/>
  <c r="H55"/>
  <c r="F54"/>
  <c r="H54" s="1"/>
  <c r="F53"/>
  <c r="H53" s="1"/>
  <c r="F51"/>
  <c r="H51" s="1"/>
  <c r="F50"/>
  <c r="H50" s="1"/>
  <c r="F49"/>
  <c r="H49" s="1"/>
  <c r="F48"/>
  <c r="H48" s="1"/>
  <c r="F47"/>
  <c r="H47" s="1"/>
  <c r="H36"/>
  <c r="H35"/>
  <c r="H34"/>
  <c r="F34"/>
  <c r="H33"/>
  <c r="F32"/>
  <c r="H32" s="1"/>
  <c r="F31"/>
  <c r="H31" s="1"/>
  <c r="F30"/>
  <c r="H30" s="1"/>
  <c r="H51" i="25" l="1"/>
  <c r="I51"/>
  <c r="H52"/>
  <c r="I52"/>
  <c r="H97" i="26"/>
  <c r="I97"/>
  <c r="H52" i="23"/>
  <c r="I52"/>
  <c r="H51"/>
  <c r="I51"/>
  <c r="H19" i="21"/>
  <c r="I19"/>
  <c r="H97"/>
  <c r="I97"/>
  <c r="I51" i="26"/>
  <c r="I52"/>
  <c r="H103"/>
  <c r="I38"/>
  <c r="I40"/>
  <c r="H41"/>
  <c r="I42"/>
  <c r="H50"/>
  <c r="H58"/>
  <c r="H65"/>
  <c r="I66"/>
  <c r="H67"/>
  <c r="I68"/>
  <c r="H69"/>
  <c r="I70"/>
  <c r="I45" i="25"/>
  <c r="I48"/>
  <c r="I46"/>
  <c r="I49"/>
  <c r="I47"/>
  <c r="H86"/>
  <c r="I38"/>
  <c r="I40"/>
  <c r="H41"/>
  <c r="I42"/>
  <c r="H50"/>
  <c r="H58"/>
  <c r="H65"/>
  <c r="I66"/>
  <c r="H67"/>
  <c r="I68"/>
  <c r="H69"/>
  <c r="I70"/>
  <c r="H101" i="24"/>
  <c r="I38"/>
  <c r="I40"/>
  <c r="H41"/>
  <c r="I42"/>
  <c r="H50"/>
  <c r="H58"/>
  <c r="H65"/>
  <c r="I66"/>
  <c r="H67"/>
  <c r="I68"/>
  <c r="H69"/>
  <c r="I70"/>
  <c r="H70" i="23"/>
  <c r="I31"/>
  <c r="I30"/>
  <c r="I32"/>
  <c r="I98"/>
  <c r="H98"/>
  <c r="H100" s="1"/>
  <c r="I38"/>
  <c r="I40"/>
  <c r="H41"/>
  <c r="I42"/>
  <c r="H50"/>
  <c r="H58"/>
  <c r="H65"/>
  <c r="I66"/>
  <c r="H67"/>
  <c r="I68"/>
  <c r="H69"/>
  <c r="H97" i="22"/>
  <c r="I38"/>
  <c r="I40"/>
  <c r="H41"/>
  <c r="I42"/>
  <c r="H50"/>
  <c r="H58"/>
  <c r="H65"/>
  <c r="I66"/>
  <c r="H67"/>
  <c r="I68"/>
  <c r="H69"/>
  <c r="I70"/>
  <c r="I20" i="21"/>
  <c r="I26"/>
  <c r="I24"/>
  <c r="I30"/>
  <c r="I32"/>
  <c r="I51"/>
  <c r="I103" s="1"/>
  <c r="I52"/>
  <c r="I47"/>
  <c r="I45"/>
  <c r="I21"/>
  <c r="I22"/>
  <c r="I23"/>
  <c r="I31"/>
  <c r="I49"/>
  <c r="I48"/>
  <c r="I46"/>
  <c r="H103"/>
  <c r="I38"/>
  <c r="I40"/>
  <c r="H41"/>
  <c r="I42"/>
  <c r="H50"/>
  <c r="H58"/>
  <c r="H65"/>
  <c r="I66"/>
  <c r="H67"/>
  <c r="I68"/>
  <c r="H69"/>
  <c r="I70"/>
  <c r="H101" i="20"/>
  <c r="H52"/>
  <c r="H68"/>
  <c r="I69"/>
  <c r="H70"/>
  <c r="I71"/>
  <c r="H72"/>
  <c r="I73"/>
  <c r="H73" i="19"/>
  <c r="H75"/>
  <c r="H105"/>
  <c r="H52"/>
  <c r="H70"/>
  <c r="I71"/>
  <c r="H72"/>
  <c r="H74"/>
  <c r="H69" i="18"/>
  <c r="H73"/>
  <c r="H71"/>
  <c r="H68"/>
  <c r="H70"/>
  <c r="H72"/>
  <c r="H91"/>
  <c r="I97" i="25" l="1"/>
  <c r="I114" i="21"/>
  <c r="I120" i="19"/>
  <c r="I104" i="23"/>
  <c r="I115" i="26"/>
  <c r="I108" i="24"/>
  <c r="I109" i="20"/>
  <c r="I96" i="18"/>
  <c r="I110" i="22"/>
  <c r="H103" i="17" l="1"/>
  <c r="H102"/>
  <c r="F101"/>
  <c r="H101" s="1"/>
  <c r="H100"/>
  <c r="H99"/>
  <c r="H98"/>
  <c r="H97"/>
  <c r="H96"/>
  <c r="H95"/>
  <c r="H94"/>
  <c r="H93"/>
  <c r="H92"/>
  <c r="H91"/>
  <c r="H90"/>
  <c r="H88"/>
  <c r="H86"/>
  <c r="F83"/>
  <c r="H83" s="1"/>
  <c r="H82"/>
  <c r="H81"/>
  <c r="H80"/>
  <c r="H79"/>
  <c r="I75"/>
  <c r="H75"/>
  <c r="F74"/>
  <c r="F73"/>
  <c r="F72"/>
  <c r="F71"/>
  <c r="F70"/>
  <c r="F69"/>
  <c r="F68"/>
  <c r="H68" s="1"/>
  <c r="H67"/>
  <c r="H64"/>
  <c r="I57"/>
  <c r="F57"/>
  <c r="H57" s="1"/>
  <c r="I56"/>
  <c r="F56"/>
  <c r="H56" s="1"/>
  <c r="H55"/>
  <c r="F54"/>
  <c r="H54" s="1"/>
  <c r="F53"/>
  <c r="H53" s="1"/>
  <c r="F51"/>
  <c r="H51" s="1"/>
  <c r="F50"/>
  <c r="H50" s="1"/>
  <c r="F49"/>
  <c r="H49" s="1"/>
  <c r="F48"/>
  <c r="H48" s="1"/>
  <c r="F47"/>
  <c r="H47" s="1"/>
  <c r="H36"/>
  <c r="H35"/>
  <c r="H34"/>
  <c r="F34"/>
  <c r="I34" s="1"/>
  <c r="H33"/>
  <c r="F32"/>
  <c r="H32" s="1"/>
  <c r="F31"/>
  <c r="F30"/>
  <c r="I107" l="1"/>
  <c r="I113" s="1"/>
  <c r="H31"/>
  <c r="I31"/>
  <c r="H30"/>
  <c r="I30"/>
  <c r="H70"/>
  <c r="I70"/>
  <c r="H72"/>
  <c r="I72"/>
  <c r="H74"/>
  <c r="I74"/>
  <c r="H69"/>
  <c r="I69"/>
  <c r="H71"/>
  <c r="I71"/>
  <c r="H73"/>
  <c r="I73"/>
  <c r="H107"/>
  <c r="H60"/>
</calcChain>
</file>

<file path=xl/sharedStrings.xml><?xml version="1.0" encoding="utf-8"?>
<sst xmlns="http://schemas.openxmlformats.org/spreadsheetml/2006/main" count="3139" uniqueCount="317">
  <si>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</si>
  <si>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</si>
  <si>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</si>
  <si>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</si>
  <si>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</si>
  <si>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</si>
  <si>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</si>
  <si>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</si>
  <si>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</si>
  <si>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</si>
  <si>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</si>
  <si>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</si>
  <si>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</si>
  <si>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</si>
  <si>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</si>
  <si>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</si>
  <si>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</si>
  <si>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</si>
  <si>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</si>
  <si>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</si>
  <si>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</si>
  <si>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</si>
  <si>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</si>
  <si>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</si>
  <si>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</si>
  <si>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</si>
  <si>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</si>
  <si>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</si>
  <si>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</si>
  <si>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</si>
  <si>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</si>
  <si>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</si>
  <si>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</si>
  <si>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</si>
  <si>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</si>
  <si>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</si>
  <si>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</si>
  <si>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</si>
  <si>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</si>
  <si>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</si>
  <si>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</si>
  <si>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</si>
  <si>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</si>
  <si>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</si>
  <si>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</si>
  <si>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</si>
  <si>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</si>
  <si>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</si>
  <si>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</si>
  <si>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</si>
  <si>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</si>
  <si>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</si>
  <si>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</si>
  <si>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</si>
  <si>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</si>
  <si>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</si>
  <si>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</si>
  <si>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</si>
  <si>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</si>
  <si>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</si>
  <si>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</si>
  <si>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</si>
  <si>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</si>
  <si>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</si>
  <si>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</si>
  <si>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</si>
  <si>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</si>
  <si>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</si>
  <si>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</si>
  <si>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</si>
  <si>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</si>
  <si>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Вода для промывки системы отопления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</si>
  <si>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</si>
  <si>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</si>
  <si>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</si>
  <si>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</si>
  <si>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</si>
  <si>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</si>
  <si>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</si>
  <si>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</si>
  <si>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</si>
  <si>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</si>
  <si>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</si>
  <si>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</si>
  <si>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</si>
  <si>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</si>
  <si>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</si>
  <si>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</si>
  <si>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</si>
  <si>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</si>
  <si>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</si>
  <si>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</si>
  <si>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</si>
  <si>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шт</t>
  </si>
  <si>
    <t>100м3</t>
  </si>
  <si>
    <t>1000м3</t>
  </si>
  <si>
    <t>ТО внутридомового газ.оборудования</t>
  </si>
  <si>
    <t>Аварийно-диспетчерское обслуживание</t>
  </si>
  <si>
    <t xml:space="preserve">Проверка дымоходов </t>
  </si>
  <si>
    <t>Прочистка каналов</t>
  </si>
  <si>
    <t>30 раз за сезон</t>
  </si>
  <si>
    <t xml:space="preserve">Очистка края кровли от слежавшегося снега со сбрасыванием сосулек (10% от S кровли) </t>
  </si>
  <si>
    <t>Водоснабжение, канализация</t>
  </si>
  <si>
    <t>Очистка канализационной сети внутренней</t>
  </si>
  <si>
    <t>Ремонт вентильных кранов д=40 со снятием с места</t>
  </si>
  <si>
    <t>Влажное подметание лестничных клеток 1 этажа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</si>
  <si>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</si>
  <si>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</si>
  <si>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</si>
  <si>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</si>
  <si>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</si>
  <si>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</si>
  <si>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</si>
  <si>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</si>
  <si>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Стоимость светодиодного светильника</t>
  </si>
  <si>
    <t>Работа автовышки</t>
  </si>
  <si>
    <t>Влажное подметание лестничных клеток 2-5 этажа</t>
  </si>
  <si>
    <t>Мытье лестничных  площадок и маршей 1-5 этаж.</t>
  </si>
  <si>
    <t xml:space="preserve">1 раз в год  </t>
  </si>
  <si>
    <t xml:space="preserve">Влажная протирка шкафов для щитов 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</si>
  <si>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</si>
  <si>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</si>
  <si>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</si>
  <si>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Очистка урн от мусора</t>
  </si>
  <si>
    <t>Вывоз снега с придомовой территории</t>
  </si>
  <si>
    <t>35 раз за сезон</t>
  </si>
  <si>
    <t>Дератизация</t>
  </si>
  <si>
    <t>Обслуживание прибора учета тепловой энергии</t>
  </si>
  <si>
    <t>Смена светодиодных светильников</t>
  </si>
  <si>
    <t>руб.</t>
  </si>
  <si>
    <t>Замена ламп ДРЛ</t>
  </si>
  <si>
    <t>Зачеканка раструбов канализационных труб диаметром до 100 мм</t>
  </si>
  <si>
    <t>1 шт.</t>
  </si>
  <si>
    <t>Прочистка засоров ГВС, ХВС</t>
  </si>
  <si>
    <t>3 м</t>
  </si>
  <si>
    <t>Уборка фекалий из подвала</t>
  </si>
  <si>
    <t>Водоотлив из подвала электрическими (механическими) насосами (100 м3 воды)</t>
  </si>
  <si>
    <t>10 м3</t>
  </si>
  <si>
    <t>Смена внутренних трубопроводов из чугунных канализац. труб диаметром до 50 мм (без стоимости креплений)</t>
  </si>
  <si>
    <t>Смена внутренних трубопроводов из чугунных канализац. труб диаметром до 100 мм (без стоимости креплений)</t>
  </si>
  <si>
    <t>Смена полиэтиленовых канализационных труб диаметром до 50 мм (без стоимости креплений)</t>
  </si>
  <si>
    <t>Смена полиэтиленовых канализационных труб диаметром до 100 мм (без стоимости креплений)</t>
  </si>
  <si>
    <t>Смена внутренних трубопроводов  из стальных труб диаметром до 50 мм (без стоимости креплений)</t>
  </si>
  <si>
    <t>Осмотр водопровода, канализации и горячего водоснабжения</t>
  </si>
  <si>
    <t>Прочистка канализационного лежака в подвальных помещениях  и технических этажах</t>
  </si>
  <si>
    <t>Проверка исправности канализационных вытяжек</t>
  </si>
  <si>
    <t>100 м канализац.лежака</t>
  </si>
  <si>
    <t xml:space="preserve">приемки оказанных услуг и выполненных работ по содержанию и текущему ремонту
общего имущества в многоквартирном доме №41 по ул.Советская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</si>
  <si>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</si>
  <si>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</si>
  <si>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</si>
  <si>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</si>
  <si>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</si>
  <si>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</si>
  <si>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- Уборка контейнерной площадки (16 кв.м.)</t>
  </si>
  <si>
    <t xml:space="preserve"> </t>
  </si>
  <si>
    <t>Осмотр кровли металлической</t>
  </si>
  <si>
    <t xml:space="preserve">6 раз за сезон </t>
  </si>
  <si>
    <t>Очистка чердака от мусора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</si>
  <si>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</si>
  <si>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</si>
  <si>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Спуск воды после промывки СО в канализацию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</si>
  <si>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</si>
  <si>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</si>
  <si>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</si>
  <si>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</si>
  <si>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</si>
  <si>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</si>
  <si>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</si>
  <si>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</si>
  <si>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</si>
  <si>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д.41</t>
    </r>
  </si>
  <si>
    <t>Итого затраты за месяц</t>
  </si>
  <si>
    <t>1 шт</t>
  </si>
  <si>
    <t>52 раза в сезон</t>
  </si>
  <si>
    <t>78 раз за сезон</t>
  </si>
  <si>
    <t>АКТ №11</t>
  </si>
  <si>
    <t>АКТ №12</t>
  </si>
  <si>
    <t>100 м канализационного лежака</t>
  </si>
  <si>
    <t>ООО «Движение»</t>
  </si>
  <si>
    <t>Установка насоса в подвале для откачки воды</t>
  </si>
  <si>
    <t>подвал</t>
  </si>
  <si>
    <t>Работа ротенбергера</t>
  </si>
  <si>
    <t>час</t>
  </si>
  <si>
    <t>Осмотр электросетей, армазуры и электрооборудования на лестничных клетках</t>
  </si>
  <si>
    <t>10шт.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</si>
  <si>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</si>
  <si>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</si>
  <si>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</si>
  <si>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</si>
  <si>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</si>
  <si>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</si>
  <si>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</si>
  <si>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</si>
  <si>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1 раз</t>
  </si>
  <si>
    <t xml:space="preserve">1 раз </t>
  </si>
  <si>
    <t>0,2м3</t>
  </si>
  <si>
    <t>11 м</t>
  </si>
  <si>
    <t xml:space="preserve">1 раз   </t>
  </si>
  <si>
    <t xml:space="preserve">1 раз    </t>
  </si>
  <si>
    <t>3 раза</t>
  </si>
  <si>
    <t>м</t>
  </si>
  <si>
    <t>место</t>
  </si>
  <si>
    <t>12 раз</t>
  </si>
  <si>
    <t>Спуск воды после промывки системы отопления в канализацию</t>
  </si>
  <si>
    <t>Техническое обслуживание внутренних сетей водопровода и канализации</t>
  </si>
  <si>
    <t>руб/м2 в мес.</t>
  </si>
  <si>
    <t>снятие показаний с ОДПУ холодной воды</t>
  </si>
  <si>
    <t>Работы по ведению технической и отчетной документации, сбору и начислению платежей</t>
  </si>
  <si>
    <t>Работы по  проведению одного общего собрания собственников МКД</t>
  </si>
  <si>
    <r>
      <t xml:space="preserve">    Собственники помещений в многоквартирном доме,  расположенном по адресу:  пгт.Ярега,  ул.Советская,  д.41,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29.06.2020г.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</si>
  <si>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Внеплановая проверка дымоходов</t>
  </si>
  <si>
    <t>под.№2</t>
  </si>
  <si>
    <r>
      <t xml:space="preserve">    Собственники помещений в многоквартирном доме,  расположенном по адресу:  пгт.Ярега,  ул.Советская,  д.41,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29.06.2020г. стороны,  и ООО «Движение», 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</si>
  <si>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10 раз</t>
  </si>
  <si>
    <t>9 раз</t>
  </si>
  <si>
    <t>22 раз</t>
  </si>
  <si>
    <t>генеральный директор Кочанова И.Л.</t>
  </si>
  <si>
    <t>Очитска вручную от снега и наледи люков канализационных и водопроводных колодцев</t>
  </si>
  <si>
    <t>4 раза</t>
  </si>
  <si>
    <t xml:space="preserve">2 раза </t>
  </si>
  <si>
    <t xml:space="preserve">Осмотр водопроводов, канализации, отопления </t>
  </si>
  <si>
    <t>за период с 01.01.2021 г. по 31.01.2021 г.</t>
  </si>
  <si>
    <t>0,8 ч (25,28 янв)</t>
  </si>
  <si>
    <t>Осмотр и очистка оголовков дымоходов и вентканалов от наледи и снега</t>
  </si>
  <si>
    <t>1 час</t>
  </si>
  <si>
    <t>Перекрытие вентиля</t>
  </si>
  <si>
    <t>Смена внутреннних трубопроводов на полипропиленовые трубы PN 25 Dу 25</t>
  </si>
  <si>
    <t>2. Всего за период с 01.01.2021 по 31.01.2021 выполнено работ (оказано услуг) на общую сумму: 83453,71 руб.</t>
  </si>
  <si>
    <t>(восемьдесят три тысячи четыреста пятьдесят три рубля 71 копейка)</t>
  </si>
  <si>
    <t>1,2 февр</t>
  </si>
  <si>
    <t>Ремонт и регулировка доводчика (без стоимости доводчика)</t>
  </si>
  <si>
    <t>1шт.</t>
  </si>
  <si>
    <t>(пятьдесят девять тысяч семьсот пятьдесят четыре рубля 21 копейка )</t>
  </si>
  <si>
    <t>за период с 01.03.2021 г. по 31.03.2021 г.</t>
  </si>
  <si>
    <t>за период с 01.02.2021 г. по 28.02.2021 г.</t>
  </si>
  <si>
    <t>2. Всего за период с 01.02.2021 по 28.02.2021 выполнено работ (оказано услуг) на общую сумму: 59754,21 руб.</t>
  </si>
  <si>
    <t>22  марта</t>
  </si>
  <si>
    <t>Ремонт и регулировка доводчика (со стоимостью доводчика)</t>
  </si>
  <si>
    <t>Заделка "шахты" после работ ВДИС ДСП</t>
  </si>
  <si>
    <t>10 м2</t>
  </si>
  <si>
    <t>Смена арматуры - вентилей и клапанов обратных муфтовых диаметром до 20 мм ( без материалов)</t>
  </si>
  <si>
    <t>Ремонт канализацтонной трубы</t>
  </si>
  <si>
    <t>под.№3</t>
  </si>
  <si>
    <t>под.№1</t>
  </si>
  <si>
    <t>кв.28 ХВС 1 шт</t>
  </si>
  <si>
    <t>кв.39</t>
  </si>
  <si>
    <t>6 м</t>
  </si>
  <si>
    <t>2. Всего за период с 01.03.2021 по 31.03.2021 выполнено работ (оказано услуг) на общую сумму: 77558,22 руб.</t>
  </si>
  <si>
    <t>(семьдесят семь тысяч пятьсот пятьдесят восемь рублей 22 копейки)</t>
  </si>
  <si>
    <t>за период с 01.04.2021 г. по 30.04.2021 г.</t>
  </si>
  <si>
    <t>13 м3 (14 апр)</t>
  </si>
  <si>
    <t>2 апр.</t>
  </si>
  <si>
    <t>кв.24</t>
  </si>
  <si>
    <t>за период с 01.05.2021 г. по 31.05.2021 г.</t>
  </si>
  <si>
    <t>Подборка мусора, налетевшего с контейнерной площадки</t>
  </si>
  <si>
    <t>1 м с/о кв10</t>
  </si>
  <si>
    <t>12 м</t>
  </si>
  <si>
    <t>2. Всего за период с 01.05.2021 по 31.05.2021 выполнено работ (оказано услуг) на общую сумму: 90701,18 руб.</t>
  </si>
  <si>
    <t>(девяносто тысяч семьсот один рубль 18 копеек)</t>
  </si>
  <si>
    <t>3 апр., 19 апр.</t>
  </si>
  <si>
    <t>2. Всего за период с 01.04.2021 по 30.04.2021 выполнено работ (оказано услуг) на общую сумму: 61864,21 руб.</t>
  </si>
  <si>
    <t>(шестьдесят одна тысяча восемьсот шестьдесят четыре рубля 21 копейка)</t>
  </si>
  <si>
    <t>за период с 01.06.2021 г. по 30.06.2021 г.</t>
  </si>
  <si>
    <t>Прочистка фильтра</t>
  </si>
  <si>
    <t>3м</t>
  </si>
  <si>
    <t>Биосорбент</t>
  </si>
  <si>
    <t>кг</t>
  </si>
  <si>
    <t>1 мешок</t>
  </si>
  <si>
    <t>кв.36</t>
  </si>
  <si>
    <t>1 шт. ХВС квю.37</t>
  </si>
  <si>
    <t>Поверка приборов учета с/о в распред. узле</t>
  </si>
  <si>
    <t>руб</t>
  </si>
  <si>
    <t>2. Всего за период с 01.06.2021 по 30.06.2021 выполнено работ (оказано услуг) на общую сумму: 175195,51 руб.</t>
  </si>
  <si>
    <t>(сто семьдесят пять тысяч сто девяносто пять рублей 51 копейка)</t>
  </si>
  <si>
    <t>за период с 01.07.2021 г. по 31.07.2021 г.</t>
  </si>
  <si>
    <t>2. Всего за период с 01.07.2021 по 31.07.2021 выполнено работ (оказано услуг) на общую сумму: 53058,30 руб.</t>
  </si>
  <si>
    <t>( пятьдесят три тысячи пятьдесят восемь рублей 30 копеек)</t>
  </si>
  <si>
    <t>за период с 01.08.2021 г. по 31.08.2021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</si>
  <si>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</si>
  <si>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</si>
  <si>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01.08.2021 по 31.08.2021 выполнено работ (оказано услуг) на общую сумму: 49836,30 руб.</t>
  </si>
  <si>
    <t>(сорок девять тысяч восемьсот тридцать шесть рублей 30 копеек)</t>
  </si>
  <si>
    <t>за период с 01.09.2021 г. по 30.09.2021 г.</t>
  </si>
  <si>
    <t>Нумерация подъездов и квартир</t>
  </si>
  <si>
    <t>Подключение приборов на ГВС, отопление</t>
  </si>
  <si>
    <t>Подключение и отключение электрооборудования</t>
  </si>
  <si>
    <t>2. Всего за период с 01.09.2021 по 30.09.2021 выполнено работ (оказано услуг) на общую сумму: 64480,64 руб.</t>
  </si>
  <si>
    <t>(шестьдесят шетыре тысячи четыреста восемьдесят рублей 64 копейки)</t>
  </si>
  <si>
    <t>за период с 01.10.2021 г. по 31.10.2021 г.</t>
  </si>
  <si>
    <t>Смена внутренних трубопроводов на полипропиленовые трубы ПП Ду 100*2000</t>
  </si>
  <si>
    <t>Смена внутренних трубопроводов на полипропиленовые трубы ПП Ду 100*1000</t>
  </si>
  <si>
    <t>Переход чугун-пластик 110</t>
  </si>
  <si>
    <t>Отвод 100-45</t>
  </si>
  <si>
    <t>Ревизия 100</t>
  </si>
  <si>
    <t>Муфта 100</t>
  </si>
  <si>
    <t>Очистка р/у от мусора</t>
  </si>
  <si>
    <t>2 м техподполье</t>
  </si>
  <si>
    <t>0,5 м техподполье</t>
  </si>
  <si>
    <t>2. Всего за период с 01.10.2021 по 31.10.2021 выполнено работ (оказано услуг) на общую сумму: 73842,33 руб.</t>
  </si>
  <si>
    <t>(семьдесят три тысячи восемьсот сорок два рубля 33 копейки)</t>
  </si>
  <si>
    <t>за период с 01.11.2021 г. по 30.11.2021 г.</t>
  </si>
  <si>
    <t>29 ноября</t>
  </si>
  <si>
    <t>8 шт.</t>
  </si>
  <si>
    <t>Смена внутренних трубопроводов из стальных труб диаметром до 32 мм</t>
  </si>
  <si>
    <t xml:space="preserve">Сварочные работы </t>
  </si>
  <si>
    <t>1 шт. с/о кв.44</t>
  </si>
  <si>
    <t>1 м с/о подвал</t>
  </si>
  <si>
    <t>за период с 01.12.2021 г. по 31.12.2021 г.</t>
  </si>
  <si>
    <t>2,15,30 декабря</t>
  </si>
  <si>
    <t>2. Всего за период с 01.11.2021 по 30.11.2021 выполнено работ (оказано услуг) на общую сумму: 60344,54 руб.</t>
  </si>
  <si>
    <t>(шестьдесят тысяч триста сорок четыре рубля 54 копейки)</t>
  </si>
  <si>
    <t>Закрытие окон</t>
  </si>
  <si>
    <t>под.№4</t>
  </si>
  <si>
    <t>под.№1 с/о,1 шт. с/о под. №2</t>
  </si>
  <si>
    <t>2. Всего за период с 01.12.2021 по 31.12.2021 выполнено работ (оказано услуг) на общую сумму: 57629,66 руб.</t>
  </si>
  <si>
    <t>(пятьдесят семь тысяч шестьсот двадцать девять рублей 66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</si>
</sst>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7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19" xfId="0" applyFont="1" applyFill="1" applyBorder="1" applyAlignment="1">
      <alignment horizontal="left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19" fillId="2" borderId="7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2" borderId="16" xfId="0" applyNumberFormat="1" applyFont="1" applyFill="1" applyBorder="1" applyAlignment="1" applyProtection="1">
      <alignment horizontal="left" vertical="center" wrapText="1"/>
    </xf>
    <xf numFmtId="0" fontId="11" fillId="2" borderId="16" xfId="0" applyNumberFormat="1" applyFont="1" applyFill="1" applyBorder="1" applyAlignment="1" applyProtection="1">
      <alignment horizontal="center" vertical="center" wrapText="1"/>
    </xf>
    <xf numFmtId="4" fontId="19" fillId="0" borderId="7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4"/>
  <sheetViews>
    <sheetView topLeftCell="A59" workbookViewId="0">
      <selection activeCell="B105" sqref="B105:I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2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153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222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44227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214</v>
      </c>
      <c r="E16" s="88">
        <v>70.7</v>
      </c>
      <c r="F16" s="89">
        <f>SUM(E16*156/100)</f>
        <v>110.292</v>
      </c>
      <c r="G16" s="89">
        <v>261.45</v>
      </c>
      <c r="H16" s="55">
        <f t="shared" ref="H16:H18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191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194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F18/18*G18</f>
        <v>2658.8856000000001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108</v>
      </c>
      <c r="E19" s="54">
        <v>40</v>
      </c>
      <c r="F19" s="41">
        <f>SUM(E19/10)</f>
        <v>4</v>
      </c>
      <c r="G19" s="41">
        <v>193.55</v>
      </c>
      <c r="H19" s="55">
        <f t="shared" ref="H19:H26" si="1">SUM(F19*G19/1000)</f>
        <v>0.7742</v>
      </c>
      <c r="I19" s="10">
        <v>0</v>
      </c>
    </row>
    <row r="20" spans="1:9" ht="15.75" hidden="1" customHeight="1">
      <c r="A20" s="21"/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41">
        <v>324.83999999999997</v>
      </c>
      <c r="H20" s="55">
        <f t="shared" si="1"/>
        <v>6.8216399999999996E-2</v>
      </c>
      <c r="I20" s="10">
        <f>G20*F20/2</f>
        <v>34.108199999999997</v>
      </c>
    </row>
    <row r="21" spans="1:9" ht="15.75" hidden="1" customHeight="1">
      <c r="A21" s="21"/>
      <c r="B21" s="39" t="s">
        <v>110</v>
      </c>
      <c r="C21" s="40" t="s">
        <v>84</v>
      </c>
      <c r="D21" s="39" t="s">
        <v>194</v>
      </c>
      <c r="E21" s="88">
        <v>2.7</v>
      </c>
      <c r="F21" s="89">
        <f>SUM(E21*2/100)</f>
        <v>5.4000000000000006E-2</v>
      </c>
      <c r="G21" s="89">
        <v>322.20999999999998</v>
      </c>
      <c r="H21" s="55">
        <f t="shared" si="1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111</v>
      </c>
      <c r="C22" s="40" t="s">
        <v>52</v>
      </c>
      <c r="D22" s="39" t="s">
        <v>108</v>
      </c>
      <c r="E22" s="54">
        <v>357</v>
      </c>
      <c r="F22" s="41">
        <f>SUM(E22/100)</f>
        <v>3.57</v>
      </c>
      <c r="G22" s="41">
        <v>306.26</v>
      </c>
      <c r="H22" s="55">
        <f t="shared" si="1"/>
        <v>1.0933481999999999</v>
      </c>
      <c r="I22" s="10">
        <v>0</v>
      </c>
    </row>
    <row r="23" spans="1:9" ht="15.75" hidden="1" customHeight="1">
      <c r="A23" s="21"/>
      <c r="B23" s="39" t="s">
        <v>112</v>
      </c>
      <c r="C23" s="40" t="s">
        <v>52</v>
      </c>
      <c r="D23" s="39" t="s">
        <v>108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1"/>
        <v>1.9462968000000001E-2</v>
      </c>
      <c r="I23" s="10">
        <v>0</v>
      </c>
    </row>
    <row r="24" spans="1:9" ht="15.75" hidden="1" customHeight="1">
      <c r="A24" s="21"/>
      <c r="B24" s="39" t="s">
        <v>113</v>
      </c>
      <c r="C24" s="40" t="s">
        <v>52</v>
      </c>
      <c r="D24" s="39" t="s">
        <v>118</v>
      </c>
      <c r="E24" s="54">
        <v>15</v>
      </c>
      <c r="F24" s="41">
        <f>E24/100</f>
        <v>0.15</v>
      </c>
      <c r="G24" s="41">
        <v>443.27</v>
      </c>
      <c r="H24" s="55">
        <f t="shared" si="1"/>
        <v>6.6490499999999994E-2</v>
      </c>
      <c r="I24" s="10">
        <v>0</v>
      </c>
    </row>
    <row r="25" spans="1:9" ht="15.75" hidden="1" customHeight="1">
      <c r="A25" s="21"/>
      <c r="B25" s="39" t="s">
        <v>119</v>
      </c>
      <c r="C25" s="40" t="s">
        <v>84</v>
      </c>
      <c r="D25" s="39" t="s">
        <v>53</v>
      </c>
      <c r="E25" s="54">
        <v>14.25</v>
      </c>
      <c r="F25" s="41">
        <v>0.1</v>
      </c>
      <c r="G25" s="41">
        <v>245.81</v>
      </c>
      <c r="H25" s="55">
        <v>3.1E-2</v>
      </c>
      <c r="I25" s="10">
        <v>0</v>
      </c>
    </row>
    <row r="26" spans="1:9" ht="15.75" hidden="1" customHeight="1">
      <c r="A26" s="21"/>
      <c r="B26" s="39" t="s">
        <v>120</v>
      </c>
      <c r="C26" s="40" t="s">
        <v>52</v>
      </c>
      <c r="D26" s="39" t="s">
        <v>108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1"/>
        <v>3.7793205999999996E-2</v>
      </c>
      <c r="I26" s="10">
        <v>0</v>
      </c>
    </row>
    <row r="27" spans="1:9" ht="15.75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10.81</v>
      </c>
      <c r="H27" s="55">
        <f>SUM(F27*G27/1000)</f>
        <v>14.5584756</v>
      </c>
      <c r="I27" s="10">
        <f>F27/12*G27</f>
        <v>1213.2063000000001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hidden="1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31.5" hidden="1" customHeight="1">
      <c r="A30" s="21">
        <v>6</v>
      </c>
      <c r="B30" s="39" t="s">
        <v>92</v>
      </c>
      <c r="C30" s="40" t="s">
        <v>86</v>
      </c>
      <c r="D30" s="39" t="s">
        <v>121</v>
      </c>
      <c r="E30" s="41">
        <v>573.6</v>
      </c>
      <c r="F30" s="41">
        <f>SUM(E30*52/1000)</f>
        <v>29.827200000000001</v>
      </c>
      <c r="G30" s="41">
        <v>177.3</v>
      </c>
      <c r="H30" s="55">
        <f t="shared" ref="H30:H36" si="2">SUM(F30*G30/1000)</f>
        <v>5.2883625600000004</v>
      </c>
      <c r="I30" s="10">
        <f>F30/6*G30</f>
        <v>881.39376000000016</v>
      </c>
    </row>
    <row r="31" spans="1:9" ht="31.5" hidden="1" customHeight="1">
      <c r="A31" s="21">
        <v>7</v>
      </c>
      <c r="B31" s="39" t="s">
        <v>159</v>
      </c>
      <c r="C31" s="40" t="s">
        <v>86</v>
      </c>
      <c r="D31" s="39" t="s">
        <v>122</v>
      </c>
      <c r="E31" s="41">
        <v>200</v>
      </c>
      <c r="F31" s="41">
        <f>SUM(E31*78/1000)</f>
        <v>15.6</v>
      </c>
      <c r="G31" s="41">
        <v>294.17</v>
      </c>
      <c r="H31" s="55">
        <f t="shared" si="2"/>
        <v>4.5890520000000006</v>
      </c>
      <c r="I31" s="10">
        <f t="shared" ref="I31:I34" si="3">F31/6*G31</f>
        <v>764.8420000000001</v>
      </c>
    </row>
    <row r="32" spans="1:9" ht="15.75" hidden="1" customHeight="1">
      <c r="A32" s="21">
        <v>16</v>
      </c>
      <c r="B32" s="39" t="s">
        <v>27</v>
      </c>
      <c r="C32" s="40" t="s">
        <v>86</v>
      </c>
      <c r="D32" s="39" t="s">
        <v>53</v>
      </c>
      <c r="E32" s="41">
        <v>573.6</v>
      </c>
      <c r="F32" s="41">
        <f>SUM(E32/1000)</f>
        <v>0.5736</v>
      </c>
      <c r="G32" s="41">
        <v>3435.36</v>
      </c>
      <c r="H32" s="55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39" t="s">
        <v>123</v>
      </c>
      <c r="C33" s="40" t="s">
        <v>40</v>
      </c>
      <c r="D33" s="39" t="s">
        <v>62</v>
      </c>
      <c r="E33" s="41">
        <v>1</v>
      </c>
      <c r="F33" s="41">
        <v>1.55</v>
      </c>
      <c r="G33" s="41">
        <v>1480.94</v>
      </c>
      <c r="H33" s="55">
        <f>G33*F33/1000</f>
        <v>2.2954570000000003</v>
      </c>
      <c r="I33" s="10">
        <f t="shared" si="3"/>
        <v>382.57616666666672</v>
      </c>
    </row>
    <row r="34" spans="1:9" ht="15.75" hidden="1" customHeight="1">
      <c r="A34" s="21">
        <v>9</v>
      </c>
      <c r="B34" s="39" t="s">
        <v>154</v>
      </c>
      <c r="C34" s="40" t="s">
        <v>30</v>
      </c>
      <c r="D34" s="39" t="s">
        <v>62</v>
      </c>
      <c r="E34" s="59">
        <v>0.33333333333333331</v>
      </c>
      <c r="F34" s="41">
        <f>155/3</f>
        <v>51.666666666666664</v>
      </c>
      <c r="G34" s="41">
        <v>64.48</v>
      </c>
      <c r="H34" s="55">
        <f>SUM(G34*155/3/1000)</f>
        <v>3.331466666666667</v>
      </c>
      <c r="I34" s="10">
        <f t="shared" si="3"/>
        <v>555.24444444444441</v>
      </c>
    </row>
    <row r="35" spans="1:9" ht="15.75" hidden="1" customHeight="1">
      <c r="A35" s="21"/>
      <c r="B35" s="39" t="s">
        <v>63</v>
      </c>
      <c r="C35" s="40" t="s">
        <v>32</v>
      </c>
      <c r="D35" s="39" t="s">
        <v>65</v>
      </c>
      <c r="E35" s="54"/>
      <c r="F35" s="41">
        <v>3</v>
      </c>
      <c r="G35" s="41">
        <v>217.61</v>
      </c>
      <c r="H35" s="55">
        <f t="shared" si="2"/>
        <v>0.65283000000000002</v>
      </c>
      <c r="I35" s="10">
        <v>0</v>
      </c>
    </row>
    <row r="36" spans="1:9" ht="15.75" hidden="1" customHeight="1">
      <c r="A36" s="21"/>
      <c r="B36" s="39" t="s">
        <v>64</v>
      </c>
      <c r="C36" s="40" t="s">
        <v>31</v>
      </c>
      <c r="D36" s="39" t="s">
        <v>65</v>
      </c>
      <c r="E36" s="54"/>
      <c r="F36" s="41">
        <v>2</v>
      </c>
      <c r="G36" s="41">
        <v>1292.47</v>
      </c>
      <c r="H36" s="55">
        <f t="shared" si="2"/>
        <v>2.58494</v>
      </c>
      <c r="I36" s="10">
        <v>0</v>
      </c>
    </row>
    <row r="37" spans="1:9" ht="15.75" customHeight="1">
      <c r="A37" s="21"/>
      <c r="B37" s="74" t="s">
        <v>5</v>
      </c>
      <c r="C37" s="40"/>
      <c r="D37" s="39"/>
      <c r="E37" s="54"/>
      <c r="F37" s="41"/>
      <c r="G37" s="41"/>
      <c r="H37" s="55" t="s">
        <v>155</v>
      </c>
      <c r="I37" s="58"/>
    </row>
    <row r="38" spans="1:9" ht="15.75" customHeight="1">
      <c r="A38" s="21">
        <v>5</v>
      </c>
      <c r="B38" s="39" t="s">
        <v>26</v>
      </c>
      <c r="C38" s="40" t="s">
        <v>31</v>
      </c>
      <c r="D38" s="39" t="s">
        <v>223</v>
      </c>
      <c r="E38" s="54"/>
      <c r="F38" s="41">
        <v>8</v>
      </c>
      <c r="G38" s="128">
        <v>1930</v>
      </c>
      <c r="H38" s="55">
        <f t="shared" ref="H38:H44" si="4">SUM(F38*G38/1000)</f>
        <v>15.44</v>
      </c>
      <c r="I38" s="10">
        <f>G38*0.8</f>
        <v>1544</v>
      </c>
    </row>
    <row r="39" spans="1:9" ht="15.75" customHeight="1">
      <c r="A39" s="21">
        <v>6</v>
      </c>
      <c r="B39" s="130" t="s">
        <v>66</v>
      </c>
      <c r="C39" s="131" t="s">
        <v>29</v>
      </c>
      <c r="D39" s="130" t="s">
        <v>219</v>
      </c>
      <c r="E39" s="132">
        <v>200</v>
      </c>
      <c r="F39" s="132">
        <f>SUM(E39*24/1000)</f>
        <v>4.8</v>
      </c>
      <c r="G39" s="132">
        <v>3134.93</v>
      </c>
      <c r="H39" s="55">
        <f t="shared" si="4"/>
        <v>15.047663999999999</v>
      </c>
      <c r="I39" s="10">
        <f>F39/6*G39</f>
        <v>2507.9439999999995</v>
      </c>
    </row>
    <row r="40" spans="1:9" ht="15.75" hidden="1" customHeight="1">
      <c r="A40" s="21"/>
      <c r="B40" s="86" t="s">
        <v>124</v>
      </c>
      <c r="C40" s="87" t="s">
        <v>54</v>
      </c>
      <c r="D40" s="86"/>
      <c r="E40" s="88"/>
      <c r="F40" s="132">
        <v>65</v>
      </c>
      <c r="G40" s="89">
        <v>343</v>
      </c>
      <c r="H40" s="55">
        <f t="shared" si="4"/>
        <v>22.295000000000002</v>
      </c>
      <c r="I40" s="10">
        <v>0</v>
      </c>
    </row>
    <row r="41" spans="1:9" ht="15.75" customHeight="1">
      <c r="A41" s="21">
        <v>7</v>
      </c>
      <c r="B41" s="86" t="s">
        <v>67</v>
      </c>
      <c r="C41" s="87" t="s">
        <v>29</v>
      </c>
      <c r="D41" s="86" t="s">
        <v>192</v>
      </c>
      <c r="E41" s="89">
        <v>60</v>
      </c>
      <c r="F41" s="132">
        <f>SUM(E41*155/1000)</f>
        <v>9.3000000000000007</v>
      </c>
      <c r="G41" s="89">
        <v>522.92999999999995</v>
      </c>
      <c r="H41" s="55">
        <f t="shared" si="4"/>
        <v>4.8632489999999997</v>
      </c>
      <c r="I41" s="10">
        <f t="shared" ref="I41:I42" si="5">F41/6*G41</f>
        <v>810.54149999999993</v>
      </c>
    </row>
    <row r="42" spans="1:9" ht="47.25" customHeight="1">
      <c r="A42" s="21">
        <v>8</v>
      </c>
      <c r="B42" s="86" t="s">
        <v>82</v>
      </c>
      <c r="C42" s="87" t="s">
        <v>86</v>
      </c>
      <c r="D42" s="86" t="s">
        <v>193</v>
      </c>
      <c r="E42" s="89">
        <v>40.9</v>
      </c>
      <c r="F42" s="132">
        <f>SUM(E42*35/1000)</f>
        <v>1.4315</v>
      </c>
      <c r="G42" s="89">
        <v>8652.07</v>
      </c>
      <c r="H42" s="55">
        <f t="shared" si="4"/>
        <v>12.385438205</v>
      </c>
      <c r="I42" s="10">
        <f t="shared" si="5"/>
        <v>2064.2397008333332</v>
      </c>
    </row>
    <row r="43" spans="1:9" ht="15.75" hidden="1" customHeight="1">
      <c r="A43" s="21">
        <v>9</v>
      </c>
      <c r="B43" s="86" t="s">
        <v>87</v>
      </c>
      <c r="C43" s="87" t="s">
        <v>86</v>
      </c>
      <c r="D43" s="86" t="s">
        <v>68</v>
      </c>
      <c r="E43" s="89">
        <v>60</v>
      </c>
      <c r="F43" s="132">
        <f>SUM(E43*45/1000)</f>
        <v>2.7</v>
      </c>
      <c r="G43" s="89">
        <v>639.14</v>
      </c>
      <c r="H43" s="55">
        <f t="shared" si="4"/>
        <v>1.725678</v>
      </c>
      <c r="I43" s="10">
        <f>F43/7.5*G43</f>
        <v>230.09040000000002</v>
      </c>
    </row>
    <row r="44" spans="1:9" ht="15.75" hidden="1" customHeight="1">
      <c r="A44" s="21">
        <v>10</v>
      </c>
      <c r="B44" s="130" t="s">
        <v>69</v>
      </c>
      <c r="C44" s="131" t="s">
        <v>32</v>
      </c>
      <c r="D44" s="130"/>
      <c r="E44" s="113"/>
      <c r="F44" s="132">
        <v>0.9</v>
      </c>
      <c r="G44" s="132">
        <v>900</v>
      </c>
      <c r="H44" s="55">
        <f t="shared" si="4"/>
        <v>0.81</v>
      </c>
      <c r="I44" s="10">
        <f>F44/7.5*G44</f>
        <v>108.00000000000001</v>
      </c>
    </row>
    <row r="45" spans="1:9" ht="33" customHeight="1">
      <c r="A45" s="118">
        <v>9</v>
      </c>
      <c r="B45" s="86" t="s">
        <v>218</v>
      </c>
      <c r="C45" s="87" t="s">
        <v>29</v>
      </c>
      <c r="D45" s="86" t="s">
        <v>220</v>
      </c>
      <c r="E45" s="88">
        <v>3</v>
      </c>
      <c r="F45" s="89">
        <f>E45*12/1000</f>
        <v>3.5999999999999997E-2</v>
      </c>
      <c r="G45" s="89">
        <v>20547.34</v>
      </c>
      <c r="H45" s="49"/>
      <c r="I45" s="129">
        <f>G45*F45/6</f>
        <v>123.28403999999999</v>
      </c>
    </row>
    <row r="46" spans="1:9" ht="15.75" customHeight="1">
      <c r="A46" s="148" t="s">
        <v>148</v>
      </c>
      <c r="B46" s="149"/>
      <c r="C46" s="149"/>
      <c r="D46" s="149"/>
      <c r="E46" s="149"/>
      <c r="F46" s="149"/>
      <c r="G46" s="149"/>
      <c r="H46" s="149"/>
      <c r="I46" s="150"/>
    </row>
    <row r="47" spans="1:9" ht="15.75" hidden="1" customHeight="1">
      <c r="A47" s="21"/>
      <c r="B47" s="39" t="s">
        <v>156</v>
      </c>
      <c r="C47" s="40" t="s">
        <v>86</v>
      </c>
      <c r="D47" s="39" t="s">
        <v>42</v>
      </c>
      <c r="E47" s="54">
        <v>1300.5</v>
      </c>
      <c r="F47" s="41">
        <f>SUM(E47/1000)*2</f>
        <v>2.601</v>
      </c>
      <c r="G47" s="10">
        <v>1173.18</v>
      </c>
      <c r="H47" s="55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39" t="s">
        <v>35</v>
      </c>
      <c r="C48" s="40" t="s">
        <v>86</v>
      </c>
      <c r="D48" s="39" t="s">
        <v>42</v>
      </c>
      <c r="E48" s="54">
        <v>52</v>
      </c>
      <c r="F48" s="41">
        <f>SUM(E48*2/1000)</f>
        <v>0.104</v>
      </c>
      <c r="G48" s="10">
        <v>659.09</v>
      </c>
      <c r="H48" s="55">
        <f t="shared" si="6"/>
        <v>6.854536E-2</v>
      </c>
      <c r="I48" s="10">
        <v>0</v>
      </c>
    </row>
    <row r="49" spans="1:9" ht="15.75" hidden="1" customHeight="1">
      <c r="A49" s="21"/>
      <c r="B49" s="39" t="s">
        <v>36</v>
      </c>
      <c r="C49" s="40" t="s">
        <v>86</v>
      </c>
      <c r="D49" s="39" t="s">
        <v>42</v>
      </c>
      <c r="E49" s="54">
        <v>1483.1</v>
      </c>
      <c r="F49" s="41">
        <f>SUM(E49*2/1000)</f>
        <v>2.9661999999999997</v>
      </c>
      <c r="G49" s="10">
        <v>1564.24</v>
      </c>
      <c r="H49" s="55">
        <f t="shared" si="6"/>
        <v>4.6398486879999998</v>
      </c>
      <c r="I49" s="10">
        <v>0</v>
      </c>
    </row>
    <row r="50" spans="1:9" ht="15.75" hidden="1" customHeight="1">
      <c r="A50" s="21"/>
      <c r="B50" s="39" t="s">
        <v>37</v>
      </c>
      <c r="C50" s="40" t="s">
        <v>86</v>
      </c>
      <c r="D50" s="39" t="s">
        <v>42</v>
      </c>
      <c r="E50" s="54">
        <v>2320</v>
      </c>
      <c r="F50" s="41">
        <f>SUM(E50*2/1000)</f>
        <v>4.6399999999999997</v>
      </c>
      <c r="G50" s="10">
        <v>1078.3599999999999</v>
      </c>
      <c r="H50" s="55">
        <f t="shared" si="6"/>
        <v>5.0035903999999993</v>
      </c>
      <c r="I50" s="10">
        <v>0</v>
      </c>
    </row>
    <row r="51" spans="1:9" ht="15.75" hidden="1" customHeight="1">
      <c r="A51" s="21"/>
      <c r="B51" s="39" t="s">
        <v>33</v>
      </c>
      <c r="C51" s="40" t="s">
        <v>34</v>
      </c>
      <c r="D51" s="39" t="s">
        <v>42</v>
      </c>
      <c r="E51" s="54">
        <v>91.84</v>
      </c>
      <c r="F51" s="41">
        <f>SUM(E51*2/100)</f>
        <v>1.8368</v>
      </c>
      <c r="G51" s="10">
        <v>82.82</v>
      </c>
      <c r="H51" s="55">
        <f t="shared" si="6"/>
        <v>0.15212377599999999</v>
      </c>
      <c r="I51" s="10">
        <v>0</v>
      </c>
    </row>
    <row r="52" spans="1:9" ht="15.75" customHeight="1">
      <c r="A52" s="21">
        <v>10</v>
      </c>
      <c r="B52" s="86" t="s">
        <v>55</v>
      </c>
      <c r="C52" s="87" t="s">
        <v>86</v>
      </c>
      <c r="D52" s="86" t="s">
        <v>195</v>
      </c>
      <c r="E52" s="88">
        <v>1040.4000000000001</v>
      </c>
      <c r="F52" s="89">
        <f>SUM(E52*5/1000)</f>
        <v>5.202</v>
      </c>
      <c r="G52" s="26">
        <v>1809.27</v>
      </c>
      <c r="H52" s="55">
        <f>SUM(F52*G52/1000)</f>
        <v>9.4118225399999993</v>
      </c>
      <c r="I52" s="10">
        <f>F52/5*G52</f>
        <v>1882.3645079999999</v>
      </c>
    </row>
    <row r="53" spans="1:9" ht="31.5" hidden="1" customHeight="1">
      <c r="A53" s="21"/>
      <c r="B53" s="39" t="s">
        <v>88</v>
      </c>
      <c r="C53" s="40" t="s">
        <v>86</v>
      </c>
      <c r="D53" s="39" t="s">
        <v>42</v>
      </c>
      <c r="E53" s="54">
        <v>1040.4000000000001</v>
      </c>
      <c r="F53" s="41">
        <f>SUM(E53*2/1000)</f>
        <v>2.0808</v>
      </c>
      <c r="G53" s="10">
        <v>1380.31</v>
      </c>
      <c r="H53" s="55">
        <f t="shared" si="6"/>
        <v>2.8721490479999998</v>
      </c>
      <c r="I53" s="10">
        <v>0</v>
      </c>
    </row>
    <row r="54" spans="1:9" ht="31.5" hidden="1" customHeight="1">
      <c r="A54" s="21"/>
      <c r="B54" s="39" t="s">
        <v>89</v>
      </c>
      <c r="C54" s="40" t="s">
        <v>38</v>
      </c>
      <c r="D54" s="39" t="s">
        <v>42</v>
      </c>
      <c r="E54" s="54">
        <v>20</v>
      </c>
      <c r="F54" s="41">
        <f>SUM(E54*2/100)</f>
        <v>0.4</v>
      </c>
      <c r="G54" s="10">
        <v>3519.56</v>
      </c>
      <c r="H54" s="55">
        <f t="shared" si="6"/>
        <v>1.407824</v>
      </c>
      <c r="I54" s="10">
        <v>0</v>
      </c>
    </row>
    <row r="55" spans="1:9" ht="15.75" hidden="1" customHeight="1">
      <c r="A55" s="21"/>
      <c r="B55" s="39" t="s">
        <v>39</v>
      </c>
      <c r="C55" s="40" t="s">
        <v>40</v>
      </c>
      <c r="D55" s="39" t="s">
        <v>42</v>
      </c>
      <c r="E55" s="54">
        <v>1</v>
      </c>
      <c r="F55" s="41">
        <v>0.02</v>
      </c>
      <c r="G55" s="10">
        <v>6428.82</v>
      </c>
      <c r="H55" s="55">
        <f t="shared" si="6"/>
        <v>0.12857640000000001</v>
      </c>
      <c r="I55" s="10">
        <v>0</v>
      </c>
    </row>
    <row r="56" spans="1:9" ht="15.75" customHeight="1">
      <c r="A56" s="21">
        <v>11</v>
      </c>
      <c r="B56" s="39" t="s">
        <v>98</v>
      </c>
      <c r="C56" s="40" t="s">
        <v>93</v>
      </c>
      <c r="D56" s="114">
        <v>44223</v>
      </c>
      <c r="E56" s="54">
        <v>56</v>
      </c>
      <c r="F56" s="41">
        <f>SUM(E56*3)</f>
        <v>168</v>
      </c>
      <c r="G56" s="126">
        <v>210.4</v>
      </c>
      <c r="H56" s="55">
        <f t="shared" si="6"/>
        <v>35.347200000000001</v>
      </c>
      <c r="I56" s="10">
        <f>E56*G56</f>
        <v>11782.4</v>
      </c>
    </row>
    <row r="57" spans="1:9" ht="15.75" customHeight="1">
      <c r="A57" s="21">
        <v>12</v>
      </c>
      <c r="B57" s="39" t="s">
        <v>41</v>
      </c>
      <c r="C57" s="40" t="s">
        <v>93</v>
      </c>
      <c r="D57" s="114">
        <v>44223</v>
      </c>
      <c r="E57" s="54">
        <v>112</v>
      </c>
      <c r="F57" s="41">
        <f>SUM(E57)*3</f>
        <v>336</v>
      </c>
      <c r="G57" s="126">
        <v>97.93</v>
      </c>
      <c r="H57" s="55">
        <f t="shared" si="6"/>
        <v>32.904480000000007</v>
      </c>
      <c r="I57" s="10">
        <f>E57*G57</f>
        <v>10968.16</v>
      </c>
    </row>
    <row r="58" spans="1:9" ht="15.75" customHeight="1">
      <c r="A58" s="148" t="s">
        <v>149</v>
      </c>
      <c r="B58" s="149"/>
      <c r="C58" s="149"/>
      <c r="D58" s="149"/>
      <c r="E58" s="149"/>
      <c r="F58" s="149"/>
      <c r="G58" s="149"/>
      <c r="H58" s="149"/>
      <c r="I58" s="150"/>
    </row>
    <row r="59" spans="1:9" ht="15.75" customHeight="1">
      <c r="A59" s="21"/>
      <c r="B59" s="74" t="s">
        <v>43</v>
      </c>
      <c r="C59" s="40"/>
      <c r="D59" s="39"/>
      <c r="E59" s="54"/>
      <c r="F59" s="41"/>
      <c r="G59" s="41"/>
      <c r="H59" s="55"/>
      <c r="I59" s="58"/>
    </row>
    <row r="60" spans="1:9" ht="31.5" customHeight="1">
      <c r="A60" s="21">
        <v>13</v>
      </c>
      <c r="B60" s="86" t="s">
        <v>101</v>
      </c>
      <c r="C60" s="87" t="s">
        <v>84</v>
      </c>
      <c r="D60" s="86"/>
      <c r="E60" s="88">
        <v>36</v>
      </c>
      <c r="F60" s="89">
        <f>SUM(E60*6/100)</f>
        <v>2.16</v>
      </c>
      <c r="G60" s="26">
        <v>2306.83</v>
      </c>
      <c r="H60" s="55">
        <f>SUM(F60*G60/1000)</f>
        <v>4.9827528000000001</v>
      </c>
      <c r="I60" s="10">
        <f>G60*0.11</f>
        <v>253.75129999999999</v>
      </c>
    </row>
    <row r="61" spans="1:9" ht="31.5" customHeight="1">
      <c r="A61" s="21">
        <v>14</v>
      </c>
      <c r="B61" s="86" t="s">
        <v>224</v>
      </c>
      <c r="C61" s="87" t="s">
        <v>52</v>
      </c>
      <c r="D61" s="86"/>
      <c r="E61" s="88">
        <v>4.62</v>
      </c>
      <c r="F61" s="91">
        <f>E61*12/100</f>
        <v>0.5544</v>
      </c>
      <c r="G61" s="26">
        <v>2306.83</v>
      </c>
      <c r="H61" s="61"/>
      <c r="I61" s="10">
        <f>G61*F61/6</f>
        <v>213.15109199999998</v>
      </c>
    </row>
    <row r="62" spans="1:9" ht="14.25" customHeight="1">
      <c r="A62" s="21">
        <v>15</v>
      </c>
      <c r="B62" s="86" t="s">
        <v>115</v>
      </c>
      <c r="C62" s="87" t="s">
        <v>31</v>
      </c>
      <c r="D62" s="86" t="s">
        <v>225</v>
      </c>
      <c r="E62" s="88"/>
      <c r="F62" s="91">
        <v>5</v>
      </c>
      <c r="G62" s="90">
        <v>1800</v>
      </c>
      <c r="H62" s="61"/>
      <c r="I62" s="10">
        <f>G62*1</f>
        <v>1800</v>
      </c>
    </row>
    <row r="63" spans="1:9" ht="15.75" customHeight="1">
      <c r="A63" s="21"/>
      <c r="B63" s="74" t="s">
        <v>44</v>
      </c>
      <c r="C63" s="40"/>
      <c r="D63" s="39"/>
      <c r="E63" s="54"/>
      <c r="F63" s="55"/>
      <c r="G63" s="10"/>
      <c r="H63" s="61"/>
      <c r="I63" s="58"/>
    </row>
    <row r="64" spans="1:9" ht="15.75" hidden="1" customHeight="1">
      <c r="A64" s="21"/>
      <c r="B64" s="39" t="s">
        <v>158</v>
      </c>
      <c r="C64" s="40" t="s">
        <v>84</v>
      </c>
      <c r="D64" s="39" t="s">
        <v>53</v>
      </c>
      <c r="E64" s="54">
        <v>1040.4000000000001</v>
      </c>
      <c r="F64" s="55">
        <f>E64/100</f>
        <v>10.404000000000002</v>
      </c>
      <c r="G64" s="10">
        <v>902.66</v>
      </c>
      <c r="H64" s="61">
        <f>G64*F64/1000</f>
        <v>9.3912746400000007</v>
      </c>
      <c r="I64" s="10">
        <v>0</v>
      </c>
    </row>
    <row r="65" spans="1:9" ht="15.75" customHeight="1">
      <c r="A65" s="21">
        <v>16</v>
      </c>
      <c r="B65" s="39" t="s">
        <v>126</v>
      </c>
      <c r="C65" s="40" t="s">
        <v>25</v>
      </c>
      <c r="D65" s="39" t="s">
        <v>194</v>
      </c>
      <c r="E65" s="54">
        <v>240</v>
      </c>
      <c r="F65" s="41">
        <v>2400</v>
      </c>
      <c r="G65" s="49">
        <v>1.4</v>
      </c>
      <c r="H65" s="55">
        <f>F65*G65/1000</f>
        <v>3.36</v>
      </c>
      <c r="I65" s="10">
        <f>F65/12*G65</f>
        <v>280</v>
      </c>
    </row>
    <row r="66" spans="1:9" ht="15.75" customHeight="1">
      <c r="A66" s="21"/>
      <c r="B66" s="75" t="s">
        <v>45</v>
      </c>
      <c r="C66" s="62"/>
      <c r="D66" s="63"/>
      <c r="E66" s="64"/>
      <c r="F66" s="65"/>
      <c r="G66" s="65"/>
      <c r="H66" s="66" t="s">
        <v>155</v>
      </c>
      <c r="I66" s="58"/>
    </row>
    <row r="67" spans="1:9" ht="15.75" hidden="1" customHeight="1">
      <c r="A67" s="21">
        <v>17</v>
      </c>
      <c r="B67" s="11" t="s">
        <v>46</v>
      </c>
      <c r="C67" s="13" t="s">
        <v>40</v>
      </c>
      <c r="D67" s="39" t="s">
        <v>65</v>
      </c>
      <c r="E67" s="15">
        <v>15</v>
      </c>
      <c r="F67" s="41">
        <f>15/100</f>
        <v>0.15</v>
      </c>
      <c r="G67" s="10">
        <v>252.96</v>
      </c>
      <c r="H67" s="67">
        <f t="shared" ref="H67:H86" si="7">SUM(F67*G67/1000)</f>
        <v>3.7944000000000006E-2</v>
      </c>
      <c r="I67" s="10">
        <f>G67*2</f>
        <v>505.92</v>
      </c>
    </row>
    <row r="68" spans="1:9" ht="15.75" customHeight="1">
      <c r="A68" s="21">
        <v>17</v>
      </c>
      <c r="B68" s="11" t="s">
        <v>47</v>
      </c>
      <c r="C68" s="13" t="s">
        <v>40</v>
      </c>
      <c r="D68" s="39" t="s">
        <v>219</v>
      </c>
      <c r="E68" s="15">
        <v>10</v>
      </c>
      <c r="F68" s="41">
        <f>10/100</f>
        <v>0.1</v>
      </c>
      <c r="G68" s="115">
        <v>113.69</v>
      </c>
      <c r="H68" s="67">
        <f t="shared" si="7"/>
        <v>1.1369000000000001E-2</v>
      </c>
      <c r="I68" s="10">
        <f>G68*4</f>
        <v>454.76</v>
      </c>
    </row>
    <row r="69" spans="1:9" ht="15.75" hidden="1" customHeight="1">
      <c r="A69" s="21"/>
      <c r="B69" s="11" t="s">
        <v>48</v>
      </c>
      <c r="C69" s="13" t="s">
        <v>94</v>
      </c>
      <c r="D69" s="11" t="s">
        <v>53</v>
      </c>
      <c r="E69" s="54">
        <v>17532</v>
      </c>
      <c r="F69" s="10">
        <f>SUM(E69/100)</f>
        <v>175.32</v>
      </c>
      <c r="G69" s="10">
        <v>241.31</v>
      </c>
      <c r="H69" s="67">
        <f t="shared" si="7"/>
        <v>42.306469200000002</v>
      </c>
      <c r="I69" s="10">
        <f>F69*G69</f>
        <v>42306.4692</v>
      </c>
    </row>
    <row r="70" spans="1:9" ht="15.75" hidden="1" customHeight="1">
      <c r="A70" s="21"/>
      <c r="B70" s="11" t="s">
        <v>49</v>
      </c>
      <c r="C70" s="13" t="s">
        <v>95</v>
      </c>
      <c r="D70" s="11"/>
      <c r="E70" s="54">
        <v>17532</v>
      </c>
      <c r="F70" s="10">
        <f>SUM(E70/1000)</f>
        <v>17.532</v>
      </c>
      <c r="G70" s="10">
        <v>187.91</v>
      </c>
      <c r="H70" s="67">
        <f t="shared" si="7"/>
        <v>3.2944381199999997</v>
      </c>
      <c r="I70" s="10">
        <f>F70*G70</f>
        <v>3294.4381199999998</v>
      </c>
    </row>
    <row r="71" spans="1:9" ht="15.75" hidden="1" customHeight="1">
      <c r="A71" s="21"/>
      <c r="B71" s="11" t="s">
        <v>50</v>
      </c>
      <c r="C71" s="13" t="s">
        <v>77</v>
      </c>
      <c r="D71" s="11" t="s">
        <v>53</v>
      </c>
      <c r="E71" s="54">
        <v>1365</v>
      </c>
      <c r="F71" s="10">
        <f>SUM(E71/100)</f>
        <v>13.65</v>
      </c>
      <c r="G71" s="10">
        <v>2359.7199999999998</v>
      </c>
      <c r="H71" s="67">
        <f t="shared" si="7"/>
        <v>32.210177999999999</v>
      </c>
      <c r="I71" s="10">
        <f t="shared" ref="I71:I74" si="8">F71*G71</f>
        <v>32210.178</v>
      </c>
    </row>
    <row r="72" spans="1:9" ht="15.75" hidden="1" customHeight="1">
      <c r="A72" s="21"/>
      <c r="B72" s="68" t="s">
        <v>71</v>
      </c>
      <c r="C72" s="13" t="s">
        <v>32</v>
      </c>
      <c r="D72" s="11"/>
      <c r="E72" s="54">
        <v>15.6</v>
      </c>
      <c r="F72" s="10">
        <f>SUM(E72)</f>
        <v>15.6</v>
      </c>
      <c r="G72" s="10">
        <v>45.4</v>
      </c>
      <c r="H72" s="67">
        <f t="shared" si="7"/>
        <v>0.70823999999999998</v>
      </c>
      <c r="I72" s="10">
        <f t="shared" si="8"/>
        <v>708.24</v>
      </c>
    </row>
    <row r="73" spans="1:9" ht="15.75" hidden="1" customHeight="1">
      <c r="A73" s="21"/>
      <c r="B73" s="68" t="s">
        <v>161</v>
      </c>
      <c r="C73" s="13" t="s">
        <v>32</v>
      </c>
      <c r="D73" s="11"/>
      <c r="E73" s="54">
        <v>15.6</v>
      </c>
      <c r="F73" s="10">
        <f>SUM(E73)</f>
        <v>15.6</v>
      </c>
      <c r="G73" s="10">
        <v>42.35</v>
      </c>
      <c r="H73" s="67">
        <f t="shared" si="7"/>
        <v>0.66065999999999991</v>
      </c>
      <c r="I73" s="10">
        <f t="shared" si="8"/>
        <v>660.66</v>
      </c>
    </row>
    <row r="74" spans="1:9" ht="15.75" hidden="1" customHeight="1">
      <c r="A74" s="21"/>
      <c r="B74" s="11" t="s">
        <v>56</v>
      </c>
      <c r="C74" s="13" t="s">
        <v>57</v>
      </c>
      <c r="D74" s="11" t="s">
        <v>53</v>
      </c>
      <c r="E74" s="15">
        <v>4</v>
      </c>
      <c r="F74" s="41">
        <f>SUM(E74)</f>
        <v>4</v>
      </c>
      <c r="G74" s="10">
        <v>56.74</v>
      </c>
      <c r="H74" s="67">
        <f t="shared" si="7"/>
        <v>0.22696</v>
      </c>
      <c r="I74" s="10">
        <f t="shared" si="8"/>
        <v>226.96</v>
      </c>
    </row>
    <row r="75" spans="1:9" ht="15.75" customHeight="1">
      <c r="A75" s="21">
        <v>18</v>
      </c>
      <c r="B75" s="11" t="s">
        <v>127</v>
      </c>
      <c r="C75" s="13" t="s">
        <v>57</v>
      </c>
      <c r="D75" s="11" t="s">
        <v>195</v>
      </c>
      <c r="E75" s="15">
        <v>1</v>
      </c>
      <c r="F75" s="49">
        <v>12</v>
      </c>
      <c r="G75" s="26">
        <v>1829</v>
      </c>
      <c r="H75" s="67">
        <f t="shared" si="7"/>
        <v>21.948</v>
      </c>
      <c r="I75" s="10">
        <f>G75</f>
        <v>1829</v>
      </c>
    </row>
    <row r="76" spans="1:9" ht="15.75" customHeight="1">
      <c r="A76" s="21"/>
      <c r="B76" s="76" t="s">
        <v>102</v>
      </c>
      <c r="C76" s="108"/>
      <c r="D76" s="85"/>
      <c r="E76" s="14"/>
      <c r="F76" s="90"/>
      <c r="G76" s="26"/>
      <c r="H76" s="67"/>
      <c r="I76" s="10"/>
    </row>
    <row r="77" spans="1:9" ht="15.75" customHeight="1">
      <c r="A77" s="21">
        <v>19</v>
      </c>
      <c r="B77" s="100" t="s">
        <v>205</v>
      </c>
      <c r="C77" s="101" t="s">
        <v>206</v>
      </c>
      <c r="D77" s="112"/>
      <c r="E77" s="122">
        <v>3455.3</v>
      </c>
      <c r="F77" s="102">
        <f>E77*12</f>
        <v>41463.600000000006</v>
      </c>
      <c r="G77" s="102">
        <v>2.6</v>
      </c>
      <c r="H77" s="67">
        <f t="shared" ref="H77" si="9">F77*G77/1000</f>
        <v>107.80536000000002</v>
      </c>
      <c r="I77" s="10">
        <f>G77*F77/12</f>
        <v>8983.7800000000007</v>
      </c>
    </row>
    <row r="78" spans="1:9" ht="15.75" customHeight="1">
      <c r="A78" s="21"/>
      <c r="B78" s="43" t="s">
        <v>72</v>
      </c>
      <c r="C78" s="13"/>
      <c r="D78" s="11"/>
      <c r="E78" s="15"/>
      <c r="F78" s="10"/>
      <c r="G78" s="10"/>
      <c r="H78" s="67" t="s">
        <v>155</v>
      </c>
      <c r="I78" s="58"/>
    </row>
    <row r="79" spans="1:9" ht="15.75" hidden="1" customHeight="1">
      <c r="A79" s="21"/>
      <c r="B79" s="11" t="s">
        <v>128</v>
      </c>
      <c r="C79" s="13" t="s">
        <v>30</v>
      </c>
      <c r="D79" s="39" t="s">
        <v>65</v>
      </c>
      <c r="E79" s="15">
        <v>2</v>
      </c>
      <c r="F79" s="10">
        <v>2</v>
      </c>
      <c r="G79" s="10">
        <v>892.5</v>
      </c>
      <c r="H79" s="67">
        <f>G79*F79/1000</f>
        <v>1.7849999999999999</v>
      </c>
      <c r="I79" s="10">
        <v>0</v>
      </c>
    </row>
    <row r="80" spans="1:9" ht="15.75" hidden="1" customHeight="1">
      <c r="A80" s="21"/>
      <c r="B80" s="11" t="s">
        <v>114</v>
      </c>
      <c r="C80" s="13" t="s">
        <v>129</v>
      </c>
      <c r="D80" s="11"/>
      <c r="E80" s="15">
        <v>1</v>
      </c>
      <c r="F80" s="10">
        <v>1</v>
      </c>
      <c r="G80" s="10">
        <v>750</v>
      </c>
      <c r="H80" s="67">
        <f>G80*F80/1000</f>
        <v>0.75</v>
      </c>
      <c r="I80" s="10">
        <v>0</v>
      </c>
    </row>
    <row r="81" spans="1:9" ht="15.75" hidden="1" customHeight="1">
      <c r="A81" s="21"/>
      <c r="B81" s="11" t="s">
        <v>73</v>
      </c>
      <c r="C81" s="13" t="s">
        <v>75</v>
      </c>
      <c r="D81" s="11"/>
      <c r="E81" s="15">
        <v>2</v>
      </c>
      <c r="F81" s="10">
        <v>0.2</v>
      </c>
      <c r="G81" s="10">
        <v>570.54</v>
      </c>
      <c r="H81" s="67">
        <f t="shared" si="7"/>
        <v>0.114108</v>
      </c>
      <c r="I81" s="10">
        <v>0</v>
      </c>
    </row>
    <row r="82" spans="1:9" ht="15.75" hidden="1" customHeight="1">
      <c r="A82" s="21"/>
      <c r="B82" s="11" t="s">
        <v>74</v>
      </c>
      <c r="C82" s="13" t="s">
        <v>30</v>
      </c>
      <c r="D82" s="11"/>
      <c r="E82" s="15">
        <v>1</v>
      </c>
      <c r="F82" s="49">
        <v>1</v>
      </c>
      <c r="G82" s="10">
        <v>970.21</v>
      </c>
      <c r="H82" s="67">
        <f t="shared" si="7"/>
        <v>0.97021000000000002</v>
      </c>
      <c r="I82" s="10">
        <v>0</v>
      </c>
    </row>
    <row r="83" spans="1:9" ht="15.75" hidden="1" customHeight="1">
      <c r="A83" s="21"/>
      <c r="B83" s="11" t="s">
        <v>130</v>
      </c>
      <c r="C83" s="13" t="s">
        <v>93</v>
      </c>
      <c r="D83" s="11"/>
      <c r="E83" s="15">
        <v>1</v>
      </c>
      <c r="F83" s="41">
        <f>SUM(E83)</f>
        <v>1</v>
      </c>
      <c r="G83" s="10">
        <v>407.79</v>
      </c>
      <c r="H83" s="67">
        <f t="shared" si="7"/>
        <v>0.40779000000000004</v>
      </c>
      <c r="I83" s="10">
        <v>0</v>
      </c>
    </row>
    <row r="84" spans="1:9" ht="15.75" customHeight="1">
      <c r="A84" s="21">
        <v>20</v>
      </c>
      <c r="B84" s="85" t="s">
        <v>207</v>
      </c>
      <c r="C84" s="108" t="s">
        <v>93</v>
      </c>
      <c r="D84" s="85" t="s">
        <v>195</v>
      </c>
      <c r="E84" s="14">
        <v>1</v>
      </c>
      <c r="F84" s="26">
        <f>E84*12</f>
        <v>12</v>
      </c>
      <c r="G84" s="26">
        <v>420</v>
      </c>
      <c r="H84" s="67">
        <f>G84*F84/1000</f>
        <v>5.04</v>
      </c>
      <c r="I84" s="10">
        <f>G84*1</f>
        <v>420</v>
      </c>
    </row>
    <row r="85" spans="1:9" ht="15.75" hidden="1" customHeight="1">
      <c r="A85" s="21"/>
      <c r="B85" s="72" t="s">
        <v>76</v>
      </c>
      <c r="C85" s="13"/>
      <c r="D85" s="11"/>
      <c r="E85" s="15"/>
      <c r="F85" s="10"/>
      <c r="G85" s="10" t="s">
        <v>155</v>
      </c>
      <c r="H85" s="67" t="s">
        <v>155</v>
      </c>
      <c r="I85" s="58"/>
    </row>
    <row r="86" spans="1:9" ht="15.75" hidden="1" customHeight="1">
      <c r="A86" s="21"/>
      <c r="B86" s="34" t="s">
        <v>99</v>
      </c>
      <c r="C86" s="13" t="s">
        <v>77</v>
      </c>
      <c r="D86" s="11"/>
      <c r="E86" s="15"/>
      <c r="F86" s="10">
        <v>0.6</v>
      </c>
      <c r="G86" s="10">
        <v>3138.65</v>
      </c>
      <c r="H86" s="67">
        <f t="shared" si="7"/>
        <v>1.8831900000000001</v>
      </c>
      <c r="I86" s="10">
        <v>0</v>
      </c>
    </row>
    <row r="87" spans="1:9" ht="15.75" hidden="1" customHeight="1">
      <c r="A87" s="21"/>
      <c r="B87" s="43" t="s">
        <v>90</v>
      </c>
      <c r="C87" s="13"/>
      <c r="D87" s="11"/>
      <c r="E87" s="50"/>
      <c r="F87" s="10"/>
      <c r="G87" s="10"/>
      <c r="H87" s="67"/>
      <c r="I87" s="10"/>
    </row>
    <row r="88" spans="1:9" ht="15.75" hidden="1" customHeight="1">
      <c r="A88" s="21"/>
      <c r="B88" s="39" t="s">
        <v>96</v>
      </c>
      <c r="C88" s="13"/>
      <c r="D88" s="11"/>
      <c r="E88" s="50"/>
      <c r="F88" s="10">
        <v>1</v>
      </c>
      <c r="G88" s="10">
        <v>21095</v>
      </c>
      <c r="H88" s="67">
        <f>G88*F88/1000</f>
        <v>21.094999999999999</v>
      </c>
      <c r="I88" s="10">
        <v>0</v>
      </c>
    </row>
    <row r="89" spans="1:9" ht="15.75" hidden="1" customHeight="1">
      <c r="A89" s="21"/>
      <c r="B89" s="76" t="s">
        <v>102</v>
      </c>
      <c r="C89" s="72"/>
      <c r="D89" s="23"/>
      <c r="E89" s="24"/>
      <c r="F89" s="71"/>
      <c r="G89" s="71"/>
      <c r="H89" s="69"/>
      <c r="I89" s="57"/>
    </row>
    <row r="90" spans="1:9" ht="24.75" hidden="1" customHeight="1">
      <c r="A90" s="21"/>
      <c r="B90" s="73" t="s">
        <v>131</v>
      </c>
      <c r="C90" s="13" t="s">
        <v>132</v>
      </c>
      <c r="D90" s="39" t="s">
        <v>65</v>
      </c>
      <c r="E90" s="15">
        <v>10</v>
      </c>
      <c r="F90" s="10">
        <v>10</v>
      </c>
      <c r="G90" s="10">
        <v>271.88</v>
      </c>
      <c r="H90" s="67">
        <f t="shared" ref="H90:H103" si="10">F90*G90/1000</f>
        <v>2.7188000000000003</v>
      </c>
      <c r="I90" s="10">
        <v>0</v>
      </c>
    </row>
    <row r="91" spans="1:9" ht="22.5" hidden="1" customHeight="1">
      <c r="A91" s="21">
        <v>17</v>
      </c>
      <c r="B91" s="73" t="s">
        <v>103</v>
      </c>
      <c r="C91" s="13" t="s">
        <v>80</v>
      </c>
      <c r="D91" s="39" t="s">
        <v>197</v>
      </c>
      <c r="E91" s="15">
        <v>100</v>
      </c>
      <c r="F91" s="10">
        <v>100</v>
      </c>
      <c r="G91" s="10">
        <v>111.84</v>
      </c>
      <c r="H91" s="67">
        <f t="shared" si="10"/>
        <v>11.183999999999999</v>
      </c>
      <c r="I91" s="10">
        <f>G91*11</f>
        <v>1230.24</v>
      </c>
    </row>
    <row r="92" spans="1:9" ht="25.5" hidden="1" customHeight="1">
      <c r="A92" s="21"/>
      <c r="B92" s="73" t="s">
        <v>133</v>
      </c>
      <c r="C92" s="13" t="s">
        <v>134</v>
      </c>
      <c r="D92" s="39" t="s">
        <v>65</v>
      </c>
      <c r="E92" s="15">
        <v>30</v>
      </c>
      <c r="F92" s="10">
        <v>10</v>
      </c>
      <c r="G92" s="10">
        <v>972.09</v>
      </c>
      <c r="H92" s="67">
        <f t="shared" si="10"/>
        <v>9.7209000000000003</v>
      </c>
      <c r="I92" s="10">
        <v>0</v>
      </c>
    </row>
    <row r="93" spans="1:9" ht="27.75" hidden="1" customHeight="1">
      <c r="A93" s="21"/>
      <c r="B93" s="73" t="s">
        <v>135</v>
      </c>
      <c r="C93" s="13" t="s">
        <v>52</v>
      </c>
      <c r="D93" s="39" t="s">
        <v>65</v>
      </c>
      <c r="E93" s="15">
        <v>100</v>
      </c>
      <c r="F93" s="10">
        <v>1</v>
      </c>
      <c r="G93" s="10">
        <v>1829.52</v>
      </c>
      <c r="H93" s="67">
        <f t="shared" si="10"/>
        <v>1.82952</v>
      </c>
      <c r="I93" s="10">
        <v>0</v>
      </c>
    </row>
    <row r="94" spans="1:9" ht="31.5" hidden="1" customHeight="1">
      <c r="A94" s="21">
        <v>18</v>
      </c>
      <c r="B94" s="73" t="s">
        <v>136</v>
      </c>
      <c r="C94" s="13" t="s">
        <v>137</v>
      </c>
      <c r="D94" s="39" t="s">
        <v>196</v>
      </c>
      <c r="E94" s="15">
        <v>40</v>
      </c>
      <c r="F94" s="10">
        <v>4</v>
      </c>
      <c r="G94" s="10">
        <v>272.39</v>
      </c>
      <c r="H94" s="67">
        <f t="shared" si="10"/>
        <v>1.0895599999999999</v>
      </c>
      <c r="I94" s="10">
        <f>G94*0.2</f>
        <v>54.478000000000002</v>
      </c>
    </row>
    <row r="95" spans="1:9" ht="23.25" hidden="1" customHeight="1">
      <c r="A95" s="21"/>
      <c r="B95" s="73" t="s">
        <v>138</v>
      </c>
      <c r="C95" s="13" t="s">
        <v>80</v>
      </c>
      <c r="D95" s="39" t="s">
        <v>65</v>
      </c>
      <c r="E95" s="15">
        <v>15</v>
      </c>
      <c r="F95" s="10">
        <v>15</v>
      </c>
      <c r="G95" s="10">
        <v>1430.02</v>
      </c>
      <c r="H95" s="67">
        <f t="shared" si="10"/>
        <v>21.450299999999999</v>
      </c>
      <c r="I95" s="10">
        <v>0</v>
      </c>
    </row>
    <row r="96" spans="1:9" ht="27.75" hidden="1" customHeight="1">
      <c r="A96" s="21"/>
      <c r="B96" s="73" t="s">
        <v>139</v>
      </c>
      <c r="C96" s="13" t="s">
        <v>80</v>
      </c>
      <c r="D96" s="39" t="s">
        <v>65</v>
      </c>
      <c r="E96" s="15">
        <v>10</v>
      </c>
      <c r="F96" s="10">
        <v>10</v>
      </c>
      <c r="G96" s="10">
        <v>1743.04</v>
      </c>
      <c r="H96" s="67">
        <f t="shared" si="10"/>
        <v>17.430400000000002</v>
      </c>
      <c r="I96" s="10">
        <v>0</v>
      </c>
    </row>
    <row r="97" spans="1:9" ht="24" hidden="1" customHeight="1">
      <c r="A97" s="21"/>
      <c r="B97" s="73" t="s">
        <v>140</v>
      </c>
      <c r="C97" s="13" t="s">
        <v>80</v>
      </c>
      <c r="D97" s="39" t="s">
        <v>65</v>
      </c>
      <c r="E97" s="15">
        <v>20</v>
      </c>
      <c r="F97" s="10">
        <v>20</v>
      </c>
      <c r="G97" s="10">
        <v>607.27</v>
      </c>
      <c r="H97" s="67">
        <f t="shared" si="10"/>
        <v>12.1454</v>
      </c>
      <c r="I97" s="10">
        <v>0</v>
      </c>
    </row>
    <row r="98" spans="1:9" ht="24.75" hidden="1" customHeight="1">
      <c r="A98" s="21"/>
      <c r="B98" s="73" t="s">
        <v>141</v>
      </c>
      <c r="C98" s="13" t="s">
        <v>80</v>
      </c>
      <c r="D98" s="39" t="s">
        <v>65</v>
      </c>
      <c r="E98" s="15">
        <v>30</v>
      </c>
      <c r="F98" s="10">
        <v>30</v>
      </c>
      <c r="G98" s="10">
        <v>711.93</v>
      </c>
      <c r="H98" s="67">
        <f t="shared" si="10"/>
        <v>21.357899999999997</v>
      </c>
      <c r="I98" s="10">
        <v>0</v>
      </c>
    </row>
    <row r="99" spans="1:9" ht="27.75" hidden="1" customHeight="1">
      <c r="A99" s="21"/>
      <c r="B99" s="73" t="s">
        <v>104</v>
      </c>
      <c r="C99" s="13" t="s">
        <v>30</v>
      </c>
      <c r="D99" s="39" t="s">
        <v>65</v>
      </c>
      <c r="E99" s="15">
        <v>10</v>
      </c>
      <c r="F99" s="10">
        <v>10</v>
      </c>
      <c r="G99" s="10">
        <v>455.31</v>
      </c>
      <c r="H99" s="67">
        <f t="shared" si="10"/>
        <v>4.5531000000000006</v>
      </c>
      <c r="I99" s="10">
        <v>0</v>
      </c>
    </row>
    <row r="100" spans="1:9" ht="25.5" hidden="1" customHeight="1">
      <c r="A100" s="21"/>
      <c r="B100" s="73" t="s">
        <v>142</v>
      </c>
      <c r="C100" s="13" t="s">
        <v>80</v>
      </c>
      <c r="D100" s="39" t="s">
        <v>65</v>
      </c>
      <c r="E100" s="15">
        <v>30</v>
      </c>
      <c r="F100" s="10">
        <v>30</v>
      </c>
      <c r="G100" s="10">
        <v>1155.7</v>
      </c>
      <c r="H100" s="67">
        <f t="shared" si="10"/>
        <v>34.670999999999999</v>
      </c>
      <c r="I100" s="10">
        <v>0</v>
      </c>
    </row>
    <row r="101" spans="1:9" ht="24" hidden="1" customHeight="1">
      <c r="A101" s="21"/>
      <c r="B101" s="73" t="s">
        <v>143</v>
      </c>
      <c r="C101" s="13" t="s">
        <v>29</v>
      </c>
      <c r="D101" s="11" t="s">
        <v>42</v>
      </c>
      <c r="E101" s="15">
        <v>1040.4000000000001</v>
      </c>
      <c r="F101" s="10">
        <f>E101*2/1000</f>
        <v>2.0808</v>
      </c>
      <c r="G101" s="10">
        <v>1560.98</v>
      </c>
      <c r="H101" s="67">
        <f t="shared" si="10"/>
        <v>3.2480871840000001</v>
      </c>
      <c r="I101" s="10">
        <v>0</v>
      </c>
    </row>
    <row r="102" spans="1:9" ht="24" hidden="1" customHeight="1">
      <c r="A102" s="21"/>
      <c r="B102" s="73" t="s">
        <v>144</v>
      </c>
      <c r="C102" s="21" t="s">
        <v>146</v>
      </c>
      <c r="D102" s="39" t="s">
        <v>65</v>
      </c>
      <c r="E102" s="15">
        <v>100</v>
      </c>
      <c r="F102" s="10">
        <v>1</v>
      </c>
      <c r="G102" s="10">
        <v>12859.93</v>
      </c>
      <c r="H102" s="67">
        <f t="shared" si="10"/>
        <v>12.85993</v>
      </c>
      <c r="I102" s="10">
        <v>0</v>
      </c>
    </row>
    <row r="103" spans="1:9" ht="24.75" hidden="1" customHeight="1">
      <c r="A103" s="21"/>
      <c r="B103" s="73" t="s">
        <v>145</v>
      </c>
      <c r="C103" s="13" t="s">
        <v>29</v>
      </c>
      <c r="D103" s="11" t="s">
        <v>42</v>
      </c>
      <c r="E103" s="15">
        <v>1040.4000000000001</v>
      </c>
      <c r="F103" s="10">
        <v>2.08</v>
      </c>
      <c r="G103" s="10">
        <v>1453.29</v>
      </c>
      <c r="H103" s="67">
        <f t="shared" si="10"/>
        <v>3.0228432000000001</v>
      </c>
      <c r="I103" s="10">
        <v>0</v>
      </c>
    </row>
    <row r="104" spans="1:9" ht="15.75" customHeight="1">
      <c r="A104" s="151" t="s">
        <v>150</v>
      </c>
      <c r="B104" s="152"/>
      <c r="C104" s="152"/>
      <c r="D104" s="152"/>
      <c r="E104" s="152"/>
      <c r="F104" s="152"/>
      <c r="G104" s="152"/>
      <c r="H104" s="152"/>
      <c r="I104" s="153"/>
    </row>
    <row r="105" spans="1:9" ht="15.75" customHeight="1">
      <c r="A105" s="21">
        <v>21</v>
      </c>
      <c r="B105" s="100" t="s">
        <v>97</v>
      </c>
      <c r="C105" s="108" t="s">
        <v>54</v>
      </c>
      <c r="D105" s="123"/>
      <c r="E105" s="26">
        <v>3455.3</v>
      </c>
      <c r="F105" s="26">
        <v>41463.599999999999</v>
      </c>
      <c r="G105" s="26">
        <v>3.5</v>
      </c>
      <c r="H105" s="67">
        <f>SUM(F105*G105/1000)</f>
        <v>145.12260000000001</v>
      </c>
      <c r="I105" s="10">
        <f>F105/12*G105</f>
        <v>12093.55</v>
      </c>
    </row>
    <row r="106" spans="1:9" ht="31.5" customHeight="1">
      <c r="A106" s="21">
        <v>22</v>
      </c>
      <c r="B106" s="85" t="s">
        <v>208</v>
      </c>
      <c r="C106" s="108" t="s">
        <v>54</v>
      </c>
      <c r="D106" s="37"/>
      <c r="E106" s="88">
        <f>E105</f>
        <v>3455.3</v>
      </c>
      <c r="F106" s="26">
        <f>E106*12</f>
        <v>41463.600000000006</v>
      </c>
      <c r="G106" s="26">
        <v>3.2</v>
      </c>
      <c r="H106" s="67">
        <f>F106*G106/1000</f>
        <v>132.68352000000002</v>
      </c>
      <c r="I106" s="10">
        <f>F106/12*G106</f>
        <v>11056.960000000003</v>
      </c>
    </row>
    <row r="107" spans="1:9" ht="15.75" customHeight="1">
      <c r="A107" s="21"/>
      <c r="B107" s="27" t="s">
        <v>79</v>
      </c>
      <c r="C107" s="72"/>
      <c r="D107" s="70"/>
      <c r="E107" s="71"/>
      <c r="F107" s="71"/>
      <c r="G107" s="71"/>
      <c r="H107" s="69">
        <f>SUM(H106)</f>
        <v>132.68352000000002</v>
      </c>
      <c r="I107" s="71">
        <f>I106+I105+I84+I77+I75+I68+I65+I62+I61+I60+I57+I56+I52+I45+I42+I41+I39+I38+I27+I18+I17+I16</f>
        <v>81750.930190833358</v>
      </c>
    </row>
    <row r="108" spans="1:9" ht="15.75" customHeight="1">
      <c r="A108" s="159" t="s">
        <v>59</v>
      </c>
      <c r="B108" s="160"/>
      <c r="C108" s="160"/>
      <c r="D108" s="160"/>
      <c r="E108" s="160"/>
      <c r="F108" s="160"/>
      <c r="G108" s="160"/>
      <c r="H108" s="160"/>
      <c r="I108" s="161"/>
    </row>
    <row r="109" spans="1:9" ht="16.5" customHeight="1">
      <c r="A109" s="21">
        <v>23</v>
      </c>
      <c r="B109" s="38" t="s">
        <v>226</v>
      </c>
      <c r="C109" s="84" t="s">
        <v>173</v>
      </c>
      <c r="D109" s="37"/>
      <c r="E109" s="26"/>
      <c r="F109" s="26">
        <v>1</v>
      </c>
      <c r="G109" s="26">
        <v>118.24</v>
      </c>
      <c r="H109" s="67"/>
      <c r="I109" s="92">
        <f>G109*1</f>
        <v>118.24</v>
      </c>
    </row>
    <row r="110" spans="1:9" ht="31.5" customHeight="1">
      <c r="A110" s="21">
        <v>24</v>
      </c>
      <c r="B110" s="38" t="s">
        <v>227</v>
      </c>
      <c r="C110" s="84" t="s">
        <v>201</v>
      </c>
      <c r="D110" s="37"/>
      <c r="E110" s="26"/>
      <c r="F110" s="26">
        <v>1</v>
      </c>
      <c r="G110" s="26">
        <v>1584.54</v>
      </c>
      <c r="H110" s="67"/>
      <c r="I110" s="92">
        <f>G110*1</f>
        <v>1584.54</v>
      </c>
    </row>
    <row r="111" spans="1:9">
      <c r="A111" s="21"/>
      <c r="B111" s="32" t="s">
        <v>51</v>
      </c>
      <c r="C111" s="28"/>
      <c r="D111" s="35"/>
      <c r="E111" s="28">
        <v>1</v>
      </c>
      <c r="F111" s="28"/>
      <c r="G111" s="28"/>
      <c r="H111" s="28"/>
      <c r="I111" s="24">
        <f>SUM(I109:I110)</f>
        <v>1702.78</v>
      </c>
    </row>
    <row r="112" spans="1:9">
      <c r="A112" s="21"/>
      <c r="B112" s="34" t="s">
        <v>78</v>
      </c>
      <c r="C112" s="12"/>
      <c r="D112" s="12"/>
      <c r="E112" s="29"/>
      <c r="F112" s="29"/>
      <c r="G112" s="30"/>
      <c r="H112" s="30"/>
      <c r="I112" s="14">
        <v>0</v>
      </c>
    </row>
    <row r="113" spans="1:9" ht="15.75" customHeight="1">
      <c r="A113" s="36"/>
      <c r="B113" s="33" t="s">
        <v>172</v>
      </c>
      <c r="C113" s="25"/>
      <c r="D113" s="25"/>
      <c r="E113" s="25"/>
      <c r="F113" s="25"/>
      <c r="G113" s="25"/>
      <c r="H113" s="25"/>
      <c r="I113" s="31">
        <f>I111+I107</f>
        <v>83453.710190833357</v>
      </c>
    </row>
    <row r="114" spans="1:9" ht="15.75">
      <c r="A114" s="154" t="s">
        <v>228</v>
      </c>
      <c r="B114" s="154"/>
      <c r="C114" s="154"/>
      <c r="D114" s="154"/>
      <c r="E114" s="154"/>
      <c r="F114" s="154"/>
      <c r="G114" s="154"/>
      <c r="H114" s="154"/>
      <c r="I114" s="154"/>
    </row>
    <row r="115" spans="1:9" ht="15.75">
      <c r="A115" s="48"/>
      <c r="B115" s="155" t="s">
        <v>229</v>
      </c>
      <c r="C115" s="155"/>
      <c r="D115" s="155"/>
      <c r="E115" s="155"/>
      <c r="F115" s="155"/>
      <c r="G115" s="155"/>
      <c r="H115" s="53"/>
      <c r="I115" s="2"/>
    </row>
    <row r="116" spans="1:9">
      <c r="A116" s="42"/>
      <c r="B116" s="156" t="s">
        <v>6</v>
      </c>
      <c r="C116" s="156"/>
      <c r="D116" s="156"/>
      <c r="E116" s="156"/>
      <c r="F116" s="156"/>
      <c r="G116" s="156"/>
      <c r="H116" s="16"/>
      <c r="I116" s="4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5.75" customHeight="1">
      <c r="A118" s="157" t="s">
        <v>7</v>
      </c>
      <c r="B118" s="157"/>
      <c r="C118" s="157"/>
      <c r="D118" s="157"/>
      <c r="E118" s="157"/>
      <c r="F118" s="157"/>
      <c r="G118" s="157"/>
      <c r="H118" s="157"/>
      <c r="I118" s="157"/>
    </row>
    <row r="119" spans="1:9" ht="15.75" customHeight="1">
      <c r="A119" s="157" t="s">
        <v>8</v>
      </c>
      <c r="B119" s="157"/>
      <c r="C119" s="157"/>
      <c r="D119" s="157"/>
      <c r="E119" s="157"/>
      <c r="F119" s="157"/>
      <c r="G119" s="157"/>
      <c r="H119" s="157"/>
      <c r="I119" s="157"/>
    </row>
    <row r="120" spans="1:9" ht="15.75" customHeight="1">
      <c r="A120" s="158" t="s">
        <v>60</v>
      </c>
      <c r="B120" s="158"/>
      <c r="C120" s="158"/>
      <c r="D120" s="158"/>
      <c r="E120" s="158"/>
      <c r="F120" s="158"/>
      <c r="G120" s="158"/>
      <c r="H120" s="158"/>
      <c r="I120" s="158"/>
    </row>
    <row r="121" spans="1:9" ht="15.75" customHeight="1">
      <c r="A121" s="8"/>
    </row>
    <row r="122" spans="1:9" ht="15.75" customHeight="1">
      <c r="A122" s="146" t="s">
        <v>9</v>
      </c>
      <c r="B122" s="146"/>
      <c r="C122" s="146"/>
      <c r="D122" s="146"/>
      <c r="E122" s="146"/>
      <c r="F122" s="146"/>
      <c r="G122" s="146"/>
      <c r="H122" s="146"/>
      <c r="I122" s="146"/>
    </row>
    <row r="123" spans="1:9" ht="15.75" customHeight="1">
      <c r="A123" s="3"/>
    </row>
    <row r="124" spans="1:9" ht="15.75" customHeight="1">
      <c r="B124" s="44" t="s">
        <v>10</v>
      </c>
      <c r="C124" s="163" t="s">
        <v>217</v>
      </c>
      <c r="D124" s="163"/>
      <c r="E124" s="163"/>
      <c r="F124" s="51"/>
      <c r="I124" s="46"/>
    </row>
    <row r="125" spans="1:9">
      <c r="A125" s="42"/>
      <c r="C125" s="156" t="s">
        <v>11</v>
      </c>
      <c r="D125" s="156"/>
      <c r="E125" s="156"/>
      <c r="F125" s="16"/>
      <c r="I125" s="47" t="s">
        <v>12</v>
      </c>
    </row>
    <row r="126" spans="1:9" ht="15.75">
      <c r="A126" s="17"/>
      <c r="C126" s="9"/>
      <c r="D126" s="9"/>
      <c r="G126" s="9"/>
      <c r="H126" s="9"/>
    </row>
    <row r="127" spans="1:9" ht="15.75">
      <c r="B127" s="44" t="s">
        <v>13</v>
      </c>
      <c r="C127" s="164"/>
      <c r="D127" s="164"/>
      <c r="E127" s="164"/>
      <c r="F127" s="52"/>
      <c r="I127" s="46"/>
    </row>
    <row r="128" spans="1:9">
      <c r="A128" s="42"/>
      <c r="C128" s="165" t="s">
        <v>11</v>
      </c>
      <c r="D128" s="165"/>
      <c r="E128" s="165"/>
      <c r="F128" s="42"/>
      <c r="I128" s="47" t="s">
        <v>12</v>
      </c>
    </row>
    <row r="129" spans="1:9" ht="15.75">
      <c r="A129" s="3" t="s">
        <v>14</v>
      </c>
    </row>
    <row r="130" spans="1:9">
      <c r="A130" s="166" t="s">
        <v>15</v>
      </c>
      <c r="B130" s="166"/>
      <c r="C130" s="166"/>
      <c r="D130" s="166"/>
      <c r="E130" s="166"/>
      <c r="F130" s="166"/>
      <c r="G130" s="166"/>
      <c r="H130" s="166"/>
      <c r="I130" s="166"/>
    </row>
    <row r="131" spans="1:9" ht="45" customHeight="1">
      <c r="A131" s="162" t="s">
        <v>16</v>
      </c>
      <c r="B131" s="162"/>
      <c r="C131" s="162"/>
      <c r="D131" s="162"/>
      <c r="E131" s="162"/>
      <c r="F131" s="162"/>
      <c r="G131" s="162"/>
      <c r="H131" s="162"/>
      <c r="I131" s="162"/>
    </row>
    <row r="132" spans="1:9" ht="30" customHeight="1">
      <c r="A132" s="162" t="s">
        <v>17</v>
      </c>
      <c r="B132" s="162"/>
      <c r="C132" s="162"/>
      <c r="D132" s="162"/>
      <c r="E132" s="162"/>
      <c r="F132" s="162"/>
      <c r="G132" s="162"/>
      <c r="H132" s="162"/>
      <c r="I132" s="162"/>
    </row>
    <row r="133" spans="1:9" ht="30" customHeight="1">
      <c r="A133" s="162" t="s">
        <v>21</v>
      </c>
      <c r="B133" s="162"/>
      <c r="C133" s="162"/>
      <c r="D133" s="162"/>
      <c r="E133" s="162"/>
      <c r="F133" s="162"/>
      <c r="G133" s="162"/>
      <c r="H133" s="162"/>
      <c r="I133" s="162"/>
    </row>
    <row r="134" spans="1:9" ht="15" customHeight="1">
      <c r="A134" s="162" t="s">
        <v>20</v>
      </c>
      <c r="B134" s="162"/>
      <c r="C134" s="162"/>
      <c r="D134" s="162"/>
      <c r="E134" s="162"/>
      <c r="F134" s="162"/>
      <c r="G134" s="162"/>
      <c r="H134" s="162"/>
      <c r="I134" s="162"/>
    </row>
  </sheetData>
  <mergeCells count="28">
    <mergeCell ref="A132:I132"/>
    <mergeCell ref="A133:I133"/>
    <mergeCell ref="A134:I134"/>
    <mergeCell ref="C124:E124"/>
    <mergeCell ref="C125:E125"/>
    <mergeCell ref="C127:E127"/>
    <mergeCell ref="C128:E128"/>
    <mergeCell ref="A130:I130"/>
    <mergeCell ref="A131:I131"/>
    <mergeCell ref="A122:I122"/>
    <mergeCell ref="A15:I15"/>
    <mergeCell ref="A28:I28"/>
    <mergeCell ref="A46:I46"/>
    <mergeCell ref="A58:I58"/>
    <mergeCell ref="A104:I104"/>
    <mergeCell ref="A114:I114"/>
    <mergeCell ref="B115:G115"/>
    <mergeCell ref="B116:G116"/>
    <mergeCell ref="A118:I118"/>
    <mergeCell ref="A119:I119"/>
    <mergeCell ref="A120:I120"/>
    <mergeCell ref="A108:I108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6"/>
  <sheetViews>
    <sheetView topLeftCell="A54" workbookViewId="0">
      <selection activeCell="A120" sqref="A120:I12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570312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170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289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44500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214</v>
      </c>
      <c r="E16" s="88">
        <v>70.7</v>
      </c>
      <c r="F16" s="89">
        <f>SUM(E16*156/100)</f>
        <v>110.292</v>
      </c>
      <c r="G16" s="89">
        <v>261.45</v>
      </c>
      <c r="H16" s="55">
        <f t="shared" ref="H16:H18" si="0">SUM(F16*G16/1000)</f>
        <v>28.835843399999998</v>
      </c>
      <c r="I16" s="10">
        <f>G16*F16/156*10</f>
        <v>1848.4514999999999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191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G17*F17/104*5</f>
        <v>3696.9029999999998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189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F18/18*2*G18</f>
        <v>5317.7712000000001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108</v>
      </c>
      <c r="E19" s="54">
        <v>40</v>
      </c>
      <c r="F19" s="41">
        <f>SUM(E19/10)</f>
        <v>4</v>
      </c>
      <c r="G19" s="41">
        <v>193.55</v>
      </c>
      <c r="H19" s="55">
        <f t="shared" ref="H19:H26" si="1">SUM(F19*G19/1000)</f>
        <v>0.7742</v>
      </c>
      <c r="I19" s="10">
        <v>0</v>
      </c>
    </row>
    <row r="20" spans="1:9" ht="15.75" hidden="1" customHeight="1">
      <c r="A20" s="21"/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41">
        <v>324.83999999999997</v>
      </c>
      <c r="H20" s="55">
        <f t="shared" si="1"/>
        <v>6.8216399999999996E-2</v>
      </c>
      <c r="I20" s="10">
        <f>G20*F20/2</f>
        <v>34.108199999999997</v>
      </c>
    </row>
    <row r="21" spans="1:9" ht="15.75" hidden="1" customHeight="1">
      <c r="A21" s="21"/>
      <c r="B21" s="39" t="s">
        <v>110</v>
      </c>
      <c r="C21" s="40" t="s">
        <v>84</v>
      </c>
      <c r="D21" s="39" t="s">
        <v>194</v>
      </c>
      <c r="E21" s="88">
        <v>2.7</v>
      </c>
      <c r="F21" s="89">
        <f>SUM(E21*2/100)</f>
        <v>5.4000000000000006E-2</v>
      </c>
      <c r="G21" s="89">
        <v>322.20999999999998</v>
      </c>
      <c r="H21" s="55">
        <f t="shared" si="1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111</v>
      </c>
      <c r="C22" s="40" t="s">
        <v>52</v>
      </c>
      <c r="D22" s="39" t="s">
        <v>108</v>
      </c>
      <c r="E22" s="54">
        <v>357</v>
      </c>
      <c r="F22" s="41">
        <f>SUM(E22/100)</f>
        <v>3.57</v>
      </c>
      <c r="G22" s="41">
        <v>306.26</v>
      </c>
      <c r="H22" s="55">
        <f t="shared" si="1"/>
        <v>1.0933481999999999</v>
      </c>
      <c r="I22" s="10">
        <v>0</v>
      </c>
    </row>
    <row r="23" spans="1:9" ht="15.75" hidden="1" customHeight="1">
      <c r="A23" s="21"/>
      <c r="B23" s="39" t="s">
        <v>112</v>
      </c>
      <c r="C23" s="40" t="s">
        <v>52</v>
      </c>
      <c r="D23" s="39" t="s">
        <v>108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1"/>
        <v>1.9462968000000001E-2</v>
      </c>
      <c r="I23" s="10">
        <v>0</v>
      </c>
    </row>
    <row r="24" spans="1:9" ht="15.75" hidden="1" customHeight="1">
      <c r="A24" s="21"/>
      <c r="B24" s="39" t="s">
        <v>113</v>
      </c>
      <c r="C24" s="40" t="s">
        <v>52</v>
      </c>
      <c r="D24" s="39" t="s">
        <v>118</v>
      </c>
      <c r="E24" s="54">
        <v>15</v>
      </c>
      <c r="F24" s="41">
        <f>E24/100</f>
        <v>0.15</v>
      </c>
      <c r="G24" s="41">
        <v>443.27</v>
      </c>
      <c r="H24" s="55">
        <f t="shared" si="1"/>
        <v>6.6490499999999994E-2</v>
      </c>
      <c r="I24" s="10">
        <v>0</v>
      </c>
    </row>
    <row r="25" spans="1:9" ht="15.75" hidden="1" customHeight="1">
      <c r="A25" s="21"/>
      <c r="B25" s="39" t="s">
        <v>119</v>
      </c>
      <c r="C25" s="40" t="s">
        <v>84</v>
      </c>
      <c r="D25" s="39" t="s">
        <v>53</v>
      </c>
      <c r="E25" s="54">
        <v>14.25</v>
      </c>
      <c r="F25" s="41">
        <v>0.1</v>
      </c>
      <c r="G25" s="41">
        <v>245.81</v>
      </c>
      <c r="H25" s="55">
        <v>3.1E-2</v>
      </c>
      <c r="I25" s="10">
        <v>0</v>
      </c>
    </row>
    <row r="26" spans="1:9" ht="15.75" hidden="1" customHeight="1">
      <c r="A26" s="21"/>
      <c r="B26" s="39" t="s">
        <v>120</v>
      </c>
      <c r="C26" s="40" t="s">
        <v>52</v>
      </c>
      <c r="D26" s="39" t="s">
        <v>108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1"/>
        <v>3.7793205999999996E-2</v>
      </c>
      <c r="I26" s="10">
        <v>0</v>
      </c>
    </row>
    <row r="27" spans="1:9" ht="15.75" hidden="1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10.81</v>
      </c>
      <c r="H27" s="55">
        <f>SUM(F27*G27/1000)</f>
        <v>14.5584756</v>
      </c>
      <c r="I27" s="10">
        <f>F27/12*G27</f>
        <v>1213.2063000000001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15.75" customHeight="1">
      <c r="A30" s="21">
        <v>4</v>
      </c>
      <c r="B30" s="39" t="s">
        <v>92</v>
      </c>
      <c r="C30" s="40" t="s">
        <v>86</v>
      </c>
      <c r="D30" s="39" t="s">
        <v>191</v>
      </c>
      <c r="E30" s="41">
        <v>573.6</v>
      </c>
      <c r="F30" s="41">
        <f>SUM(E30*52/1000)</f>
        <v>29.827200000000001</v>
      </c>
      <c r="G30" s="128">
        <v>232.4</v>
      </c>
      <c r="H30" s="55">
        <f t="shared" ref="H30:H32" si="2">SUM(F30*G30/1000)</f>
        <v>6.9318412800000004</v>
      </c>
      <c r="I30" s="10">
        <f>G30*F30/52*5</f>
        <v>666.52320000000009</v>
      </c>
    </row>
    <row r="31" spans="1:9" ht="31.5" customHeight="1">
      <c r="A31" s="21">
        <v>5</v>
      </c>
      <c r="B31" s="39" t="s">
        <v>159</v>
      </c>
      <c r="C31" s="40" t="s">
        <v>86</v>
      </c>
      <c r="D31" s="39" t="s">
        <v>215</v>
      </c>
      <c r="E31" s="89">
        <v>200</v>
      </c>
      <c r="F31" s="89">
        <f>SUM(E31*72/1000)</f>
        <v>14.4</v>
      </c>
      <c r="G31" s="89">
        <v>385.6</v>
      </c>
      <c r="H31" s="55">
        <f t="shared" si="2"/>
        <v>5.5526400000000002</v>
      </c>
      <c r="I31" s="10">
        <f>G31*F31/72*9</f>
        <v>694.08</v>
      </c>
    </row>
    <row r="32" spans="1:9" ht="15.75" hidden="1" customHeight="1">
      <c r="A32" s="21">
        <v>16</v>
      </c>
      <c r="B32" s="39" t="s">
        <v>27</v>
      </c>
      <c r="C32" s="40" t="s">
        <v>86</v>
      </c>
      <c r="D32" s="39" t="s">
        <v>195</v>
      </c>
      <c r="E32" s="41">
        <v>573.6</v>
      </c>
      <c r="F32" s="41">
        <f>SUM(E32/1000)</f>
        <v>0.5736</v>
      </c>
      <c r="G32" s="41">
        <v>3435.36</v>
      </c>
      <c r="H32" s="55">
        <f t="shared" si="2"/>
        <v>1.9705224960000001</v>
      </c>
      <c r="I32" s="10">
        <f t="shared" ref="I32" si="3">F32/6*G32</f>
        <v>328.42041600000005</v>
      </c>
    </row>
    <row r="33" spans="1:9" ht="15.75" customHeight="1">
      <c r="A33" s="21">
        <v>6</v>
      </c>
      <c r="B33" s="39" t="s">
        <v>123</v>
      </c>
      <c r="C33" s="40" t="s">
        <v>40</v>
      </c>
      <c r="D33" s="39" t="s">
        <v>216</v>
      </c>
      <c r="E33" s="89">
        <v>1</v>
      </c>
      <c r="F33" s="89">
        <v>1.55</v>
      </c>
      <c r="G33" s="89">
        <v>1941.17</v>
      </c>
      <c r="H33" s="55">
        <f>G33*F33/1000</f>
        <v>3.0088135</v>
      </c>
      <c r="I33" s="10">
        <f>G33*F33/155*22</f>
        <v>427.05739999999997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4"/>
      <c r="F34" s="41">
        <v>3</v>
      </c>
      <c r="G34" s="41">
        <v>217.61</v>
      </c>
      <c r="H34" s="55">
        <f t="shared" ref="H34:H35" si="4">SUM(F34*G34/1000)</f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4"/>
      <c r="F35" s="41">
        <v>2</v>
      </c>
      <c r="G35" s="41">
        <v>1292.47</v>
      </c>
      <c r="H35" s="55">
        <f t="shared" si="4"/>
        <v>2.58494</v>
      </c>
      <c r="I35" s="10">
        <v>0</v>
      </c>
    </row>
    <row r="36" spans="1:9" ht="15.75" hidden="1" customHeight="1">
      <c r="A36" s="21"/>
      <c r="B36" s="74" t="s">
        <v>5</v>
      </c>
      <c r="C36" s="40"/>
      <c r="D36" s="39"/>
      <c r="E36" s="54"/>
      <c r="F36" s="41"/>
      <c r="G36" s="41"/>
      <c r="H36" s="55" t="s">
        <v>155</v>
      </c>
      <c r="I36" s="58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4"/>
      <c r="F37" s="41">
        <v>8</v>
      </c>
      <c r="G37" s="41">
        <v>1737.08</v>
      </c>
      <c r="H37" s="55">
        <f t="shared" ref="H37:H43" si="5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100</v>
      </c>
      <c r="E38" s="41">
        <v>200</v>
      </c>
      <c r="F38" s="41">
        <f>SUM(E38*30/1000)</f>
        <v>6</v>
      </c>
      <c r="G38" s="41">
        <v>2391.67</v>
      </c>
      <c r="H38" s="55">
        <f t="shared" si="5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124</v>
      </c>
      <c r="C39" s="40" t="s">
        <v>54</v>
      </c>
      <c r="D39" s="39"/>
      <c r="E39" s="54"/>
      <c r="F39" s="41">
        <v>130</v>
      </c>
      <c r="G39" s="41">
        <v>226.84</v>
      </c>
      <c r="H39" s="55">
        <f t="shared" si="5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85</v>
      </c>
      <c r="E40" s="41">
        <v>60</v>
      </c>
      <c r="F40" s="41">
        <f>SUM(E40*155/1000)</f>
        <v>9.3000000000000007</v>
      </c>
      <c r="G40" s="41">
        <v>398.95</v>
      </c>
      <c r="H40" s="55">
        <f t="shared" si="5"/>
        <v>3.7102349999999999</v>
      </c>
      <c r="I40" s="10">
        <f t="shared" ref="I40:I43" si="6">F40/6*G40</f>
        <v>618.37249999999995</v>
      </c>
    </row>
    <row r="41" spans="1:9" ht="47.25" hidden="1" customHeight="1">
      <c r="A41" s="21">
        <v>9</v>
      </c>
      <c r="B41" s="39" t="s">
        <v>82</v>
      </c>
      <c r="C41" s="40" t="s">
        <v>86</v>
      </c>
      <c r="D41" s="39" t="s">
        <v>125</v>
      </c>
      <c r="E41" s="41">
        <v>40.9</v>
      </c>
      <c r="F41" s="41">
        <f>SUM(E41*35/1000)</f>
        <v>1.4315</v>
      </c>
      <c r="G41" s="41">
        <v>6600.74</v>
      </c>
      <c r="H41" s="55">
        <f t="shared" si="5"/>
        <v>9.4489593099999993</v>
      </c>
      <c r="I41" s="10">
        <f t="shared" si="6"/>
        <v>1574.8265516666668</v>
      </c>
    </row>
    <row r="42" spans="1:9" ht="15.75" hidden="1" customHeight="1">
      <c r="A42" s="21">
        <v>10</v>
      </c>
      <c r="B42" s="39" t="s">
        <v>87</v>
      </c>
      <c r="C42" s="40" t="s">
        <v>86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5">
        <f t="shared" si="5"/>
        <v>1.3165470000000001</v>
      </c>
      <c r="I42" s="10">
        <f t="shared" si="6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4"/>
      <c r="F43" s="41">
        <v>0.9</v>
      </c>
      <c r="G43" s="41">
        <v>907.65</v>
      </c>
      <c r="H43" s="55">
        <f t="shared" si="5"/>
        <v>0.81688499999999997</v>
      </c>
      <c r="I43" s="10">
        <f t="shared" si="6"/>
        <v>136.14749999999998</v>
      </c>
    </row>
    <row r="44" spans="1:9" ht="15.75" customHeight="1">
      <c r="A44" s="148" t="s">
        <v>148</v>
      </c>
      <c r="B44" s="149"/>
      <c r="C44" s="149"/>
      <c r="D44" s="149"/>
      <c r="E44" s="149"/>
      <c r="F44" s="149"/>
      <c r="G44" s="149"/>
      <c r="H44" s="149"/>
      <c r="I44" s="150"/>
    </row>
    <row r="45" spans="1:9" ht="15.75" hidden="1" customHeight="1">
      <c r="A45" s="21"/>
      <c r="B45" s="39" t="s">
        <v>156</v>
      </c>
      <c r="C45" s="40" t="s">
        <v>86</v>
      </c>
      <c r="D45" s="39" t="s">
        <v>42</v>
      </c>
      <c r="E45" s="54">
        <v>1300.5</v>
      </c>
      <c r="F45" s="41">
        <f>SUM(E45/1000)*2</f>
        <v>2.601</v>
      </c>
      <c r="G45" s="10">
        <v>1173.18</v>
      </c>
      <c r="H45" s="55">
        <f t="shared" ref="H45:H55" si="7">SUM(F45*G45/1000)</f>
        <v>3.0514411800000003</v>
      </c>
      <c r="I45" s="10">
        <v>0</v>
      </c>
    </row>
    <row r="46" spans="1:9" ht="15.75" hidden="1" customHeight="1">
      <c r="A46" s="21"/>
      <c r="B46" s="39" t="s">
        <v>35</v>
      </c>
      <c r="C46" s="40" t="s">
        <v>86</v>
      </c>
      <c r="D46" s="39" t="s">
        <v>42</v>
      </c>
      <c r="E46" s="54">
        <v>52</v>
      </c>
      <c r="F46" s="41">
        <f>SUM(E46*2/1000)</f>
        <v>0.104</v>
      </c>
      <c r="G46" s="10">
        <v>659.09</v>
      </c>
      <c r="H46" s="55">
        <f t="shared" si="7"/>
        <v>6.854536E-2</v>
      </c>
      <c r="I46" s="10">
        <v>0</v>
      </c>
    </row>
    <row r="47" spans="1:9" ht="15.75" hidden="1" customHeight="1">
      <c r="A47" s="21"/>
      <c r="B47" s="39" t="s">
        <v>36</v>
      </c>
      <c r="C47" s="40" t="s">
        <v>86</v>
      </c>
      <c r="D47" s="39" t="s">
        <v>42</v>
      </c>
      <c r="E47" s="54">
        <v>1483.1</v>
      </c>
      <c r="F47" s="41">
        <f>SUM(E47*2/1000)</f>
        <v>2.9661999999999997</v>
      </c>
      <c r="G47" s="10">
        <v>1564.24</v>
      </c>
      <c r="H47" s="55">
        <f t="shared" si="7"/>
        <v>4.6398486879999998</v>
      </c>
      <c r="I47" s="10">
        <v>0</v>
      </c>
    </row>
    <row r="48" spans="1:9" ht="15.75" hidden="1" customHeight="1">
      <c r="A48" s="21"/>
      <c r="B48" s="39" t="s">
        <v>37</v>
      </c>
      <c r="C48" s="40" t="s">
        <v>86</v>
      </c>
      <c r="D48" s="39" t="s">
        <v>42</v>
      </c>
      <c r="E48" s="54">
        <v>2320</v>
      </c>
      <c r="F48" s="41">
        <f>SUM(E48*2/1000)</f>
        <v>4.6399999999999997</v>
      </c>
      <c r="G48" s="10">
        <v>1078.3599999999999</v>
      </c>
      <c r="H48" s="55">
        <f t="shared" si="7"/>
        <v>5.0035903999999993</v>
      </c>
      <c r="I48" s="10">
        <v>0</v>
      </c>
    </row>
    <row r="49" spans="1:9" ht="15.75" hidden="1" customHeight="1">
      <c r="A49" s="21"/>
      <c r="B49" s="39" t="s">
        <v>33</v>
      </c>
      <c r="C49" s="40" t="s">
        <v>34</v>
      </c>
      <c r="D49" s="39" t="s">
        <v>42</v>
      </c>
      <c r="E49" s="54">
        <v>91.84</v>
      </c>
      <c r="F49" s="41">
        <f>SUM(E49*2/100)</f>
        <v>1.8368</v>
      </c>
      <c r="G49" s="10">
        <v>82.82</v>
      </c>
      <c r="H49" s="55">
        <f t="shared" si="7"/>
        <v>0.15212377599999999</v>
      </c>
      <c r="I49" s="10">
        <v>0</v>
      </c>
    </row>
    <row r="50" spans="1:9" ht="15.75" hidden="1" customHeight="1">
      <c r="A50" s="21">
        <v>12</v>
      </c>
      <c r="B50" s="39" t="s">
        <v>55</v>
      </c>
      <c r="C50" s="40" t="s">
        <v>86</v>
      </c>
      <c r="D50" s="39" t="s">
        <v>160</v>
      </c>
      <c r="E50" s="54">
        <v>1040.4000000000001</v>
      </c>
      <c r="F50" s="41">
        <f>SUM(E50*5/1000)</f>
        <v>5.202</v>
      </c>
      <c r="G50" s="10">
        <v>1564.24</v>
      </c>
      <c r="H50" s="55">
        <f>SUM(F50*G50/1000)</f>
        <v>8.1371764800000008</v>
      </c>
      <c r="I50" s="10">
        <f>F50/5*G50</f>
        <v>1627.4352960000001</v>
      </c>
    </row>
    <row r="51" spans="1:9" ht="31.5" hidden="1" customHeight="1">
      <c r="A51" s="21">
        <v>10</v>
      </c>
      <c r="B51" s="39" t="s">
        <v>88</v>
      </c>
      <c r="C51" s="40" t="s">
        <v>86</v>
      </c>
      <c r="D51" s="39" t="s">
        <v>42</v>
      </c>
      <c r="E51" s="54">
        <v>1040.4000000000001</v>
      </c>
      <c r="F51" s="41">
        <f>SUM(E51*2/1000)</f>
        <v>2.0808</v>
      </c>
      <c r="G51" s="10">
        <v>1380.31</v>
      </c>
      <c r="H51" s="55">
        <f t="shared" si="7"/>
        <v>2.8721490479999998</v>
      </c>
      <c r="I51" s="10">
        <f>F51/2*G51</f>
        <v>1436.0745239999999</v>
      </c>
    </row>
    <row r="52" spans="1:9" ht="31.5" hidden="1" customHeight="1">
      <c r="A52" s="21">
        <v>11</v>
      </c>
      <c r="B52" s="39" t="s">
        <v>89</v>
      </c>
      <c r="C52" s="40" t="s">
        <v>38</v>
      </c>
      <c r="D52" s="39" t="s">
        <v>42</v>
      </c>
      <c r="E52" s="54">
        <v>20</v>
      </c>
      <c r="F52" s="41">
        <f>SUM(E52*2/100)</f>
        <v>0.4</v>
      </c>
      <c r="G52" s="10">
        <v>3519.56</v>
      </c>
      <c r="H52" s="55">
        <f t="shared" si="7"/>
        <v>1.407824</v>
      </c>
      <c r="I52" s="10">
        <f t="shared" ref="I52:I53" si="8">F52/2*G52</f>
        <v>703.91200000000003</v>
      </c>
    </row>
    <row r="53" spans="1:9" ht="15.75" hidden="1" customHeight="1">
      <c r="A53" s="21">
        <v>12</v>
      </c>
      <c r="B53" s="39" t="s">
        <v>39</v>
      </c>
      <c r="C53" s="40" t="s">
        <v>40</v>
      </c>
      <c r="D53" s="39" t="s">
        <v>42</v>
      </c>
      <c r="E53" s="54">
        <v>1</v>
      </c>
      <c r="F53" s="41">
        <v>0.02</v>
      </c>
      <c r="G53" s="10">
        <v>6428.82</v>
      </c>
      <c r="H53" s="55">
        <f t="shared" si="7"/>
        <v>0.12857640000000001</v>
      </c>
      <c r="I53" s="10">
        <f t="shared" si="8"/>
        <v>64.288200000000003</v>
      </c>
    </row>
    <row r="54" spans="1:9" ht="15.75" customHeight="1">
      <c r="A54" s="21">
        <v>7</v>
      </c>
      <c r="B54" s="39" t="s">
        <v>98</v>
      </c>
      <c r="C54" s="40" t="s">
        <v>93</v>
      </c>
      <c r="D54" s="114">
        <v>44487</v>
      </c>
      <c r="E54" s="54">
        <v>56</v>
      </c>
      <c r="F54" s="41">
        <f>SUM(E54*3)</f>
        <v>168</v>
      </c>
      <c r="G54" s="126">
        <v>210.4</v>
      </c>
      <c r="H54" s="55">
        <f t="shared" si="7"/>
        <v>35.347200000000001</v>
      </c>
      <c r="I54" s="10">
        <f>E54*G54</f>
        <v>11782.4</v>
      </c>
    </row>
    <row r="55" spans="1:9" ht="15.75" customHeight="1">
      <c r="A55" s="21">
        <v>8</v>
      </c>
      <c r="B55" s="39" t="s">
        <v>41</v>
      </c>
      <c r="C55" s="40" t="s">
        <v>93</v>
      </c>
      <c r="D55" s="114">
        <v>44487</v>
      </c>
      <c r="E55" s="54">
        <v>112</v>
      </c>
      <c r="F55" s="41">
        <f>SUM(E55)*3</f>
        <v>336</v>
      </c>
      <c r="G55" s="126">
        <v>97.93</v>
      </c>
      <c r="H55" s="55">
        <f t="shared" si="7"/>
        <v>32.904480000000007</v>
      </c>
      <c r="I55" s="10">
        <f>E55*G55</f>
        <v>10968.16</v>
      </c>
    </row>
    <row r="56" spans="1:9" ht="15.75" customHeight="1">
      <c r="A56" s="148" t="s">
        <v>149</v>
      </c>
      <c r="B56" s="149"/>
      <c r="C56" s="149"/>
      <c r="D56" s="149"/>
      <c r="E56" s="149"/>
      <c r="F56" s="149"/>
      <c r="G56" s="149"/>
      <c r="H56" s="149"/>
      <c r="I56" s="150"/>
    </row>
    <row r="57" spans="1:9" ht="15.75" hidden="1" customHeight="1">
      <c r="A57" s="21"/>
      <c r="B57" s="74" t="s">
        <v>43</v>
      </c>
      <c r="C57" s="40"/>
      <c r="D57" s="39"/>
      <c r="E57" s="54"/>
      <c r="F57" s="41"/>
      <c r="G57" s="41"/>
      <c r="H57" s="55"/>
      <c r="I57" s="58"/>
    </row>
    <row r="58" spans="1:9" ht="31.5" hidden="1" customHeight="1">
      <c r="A58" s="21">
        <v>15</v>
      </c>
      <c r="B58" s="39" t="s">
        <v>101</v>
      </c>
      <c r="C58" s="40" t="s">
        <v>84</v>
      </c>
      <c r="D58" s="39" t="s">
        <v>157</v>
      </c>
      <c r="E58" s="54">
        <v>142.05000000000001</v>
      </c>
      <c r="F58" s="41">
        <f>SUM(E58*6/100)</f>
        <v>8.5230000000000015</v>
      </c>
      <c r="G58" s="10">
        <v>2108.4299999999998</v>
      </c>
      <c r="H58" s="55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4" t="s">
        <v>44</v>
      </c>
      <c r="C59" s="40"/>
      <c r="D59" s="39"/>
      <c r="E59" s="54"/>
      <c r="F59" s="55"/>
      <c r="G59" s="10"/>
      <c r="H59" s="61"/>
      <c r="I59" s="58"/>
    </row>
    <row r="60" spans="1:9" ht="15.75" hidden="1" customHeight="1">
      <c r="A60" s="21"/>
      <c r="B60" s="39" t="s">
        <v>158</v>
      </c>
      <c r="C60" s="40" t="s">
        <v>84</v>
      </c>
      <c r="D60" s="39" t="s">
        <v>53</v>
      </c>
      <c r="E60" s="54">
        <v>1040.4000000000001</v>
      </c>
      <c r="F60" s="55">
        <f>E60/100</f>
        <v>10.404000000000002</v>
      </c>
      <c r="G60" s="10">
        <v>902.66</v>
      </c>
      <c r="H60" s="61">
        <f>G60*F60/1000</f>
        <v>9.3912746400000007</v>
      </c>
      <c r="I60" s="10">
        <v>0</v>
      </c>
    </row>
    <row r="61" spans="1:9" ht="15.75" customHeight="1">
      <c r="A61" s="21">
        <v>9</v>
      </c>
      <c r="B61" s="39" t="s">
        <v>126</v>
      </c>
      <c r="C61" s="40" t="s">
        <v>25</v>
      </c>
      <c r="D61" s="39" t="s">
        <v>194</v>
      </c>
      <c r="E61" s="54">
        <v>240</v>
      </c>
      <c r="F61" s="41">
        <v>2400</v>
      </c>
      <c r="G61" s="49">
        <v>1.4</v>
      </c>
      <c r="H61" s="55">
        <f>F61*G61/1000</f>
        <v>3.36</v>
      </c>
      <c r="I61" s="10">
        <f>F61/12*G61</f>
        <v>280</v>
      </c>
    </row>
    <row r="62" spans="1:9" ht="15.75" customHeight="1">
      <c r="A62" s="21"/>
      <c r="B62" s="75" t="s">
        <v>45</v>
      </c>
      <c r="C62" s="62"/>
      <c r="D62" s="63"/>
      <c r="E62" s="64"/>
      <c r="F62" s="65"/>
      <c r="G62" s="65"/>
      <c r="H62" s="66" t="s">
        <v>155</v>
      </c>
      <c r="I62" s="58"/>
    </row>
    <row r="63" spans="1:9" ht="15.75" hidden="1" customHeight="1">
      <c r="A63" s="21">
        <v>9</v>
      </c>
      <c r="B63" s="11" t="s">
        <v>46</v>
      </c>
      <c r="C63" s="13" t="s">
        <v>40</v>
      </c>
      <c r="D63" s="39" t="s">
        <v>194</v>
      </c>
      <c r="E63" s="15">
        <v>15</v>
      </c>
      <c r="F63" s="41">
        <f>15/100</f>
        <v>0.15</v>
      </c>
      <c r="G63" s="26">
        <v>331.57</v>
      </c>
      <c r="H63" s="67">
        <f t="shared" ref="H63:H82" si="9">SUM(F63*G63/1000)</f>
        <v>4.9735499999999995E-2</v>
      </c>
      <c r="I63" s="10">
        <f>G63*1</f>
        <v>331.57</v>
      </c>
    </row>
    <row r="64" spans="1:9" ht="15.75" hidden="1" customHeight="1">
      <c r="A64" s="21"/>
      <c r="B64" s="11" t="s">
        <v>47</v>
      </c>
      <c r="C64" s="13" t="s">
        <v>40</v>
      </c>
      <c r="D64" s="39" t="s">
        <v>65</v>
      </c>
      <c r="E64" s="15">
        <v>10</v>
      </c>
      <c r="F64" s="41">
        <f>10/100</f>
        <v>0.1</v>
      </c>
      <c r="G64" s="10">
        <v>86.74</v>
      </c>
      <c r="H64" s="67">
        <f t="shared" si="9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94</v>
      </c>
      <c r="D65" s="11" t="s">
        <v>53</v>
      </c>
      <c r="E65" s="54">
        <v>17532</v>
      </c>
      <c r="F65" s="10">
        <f>SUM(E65/100)</f>
        <v>175.32</v>
      </c>
      <c r="G65" s="10">
        <v>241.31</v>
      </c>
      <c r="H65" s="67">
        <f t="shared" si="9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95</v>
      </c>
      <c r="D66" s="11"/>
      <c r="E66" s="54">
        <v>17532</v>
      </c>
      <c r="F66" s="10">
        <f>SUM(E66/1000)</f>
        <v>17.532</v>
      </c>
      <c r="G66" s="10">
        <v>187.91</v>
      </c>
      <c r="H66" s="67">
        <f t="shared" si="9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77</v>
      </c>
      <c r="D67" s="11" t="s">
        <v>53</v>
      </c>
      <c r="E67" s="54">
        <v>1365</v>
      </c>
      <c r="F67" s="10">
        <f>SUM(E67/100)</f>
        <v>13.65</v>
      </c>
      <c r="G67" s="10">
        <v>2359.7199999999998</v>
      </c>
      <c r="H67" s="67">
        <f t="shared" si="9"/>
        <v>32.210177999999999</v>
      </c>
      <c r="I67" s="10">
        <f t="shared" ref="I67:I70" si="10">F67*G67</f>
        <v>32210.178</v>
      </c>
    </row>
    <row r="68" spans="1:9" ht="15.75" hidden="1" customHeight="1">
      <c r="A68" s="21"/>
      <c r="B68" s="68" t="s">
        <v>71</v>
      </c>
      <c r="C68" s="13" t="s">
        <v>32</v>
      </c>
      <c r="D68" s="11"/>
      <c r="E68" s="54">
        <v>15.6</v>
      </c>
      <c r="F68" s="10">
        <f>SUM(E68)</f>
        <v>15.6</v>
      </c>
      <c r="G68" s="10">
        <v>45.4</v>
      </c>
      <c r="H68" s="67">
        <f t="shared" si="9"/>
        <v>0.70823999999999998</v>
      </c>
      <c r="I68" s="10">
        <f t="shared" si="10"/>
        <v>708.24</v>
      </c>
    </row>
    <row r="69" spans="1:9" ht="15.75" hidden="1" customHeight="1">
      <c r="A69" s="21"/>
      <c r="B69" s="68" t="s">
        <v>161</v>
      </c>
      <c r="C69" s="13" t="s">
        <v>32</v>
      </c>
      <c r="D69" s="11"/>
      <c r="E69" s="54">
        <v>15.6</v>
      </c>
      <c r="F69" s="10">
        <f>SUM(E69)</f>
        <v>15.6</v>
      </c>
      <c r="G69" s="10">
        <v>42.35</v>
      </c>
      <c r="H69" s="67">
        <f t="shared" si="9"/>
        <v>0.66065999999999991</v>
      </c>
      <c r="I69" s="10">
        <f t="shared" si="10"/>
        <v>660.66</v>
      </c>
    </row>
    <row r="70" spans="1:9" ht="15.75" hidden="1" customHeight="1">
      <c r="A70" s="21"/>
      <c r="B70" s="11" t="s">
        <v>56</v>
      </c>
      <c r="C70" s="13" t="s">
        <v>57</v>
      </c>
      <c r="D70" s="11" t="s">
        <v>53</v>
      </c>
      <c r="E70" s="15">
        <v>4</v>
      </c>
      <c r="F70" s="41">
        <f>SUM(E70)</f>
        <v>4</v>
      </c>
      <c r="G70" s="10">
        <v>56.74</v>
      </c>
      <c r="H70" s="67">
        <f t="shared" si="9"/>
        <v>0.22696</v>
      </c>
      <c r="I70" s="10">
        <f t="shared" si="10"/>
        <v>226.96</v>
      </c>
    </row>
    <row r="71" spans="1:9" ht="15.75" customHeight="1">
      <c r="A71" s="21">
        <v>10</v>
      </c>
      <c r="B71" s="85" t="s">
        <v>127</v>
      </c>
      <c r="C71" s="108" t="s">
        <v>57</v>
      </c>
      <c r="D71" s="85" t="s">
        <v>195</v>
      </c>
      <c r="E71" s="14">
        <v>1</v>
      </c>
      <c r="F71" s="90">
        <v>12</v>
      </c>
      <c r="G71" s="26">
        <v>1829</v>
      </c>
      <c r="H71" s="67">
        <f t="shared" si="9"/>
        <v>21.948</v>
      </c>
      <c r="I71" s="10">
        <f>G71</f>
        <v>1829</v>
      </c>
    </row>
    <row r="72" spans="1:9" ht="15.75" customHeight="1">
      <c r="A72" s="21"/>
      <c r="B72" s="76" t="s">
        <v>102</v>
      </c>
      <c r="C72" s="108"/>
      <c r="D72" s="85"/>
      <c r="E72" s="14"/>
      <c r="F72" s="90"/>
      <c r="G72" s="26"/>
      <c r="H72" s="67"/>
      <c r="I72" s="10"/>
    </row>
    <row r="73" spans="1:9" ht="28.5" customHeight="1">
      <c r="A73" s="21">
        <v>11</v>
      </c>
      <c r="B73" s="100" t="s">
        <v>205</v>
      </c>
      <c r="C73" s="101" t="s">
        <v>206</v>
      </c>
      <c r="D73" s="112"/>
      <c r="E73" s="122">
        <v>3455.3</v>
      </c>
      <c r="F73" s="102">
        <f>E73*12</f>
        <v>41463.600000000006</v>
      </c>
      <c r="G73" s="102">
        <v>2.6</v>
      </c>
      <c r="H73" s="67">
        <f t="shared" ref="H73" si="11">F73*G73/1000</f>
        <v>107.80536000000002</v>
      </c>
      <c r="I73" s="10">
        <f>G73*F73/12</f>
        <v>8983.7800000000007</v>
      </c>
    </row>
    <row r="74" spans="1:9" ht="18" customHeight="1">
      <c r="A74" s="21"/>
      <c r="B74" s="43" t="s">
        <v>72</v>
      </c>
      <c r="C74" s="13"/>
      <c r="D74" s="11"/>
      <c r="E74" s="15"/>
      <c r="F74" s="10"/>
      <c r="G74" s="10"/>
      <c r="H74" s="67" t="s">
        <v>155</v>
      </c>
      <c r="I74" s="58"/>
    </row>
    <row r="75" spans="1:9" ht="16.5" hidden="1" customHeight="1">
      <c r="A75" s="21"/>
      <c r="B75" s="11" t="s">
        <v>128</v>
      </c>
      <c r="C75" s="13" t="s">
        <v>30</v>
      </c>
      <c r="D75" s="39" t="s">
        <v>65</v>
      </c>
      <c r="E75" s="15">
        <v>2</v>
      </c>
      <c r="F75" s="10">
        <v>2</v>
      </c>
      <c r="G75" s="10">
        <v>892.5</v>
      </c>
      <c r="H75" s="67">
        <f>G75*F75/1000</f>
        <v>1.7849999999999999</v>
      </c>
      <c r="I75" s="10">
        <v>0</v>
      </c>
    </row>
    <row r="76" spans="1:9" ht="16.5" hidden="1" customHeight="1">
      <c r="A76" s="21"/>
      <c r="B76" s="11" t="s">
        <v>114</v>
      </c>
      <c r="C76" s="13" t="s">
        <v>129</v>
      </c>
      <c r="D76" s="11"/>
      <c r="E76" s="15">
        <v>1</v>
      </c>
      <c r="F76" s="10">
        <v>1</v>
      </c>
      <c r="G76" s="10">
        <v>750</v>
      </c>
      <c r="H76" s="67">
        <f>G76*F76/1000</f>
        <v>0.75</v>
      </c>
      <c r="I76" s="10">
        <v>0</v>
      </c>
    </row>
    <row r="77" spans="1:9" ht="15" hidden="1" customHeight="1">
      <c r="A77" s="21">
        <v>16</v>
      </c>
      <c r="B77" s="11" t="s">
        <v>73</v>
      </c>
      <c r="C77" s="13" t="s">
        <v>75</v>
      </c>
      <c r="D77" s="11"/>
      <c r="E77" s="15">
        <v>2</v>
      </c>
      <c r="F77" s="10">
        <v>0.2</v>
      </c>
      <c r="G77" s="10">
        <v>570.54</v>
      </c>
      <c r="H77" s="67">
        <f t="shared" si="9"/>
        <v>0.114108</v>
      </c>
      <c r="I77" s="10">
        <f>G77*0.2</f>
        <v>114.108</v>
      </c>
    </row>
    <row r="78" spans="1:9" ht="14.25" hidden="1" customHeight="1">
      <c r="A78" s="21"/>
      <c r="B78" s="11" t="s">
        <v>74</v>
      </c>
      <c r="C78" s="13" t="s">
        <v>30</v>
      </c>
      <c r="D78" s="11"/>
      <c r="E78" s="15">
        <v>1</v>
      </c>
      <c r="F78" s="49">
        <v>1</v>
      </c>
      <c r="G78" s="10">
        <v>970.21</v>
      </c>
      <c r="H78" s="67">
        <f t="shared" si="9"/>
        <v>0.97021000000000002</v>
      </c>
      <c r="I78" s="10">
        <v>0</v>
      </c>
    </row>
    <row r="79" spans="1:9" ht="18" hidden="1" customHeight="1">
      <c r="A79" s="21">
        <v>16</v>
      </c>
      <c r="B79" s="11" t="s">
        <v>130</v>
      </c>
      <c r="C79" s="13" t="s">
        <v>93</v>
      </c>
      <c r="D79" s="11"/>
      <c r="E79" s="15">
        <v>1</v>
      </c>
      <c r="F79" s="41">
        <f>SUM(E79)</f>
        <v>1</v>
      </c>
      <c r="G79" s="10">
        <v>407.79</v>
      </c>
      <c r="H79" s="67">
        <f t="shared" si="9"/>
        <v>0.40779000000000004</v>
      </c>
      <c r="I79" s="10">
        <f>G79</f>
        <v>407.79</v>
      </c>
    </row>
    <row r="80" spans="1:9" ht="18" customHeight="1">
      <c r="A80" s="21">
        <v>12</v>
      </c>
      <c r="B80" s="85" t="s">
        <v>207</v>
      </c>
      <c r="C80" s="108" t="s">
        <v>93</v>
      </c>
      <c r="D80" s="85" t="s">
        <v>195</v>
      </c>
      <c r="E80" s="14">
        <v>1</v>
      </c>
      <c r="F80" s="26">
        <f>E80*12</f>
        <v>12</v>
      </c>
      <c r="G80" s="26">
        <v>420</v>
      </c>
      <c r="H80" s="67">
        <f>G80*F80/1000</f>
        <v>5.04</v>
      </c>
      <c r="I80" s="10">
        <f>G80*1</f>
        <v>420</v>
      </c>
    </row>
    <row r="81" spans="1:9" ht="15" hidden="1" customHeight="1">
      <c r="A81" s="21"/>
      <c r="B81" s="72" t="s">
        <v>76</v>
      </c>
      <c r="C81" s="13"/>
      <c r="D81" s="11"/>
      <c r="E81" s="15"/>
      <c r="F81" s="10"/>
      <c r="G81" s="10" t="s">
        <v>155</v>
      </c>
      <c r="H81" s="67" t="s">
        <v>155</v>
      </c>
      <c r="I81" s="58"/>
    </row>
    <row r="82" spans="1:9" ht="15.75" hidden="1" customHeight="1">
      <c r="A82" s="21"/>
      <c r="B82" s="34" t="s">
        <v>99</v>
      </c>
      <c r="C82" s="13" t="s">
        <v>77</v>
      </c>
      <c r="D82" s="11"/>
      <c r="E82" s="15"/>
      <c r="F82" s="10">
        <v>0.6</v>
      </c>
      <c r="G82" s="10">
        <v>3138.65</v>
      </c>
      <c r="H82" s="67">
        <f t="shared" si="9"/>
        <v>1.8831900000000001</v>
      </c>
      <c r="I82" s="10">
        <v>0</v>
      </c>
    </row>
    <row r="83" spans="1:9" ht="17.25" hidden="1" customHeight="1">
      <c r="A83" s="21"/>
      <c r="B83" s="43" t="s">
        <v>90</v>
      </c>
      <c r="C83" s="13"/>
      <c r="D83" s="11"/>
      <c r="E83" s="50"/>
      <c r="F83" s="10"/>
      <c r="G83" s="10"/>
      <c r="H83" s="67"/>
      <c r="I83" s="10"/>
    </row>
    <row r="84" spans="1:9" ht="19.5" hidden="1" customHeight="1">
      <c r="A84" s="21">
        <v>11</v>
      </c>
      <c r="B84" s="39" t="s">
        <v>96</v>
      </c>
      <c r="C84" s="13"/>
      <c r="D84" s="11"/>
      <c r="E84" s="50"/>
      <c r="F84" s="10">
        <v>1</v>
      </c>
      <c r="G84" s="10">
        <v>740</v>
      </c>
      <c r="H84" s="67">
        <f>G84*F84/1000</f>
        <v>0.74</v>
      </c>
      <c r="I84" s="10">
        <f>G84*1</f>
        <v>740</v>
      </c>
    </row>
    <row r="85" spans="1:9" ht="15.75" hidden="1" customHeight="1">
      <c r="A85" s="21"/>
      <c r="B85" s="76" t="s">
        <v>102</v>
      </c>
      <c r="C85" s="72"/>
      <c r="D85" s="23"/>
      <c r="E85" s="24"/>
      <c r="F85" s="71"/>
      <c r="G85" s="71"/>
      <c r="H85" s="69"/>
      <c r="I85" s="57"/>
    </row>
    <row r="86" spans="1:9" ht="31.5" hidden="1" customHeight="1">
      <c r="A86" s="21"/>
      <c r="B86" s="73" t="s">
        <v>131</v>
      </c>
      <c r="C86" s="13" t="s">
        <v>132</v>
      </c>
      <c r="D86" s="39" t="s">
        <v>65</v>
      </c>
      <c r="E86" s="15">
        <v>10</v>
      </c>
      <c r="F86" s="10">
        <v>10</v>
      </c>
      <c r="G86" s="10">
        <v>271.88</v>
      </c>
      <c r="H86" s="67">
        <f t="shared" ref="H86:H99" si="12">F86*G86/1000</f>
        <v>2.7188000000000003</v>
      </c>
      <c r="I86" s="10">
        <v>0</v>
      </c>
    </row>
    <row r="87" spans="1:9" ht="18.75" hidden="1" customHeight="1">
      <c r="A87" s="21">
        <v>17</v>
      </c>
      <c r="B87" s="73" t="s">
        <v>103</v>
      </c>
      <c r="C87" s="13" t="s">
        <v>80</v>
      </c>
      <c r="D87" s="39" t="s">
        <v>65</v>
      </c>
      <c r="E87" s="15">
        <v>100</v>
      </c>
      <c r="F87" s="10">
        <v>100</v>
      </c>
      <c r="G87" s="10">
        <v>111.84</v>
      </c>
      <c r="H87" s="67">
        <f t="shared" si="12"/>
        <v>11.183999999999999</v>
      </c>
      <c r="I87" s="10">
        <f>G87*15</f>
        <v>1677.6000000000001</v>
      </c>
    </row>
    <row r="88" spans="1:9" ht="15.75" hidden="1" customHeight="1">
      <c r="A88" s="21">
        <v>16</v>
      </c>
      <c r="B88" s="73" t="s">
        <v>133</v>
      </c>
      <c r="C88" s="13" t="s">
        <v>134</v>
      </c>
      <c r="D88" s="39" t="s">
        <v>65</v>
      </c>
      <c r="E88" s="15">
        <v>30</v>
      </c>
      <c r="F88" s="10">
        <v>10</v>
      </c>
      <c r="G88" s="10">
        <v>972.09</v>
      </c>
      <c r="H88" s="67">
        <f t="shared" si="12"/>
        <v>9.7209000000000003</v>
      </c>
      <c r="I88" s="10">
        <f>G88*(15/3)</f>
        <v>4860.45</v>
      </c>
    </row>
    <row r="89" spans="1:9" ht="15.75" hidden="1" customHeight="1">
      <c r="A89" s="21"/>
      <c r="B89" s="73" t="s">
        <v>135</v>
      </c>
      <c r="C89" s="13" t="s">
        <v>52</v>
      </c>
      <c r="D89" s="39" t="s">
        <v>65</v>
      </c>
      <c r="E89" s="15">
        <v>100</v>
      </c>
      <c r="F89" s="10">
        <v>1</v>
      </c>
      <c r="G89" s="10">
        <v>1829.52</v>
      </c>
      <c r="H89" s="67">
        <f t="shared" si="12"/>
        <v>1.82952</v>
      </c>
      <c r="I89" s="10">
        <v>0</v>
      </c>
    </row>
    <row r="90" spans="1:9" ht="29.25" hidden="1" customHeight="1">
      <c r="A90" s="21">
        <v>12</v>
      </c>
      <c r="B90" s="73" t="s">
        <v>136</v>
      </c>
      <c r="C90" s="13" t="s">
        <v>137</v>
      </c>
      <c r="D90" s="39" t="s">
        <v>137</v>
      </c>
      <c r="E90" s="15">
        <v>40</v>
      </c>
      <c r="F90" s="10">
        <v>4</v>
      </c>
      <c r="G90" s="10">
        <v>272.39</v>
      </c>
      <c r="H90" s="67">
        <f t="shared" si="12"/>
        <v>1.0895599999999999</v>
      </c>
      <c r="I90" s="10">
        <f>G90*1</f>
        <v>272.39</v>
      </c>
    </row>
    <row r="91" spans="1:9" ht="24.75" hidden="1" customHeight="1">
      <c r="A91" s="21"/>
      <c r="B91" s="73" t="s">
        <v>138</v>
      </c>
      <c r="C91" s="13" t="s">
        <v>80</v>
      </c>
      <c r="D91" s="39" t="s">
        <v>65</v>
      </c>
      <c r="E91" s="15">
        <v>15</v>
      </c>
      <c r="F91" s="10">
        <v>15</v>
      </c>
      <c r="G91" s="10">
        <v>1430.02</v>
      </c>
      <c r="H91" s="67">
        <f t="shared" si="12"/>
        <v>21.450299999999999</v>
      </c>
      <c r="I91" s="10">
        <v>0</v>
      </c>
    </row>
    <row r="92" spans="1:9" ht="26.25" hidden="1" customHeight="1">
      <c r="A92" s="21"/>
      <c r="B92" s="73" t="s">
        <v>139</v>
      </c>
      <c r="C92" s="13" t="s">
        <v>80</v>
      </c>
      <c r="D92" s="39" t="s">
        <v>65</v>
      </c>
      <c r="E92" s="15">
        <v>10</v>
      </c>
      <c r="F92" s="10">
        <v>10</v>
      </c>
      <c r="G92" s="10">
        <v>1743.04</v>
      </c>
      <c r="H92" s="67">
        <f t="shared" si="12"/>
        <v>17.430400000000002</v>
      </c>
      <c r="I92" s="10">
        <v>0</v>
      </c>
    </row>
    <row r="93" spans="1:9" ht="30.75" hidden="1" customHeight="1">
      <c r="A93" s="21"/>
      <c r="B93" s="73" t="s">
        <v>140</v>
      </c>
      <c r="C93" s="13" t="s">
        <v>80</v>
      </c>
      <c r="D93" s="39" t="s">
        <v>65</v>
      </c>
      <c r="E93" s="15">
        <v>20</v>
      </c>
      <c r="F93" s="10">
        <v>20</v>
      </c>
      <c r="G93" s="10">
        <v>607.27</v>
      </c>
      <c r="H93" s="67">
        <f t="shared" si="12"/>
        <v>12.1454</v>
      </c>
      <c r="I93" s="10">
        <v>0</v>
      </c>
    </row>
    <row r="94" spans="1:9" ht="23.25" hidden="1" customHeight="1">
      <c r="A94" s="21"/>
      <c r="B94" s="73" t="s">
        <v>141</v>
      </c>
      <c r="C94" s="13" t="s">
        <v>80</v>
      </c>
      <c r="D94" s="39" t="s">
        <v>65</v>
      </c>
      <c r="E94" s="15">
        <v>30</v>
      </c>
      <c r="F94" s="10">
        <v>30</v>
      </c>
      <c r="G94" s="10">
        <v>711.93</v>
      </c>
      <c r="H94" s="67">
        <f t="shared" si="12"/>
        <v>21.357899999999997</v>
      </c>
      <c r="I94" s="10">
        <v>0</v>
      </c>
    </row>
    <row r="95" spans="1:9" ht="27" hidden="1" customHeight="1">
      <c r="A95" s="21"/>
      <c r="B95" s="73" t="s">
        <v>104</v>
      </c>
      <c r="C95" s="13" t="s">
        <v>30</v>
      </c>
      <c r="D95" s="39" t="s">
        <v>65</v>
      </c>
      <c r="E95" s="15">
        <v>10</v>
      </c>
      <c r="F95" s="10">
        <v>10</v>
      </c>
      <c r="G95" s="10">
        <v>455.31</v>
      </c>
      <c r="H95" s="67">
        <f t="shared" si="12"/>
        <v>4.5531000000000006</v>
      </c>
      <c r="I95" s="10">
        <v>0</v>
      </c>
    </row>
    <row r="96" spans="1:9" ht="25.5" hidden="1" customHeight="1">
      <c r="A96" s="21"/>
      <c r="B96" s="73" t="s">
        <v>142</v>
      </c>
      <c r="C96" s="13" t="s">
        <v>80</v>
      </c>
      <c r="D96" s="39" t="s">
        <v>65</v>
      </c>
      <c r="E96" s="15">
        <v>30</v>
      </c>
      <c r="F96" s="10">
        <v>30</v>
      </c>
      <c r="G96" s="10">
        <v>1155.7</v>
      </c>
      <c r="H96" s="67">
        <f t="shared" si="12"/>
        <v>34.670999999999999</v>
      </c>
      <c r="I96" s="10">
        <v>0</v>
      </c>
    </row>
    <row r="97" spans="1:9" ht="31.5" hidden="1" customHeight="1">
      <c r="A97" s="21">
        <v>19</v>
      </c>
      <c r="B97" s="73" t="s">
        <v>143</v>
      </c>
      <c r="C97" s="13" t="s">
        <v>29</v>
      </c>
      <c r="D97" s="11" t="s">
        <v>42</v>
      </c>
      <c r="E97" s="15">
        <v>1040.4000000000001</v>
      </c>
      <c r="F97" s="10">
        <f>E97*2/1000</f>
        <v>2.0808</v>
      </c>
      <c r="G97" s="10">
        <v>1560.98</v>
      </c>
      <c r="H97" s="67">
        <f t="shared" si="12"/>
        <v>3.2480871840000001</v>
      </c>
      <c r="I97" s="10">
        <f>G97*F97/2</f>
        <v>1624.043592</v>
      </c>
    </row>
    <row r="98" spans="1:9" ht="18.75" hidden="1" customHeight="1">
      <c r="A98" s="21"/>
      <c r="B98" s="73" t="s">
        <v>144</v>
      </c>
      <c r="C98" s="21" t="s">
        <v>146</v>
      </c>
      <c r="D98" s="39" t="s">
        <v>65</v>
      </c>
      <c r="E98" s="15">
        <v>100</v>
      </c>
      <c r="F98" s="10">
        <v>1</v>
      </c>
      <c r="G98" s="10">
        <v>12859.93</v>
      </c>
      <c r="H98" s="67">
        <f t="shared" si="12"/>
        <v>12.85993</v>
      </c>
      <c r="I98" s="10">
        <v>0</v>
      </c>
    </row>
    <row r="99" spans="1:9" ht="18.75" hidden="1" customHeight="1">
      <c r="A99" s="21"/>
      <c r="B99" s="73" t="s">
        <v>145</v>
      </c>
      <c r="C99" s="13" t="s">
        <v>29</v>
      </c>
      <c r="D99" s="11" t="s">
        <v>42</v>
      </c>
      <c r="E99" s="15">
        <v>1040.4000000000001</v>
      </c>
      <c r="F99" s="10">
        <v>2.08</v>
      </c>
      <c r="G99" s="10">
        <v>1453.29</v>
      </c>
      <c r="H99" s="67">
        <f t="shared" si="12"/>
        <v>3.0228432000000001</v>
      </c>
      <c r="I99" s="10">
        <v>0</v>
      </c>
    </row>
    <row r="100" spans="1:9" ht="15.75" customHeight="1">
      <c r="A100" s="151" t="s">
        <v>150</v>
      </c>
      <c r="B100" s="152"/>
      <c r="C100" s="152"/>
      <c r="D100" s="152"/>
      <c r="E100" s="152"/>
      <c r="F100" s="152"/>
      <c r="G100" s="152"/>
      <c r="H100" s="152"/>
      <c r="I100" s="153"/>
    </row>
    <row r="101" spans="1:9" ht="15.75" customHeight="1">
      <c r="A101" s="21">
        <v>13</v>
      </c>
      <c r="B101" s="100" t="s">
        <v>97</v>
      </c>
      <c r="C101" s="108" t="s">
        <v>54</v>
      </c>
      <c r="D101" s="123"/>
      <c r="E101" s="26">
        <v>3455.3</v>
      </c>
      <c r="F101" s="26">
        <v>41463.599999999999</v>
      </c>
      <c r="G101" s="26">
        <v>3.5</v>
      </c>
      <c r="H101" s="67">
        <f>SUM(F101*G101/1000)</f>
        <v>145.12260000000001</v>
      </c>
      <c r="I101" s="10">
        <f>F101/12*G101</f>
        <v>12093.55</v>
      </c>
    </row>
    <row r="102" spans="1:9" ht="31.5" customHeight="1">
      <c r="A102" s="21">
        <v>14</v>
      </c>
      <c r="B102" s="85" t="s">
        <v>208</v>
      </c>
      <c r="C102" s="108" t="s">
        <v>54</v>
      </c>
      <c r="D102" s="37"/>
      <c r="E102" s="88">
        <f>E101</f>
        <v>3455.3</v>
      </c>
      <c r="F102" s="26">
        <f>E102*12</f>
        <v>41463.600000000006</v>
      </c>
      <c r="G102" s="26">
        <v>3.2</v>
      </c>
      <c r="H102" s="67">
        <f>F102*G102/1000</f>
        <v>132.68352000000002</v>
      </c>
      <c r="I102" s="10">
        <f>F102/12*G102</f>
        <v>11056.960000000003</v>
      </c>
    </row>
    <row r="103" spans="1:9" ht="15.75" customHeight="1">
      <c r="A103" s="21"/>
      <c r="B103" s="27" t="s">
        <v>79</v>
      </c>
      <c r="C103" s="72"/>
      <c r="D103" s="70"/>
      <c r="E103" s="71"/>
      <c r="F103" s="71"/>
      <c r="G103" s="71"/>
      <c r="H103" s="69">
        <f>SUM(H102)</f>
        <v>132.68352000000002</v>
      </c>
      <c r="I103" s="71">
        <f>I102+I101+I80+I73+I71+I61+I55+I54+I33+I31+I30+I18+I17+I16</f>
        <v>70064.636299999998</v>
      </c>
    </row>
    <row r="104" spans="1:9" ht="15.75" customHeight="1">
      <c r="A104" s="159" t="s">
        <v>59</v>
      </c>
      <c r="B104" s="160"/>
      <c r="C104" s="160"/>
      <c r="D104" s="160"/>
      <c r="E104" s="160"/>
      <c r="F104" s="160"/>
      <c r="G104" s="160"/>
      <c r="H104" s="160"/>
      <c r="I104" s="161"/>
    </row>
    <row r="105" spans="1:9" ht="15.75" customHeight="1">
      <c r="A105" s="21">
        <v>15</v>
      </c>
      <c r="B105" s="38" t="s">
        <v>255</v>
      </c>
      <c r="C105" s="84" t="s">
        <v>29</v>
      </c>
      <c r="D105" s="37"/>
      <c r="E105" s="26"/>
      <c r="F105" s="26">
        <f>2.73+2.73+2.73</f>
        <v>8.19</v>
      </c>
      <c r="G105" s="26">
        <v>241.69</v>
      </c>
      <c r="H105" s="67"/>
      <c r="I105" s="10">
        <f>G105*2.73</f>
        <v>659.81370000000004</v>
      </c>
    </row>
    <row r="106" spans="1:9" ht="32.25" customHeight="1">
      <c r="A106" s="21">
        <v>16</v>
      </c>
      <c r="B106" s="38" t="s">
        <v>290</v>
      </c>
      <c r="C106" s="84" t="s">
        <v>93</v>
      </c>
      <c r="D106" s="37" t="s">
        <v>297</v>
      </c>
      <c r="E106" s="26"/>
      <c r="F106" s="26">
        <v>1</v>
      </c>
      <c r="G106" s="26">
        <v>1226.45</v>
      </c>
      <c r="H106" s="67"/>
      <c r="I106" s="10">
        <f>G106*1</f>
        <v>1226.45</v>
      </c>
    </row>
    <row r="107" spans="1:9" ht="35.25" customHeight="1">
      <c r="A107" s="21">
        <v>17</v>
      </c>
      <c r="B107" s="38" t="s">
        <v>291</v>
      </c>
      <c r="C107" s="84" t="s">
        <v>93</v>
      </c>
      <c r="D107" s="37" t="s">
        <v>298</v>
      </c>
      <c r="E107" s="26"/>
      <c r="F107" s="26">
        <v>0.5</v>
      </c>
      <c r="G107" s="26">
        <v>983.17</v>
      </c>
      <c r="H107" s="67"/>
      <c r="I107" s="10">
        <f>G107*0.5</f>
        <v>491.58499999999998</v>
      </c>
    </row>
    <row r="108" spans="1:9" ht="18" customHeight="1">
      <c r="A108" s="21">
        <v>18</v>
      </c>
      <c r="B108" s="38" t="s">
        <v>292</v>
      </c>
      <c r="C108" s="84" t="s">
        <v>93</v>
      </c>
      <c r="D108" s="37"/>
      <c r="E108" s="26"/>
      <c r="F108" s="26">
        <v>2</v>
      </c>
      <c r="G108" s="26">
        <v>235</v>
      </c>
      <c r="H108" s="67"/>
      <c r="I108" s="10">
        <f>G108*2</f>
        <v>470</v>
      </c>
    </row>
    <row r="109" spans="1:9" ht="19.5" customHeight="1">
      <c r="A109" s="21">
        <v>19</v>
      </c>
      <c r="B109" s="38" t="s">
        <v>293</v>
      </c>
      <c r="C109" s="84" t="s">
        <v>93</v>
      </c>
      <c r="D109" s="37"/>
      <c r="E109" s="26"/>
      <c r="F109" s="26">
        <v>2</v>
      </c>
      <c r="G109" s="26">
        <v>65</v>
      </c>
      <c r="H109" s="67"/>
      <c r="I109" s="10">
        <f>G109*2</f>
        <v>130</v>
      </c>
    </row>
    <row r="110" spans="1:9" ht="15.75" customHeight="1">
      <c r="A110" s="21">
        <v>20</v>
      </c>
      <c r="B110" s="38" t="s">
        <v>294</v>
      </c>
      <c r="C110" s="84" t="s">
        <v>93</v>
      </c>
      <c r="D110" s="37"/>
      <c r="E110" s="26"/>
      <c r="F110" s="26">
        <v>1</v>
      </c>
      <c r="G110" s="26">
        <v>139</v>
      </c>
      <c r="H110" s="67"/>
      <c r="I110" s="10">
        <f>G110*1</f>
        <v>139</v>
      </c>
    </row>
    <row r="111" spans="1:9" ht="15.75" customHeight="1">
      <c r="A111" s="21">
        <v>21</v>
      </c>
      <c r="B111" s="38" t="s">
        <v>295</v>
      </c>
      <c r="C111" s="84" t="s">
        <v>93</v>
      </c>
      <c r="D111" s="37"/>
      <c r="E111" s="26"/>
      <c r="F111" s="26">
        <v>1</v>
      </c>
      <c r="G111" s="26">
        <v>70</v>
      </c>
      <c r="H111" s="67"/>
      <c r="I111" s="10">
        <f>G111*1</f>
        <v>70</v>
      </c>
    </row>
    <row r="112" spans="1:9" ht="15.75" customHeight="1">
      <c r="A112" s="21">
        <v>22</v>
      </c>
      <c r="B112" s="38" t="s">
        <v>296</v>
      </c>
      <c r="C112" s="84" t="s">
        <v>52</v>
      </c>
      <c r="D112" s="37"/>
      <c r="E112" s="26"/>
      <c r="F112" s="26">
        <v>0.48</v>
      </c>
      <c r="G112" s="26">
        <v>1230.92</v>
      </c>
      <c r="H112" s="67"/>
      <c r="I112" s="10">
        <f>G112*0.48</f>
        <v>590.84159999999997</v>
      </c>
    </row>
    <row r="113" spans="1:9">
      <c r="A113" s="21"/>
      <c r="B113" s="32" t="s">
        <v>51</v>
      </c>
      <c r="C113" s="28"/>
      <c r="D113" s="35"/>
      <c r="E113" s="28">
        <v>1</v>
      </c>
      <c r="F113" s="28"/>
      <c r="G113" s="28"/>
      <c r="H113" s="28"/>
      <c r="I113" s="24">
        <f>SUM(I105:I112)</f>
        <v>3777.6903000000002</v>
      </c>
    </row>
    <row r="114" spans="1:9">
      <c r="A114" s="21"/>
      <c r="B114" s="34" t="s">
        <v>78</v>
      </c>
      <c r="C114" s="12"/>
      <c r="D114" s="12"/>
      <c r="E114" s="29"/>
      <c r="F114" s="29"/>
      <c r="G114" s="30"/>
      <c r="H114" s="30"/>
      <c r="I114" s="14">
        <v>0</v>
      </c>
    </row>
    <row r="115" spans="1:9" ht="15.75" customHeight="1">
      <c r="A115" s="36"/>
      <c r="B115" s="33" t="s">
        <v>172</v>
      </c>
      <c r="C115" s="25"/>
      <c r="D115" s="25"/>
      <c r="E115" s="25"/>
      <c r="F115" s="25"/>
      <c r="G115" s="25"/>
      <c r="H115" s="25"/>
      <c r="I115" s="31">
        <f>I103+I113</f>
        <v>73842.3266</v>
      </c>
    </row>
    <row r="116" spans="1:9" ht="15.75">
      <c r="A116" s="154" t="s">
        <v>299</v>
      </c>
      <c r="B116" s="154"/>
      <c r="C116" s="154"/>
      <c r="D116" s="154"/>
      <c r="E116" s="154"/>
      <c r="F116" s="154"/>
      <c r="G116" s="154"/>
      <c r="H116" s="154"/>
      <c r="I116" s="154"/>
    </row>
    <row r="117" spans="1:9" ht="15.75">
      <c r="A117" s="48"/>
      <c r="B117" s="155" t="s">
        <v>300</v>
      </c>
      <c r="C117" s="155"/>
      <c r="D117" s="155"/>
      <c r="E117" s="155"/>
      <c r="F117" s="155"/>
      <c r="G117" s="155"/>
      <c r="H117" s="53"/>
      <c r="I117" s="2"/>
    </row>
    <row r="118" spans="1:9">
      <c r="A118" s="42"/>
      <c r="B118" s="156" t="s">
        <v>6</v>
      </c>
      <c r="C118" s="156"/>
      <c r="D118" s="156"/>
      <c r="E118" s="156"/>
      <c r="F118" s="156"/>
      <c r="G118" s="156"/>
      <c r="H118" s="16"/>
      <c r="I118" s="4"/>
    </row>
    <row r="119" spans="1:9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5.75" customHeight="1">
      <c r="A120" s="157" t="s">
        <v>7</v>
      </c>
      <c r="B120" s="157"/>
      <c r="C120" s="157"/>
      <c r="D120" s="157"/>
      <c r="E120" s="157"/>
      <c r="F120" s="157"/>
      <c r="G120" s="157"/>
      <c r="H120" s="157"/>
      <c r="I120" s="157"/>
    </row>
    <row r="121" spans="1:9" ht="15.75" customHeight="1">
      <c r="A121" s="157" t="s">
        <v>8</v>
      </c>
      <c r="B121" s="157"/>
      <c r="C121" s="157"/>
      <c r="D121" s="157"/>
      <c r="E121" s="157"/>
      <c r="F121" s="157"/>
      <c r="G121" s="157"/>
      <c r="H121" s="157"/>
      <c r="I121" s="157"/>
    </row>
    <row r="122" spans="1:9" ht="15.75" customHeight="1">
      <c r="A122" s="158" t="s">
        <v>60</v>
      </c>
      <c r="B122" s="158"/>
      <c r="C122" s="158"/>
      <c r="D122" s="158"/>
      <c r="E122" s="158"/>
      <c r="F122" s="158"/>
      <c r="G122" s="158"/>
      <c r="H122" s="158"/>
      <c r="I122" s="158"/>
    </row>
    <row r="123" spans="1:9" ht="7.5" customHeight="1">
      <c r="A123" s="8"/>
    </row>
    <row r="124" spans="1:9" ht="15.75" customHeight="1">
      <c r="A124" s="146" t="s">
        <v>9</v>
      </c>
      <c r="B124" s="146"/>
      <c r="C124" s="146"/>
      <c r="D124" s="146"/>
      <c r="E124" s="146"/>
      <c r="F124" s="146"/>
      <c r="G124" s="146"/>
      <c r="H124" s="146"/>
      <c r="I124" s="146"/>
    </row>
    <row r="125" spans="1:9" ht="15.75" customHeight="1">
      <c r="A125" s="3"/>
    </row>
    <row r="126" spans="1:9" ht="15.75" customHeight="1">
      <c r="B126" s="44" t="s">
        <v>10</v>
      </c>
      <c r="C126" s="163" t="s">
        <v>217</v>
      </c>
      <c r="D126" s="163"/>
      <c r="E126" s="163"/>
      <c r="F126" s="51"/>
      <c r="I126" s="46"/>
    </row>
    <row r="127" spans="1:9">
      <c r="A127" s="42"/>
      <c r="C127" s="156" t="s">
        <v>11</v>
      </c>
      <c r="D127" s="156"/>
      <c r="E127" s="156"/>
      <c r="F127" s="16"/>
      <c r="I127" s="47" t="s">
        <v>12</v>
      </c>
    </row>
    <row r="128" spans="1:9" ht="8.25" customHeight="1">
      <c r="A128" s="17"/>
      <c r="C128" s="9"/>
      <c r="D128" s="9"/>
      <c r="G128" s="9"/>
      <c r="H128" s="9"/>
    </row>
    <row r="129" spans="1:9" ht="15.75">
      <c r="B129" s="44" t="s">
        <v>13</v>
      </c>
      <c r="C129" s="164"/>
      <c r="D129" s="164"/>
      <c r="E129" s="164"/>
      <c r="F129" s="52"/>
      <c r="I129" s="46"/>
    </row>
    <row r="130" spans="1:9">
      <c r="A130" s="42"/>
      <c r="C130" s="165" t="s">
        <v>11</v>
      </c>
      <c r="D130" s="165"/>
      <c r="E130" s="165"/>
      <c r="F130" s="42"/>
      <c r="I130" s="47" t="s">
        <v>12</v>
      </c>
    </row>
    <row r="131" spans="1:9" ht="15.75">
      <c r="A131" s="3" t="s">
        <v>14</v>
      </c>
    </row>
    <row r="132" spans="1:9">
      <c r="A132" s="166" t="s">
        <v>15</v>
      </c>
      <c r="B132" s="166"/>
      <c r="C132" s="166"/>
      <c r="D132" s="166"/>
      <c r="E132" s="166"/>
      <c r="F132" s="166"/>
      <c r="G132" s="166"/>
      <c r="H132" s="166"/>
      <c r="I132" s="166"/>
    </row>
    <row r="133" spans="1:9" ht="45" customHeight="1">
      <c r="A133" s="162" t="s">
        <v>16</v>
      </c>
      <c r="B133" s="162"/>
      <c r="C133" s="162"/>
      <c r="D133" s="162"/>
      <c r="E133" s="162"/>
      <c r="F133" s="162"/>
      <c r="G133" s="162"/>
      <c r="H133" s="162"/>
      <c r="I133" s="162"/>
    </row>
    <row r="134" spans="1:9" ht="30" customHeight="1">
      <c r="A134" s="162" t="s">
        <v>17</v>
      </c>
      <c r="B134" s="162"/>
      <c r="C134" s="162"/>
      <c r="D134" s="162"/>
      <c r="E134" s="162"/>
      <c r="F134" s="162"/>
      <c r="G134" s="162"/>
      <c r="H134" s="162"/>
      <c r="I134" s="162"/>
    </row>
    <row r="135" spans="1:9" ht="30" customHeight="1">
      <c r="A135" s="162" t="s">
        <v>21</v>
      </c>
      <c r="B135" s="162"/>
      <c r="C135" s="162"/>
      <c r="D135" s="162"/>
      <c r="E135" s="162"/>
      <c r="F135" s="162"/>
      <c r="G135" s="162"/>
      <c r="H135" s="162"/>
      <c r="I135" s="162"/>
    </row>
    <row r="136" spans="1:9" ht="15" customHeight="1">
      <c r="A136" s="162" t="s">
        <v>20</v>
      </c>
      <c r="B136" s="162"/>
      <c r="C136" s="162"/>
      <c r="D136" s="162"/>
      <c r="E136" s="162"/>
      <c r="F136" s="162"/>
      <c r="G136" s="162"/>
      <c r="H136" s="162"/>
      <c r="I136" s="162"/>
    </row>
  </sheetData>
  <mergeCells count="28">
    <mergeCell ref="A134:I134"/>
    <mergeCell ref="A135:I135"/>
    <mergeCell ref="A136:I136"/>
    <mergeCell ref="C126:E126"/>
    <mergeCell ref="C127:E127"/>
    <mergeCell ref="C129:E129"/>
    <mergeCell ref="C130:E130"/>
    <mergeCell ref="A132:I132"/>
    <mergeCell ref="A133:I133"/>
    <mergeCell ref="A124:I124"/>
    <mergeCell ref="A15:I15"/>
    <mergeCell ref="A28:I28"/>
    <mergeCell ref="A44:I44"/>
    <mergeCell ref="A56:I56"/>
    <mergeCell ref="A100:I100"/>
    <mergeCell ref="A116:I116"/>
    <mergeCell ref="B117:G117"/>
    <mergeCell ref="B118:G118"/>
    <mergeCell ref="A120:I120"/>
    <mergeCell ref="A121:I121"/>
    <mergeCell ref="A122:I122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7"/>
  <sheetViews>
    <sheetView topLeftCell="A78" workbookViewId="0">
      <selection activeCell="B62" sqref="B62:I6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176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301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78"/>
      <c r="C6" s="78"/>
      <c r="D6" s="78"/>
      <c r="E6" s="78"/>
      <c r="F6" s="78"/>
      <c r="G6" s="78"/>
      <c r="H6" s="78"/>
      <c r="I6" s="22">
        <v>44530</v>
      </c>
    </row>
    <row r="7" spans="1:9" ht="15.75">
      <c r="B7" s="80"/>
      <c r="C7" s="80"/>
      <c r="D7" s="80"/>
      <c r="E7" s="2"/>
      <c r="F7" s="2"/>
      <c r="G7" s="2"/>
      <c r="H7" s="2"/>
    </row>
    <row r="8" spans="1:9" ht="78.75" customHeight="1">
      <c r="A8" s="144" t="s">
        <v>210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214</v>
      </c>
      <c r="E16" s="88">
        <v>70.7</v>
      </c>
      <c r="F16" s="89">
        <f>SUM(E16*156/100)</f>
        <v>110.292</v>
      </c>
      <c r="G16" s="89">
        <v>261.45</v>
      </c>
      <c r="H16" s="55">
        <f t="shared" ref="H16:H18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191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194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F18/18*G18</f>
        <v>2658.8856000000001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108</v>
      </c>
      <c r="E19" s="54">
        <v>40</v>
      </c>
      <c r="F19" s="41">
        <f>SUM(E19/10)</f>
        <v>4</v>
      </c>
      <c r="G19" s="41">
        <v>193.55</v>
      </c>
      <c r="H19" s="55">
        <f t="shared" ref="H19:H26" si="1">SUM(F19*G19/1000)</f>
        <v>0.7742</v>
      </c>
      <c r="I19" s="10">
        <v>0</v>
      </c>
    </row>
    <row r="20" spans="1:9" ht="15.75" hidden="1" customHeight="1">
      <c r="A20" s="21"/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41">
        <v>324.83999999999997</v>
      </c>
      <c r="H20" s="55">
        <f t="shared" si="1"/>
        <v>6.8216399999999996E-2</v>
      </c>
      <c r="I20" s="10">
        <f>G20*F20/2</f>
        <v>34.108199999999997</v>
      </c>
    </row>
    <row r="21" spans="1:9" ht="15.75" hidden="1" customHeight="1">
      <c r="A21" s="21"/>
      <c r="B21" s="39" t="s">
        <v>110</v>
      </c>
      <c r="C21" s="40" t="s">
        <v>84</v>
      </c>
      <c r="D21" s="39" t="s">
        <v>194</v>
      </c>
      <c r="E21" s="88">
        <v>2.7</v>
      </c>
      <c r="F21" s="89">
        <f>SUM(E21*2/100)</f>
        <v>5.4000000000000006E-2</v>
      </c>
      <c r="G21" s="89">
        <v>322.20999999999998</v>
      </c>
      <c r="H21" s="55">
        <f t="shared" si="1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111</v>
      </c>
      <c r="C22" s="40" t="s">
        <v>52</v>
      </c>
      <c r="D22" s="39" t="s">
        <v>108</v>
      </c>
      <c r="E22" s="54">
        <v>357</v>
      </c>
      <c r="F22" s="41">
        <f>SUM(E22/100)</f>
        <v>3.57</v>
      </c>
      <c r="G22" s="41">
        <v>306.26</v>
      </c>
      <c r="H22" s="55">
        <f t="shared" si="1"/>
        <v>1.0933481999999999</v>
      </c>
      <c r="I22" s="10">
        <v>0</v>
      </c>
    </row>
    <row r="23" spans="1:9" ht="15.75" hidden="1" customHeight="1">
      <c r="A23" s="21"/>
      <c r="B23" s="39" t="s">
        <v>112</v>
      </c>
      <c r="C23" s="40" t="s">
        <v>52</v>
      </c>
      <c r="D23" s="39" t="s">
        <v>108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1"/>
        <v>1.9462968000000001E-2</v>
      </c>
      <c r="I23" s="10">
        <v>0</v>
      </c>
    </row>
    <row r="24" spans="1:9" ht="15.75" hidden="1" customHeight="1">
      <c r="A24" s="21"/>
      <c r="B24" s="39" t="s">
        <v>113</v>
      </c>
      <c r="C24" s="40" t="s">
        <v>52</v>
      </c>
      <c r="D24" s="39" t="s">
        <v>118</v>
      </c>
      <c r="E24" s="54">
        <v>15</v>
      </c>
      <c r="F24" s="41">
        <f>E24/100</f>
        <v>0.15</v>
      </c>
      <c r="G24" s="41">
        <v>443.27</v>
      </c>
      <c r="H24" s="55">
        <f t="shared" si="1"/>
        <v>6.6490499999999994E-2</v>
      </c>
      <c r="I24" s="10">
        <v>0</v>
      </c>
    </row>
    <row r="25" spans="1:9" ht="15.75" hidden="1" customHeight="1">
      <c r="A25" s="21"/>
      <c r="B25" s="39" t="s">
        <v>119</v>
      </c>
      <c r="C25" s="40" t="s">
        <v>84</v>
      </c>
      <c r="D25" s="39" t="s">
        <v>53</v>
      </c>
      <c r="E25" s="54">
        <v>14.25</v>
      </c>
      <c r="F25" s="41">
        <v>0.1</v>
      </c>
      <c r="G25" s="41">
        <v>245.81</v>
      </c>
      <c r="H25" s="55">
        <v>3.1E-2</v>
      </c>
      <c r="I25" s="10">
        <v>0</v>
      </c>
    </row>
    <row r="26" spans="1:9" ht="15.75" hidden="1" customHeight="1">
      <c r="A26" s="21"/>
      <c r="B26" s="39" t="s">
        <v>120</v>
      </c>
      <c r="C26" s="40" t="s">
        <v>52</v>
      </c>
      <c r="D26" s="39" t="s">
        <v>108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1"/>
        <v>3.7793205999999996E-2</v>
      </c>
      <c r="I26" s="10">
        <v>0</v>
      </c>
    </row>
    <row r="27" spans="1:9" ht="15.75" hidden="1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10.81</v>
      </c>
      <c r="H27" s="55">
        <f>SUM(F27*G27/1000)</f>
        <v>14.5584756</v>
      </c>
      <c r="I27" s="10">
        <f>F27/12*G27</f>
        <v>1213.2063000000001</v>
      </c>
    </row>
    <row r="28" spans="1:9" ht="15.75" hidden="1" customHeight="1">
      <c r="A28" s="21">
        <v>5</v>
      </c>
      <c r="B28" s="60" t="s">
        <v>23</v>
      </c>
      <c r="C28" s="40" t="s">
        <v>24</v>
      </c>
      <c r="D28" s="39"/>
      <c r="E28" s="54">
        <v>2661.7</v>
      </c>
      <c r="F28" s="41">
        <f>SUM(E28*12)</f>
        <v>31940.399999999998</v>
      </c>
      <c r="G28" s="41">
        <v>5.58</v>
      </c>
      <c r="H28" s="55">
        <f>SUM(F28*G28/1000)</f>
        <v>178.22743199999999</v>
      </c>
      <c r="I28" s="10">
        <f>F28/12*G28</f>
        <v>14852.286</v>
      </c>
    </row>
    <row r="29" spans="1:9" ht="15.75" customHeight="1">
      <c r="A29" s="147" t="s">
        <v>83</v>
      </c>
      <c r="B29" s="147"/>
      <c r="C29" s="147"/>
      <c r="D29" s="147"/>
      <c r="E29" s="147"/>
      <c r="F29" s="147"/>
      <c r="G29" s="147"/>
      <c r="H29" s="147"/>
      <c r="I29" s="147"/>
    </row>
    <row r="30" spans="1:9" ht="15.75" hidden="1" customHeight="1">
      <c r="A30" s="21"/>
      <c r="B30" s="74" t="s">
        <v>28</v>
      </c>
      <c r="C30" s="40"/>
      <c r="D30" s="39"/>
      <c r="E30" s="54"/>
      <c r="F30" s="41"/>
      <c r="G30" s="41"/>
      <c r="H30" s="55"/>
      <c r="I30" s="58"/>
    </row>
    <row r="31" spans="1:9" ht="15.75" hidden="1" customHeight="1">
      <c r="A31" s="21">
        <v>6</v>
      </c>
      <c r="B31" s="39" t="s">
        <v>92</v>
      </c>
      <c r="C31" s="40" t="s">
        <v>86</v>
      </c>
      <c r="D31" s="39" t="s">
        <v>174</v>
      </c>
      <c r="E31" s="41">
        <v>573.6</v>
      </c>
      <c r="F31" s="41">
        <f>SUM(E31*52/1000)</f>
        <v>29.827200000000001</v>
      </c>
      <c r="G31" s="41">
        <v>177.3</v>
      </c>
      <c r="H31" s="55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1">
        <v>7</v>
      </c>
      <c r="B32" s="39" t="s">
        <v>159</v>
      </c>
      <c r="C32" s="40" t="s">
        <v>86</v>
      </c>
      <c r="D32" s="39" t="s">
        <v>175</v>
      </c>
      <c r="E32" s="41">
        <v>200</v>
      </c>
      <c r="F32" s="41">
        <f>SUM(E32*78/1000)</f>
        <v>15.6</v>
      </c>
      <c r="G32" s="41">
        <v>294.17</v>
      </c>
      <c r="H32" s="55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39" t="s">
        <v>27</v>
      </c>
      <c r="C33" s="40" t="s">
        <v>86</v>
      </c>
      <c r="D33" s="39" t="s">
        <v>53</v>
      </c>
      <c r="E33" s="41">
        <v>573.6</v>
      </c>
      <c r="F33" s="41">
        <f>SUM(E33/1000)</f>
        <v>0.5736</v>
      </c>
      <c r="G33" s="41">
        <v>3435.36</v>
      </c>
      <c r="H33" s="55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39" t="s">
        <v>123</v>
      </c>
      <c r="C34" s="40" t="s">
        <v>40</v>
      </c>
      <c r="D34" s="39" t="s">
        <v>62</v>
      </c>
      <c r="E34" s="41">
        <v>1</v>
      </c>
      <c r="F34" s="41">
        <v>1.55</v>
      </c>
      <c r="G34" s="41">
        <v>1480.94</v>
      </c>
      <c r="H34" s="55">
        <f>G34*F34/1000</f>
        <v>2.2954570000000003</v>
      </c>
      <c r="I34" s="10">
        <f t="shared" si="3"/>
        <v>382.57616666666672</v>
      </c>
    </row>
    <row r="35" spans="1:9" ht="15.75" hidden="1" customHeight="1">
      <c r="A35" s="21">
        <v>9</v>
      </c>
      <c r="B35" s="39" t="s">
        <v>91</v>
      </c>
      <c r="C35" s="40" t="s">
        <v>30</v>
      </c>
      <c r="D35" s="39" t="s">
        <v>62</v>
      </c>
      <c r="E35" s="59">
        <v>0.33333333333333331</v>
      </c>
      <c r="F35" s="41">
        <f>155/3</f>
        <v>51.666666666666664</v>
      </c>
      <c r="G35" s="41">
        <v>64.48</v>
      </c>
      <c r="H35" s="55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39" t="s">
        <v>63</v>
      </c>
      <c r="C36" s="40" t="s">
        <v>32</v>
      </c>
      <c r="D36" s="39" t="s">
        <v>65</v>
      </c>
      <c r="E36" s="54"/>
      <c r="F36" s="41">
        <v>3</v>
      </c>
      <c r="G36" s="41">
        <v>217.61</v>
      </c>
      <c r="H36" s="55">
        <f t="shared" si="2"/>
        <v>0.65283000000000002</v>
      </c>
      <c r="I36" s="10">
        <v>0</v>
      </c>
    </row>
    <row r="37" spans="1:9" ht="15.75" hidden="1" customHeight="1">
      <c r="A37" s="21"/>
      <c r="B37" s="39" t="s">
        <v>64</v>
      </c>
      <c r="C37" s="40" t="s">
        <v>31</v>
      </c>
      <c r="D37" s="39" t="s">
        <v>65</v>
      </c>
      <c r="E37" s="54"/>
      <c r="F37" s="41">
        <v>2</v>
      </c>
      <c r="G37" s="41">
        <v>1292.47</v>
      </c>
      <c r="H37" s="55">
        <f t="shared" si="2"/>
        <v>2.58494</v>
      </c>
      <c r="I37" s="10">
        <v>0</v>
      </c>
    </row>
    <row r="38" spans="1:9" ht="15.75" customHeight="1">
      <c r="A38" s="21"/>
      <c r="B38" s="74" t="s">
        <v>5</v>
      </c>
      <c r="C38" s="40"/>
      <c r="D38" s="39"/>
      <c r="E38" s="54"/>
      <c r="F38" s="41"/>
      <c r="G38" s="41"/>
      <c r="H38" s="55" t="s">
        <v>155</v>
      </c>
      <c r="I38" s="58"/>
    </row>
    <row r="39" spans="1:9" ht="18.75" customHeight="1">
      <c r="A39" s="21">
        <v>4</v>
      </c>
      <c r="B39" s="130" t="s">
        <v>26</v>
      </c>
      <c r="C39" s="87" t="s">
        <v>31</v>
      </c>
      <c r="D39" s="86" t="s">
        <v>302</v>
      </c>
      <c r="E39" s="88"/>
      <c r="F39" s="89">
        <v>8</v>
      </c>
      <c r="G39" s="89">
        <v>1930</v>
      </c>
      <c r="H39" s="55">
        <f t="shared" ref="H39:H45" si="4">SUM(F39*G39/1000)</f>
        <v>15.44</v>
      </c>
      <c r="I39" s="10">
        <f>G39*0.5</f>
        <v>965</v>
      </c>
    </row>
    <row r="40" spans="1:9" ht="15.75" customHeight="1">
      <c r="A40" s="21">
        <v>5</v>
      </c>
      <c r="B40" s="130" t="s">
        <v>66</v>
      </c>
      <c r="C40" s="131" t="s">
        <v>29</v>
      </c>
      <c r="D40" s="130" t="s">
        <v>219</v>
      </c>
      <c r="E40" s="132">
        <v>200</v>
      </c>
      <c r="F40" s="132">
        <f>SUM(E40*24/1000)</f>
        <v>4.8</v>
      </c>
      <c r="G40" s="132">
        <v>3134.93</v>
      </c>
      <c r="H40" s="55">
        <f t="shared" si="4"/>
        <v>15.047663999999999</v>
      </c>
      <c r="I40" s="10">
        <f>F40/6*G40</f>
        <v>2507.9439999999995</v>
      </c>
    </row>
    <row r="41" spans="1:9" ht="15.75" hidden="1" customHeight="1">
      <c r="A41" s="21"/>
      <c r="B41" s="86" t="s">
        <v>124</v>
      </c>
      <c r="C41" s="87" t="s">
        <v>54</v>
      </c>
      <c r="D41" s="86"/>
      <c r="E41" s="88"/>
      <c r="F41" s="132">
        <v>65</v>
      </c>
      <c r="G41" s="89">
        <v>343</v>
      </c>
      <c r="H41" s="55">
        <f t="shared" si="4"/>
        <v>22.295000000000002</v>
      </c>
      <c r="I41" s="10">
        <v>0</v>
      </c>
    </row>
    <row r="42" spans="1:9" ht="15.75" customHeight="1">
      <c r="A42" s="21">
        <v>6</v>
      </c>
      <c r="B42" s="86" t="s">
        <v>67</v>
      </c>
      <c r="C42" s="87" t="s">
        <v>29</v>
      </c>
      <c r="D42" s="86" t="s">
        <v>192</v>
      </c>
      <c r="E42" s="89">
        <v>60</v>
      </c>
      <c r="F42" s="132">
        <f>SUM(E42*155/1000)</f>
        <v>9.3000000000000007</v>
      </c>
      <c r="G42" s="89">
        <v>522.92999999999995</v>
      </c>
      <c r="H42" s="55">
        <f t="shared" si="4"/>
        <v>4.8632489999999997</v>
      </c>
      <c r="I42" s="10">
        <f t="shared" ref="I42:I43" si="5">F42/6*G42</f>
        <v>810.54149999999993</v>
      </c>
    </row>
    <row r="43" spans="1:9" ht="47.25" customHeight="1">
      <c r="A43" s="21">
        <v>7</v>
      </c>
      <c r="B43" s="86" t="s">
        <v>82</v>
      </c>
      <c r="C43" s="87" t="s">
        <v>86</v>
      </c>
      <c r="D43" s="86" t="s">
        <v>193</v>
      </c>
      <c r="E43" s="89">
        <v>40.9</v>
      </c>
      <c r="F43" s="132">
        <f>SUM(E43*35/1000)</f>
        <v>1.4315</v>
      </c>
      <c r="G43" s="89">
        <v>8652.07</v>
      </c>
      <c r="H43" s="55">
        <f t="shared" si="4"/>
        <v>12.385438205</v>
      </c>
      <c r="I43" s="10">
        <f t="shared" si="5"/>
        <v>2064.2397008333332</v>
      </c>
    </row>
    <row r="44" spans="1:9" ht="15.75" hidden="1" customHeight="1">
      <c r="A44" s="21">
        <v>9</v>
      </c>
      <c r="B44" s="86" t="s">
        <v>87</v>
      </c>
      <c r="C44" s="87" t="s">
        <v>86</v>
      </c>
      <c r="D44" s="86" t="s">
        <v>68</v>
      </c>
      <c r="E44" s="89">
        <v>60</v>
      </c>
      <c r="F44" s="132">
        <f>SUM(E44*45/1000)</f>
        <v>2.7</v>
      </c>
      <c r="G44" s="89">
        <v>639.14</v>
      </c>
      <c r="H44" s="55">
        <f t="shared" si="4"/>
        <v>1.725678</v>
      </c>
      <c r="I44" s="10">
        <f>F44/7.5*G44</f>
        <v>230.09040000000002</v>
      </c>
    </row>
    <row r="45" spans="1:9" ht="15.75" hidden="1" customHeight="1">
      <c r="A45" s="21">
        <v>10</v>
      </c>
      <c r="B45" s="130" t="s">
        <v>69</v>
      </c>
      <c r="C45" s="131" t="s">
        <v>32</v>
      </c>
      <c r="D45" s="130"/>
      <c r="E45" s="113"/>
      <c r="F45" s="132">
        <v>0.9</v>
      </c>
      <c r="G45" s="132">
        <v>900</v>
      </c>
      <c r="H45" s="55">
        <f t="shared" si="4"/>
        <v>0.81</v>
      </c>
      <c r="I45" s="10">
        <f>F45/7.5*G45</f>
        <v>108.00000000000001</v>
      </c>
    </row>
    <row r="46" spans="1:9" ht="31.5" customHeight="1">
      <c r="A46" s="118">
        <v>8</v>
      </c>
      <c r="B46" s="86" t="s">
        <v>218</v>
      </c>
      <c r="C46" s="87" t="s">
        <v>29</v>
      </c>
      <c r="D46" s="86" t="s">
        <v>220</v>
      </c>
      <c r="E46" s="88">
        <v>3</v>
      </c>
      <c r="F46" s="89">
        <f>E46*12/1000</f>
        <v>3.5999999999999997E-2</v>
      </c>
      <c r="G46" s="89">
        <v>20547.34</v>
      </c>
      <c r="H46" s="49"/>
      <c r="I46" s="129">
        <f>G46*F46/6</f>
        <v>123.28403999999999</v>
      </c>
    </row>
    <row r="47" spans="1:9" ht="15.75" hidden="1" customHeight="1">
      <c r="A47" s="148" t="s">
        <v>148</v>
      </c>
      <c r="B47" s="149"/>
      <c r="C47" s="149"/>
      <c r="D47" s="149"/>
      <c r="E47" s="149"/>
      <c r="F47" s="149"/>
      <c r="G47" s="149"/>
      <c r="H47" s="149"/>
      <c r="I47" s="150"/>
    </row>
    <row r="48" spans="1:9" ht="15.75" hidden="1" customHeight="1">
      <c r="A48" s="21"/>
      <c r="B48" s="39" t="s">
        <v>156</v>
      </c>
      <c r="C48" s="40" t="s">
        <v>86</v>
      </c>
      <c r="D48" s="39" t="s">
        <v>42</v>
      </c>
      <c r="E48" s="54">
        <v>1300.5</v>
      </c>
      <c r="F48" s="41">
        <f>SUM(E48/1000)*2</f>
        <v>2.601</v>
      </c>
      <c r="G48" s="10">
        <v>1173.18</v>
      </c>
      <c r="H48" s="55">
        <f t="shared" ref="H48:H58" si="6">SUM(F48*G48/1000)</f>
        <v>3.0514411800000003</v>
      </c>
      <c r="I48" s="10">
        <v>0</v>
      </c>
    </row>
    <row r="49" spans="1:9" ht="15.75" hidden="1" customHeight="1">
      <c r="A49" s="21"/>
      <c r="B49" s="39" t="s">
        <v>35</v>
      </c>
      <c r="C49" s="40" t="s">
        <v>86</v>
      </c>
      <c r="D49" s="39" t="s">
        <v>42</v>
      </c>
      <c r="E49" s="54">
        <v>52</v>
      </c>
      <c r="F49" s="41">
        <f>SUM(E49*2/1000)</f>
        <v>0.104</v>
      </c>
      <c r="G49" s="10">
        <v>659.09</v>
      </c>
      <c r="H49" s="55">
        <f t="shared" si="6"/>
        <v>6.854536E-2</v>
      </c>
      <c r="I49" s="10">
        <v>0</v>
      </c>
    </row>
    <row r="50" spans="1:9" ht="15.75" hidden="1" customHeight="1">
      <c r="A50" s="21"/>
      <c r="B50" s="39" t="s">
        <v>36</v>
      </c>
      <c r="C50" s="40" t="s">
        <v>86</v>
      </c>
      <c r="D50" s="39" t="s">
        <v>42</v>
      </c>
      <c r="E50" s="54">
        <v>1483.1</v>
      </c>
      <c r="F50" s="41">
        <f>SUM(E50*2/1000)</f>
        <v>2.9661999999999997</v>
      </c>
      <c r="G50" s="10">
        <v>1564.24</v>
      </c>
      <c r="H50" s="55">
        <f t="shared" si="6"/>
        <v>4.6398486879999998</v>
      </c>
      <c r="I50" s="10">
        <v>0</v>
      </c>
    </row>
    <row r="51" spans="1:9" ht="15.75" hidden="1" customHeight="1">
      <c r="A51" s="21"/>
      <c r="B51" s="39" t="s">
        <v>37</v>
      </c>
      <c r="C51" s="40" t="s">
        <v>86</v>
      </c>
      <c r="D51" s="39" t="s">
        <v>42</v>
      </c>
      <c r="E51" s="54">
        <v>2320</v>
      </c>
      <c r="F51" s="41">
        <f>SUM(E51*2/1000)</f>
        <v>4.6399999999999997</v>
      </c>
      <c r="G51" s="10">
        <v>1078.3599999999999</v>
      </c>
      <c r="H51" s="55">
        <f t="shared" si="6"/>
        <v>5.0035903999999993</v>
      </c>
      <c r="I51" s="10">
        <v>0</v>
      </c>
    </row>
    <row r="52" spans="1:9" ht="15.75" hidden="1" customHeight="1">
      <c r="A52" s="21"/>
      <c r="B52" s="39" t="s">
        <v>33</v>
      </c>
      <c r="C52" s="40" t="s">
        <v>34</v>
      </c>
      <c r="D52" s="39" t="s">
        <v>42</v>
      </c>
      <c r="E52" s="54">
        <v>91.84</v>
      </c>
      <c r="F52" s="41">
        <f>SUM(E52*2/100)</f>
        <v>1.8368</v>
      </c>
      <c r="G52" s="10">
        <v>82.82</v>
      </c>
      <c r="H52" s="55">
        <f t="shared" si="6"/>
        <v>0.15212377599999999</v>
      </c>
      <c r="I52" s="10">
        <v>0</v>
      </c>
    </row>
    <row r="53" spans="1:9" ht="15.75" hidden="1" customHeight="1">
      <c r="A53" s="21">
        <v>12</v>
      </c>
      <c r="B53" s="39" t="s">
        <v>55</v>
      </c>
      <c r="C53" s="40" t="s">
        <v>86</v>
      </c>
      <c r="D53" s="39" t="s">
        <v>160</v>
      </c>
      <c r="E53" s="54">
        <v>1040.4000000000001</v>
      </c>
      <c r="F53" s="41">
        <f>SUM(E53*5/1000)</f>
        <v>5.202</v>
      </c>
      <c r="G53" s="10">
        <v>1564.24</v>
      </c>
      <c r="H53" s="55">
        <f>SUM(F53*G53/1000)</f>
        <v>8.1371764800000008</v>
      </c>
      <c r="I53" s="10">
        <f>F53/5*G53</f>
        <v>1627.4352960000001</v>
      </c>
    </row>
    <row r="54" spans="1:9" ht="31.5" hidden="1" customHeight="1">
      <c r="A54" s="21">
        <v>10</v>
      </c>
      <c r="B54" s="39" t="s">
        <v>88</v>
      </c>
      <c r="C54" s="40" t="s">
        <v>86</v>
      </c>
      <c r="D54" s="39" t="s">
        <v>42</v>
      </c>
      <c r="E54" s="54">
        <v>1040.4000000000001</v>
      </c>
      <c r="F54" s="41">
        <f>SUM(E54*2/1000)</f>
        <v>2.0808</v>
      </c>
      <c r="G54" s="10">
        <v>1380.31</v>
      </c>
      <c r="H54" s="55">
        <f t="shared" si="6"/>
        <v>2.8721490479999998</v>
      </c>
      <c r="I54" s="10">
        <f>F54/2*G54</f>
        <v>1436.0745239999999</v>
      </c>
    </row>
    <row r="55" spans="1:9" ht="31.5" hidden="1" customHeight="1">
      <c r="A55" s="21">
        <v>11</v>
      </c>
      <c r="B55" s="39" t="s">
        <v>89</v>
      </c>
      <c r="C55" s="40" t="s">
        <v>38</v>
      </c>
      <c r="D55" s="39" t="s">
        <v>42</v>
      </c>
      <c r="E55" s="54">
        <v>20</v>
      </c>
      <c r="F55" s="41">
        <f>SUM(E55*2/100)</f>
        <v>0.4</v>
      </c>
      <c r="G55" s="10">
        <v>3519.56</v>
      </c>
      <c r="H55" s="55">
        <f t="shared" si="6"/>
        <v>1.407824</v>
      </c>
      <c r="I55" s="10">
        <f t="shared" ref="I55:I56" si="7">F55/2*G55</f>
        <v>703.91200000000003</v>
      </c>
    </row>
    <row r="56" spans="1:9" ht="15.75" hidden="1" customHeight="1">
      <c r="A56" s="21">
        <v>12</v>
      </c>
      <c r="B56" s="39" t="s">
        <v>39</v>
      </c>
      <c r="C56" s="40" t="s">
        <v>40</v>
      </c>
      <c r="D56" s="39" t="s">
        <v>42</v>
      </c>
      <c r="E56" s="54">
        <v>1</v>
      </c>
      <c r="F56" s="41">
        <v>0.02</v>
      </c>
      <c r="G56" s="10">
        <v>6428.82</v>
      </c>
      <c r="H56" s="55">
        <f t="shared" si="6"/>
        <v>0.12857640000000001</v>
      </c>
      <c r="I56" s="10">
        <f t="shared" si="7"/>
        <v>64.288200000000003</v>
      </c>
    </row>
    <row r="57" spans="1:9" ht="15.75" hidden="1" customHeight="1">
      <c r="A57" s="21">
        <v>9</v>
      </c>
      <c r="B57" s="39" t="s">
        <v>98</v>
      </c>
      <c r="C57" s="40" t="s">
        <v>93</v>
      </c>
      <c r="D57" s="114">
        <v>44154</v>
      </c>
      <c r="E57" s="54">
        <v>56</v>
      </c>
      <c r="F57" s="41">
        <f>SUM(E57*3)</f>
        <v>168</v>
      </c>
      <c r="G57" s="126">
        <v>210.4</v>
      </c>
      <c r="H57" s="55">
        <f t="shared" si="6"/>
        <v>35.347200000000001</v>
      </c>
      <c r="I57" s="10">
        <f>E57*G57</f>
        <v>11782.4</v>
      </c>
    </row>
    <row r="58" spans="1:9" ht="15.75" hidden="1" customHeight="1">
      <c r="A58" s="21">
        <v>10</v>
      </c>
      <c r="B58" s="39" t="s">
        <v>41</v>
      </c>
      <c r="C58" s="40" t="s">
        <v>93</v>
      </c>
      <c r="D58" s="114">
        <v>44154</v>
      </c>
      <c r="E58" s="54">
        <v>112</v>
      </c>
      <c r="F58" s="41">
        <f>SUM(E58)*3</f>
        <v>336</v>
      </c>
      <c r="G58" s="126">
        <v>97.93</v>
      </c>
      <c r="H58" s="55">
        <f t="shared" si="6"/>
        <v>32.904480000000007</v>
      </c>
      <c r="I58" s="10">
        <f>E58*G58</f>
        <v>10968.16</v>
      </c>
    </row>
    <row r="59" spans="1:9" ht="15.75" customHeight="1">
      <c r="A59" s="148" t="s">
        <v>151</v>
      </c>
      <c r="B59" s="149"/>
      <c r="C59" s="149"/>
      <c r="D59" s="149"/>
      <c r="E59" s="149"/>
      <c r="F59" s="149"/>
      <c r="G59" s="149"/>
      <c r="H59" s="149"/>
      <c r="I59" s="150"/>
    </row>
    <row r="60" spans="1:9" ht="15.75" customHeight="1">
      <c r="A60" s="21"/>
      <c r="B60" s="74" t="s">
        <v>43</v>
      </c>
      <c r="C60" s="40"/>
      <c r="D60" s="39"/>
      <c r="E60" s="54"/>
      <c r="F60" s="41"/>
      <c r="G60" s="41"/>
      <c r="H60" s="55"/>
      <c r="I60" s="58"/>
    </row>
    <row r="61" spans="1:9" ht="31.5" hidden="1" customHeight="1">
      <c r="A61" s="21">
        <v>12</v>
      </c>
      <c r="B61" s="39" t="s">
        <v>101</v>
      </c>
      <c r="C61" s="40" t="s">
        <v>84</v>
      </c>
      <c r="D61" s="39" t="s">
        <v>157</v>
      </c>
      <c r="E61" s="54">
        <v>142.05000000000001</v>
      </c>
      <c r="F61" s="41">
        <f>SUM(E61*6/100)</f>
        <v>8.5230000000000015</v>
      </c>
      <c r="G61" s="10">
        <v>2108.4299999999998</v>
      </c>
      <c r="H61" s="55">
        <f>SUM(F61*G61/1000)</f>
        <v>17.970148890000001</v>
      </c>
      <c r="I61" s="10">
        <f>F61/6*G61</f>
        <v>2995.0248150000002</v>
      </c>
    </row>
    <row r="62" spans="1:9" ht="31.5" customHeight="1">
      <c r="A62" s="21">
        <v>9</v>
      </c>
      <c r="B62" s="86" t="s">
        <v>224</v>
      </c>
      <c r="C62" s="87" t="s">
        <v>52</v>
      </c>
      <c r="D62" s="86"/>
      <c r="E62" s="88">
        <v>4.62</v>
      </c>
      <c r="F62" s="91">
        <f>E62*12/100</f>
        <v>0.5544</v>
      </c>
      <c r="G62" s="26">
        <v>2306.83</v>
      </c>
      <c r="H62" s="61"/>
      <c r="I62" s="10">
        <f>G62*F62/6</f>
        <v>213.15109199999998</v>
      </c>
    </row>
    <row r="63" spans="1:9" ht="15.75" customHeight="1">
      <c r="A63" s="21"/>
      <c r="B63" s="74" t="s">
        <v>44</v>
      </c>
      <c r="C63" s="40"/>
      <c r="D63" s="39"/>
      <c r="E63" s="54"/>
      <c r="F63" s="55"/>
      <c r="G63" s="10"/>
      <c r="H63" s="61"/>
      <c r="I63" s="58"/>
    </row>
    <row r="64" spans="1:9" ht="15.75" hidden="1" customHeight="1">
      <c r="A64" s="21"/>
      <c r="B64" s="39" t="s">
        <v>158</v>
      </c>
      <c r="C64" s="40" t="s">
        <v>84</v>
      </c>
      <c r="D64" s="39" t="s">
        <v>53</v>
      </c>
      <c r="E64" s="54">
        <v>1040.4000000000001</v>
      </c>
      <c r="F64" s="55">
        <f>E64/100</f>
        <v>10.404000000000002</v>
      </c>
      <c r="G64" s="10">
        <v>902.66</v>
      </c>
      <c r="H64" s="61">
        <f>G64*F64/1000</f>
        <v>9.3912746400000007</v>
      </c>
      <c r="I64" s="10">
        <v>0</v>
      </c>
    </row>
    <row r="65" spans="1:9" ht="15.75" customHeight="1">
      <c r="A65" s="21">
        <v>10</v>
      </c>
      <c r="B65" s="39" t="s">
        <v>126</v>
      </c>
      <c r="C65" s="40" t="s">
        <v>25</v>
      </c>
      <c r="D65" s="39" t="s">
        <v>194</v>
      </c>
      <c r="E65" s="54">
        <v>240</v>
      </c>
      <c r="F65" s="41">
        <v>2400</v>
      </c>
      <c r="G65" s="49">
        <v>1.4</v>
      </c>
      <c r="H65" s="55">
        <f>F65*G65/1000</f>
        <v>3.36</v>
      </c>
      <c r="I65" s="10">
        <f>F65/12*G65</f>
        <v>280</v>
      </c>
    </row>
    <row r="66" spans="1:9" ht="15.75" customHeight="1">
      <c r="A66" s="21"/>
      <c r="B66" s="75" t="s">
        <v>45</v>
      </c>
      <c r="C66" s="62"/>
      <c r="D66" s="63"/>
      <c r="E66" s="64"/>
      <c r="F66" s="65"/>
      <c r="G66" s="65"/>
      <c r="H66" s="66" t="s">
        <v>155</v>
      </c>
      <c r="I66" s="58"/>
    </row>
    <row r="67" spans="1:9" ht="15.75" hidden="1" customHeight="1">
      <c r="A67" s="21">
        <v>12</v>
      </c>
      <c r="B67" s="11" t="s">
        <v>46</v>
      </c>
      <c r="C67" s="13" t="s">
        <v>40</v>
      </c>
      <c r="D67" s="39" t="s">
        <v>65</v>
      </c>
      <c r="E67" s="15">
        <v>15</v>
      </c>
      <c r="F67" s="41">
        <f>15/100</f>
        <v>0.15</v>
      </c>
      <c r="G67" s="10">
        <v>252.96</v>
      </c>
      <c r="H67" s="67">
        <f t="shared" ref="H67:H86" si="8">SUM(F67*G67/1000)</f>
        <v>3.7944000000000006E-2</v>
      </c>
      <c r="I67" s="10">
        <f>G67*2</f>
        <v>505.92</v>
      </c>
    </row>
    <row r="68" spans="1:9" ht="17.25" customHeight="1">
      <c r="A68" s="21">
        <v>11</v>
      </c>
      <c r="B68" s="11" t="s">
        <v>47</v>
      </c>
      <c r="C68" s="13" t="s">
        <v>40</v>
      </c>
      <c r="D68" s="39" t="s">
        <v>303</v>
      </c>
      <c r="E68" s="15">
        <v>10</v>
      </c>
      <c r="F68" s="41">
        <f>10/100</f>
        <v>0.1</v>
      </c>
      <c r="G68" s="115">
        <v>113.69</v>
      </c>
      <c r="H68" s="67">
        <f t="shared" si="8"/>
        <v>1.1369000000000001E-2</v>
      </c>
      <c r="I68" s="10">
        <f>G68*8</f>
        <v>909.52</v>
      </c>
    </row>
    <row r="69" spans="1:9" ht="14.25" hidden="1" customHeight="1">
      <c r="A69" s="21"/>
      <c r="B69" s="11" t="s">
        <v>48</v>
      </c>
      <c r="C69" s="13" t="s">
        <v>94</v>
      </c>
      <c r="D69" s="11" t="s">
        <v>53</v>
      </c>
      <c r="E69" s="54">
        <v>17532</v>
      </c>
      <c r="F69" s="10">
        <f>SUM(E69/100)</f>
        <v>175.32</v>
      </c>
      <c r="G69" s="10">
        <v>241.31</v>
      </c>
      <c r="H69" s="67">
        <f t="shared" si="8"/>
        <v>42.306469200000002</v>
      </c>
      <c r="I69" s="10">
        <f>F69*G69</f>
        <v>42306.4692</v>
      </c>
    </row>
    <row r="70" spans="1:9" ht="14.25" hidden="1" customHeight="1">
      <c r="A70" s="21"/>
      <c r="B70" s="11" t="s">
        <v>49</v>
      </c>
      <c r="C70" s="13" t="s">
        <v>95</v>
      </c>
      <c r="D70" s="11"/>
      <c r="E70" s="54">
        <v>17532</v>
      </c>
      <c r="F70" s="10">
        <f>SUM(E70/1000)</f>
        <v>17.532</v>
      </c>
      <c r="G70" s="10">
        <v>187.91</v>
      </c>
      <c r="H70" s="67">
        <f t="shared" si="8"/>
        <v>3.2944381199999997</v>
      </c>
      <c r="I70" s="10">
        <f>F70*G70</f>
        <v>3294.4381199999998</v>
      </c>
    </row>
    <row r="71" spans="1:9" ht="17.25" hidden="1" customHeight="1">
      <c r="A71" s="21"/>
      <c r="B71" s="11" t="s">
        <v>50</v>
      </c>
      <c r="C71" s="13" t="s">
        <v>77</v>
      </c>
      <c r="D71" s="11" t="s">
        <v>53</v>
      </c>
      <c r="E71" s="54">
        <v>1365</v>
      </c>
      <c r="F71" s="10">
        <f>SUM(E71/100)</f>
        <v>13.65</v>
      </c>
      <c r="G71" s="10">
        <v>2359.7199999999998</v>
      </c>
      <c r="H71" s="67">
        <f t="shared" si="8"/>
        <v>32.210177999999999</v>
      </c>
      <c r="I71" s="10">
        <f t="shared" ref="I71:I74" si="9">F71*G71</f>
        <v>32210.178</v>
      </c>
    </row>
    <row r="72" spans="1:9" ht="17.25" hidden="1" customHeight="1">
      <c r="A72" s="21"/>
      <c r="B72" s="68" t="s">
        <v>71</v>
      </c>
      <c r="C72" s="13" t="s">
        <v>32</v>
      </c>
      <c r="D72" s="11"/>
      <c r="E72" s="54">
        <v>15.6</v>
      </c>
      <c r="F72" s="10">
        <f>SUM(E72)</f>
        <v>15.6</v>
      </c>
      <c r="G72" s="10">
        <v>45.4</v>
      </c>
      <c r="H72" s="67">
        <f t="shared" si="8"/>
        <v>0.70823999999999998</v>
      </c>
      <c r="I72" s="10">
        <f t="shared" si="9"/>
        <v>708.24</v>
      </c>
    </row>
    <row r="73" spans="1:9" ht="18" hidden="1" customHeight="1">
      <c r="A73" s="21"/>
      <c r="B73" s="68" t="s">
        <v>161</v>
      </c>
      <c r="C73" s="13" t="s">
        <v>32</v>
      </c>
      <c r="D73" s="11"/>
      <c r="E73" s="54">
        <v>15.6</v>
      </c>
      <c r="F73" s="10">
        <f>SUM(E73)</f>
        <v>15.6</v>
      </c>
      <c r="G73" s="10">
        <v>42.35</v>
      </c>
      <c r="H73" s="67">
        <f t="shared" si="8"/>
        <v>0.66065999999999991</v>
      </c>
      <c r="I73" s="10">
        <f t="shared" si="9"/>
        <v>660.66</v>
      </c>
    </row>
    <row r="74" spans="1:9" ht="18" hidden="1" customHeight="1">
      <c r="A74" s="21"/>
      <c r="B74" s="11" t="s">
        <v>56</v>
      </c>
      <c r="C74" s="13" t="s">
        <v>57</v>
      </c>
      <c r="D74" s="11" t="s">
        <v>53</v>
      </c>
      <c r="E74" s="15">
        <v>4</v>
      </c>
      <c r="F74" s="41">
        <f>SUM(E74)</f>
        <v>4</v>
      </c>
      <c r="G74" s="10">
        <v>56.74</v>
      </c>
      <c r="H74" s="67">
        <f t="shared" si="8"/>
        <v>0.22696</v>
      </c>
      <c r="I74" s="10">
        <f t="shared" si="9"/>
        <v>226.96</v>
      </c>
    </row>
    <row r="75" spans="1:9" ht="15.75" customHeight="1">
      <c r="A75" s="21">
        <v>12</v>
      </c>
      <c r="B75" s="85" t="s">
        <v>127</v>
      </c>
      <c r="C75" s="108" t="s">
        <v>57</v>
      </c>
      <c r="D75" s="85" t="s">
        <v>195</v>
      </c>
      <c r="E75" s="14">
        <v>1</v>
      </c>
      <c r="F75" s="90">
        <v>12</v>
      </c>
      <c r="G75" s="26">
        <v>1829</v>
      </c>
      <c r="H75" s="67">
        <f t="shared" ref="H75" si="10">SUM(F75*G75/1000)</f>
        <v>21.948</v>
      </c>
      <c r="I75" s="10">
        <f>G75</f>
        <v>1829</v>
      </c>
    </row>
    <row r="76" spans="1:9" ht="15.75" customHeight="1">
      <c r="A76" s="21"/>
      <c r="B76" s="76" t="s">
        <v>102</v>
      </c>
      <c r="C76" s="108"/>
      <c r="D76" s="85"/>
      <c r="E76" s="14"/>
      <c r="F76" s="90"/>
      <c r="G76" s="26"/>
      <c r="H76" s="67"/>
      <c r="I76" s="10"/>
    </row>
    <row r="77" spans="1:9" ht="33.75" customHeight="1">
      <c r="A77" s="21">
        <v>13</v>
      </c>
      <c r="B77" s="100" t="s">
        <v>205</v>
      </c>
      <c r="C77" s="101" t="s">
        <v>206</v>
      </c>
      <c r="D77" s="112"/>
      <c r="E77" s="122">
        <v>3455.3</v>
      </c>
      <c r="F77" s="102">
        <f>E77*12</f>
        <v>41463.600000000006</v>
      </c>
      <c r="G77" s="102">
        <v>2.6</v>
      </c>
      <c r="H77" s="67">
        <f t="shared" ref="H77" si="11">F77*G77/1000</f>
        <v>107.80536000000002</v>
      </c>
      <c r="I77" s="10">
        <f>G77*F77/12</f>
        <v>8983.7800000000007</v>
      </c>
    </row>
    <row r="78" spans="1:9" ht="15.75" customHeight="1">
      <c r="A78" s="21"/>
      <c r="B78" s="77" t="s">
        <v>72</v>
      </c>
      <c r="C78" s="13"/>
      <c r="D78" s="11"/>
      <c r="E78" s="15"/>
      <c r="F78" s="10"/>
      <c r="G78" s="10"/>
      <c r="H78" s="67" t="s">
        <v>155</v>
      </c>
      <c r="I78" s="58"/>
    </row>
    <row r="79" spans="1:9" ht="15.75" hidden="1" customHeight="1">
      <c r="A79" s="21"/>
      <c r="B79" s="11" t="s">
        <v>128</v>
      </c>
      <c r="C79" s="13" t="s">
        <v>30</v>
      </c>
      <c r="D79" s="39" t="s">
        <v>65</v>
      </c>
      <c r="E79" s="15">
        <v>2</v>
      </c>
      <c r="F79" s="10">
        <v>2</v>
      </c>
      <c r="G79" s="10">
        <v>892.5</v>
      </c>
      <c r="H79" s="67">
        <f>G79*F79/1000</f>
        <v>1.7849999999999999</v>
      </c>
      <c r="I79" s="10">
        <v>0</v>
      </c>
    </row>
    <row r="80" spans="1:9" ht="15.75" hidden="1" customHeight="1">
      <c r="A80" s="21"/>
      <c r="B80" s="11" t="s">
        <v>114</v>
      </c>
      <c r="C80" s="13" t="s">
        <v>129</v>
      </c>
      <c r="D80" s="11"/>
      <c r="E80" s="15">
        <v>1</v>
      </c>
      <c r="F80" s="10">
        <v>1</v>
      </c>
      <c r="G80" s="10">
        <v>750</v>
      </c>
      <c r="H80" s="67">
        <f>G80*F80/1000</f>
        <v>0.75</v>
      </c>
      <c r="I80" s="10">
        <v>0</v>
      </c>
    </row>
    <row r="81" spans="1:9" ht="15.75" hidden="1" customHeight="1">
      <c r="A81" s="21"/>
      <c r="B81" s="11" t="s">
        <v>73</v>
      </c>
      <c r="C81" s="13" t="s">
        <v>75</v>
      </c>
      <c r="D81" s="11"/>
      <c r="E81" s="15">
        <v>2</v>
      </c>
      <c r="F81" s="10">
        <v>0.2</v>
      </c>
      <c r="G81" s="10">
        <v>570.54</v>
      </c>
      <c r="H81" s="67">
        <f t="shared" si="8"/>
        <v>0.114108</v>
      </c>
      <c r="I81" s="10">
        <v>0</v>
      </c>
    </row>
    <row r="82" spans="1:9" ht="15.75" hidden="1" customHeight="1">
      <c r="A82" s="21"/>
      <c r="B82" s="11" t="s">
        <v>74</v>
      </c>
      <c r="C82" s="13" t="s">
        <v>30</v>
      </c>
      <c r="D82" s="11"/>
      <c r="E82" s="15">
        <v>1</v>
      </c>
      <c r="F82" s="49">
        <v>1</v>
      </c>
      <c r="G82" s="10">
        <v>970.21</v>
      </c>
      <c r="H82" s="67">
        <f t="shared" si="8"/>
        <v>0.97021000000000002</v>
      </c>
      <c r="I82" s="10">
        <v>0</v>
      </c>
    </row>
    <row r="83" spans="1:9" ht="15.75" hidden="1" customHeight="1">
      <c r="A83" s="21">
        <v>15</v>
      </c>
      <c r="B83" s="11" t="s">
        <v>130</v>
      </c>
      <c r="C83" s="13" t="s">
        <v>93</v>
      </c>
      <c r="D83" s="11"/>
      <c r="E83" s="15">
        <v>1</v>
      </c>
      <c r="F83" s="41">
        <f>SUM(E83)</f>
        <v>1</v>
      </c>
      <c r="G83" s="10">
        <v>407.79</v>
      </c>
      <c r="H83" s="67">
        <f t="shared" si="8"/>
        <v>0.40779000000000004</v>
      </c>
      <c r="I83" s="10">
        <f>G83</f>
        <v>407.79</v>
      </c>
    </row>
    <row r="84" spans="1:9" ht="15.75" customHeight="1">
      <c r="A84" s="21">
        <v>14</v>
      </c>
      <c r="B84" s="85" t="s">
        <v>207</v>
      </c>
      <c r="C84" s="108" t="s">
        <v>93</v>
      </c>
      <c r="D84" s="85" t="s">
        <v>195</v>
      </c>
      <c r="E84" s="14">
        <v>1</v>
      </c>
      <c r="F84" s="26">
        <f>E84*12</f>
        <v>12</v>
      </c>
      <c r="G84" s="26">
        <v>420</v>
      </c>
      <c r="H84" s="67">
        <f>G84*F84/1000</f>
        <v>5.04</v>
      </c>
      <c r="I84" s="10">
        <f>G84*1</f>
        <v>420</v>
      </c>
    </row>
    <row r="85" spans="1:9" ht="15.75" hidden="1" customHeight="1">
      <c r="A85" s="21"/>
      <c r="B85" s="72" t="s">
        <v>76</v>
      </c>
      <c r="C85" s="13"/>
      <c r="D85" s="11"/>
      <c r="E85" s="15"/>
      <c r="F85" s="10"/>
      <c r="G85" s="10" t="s">
        <v>155</v>
      </c>
      <c r="H85" s="67" t="s">
        <v>155</v>
      </c>
      <c r="I85" s="58"/>
    </row>
    <row r="86" spans="1:9" ht="15.75" hidden="1" customHeight="1">
      <c r="A86" s="21"/>
      <c r="B86" s="34" t="s">
        <v>99</v>
      </c>
      <c r="C86" s="13" t="s">
        <v>77</v>
      </c>
      <c r="D86" s="11"/>
      <c r="E86" s="15"/>
      <c r="F86" s="10">
        <v>0.6</v>
      </c>
      <c r="G86" s="10">
        <v>3138.65</v>
      </c>
      <c r="H86" s="67">
        <f t="shared" si="8"/>
        <v>1.8831900000000001</v>
      </c>
      <c r="I86" s="10">
        <v>0</v>
      </c>
    </row>
    <row r="87" spans="1:9" ht="15.75" hidden="1" customHeight="1">
      <c r="A87" s="21"/>
      <c r="B87" s="77" t="s">
        <v>90</v>
      </c>
      <c r="C87" s="13"/>
      <c r="D87" s="11"/>
      <c r="E87" s="50"/>
      <c r="F87" s="10"/>
      <c r="G87" s="10"/>
      <c r="H87" s="67"/>
      <c r="I87" s="10"/>
    </row>
    <row r="88" spans="1:9" ht="15.75" hidden="1" customHeight="1">
      <c r="A88" s="21"/>
      <c r="B88" s="39" t="s">
        <v>96</v>
      </c>
      <c r="C88" s="13"/>
      <c r="D88" s="11"/>
      <c r="E88" s="50"/>
      <c r="F88" s="10">
        <v>1</v>
      </c>
      <c r="G88" s="10">
        <v>21095</v>
      </c>
      <c r="H88" s="67">
        <f>G88*F88/1000</f>
        <v>21.094999999999999</v>
      </c>
      <c r="I88" s="10">
        <v>0</v>
      </c>
    </row>
    <row r="89" spans="1:9" ht="15.75" customHeight="1">
      <c r="A89" s="151" t="s">
        <v>152</v>
      </c>
      <c r="B89" s="152"/>
      <c r="C89" s="152"/>
      <c r="D89" s="152"/>
      <c r="E89" s="152"/>
      <c r="F89" s="152"/>
      <c r="G89" s="152"/>
      <c r="H89" s="152"/>
      <c r="I89" s="153"/>
    </row>
    <row r="90" spans="1:9" ht="15.75" customHeight="1">
      <c r="A90" s="21">
        <v>15</v>
      </c>
      <c r="B90" s="100" t="s">
        <v>97</v>
      </c>
      <c r="C90" s="108" t="s">
        <v>54</v>
      </c>
      <c r="D90" s="123"/>
      <c r="E90" s="26">
        <v>3455.3</v>
      </c>
      <c r="F90" s="26">
        <v>41463.599999999999</v>
      </c>
      <c r="G90" s="26">
        <v>3.5</v>
      </c>
      <c r="H90" s="67">
        <f>SUM(F90*G90/1000)</f>
        <v>145.12260000000001</v>
      </c>
      <c r="I90" s="10">
        <f>F90/12*G90</f>
        <v>12093.55</v>
      </c>
    </row>
    <row r="91" spans="1:9" ht="31.5" customHeight="1">
      <c r="A91" s="21">
        <v>16</v>
      </c>
      <c r="B91" s="85" t="s">
        <v>208</v>
      </c>
      <c r="C91" s="108" t="s">
        <v>54</v>
      </c>
      <c r="D91" s="37"/>
      <c r="E91" s="88">
        <f>E90</f>
        <v>3455.3</v>
      </c>
      <c r="F91" s="26">
        <f>E91*12</f>
        <v>41463.600000000006</v>
      </c>
      <c r="G91" s="26">
        <v>3.2</v>
      </c>
      <c r="H91" s="67">
        <f>F91*G91/1000</f>
        <v>132.68352000000002</v>
      </c>
      <c r="I91" s="10">
        <f>F91/12*G91</f>
        <v>11056.960000000003</v>
      </c>
    </row>
    <row r="92" spans="1:9" ht="15.75" customHeight="1">
      <c r="A92" s="21"/>
      <c r="B92" s="27" t="s">
        <v>79</v>
      </c>
      <c r="C92" s="72"/>
      <c r="D92" s="70"/>
      <c r="E92" s="71"/>
      <c r="F92" s="71"/>
      <c r="G92" s="71"/>
      <c r="H92" s="69">
        <f>SUM(H91)</f>
        <v>132.68352000000002</v>
      </c>
      <c r="I92" s="71">
        <f>I91+I90+I84+I77+I75+I68+I65+I46+I43+I42+I40+I39+I18+I17+I16+I62</f>
        <v>53726.808082833326</v>
      </c>
    </row>
    <row r="93" spans="1:9" ht="15.75" customHeight="1">
      <c r="A93" s="159" t="s">
        <v>59</v>
      </c>
      <c r="B93" s="160"/>
      <c r="C93" s="160"/>
      <c r="D93" s="160"/>
      <c r="E93" s="160"/>
      <c r="F93" s="160"/>
      <c r="G93" s="160"/>
      <c r="H93" s="160"/>
      <c r="I93" s="161"/>
    </row>
    <row r="94" spans="1:9" ht="16.5" customHeight="1">
      <c r="A94" s="21">
        <v>17</v>
      </c>
      <c r="B94" s="38" t="s">
        <v>255</v>
      </c>
      <c r="C94" s="84" t="s">
        <v>29</v>
      </c>
      <c r="D94" s="37"/>
      <c r="E94" s="26"/>
      <c r="F94" s="26">
        <f>2.73+2.73+2.73+2.73</f>
        <v>10.92</v>
      </c>
      <c r="G94" s="26">
        <v>241.69</v>
      </c>
      <c r="H94" s="67"/>
      <c r="I94" s="10">
        <f>G94*2.73</f>
        <v>659.81370000000004</v>
      </c>
    </row>
    <row r="95" spans="1:9" ht="15" customHeight="1">
      <c r="A95" s="21">
        <v>18</v>
      </c>
      <c r="B95" s="38" t="s">
        <v>103</v>
      </c>
      <c r="C95" s="84" t="s">
        <v>201</v>
      </c>
      <c r="D95" s="37">
        <v>20</v>
      </c>
      <c r="E95" s="26"/>
      <c r="F95" s="26">
        <v>56</v>
      </c>
      <c r="G95" s="26">
        <v>295.36</v>
      </c>
      <c r="H95" s="67"/>
      <c r="I95" s="10">
        <v>0</v>
      </c>
    </row>
    <row r="96" spans="1:9" ht="15.75" customHeight="1">
      <c r="A96" s="21">
        <v>19</v>
      </c>
      <c r="B96" s="38" t="s">
        <v>182</v>
      </c>
      <c r="C96" s="84" t="s">
        <v>183</v>
      </c>
      <c r="D96" s="37"/>
      <c r="E96" s="26"/>
      <c r="F96" s="26">
        <v>9</v>
      </c>
      <c r="G96" s="26">
        <v>236.08</v>
      </c>
      <c r="H96" s="67"/>
      <c r="I96" s="10">
        <f>G96*4</f>
        <v>944.32</v>
      </c>
    </row>
    <row r="97" spans="1:9" ht="29.25" customHeight="1">
      <c r="A97" s="21">
        <v>20</v>
      </c>
      <c r="B97" s="38" t="s">
        <v>279</v>
      </c>
      <c r="C97" s="84" t="s">
        <v>280</v>
      </c>
      <c r="D97" s="37" t="s">
        <v>306</v>
      </c>
      <c r="E97" s="26"/>
      <c r="F97" s="26">
        <v>2</v>
      </c>
      <c r="G97" s="26">
        <v>64.06</v>
      </c>
      <c r="H97" s="67"/>
      <c r="I97" s="10">
        <f>G97*1</f>
        <v>64.06</v>
      </c>
    </row>
    <row r="98" spans="1:9" ht="32.25" customHeight="1">
      <c r="A98" s="21">
        <v>21</v>
      </c>
      <c r="B98" s="127" t="s">
        <v>136</v>
      </c>
      <c r="C98" s="107" t="s">
        <v>137</v>
      </c>
      <c r="D98" s="37"/>
      <c r="E98" s="26"/>
      <c r="F98" s="26">
        <v>1.4</v>
      </c>
      <c r="G98" s="26">
        <v>1948.52</v>
      </c>
      <c r="H98" s="67"/>
      <c r="I98" s="10">
        <f>G98*0.4</f>
        <v>779.40800000000002</v>
      </c>
    </row>
    <row r="99" spans="1:9" ht="19.5" customHeight="1">
      <c r="A99" s="21">
        <v>22</v>
      </c>
      <c r="B99" s="38" t="s">
        <v>180</v>
      </c>
      <c r="C99" s="84" t="s">
        <v>181</v>
      </c>
      <c r="D99" s="37"/>
      <c r="E99" s="26"/>
      <c r="F99" s="26">
        <v>7</v>
      </c>
      <c r="G99" s="26">
        <v>960.81</v>
      </c>
      <c r="H99" s="67"/>
      <c r="I99" s="10">
        <f>G99*2</f>
        <v>1921.62</v>
      </c>
    </row>
    <row r="100" spans="1:9" ht="18.75" customHeight="1">
      <c r="A100" s="21">
        <v>23</v>
      </c>
      <c r="B100" s="38" t="s">
        <v>286</v>
      </c>
      <c r="C100" s="84" t="s">
        <v>93</v>
      </c>
      <c r="D100" s="37"/>
      <c r="E100" s="26"/>
      <c r="F100" s="26">
        <v>4</v>
      </c>
      <c r="G100" s="26">
        <v>224.48</v>
      </c>
      <c r="H100" s="67"/>
      <c r="I100" s="10">
        <f>G100*3</f>
        <v>673.43999999999994</v>
      </c>
    </row>
    <row r="101" spans="1:9" ht="30.75" customHeight="1">
      <c r="A101" s="21">
        <v>24</v>
      </c>
      <c r="B101" s="38" t="s">
        <v>304</v>
      </c>
      <c r="C101" s="84" t="s">
        <v>80</v>
      </c>
      <c r="D101" s="37" t="s">
        <v>307</v>
      </c>
      <c r="E101" s="26"/>
      <c r="F101" s="26">
        <v>1</v>
      </c>
      <c r="G101" s="26">
        <v>1238.6300000000001</v>
      </c>
      <c r="H101" s="67"/>
      <c r="I101" s="10">
        <f>G101*1</f>
        <v>1238.6300000000001</v>
      </c>
    </row>
    <row r="102" spans="1:9" ht="18.75" customHeight="1">
      <c r="A102" s="21">
        <v>25</v>
      </c>
      <c r="B102" s="38" t="s">
        <v>305</v>
      </c>
      <c r="C102" s="84" t="s">
        <v>183</v>
      </c>
      <c r="D102" s="37" t="s">
        <v>181</v>
      </c>
      <c r="E102" s="26"/>
      <c r="F102" s="26">
        <v>0.5</v>
      </c>
      <c r="G102" s="26">
        <v>672.88</v>
      </c>
      <c r="H102" s="67"/>
      <c r="I102" s="10">
        <f>G102*0.5</f>
        <v>336.44</v>
      </c>
    </row>
    <row r="103" spans="1:9" ht="18.75" customHeight="1">
      <c r="A103" s="21">
        <v>26</v>
      </c>
      <c r="B103" s="38" t="s">
        <v>221</v>
      </c>
      <c r="C103" s="84" t="s">
        <v>40</v>
      </c>
      <c r="D103" s="37" t="s">
        <v>194</v>
      </c>
      <c r="E103" s="26"/>
      <c r="F103" s="26">
        <v>0.04</v>
      </c>
      <c r="G103" s="26">
        <v>28224.75</v>
      </c>
      <c r="H103" s="67"/>
      <c r="I103" s="10">
        <v>0</v>
      </c>
    </row>
    <row r="104" spans="1:9">
      <c r="A104" s="21"/>
      <c r="B104" s="32" t="s">
        <v>51</v>
      </c>
      <c r="C104" s="28"/>
      <c r="D104" s="35"/>
      <c r="E104" s="28">
        <v>1</v>
      </c>
      <c r="F104" s="28"/>
      <c r="G104" s="28"/>
      <c r="H104" s="28"/>
      <c r="I104" s="24">
        <f>SUM(I94:I102)</f>
        <v>6617.7316999999994</v>
      </c>
    </row>
    <row r="105" spans="1:9">
      <c r="A105" s="21"/>
      <c r="B105" s="34" t="s">
        <v>78</v>
      </c>
      <c r="C105" s="12"/>
      <c r="D105" s="12"/>
      <c r="E105" s="29"/>
      <c r="F105" s="29"/>
      <c r="G105" s="30"/>
      <c r="H105" s="30"/>
      <c r="I105" s="14">
        <v>0</v>
      </c>
    </row>
    <row r="106" spans="1:9" ht="15.75" customHeight="1">
      <c r="A106" s="36"/>
      <c r="B106" s="33" t="s">
        <v>172</v>
      </c>
      <c r="C106" s="25"/>
      <c r="D106" s="25"/>
      <c r="E106" s="25"/>
      <c r="F106" s="25"/>
      <c r="G106" s="25"/>
      <c r="H106" s="25"/>
      <c r="I106" s="31">
        <f>I92+I104</f>
        <v>60344.539782833323</v>
      </c>
    </row>
    <row r="107" spans="1:9" ht="15.75">
      <c r="A107" s="154" t="s">
        <v>310</v>
      </c>
      <c r="B107" s="154"/>
      <c r="C107" s="154"/>
      <c r="D107" s="154"/>
      <c r="E107" s="154"/>
      <c r="F107" s="154"/>
      <c r="G107" s="154"/>
      <c r="H107" s="154"/>
      <c r="I107" s="154"/>
    </row>
    <row r="108" spans="1:9" ht="15.75">
      <c r="A108" s="48"/>
      <c r="B108" s="155" t="s">
        <v>311</v>
      </c>
      <c r="C108" s="155"/>
      <c r="D108" s="155"/>
      <c r="E108" s="155"/>
      <c r="F108" s="155"/>
      <c r="G108" s="155"/>
      <c r="H108" s="53"/>
      <c r="I108" s="2"/>
    </row>
    <row r="109" spans="1:9">
      <c r="A109" s="82"/>
      <c r="B109" s="156" t="s">
        <v>6</v>
      </c>
      <c r="C109" s="156"/>
      <c r="D109" s="156"/>
      <c r="E109" s="156"/>
      <c r="F109" s="156"/>
      <c r="G109" s="156"/>
      <c r="H109" s="16"/>
      <c r="I109" s="4"/>
    </row>
    <row r="110" spans="1:9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5.75" customHeight="1">
      <c r="A111" s="157" t="s">
        <v>7</v>
      </c>
      <c r="B111" s="157"/>
      <c r="C111" s="157"/>
      <c r="D111" s="157"/>
      <c r="E111" s="157"/>
      <c r="F111" s="157"/>
      <c r="G111" s="157"/>
      <c r="H111" s="157"/>
      <c r="I111" s="157"/>
    </row>
    <row r="112" spans="1:9" ht="15.75" customHeight="1">
      <c r="A112" s="157" t="s">
        <v>8</v>
      </c>
      <c r="B112" s="157"/>
      <c r="C112" s="157"/>
      <c r="D112" s="157"/>
      <c r="E112" s="157"/>
      <c r="F112" s="157"/>
      <c r="G112" s="157"/>
      <c r="H112" s="157"/>
      <c r="I112" s="157"/>
    </row>
    <row r="113" spans="1:9" ht="15.75" customHeight="1">
      <c r="A113" s="158" t="s">
        <v>60</v>
      </c>
      <c r="B113" s="158"/>
      <c r="C113" s="158"/>
      <c r="D113" s="158"/>
      <c r="E113" s="158"/>
      <c r="F113" s="158"/>
      <c r="G113" s="158"/>
      <c r="H113" s="158"/>
      <c r="I113" s="158"/>
    </row>
    <row r="114" spans="1:9" ht="7.5" customHeight="1">
      <c r="A114" s="8"/>
    </row>
    <row r="115" spans="1:9" ht="15.75" customHeight="1">
      <c r="A115" s="146" t="s">
        <v>9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15.75" customHeight="1">
      <c r="A116" s="3"/>
    </row>
    <row r="117" spans="1:9" ht="15.75" customHeight="1">
      <c r="B117" s="80" t="s">
        <v>10</v>
      </c>
      <c r="C117" s="163" t="s">
        <v>217</v>
      </c>
      <c r="D117" s="163"/>
      <c r="E117" s="163"/>
      <c r="F117" s="51"/>
      <c r="I117" s="81"/>
    </row>
    <row r="118" spans="1:9">
      <c r="A118" s="82"/>
      <c r="C118" s="156" t="s">
        <v>11</v>
      </c>
      <c r="D118" s="156"/>
      <c r="E118" s="156"/>
      <c r="F118" s="16"/>
      <c r="I118" s="79" t="s">
        <v>12</v>
      </c>
    </row>
    <row r="119" spans="1:9" ht="8.25" customHeight="1">
      <c r="A119" s="17"/>
      <c r="C119" s="9"/>
      <c r="D119" s="9"/>
      <c r="G119" s="9"/>
      <c r="H119" s="9"/>
    </row>
    <row r="120" spans="1:9" ht="15.75">
      <c r="B120" s="80" t="s">
        <v>13</v>
      </c>
      <c r="C120" s="164"/>
      <c r="D120" s="164"/>
      <c r="E120" s="164"/>
      <c r="F120" s="52"/>
      <c r="I120" s="81"/>
    </row>
    <row r="121" spans="1:9">
      <c r="A121" s="82"/>
      <c r="C121" s="165" t="s">
        <v>11</v>
      </c>
      <c r="D121" s="165"/>
      <c r="E121" s="165"/>
      <c r="F121" s="82"/>
      <c r="I121" s="79" t="s">
        <v>12</v>
      </c>
    </row>
    <row r="122" spans="1:9" ht="15.75">
      <c r="A122" s="3" t="s">
        <v>14</v>
      </c>
    </row>
    <row r="123" spans="1:9">
      <c r="A123" s="166" t="s">
        <v>15</v>
      </c>
      <c r="B123" s="166"/>
      <c r="C123" s="166"/>
      <c r="D123" s="166"/>
      <c r="E123" s="166"/>
      <c r="F123" s="166"/>
      <c r="G123" s="166"/>
      <c r="H123" s="166"/>
      <c r="I123" s="166"/>
    </row>
    <row r="124" spans="1:9" ht="45" customHeight="1">
      <c r="A124" s="162" t="s">
        <v>16</v>
      </c>
      <c r="B124" s="162"/>
      <c r="C124" s="162"/>
      <c r="D124" s="162"/>
      <c r="E124" s="162"/>
      <c r="F124" s="162"/>
      <c r="G124" s="162"/>
      <c r="H124" s="162"/>
      <c r="I124" s="162"/>
    </row>
    <row r="125" spans="1:9" ht="30" customHeight="1">
      <c r="A125" s="162" t="s">
        <v>17</v>
      </c>
      <c r="B125" s="162"/>
      <c r="C125" s="162"/>
      <c r="D125" s="162"/>
      <c r="E125" s="162"/>
      <c r="F125" s="162"/>
      <c r="G125" s="162"/>
      <c r="H125" s="162"/>
      <c r="I125" s="162"/>
    </row>
    <row r="126" spans="1:9" ht="30" customHeight="1">
      <c r="A126" s="162" t="s">
        <v>21</v>
      </c>
      <c r="B126" s="162"/>
      <c r="C126" s="162"/>
      <c r="D126" s="162"/>
      <c r="E126" s="162"/>
      <c r="F126" s="162"/>
      <c r="G126" s="162"/>
      <c r="H126" s="162"/>
      <c r="I126" s="162"/>
    </row>
    <row r="127" spans="1:9" ht="15" customHeight="1">
      <c r="A127" s="162" t="s">
        <v>20</v>
      </c>
      <c r="B127" s="162"/>
      <c r="C127" s="162"/>
      <c r="D127" s="162"/>
      <c r="E127" s="162"/>
      <c r="F127" s="162"/>
      <c r="G127" s="162"/>
      <c r="H127" s="162"/>
      <c r="I127" s="162"/>
    </row>
  </sheetData>
  <mergeCells count="28">
    <mergeCell ref="A14:I14"/>
    <mergeCell ref="A3:I3"/>
    <mergeCell ref="A4:I4"/>
    <mergeCell ref="A5:I5"/>
    <mergeCell ref="A8:I8"/>
    <mergeCell ref="A10:I10"/>
    <mergeCell ref="A113:I113"/>
    <mergeCell ref="A15:I15"/>
    <mergeCell ref="A29:I29"/>
    <mergeCell ref="A47:I47"/>
    <mergeCell ref="A59:I59"/>
    <mergeCell ref="A89:I89"/>
    <mergeCell ref="A93:I93"/>
    <mergeCell ref="A107:I107"/>
    <mergeCell ref="B108:G108"/>
    <mergeCell ref="B109:G109"/>
    <mergeCell ref="A111:I111"/>
    <mergeCell ref="A112:I112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0"/>
  <sheetViews>
    <sheetView tabSelected="1" topLeftCell="A59" workbookViewId="0">
      <selection activeCell="A104" sqref="A104: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177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308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78"/>
      <c r="C6" s="78"/>
      <c r="D6" s="78"/>
      <c r="E6" s="78"/>
      <c r="F6" s="78"/>
      <c r="G6" s="78"/>
      <c r="H6" s="78"/>
      <c r="I6" s="22">
        <v>44561</v>
      </c>
    </row>
    <row r="7" spans="1:9" ht="15.75">
      <c r="B7" s="80"/>
      <c r="C7" s="80"/>
      <c r="D7" s="80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214</v>
      </c>
      <c r="E16" s="88">
        <v>70.7</v>
      </c>
      <c r="F16" s="89">
        <f>SUM(E16*156/100)</f>
        <v>110.292</v>
      </c>
      <c r="G16" s="89">
        <v>261.45</v>
      </c>
      <c r="H16" s="55">
        <f t="shared" ref="H16:H18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191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194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F18/18*G18</f>
        <v>2658.8856000000001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108</v>
      </c>
      <c r="E19" s="54">
        <v>40</v>
      </c>
      <c r="F19" s="41">
        <f>SUM(E19/10)</f>
        <v>4</v>
      </c>
      <c r="G19" s="41">
        <v>193.55</v>
      </c>
      <c r="H19" s="55">
        <f t="shared" ref="H19:H26" si="1">SUM(F19*G19/1000)</f>
        <v>0.7742</v>
      </c>
      <c r="I19" s="10">
        <v>0</v>
      </c>
    </row>
    <row r="20" spans="1:9" ht="15.75" hidden="1" customHeight="1">
      <c r="A20" s="21"/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41">
        <v>324.83999999999997</v>
      </c>
      <c r="H20" s="55">
        <f t="shared" si="1"/>
        <v>6.8216399999999996E-2</v>
      </c>
      <c r="I20" s="10">
        <f>G20*F20/2</f>
        <v>34.108199999999997</v>
      </c>
    </row>
    <row r="21" spans="1:9" ht="15.75" hidden="1" customHeight="1">
      <c r="A21" s="21"/>
      <c r="B21" s="39" t="s">
        <v>110</v>
      </c>
      <c r="C21" s="40" t="s">
        <v>84</v>
      </c>
      <c r="D21" s="39" t="s">
        <v>194</v>
      </c>
      <c r="E21" s="88">
        <v>2.7</v>
      </c>
      <c r="F21" s="89">
        <f>SUM(E21*2/100)</f>
        <v>5.4000000000000006E-2</v>
      </c>
      <c r="G21" s="89">
        <v>322.20999999999998</v>
      </c>
      <c r="H21" s="55">
        <f t="shared" si="1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111</v>
      </c>
      <c r="C22" s="40" t="s">
        <v>52</v>
      </c>
      <c r="D22" s="39" t="s">
        <v>108</v>
      </c>
      <c r="E22" s="54">
        <v>357</v>
      </c>
      <c r="F22" s="41">
        <f>SUM(E22/100)</f>
        <v>3.57</v>
      </c>
      <c r="G22" s="41">
        <v>306.26</v>
      </c>
      <c r="H22" s="55">
        <f t="shared" si="1"/>
        <v>1.0933481999999999</v>
      </c>
      <c r="I22" s="10">
        <v>0</v>
      </c>
    </row>
    <row r="23" spans="1:9" ht="15.75" hidden="1" customHeight="1">
      <c r="A23" s="21"/>
      <c r="B23" s="39" t="s">
        <v>112</v>
      </c>
      <c r="C23" s="40" t="s">
        <v>52</v>
      </c>
      <c r="D23" s="39" t="s">
        <v>108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1"/>
        <v>1.9462968000000001E-2</v>
      </c>
      <c r="I23" s="10">
        <v>0</v>
      </c>
    </row>
    <row r="24" spans="1:9" ht="15.75" hidden="1" customHeight="1">
      <c r="A24" s="21"/>
      <c r="B24" s="39" t="s">
        <v>113</v>
      </c>
      <c r="C24" s="40" t="s">
        <v>52</v>
      </c>
      <c r="D24" s="39" t="s">
        <v>118</v>
      </c>
      <c r="E24" s="54">
        <v>15</v>
      </c>
      <c r="F24" s="41">
        <f>E24/100</f>
        <v>0.15</v>
      </c>
      <c r="G24" s="41">
        <v>443.27</v>
      </c>
      <c r="H24" s="55">
        <f t="shared" si="1"/>
        <v>6.6490499999999994E-2</v>
      </c>
      <c r="I24" s="10">
        <v>0</v>
      </c>
    </row>
    <row r="25" spans="1:9" ht="15.75" hidden="1" customHeight="1">
      <c r="A25" s="21"/>
      <c r="B25" s="39" t="s">
        <v>119</v>
      </c>
      <c r="C25" s="40" t="s">
        <v>84</v>
      </c>
      <c r="D25" s="39" t="s">
        <v>53</v>
      </c>
      <c r="E25" s="54">
        <v>14.25</v>
      </c>
      <c r="F25" s="41">
        <v>0.1</v>
      </c>
      <c r="G25" s="41">
        <v>245.81</v>
      </c>
      <c r="H25" s="55">
        <v>3.1E-2</v>
      </c>
      <c r="I25" s="10">
        <v>0</v>
      </c>
    </row>
    <row r="26" spans="1:9" ht="15.75" hidden="1" customHeight="1">
      <c r="A26" s="21"/>
      <c r="B26" s="39" t="s">
        <v>120</v>
      </c>
      <c r="C26" s="40" t="s">
        <v>52</v>
      </c>
      <c r="D26" s="39" t="s">
        <v>108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1"/>
        <v>3.7793205999999996E-2</v>
      </c>
      <c r="I26" s="10">
        <v>0</v>
      </c>
    </row>
    <row r="27" spans="1:9" ht="15.75" hidden="1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10.81</v>
      </c>
      <c r="H27" s="55">
        <f>SUM(F27*G27/1000)</f>
        <v>14.5584756</v>
      </c>
      <c r="I27" s="10">
        <f>F27/12*G27</f>
        <v>1213.2063000000001</v>
      </c>
    </row>
    <row r="28" spans="1:9" ht="15.75" hidden="1" customHeight="1">
      <c r="A28" s="21">
        <v>5</v>
      </c>
      <c r="B28" s="60" t="s">
        <v>23</v>
      </c>
      <c r="C28" s="40" t="s">
        <v>24</v>
      </c>
      <c r="D28" s="39"/>
      <c r="E28" s="54">
        <v>2661.7</v>
      </c>
      <c r="F28" s="41">
        <f>SUM(E28*12)</f>
        <v>31940.399999999998</v>
      </c>
      <c r="G28" s="41">
        <v>5.58</v>
      </c>
      <c r="H28" s="55">
        <f>SUM(F28*G28/1000)</f>
        <v>178.22743199999999</v>
      </c>
      <c r="I28" s="10">
        <f>F28/12*G28</f>
        <v>14852.286</v>
      </c>
    </row>
    <row r="29" spans="1:9" ht="15.75" customHeight="1">
      <c r="A29" s="147" t="s">
        <v>83</v>
      </c>
      <c r="B29" s="147"/>
      <c r="C29" s="147"/>
      <c r="D29" s="147"/>
      <c r="E29" s="147"/>
      <c r="F29" s="147"/>
      <c r="G29" s="147"/>
      <c r="H29" s="147"/>
      <c r="I29" s="147"/>
    </row>
    <row r="30" spans="1:9" ht="15.75" hidden="1" customHeight="1">
      <c r="A30" s="21"/>
      <c r="B30" s="74" t="s">
        <v>28</v>
      </c>
      <c r="C30" s="40"/>
      <c r="D30" s="39"/>
      <c r="E30" s="54"/>
      <c r="F30" s="41"/>
      <c r="G30" s="41"/>
      <c r="H30" s="55"/>
      <c r="I30" s="58"/>
    </row>
    <row r="31" spans="1:9" ht="15.75" hidden="1" customHeight="1">
      <c r="A31" s="21">
        <v>6</v>
      </c>
      <c r="B31" s="39" t="s">
        <v>92</v>
      </c>
      <c r="C31" s="40" t="s">
        <v>86</v>
      </c>
      <c r="D31" s="39" t="s">
        <v>174</v>
      </c>
      <c r="E31" s="41">
        <v>573.6</v>
      </c>
      <c r="F31" s="41">
        <f>SUM(E31*52/1000)</f>
        <v>29.827200000000001</v>
      </c>
      <c r="G31" s="41">
        <v>177.3</v>
      </c>
      <c r="H31" s="55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1">
        <v>7</v>
      </c>
      <c r="B32" s="39" t="s">
        <v>159</v>
      </c>
      <c r="C32" s="40" t="s">
        <v>86</v>
      </c>
      <c r="D32" s="39" t="s">
        <v>175</v>
      </c>
      <c r="E32" s="41">
        <v>200</v>
      </c>
      <c r="F32" s="41">
        <f>SUM(E32*78/1000)</f>
        <v>15.6</v>
      </c>
      <c r="G32" s="41">
        <v>294.17</v>
      </c>
      <c r="H32" s="55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39" t="s">
        <v>27</v>
      </c>
      <c r="C33" s="40" t="s">
        <v>86</v>
      </c>
      <c r="D33" s="39" t="s">
        <v>53</v>
      </c>
      <c r="E33" s="41">
        <v>573.6</v>
      </c>
      <c r="F33" s="41">
        <f>SUM(E33/1000)</f>
        <v>0.5736</v>
      </c>
      <c r="G33" s="41">
        <v>3435.36</v>
      </c>
      <c r="H33" s="55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39" t="s">
        <v>123</v>
      </c>
      <c r="C34" s="40" t="s">
        <v>40</v>
      </c>
      <c r="D34" s="39" t="s">
        <v>62</v>
      </c>
      <c r="E34" s="41">
        <v>1</v>
      </c>
      <c r="F34" s="41">
        <v>1.55</v>
      </c>
      <c r="G34" s="41">
        <v>1480.94</v>
      </c>
      <c r="H34" s="55">
        <f>G34*F34/1000</f>
        <v>2.2954570000000003</v>
      </c>
      <c r="I34" s="10">
        <f t="shared" si="3"/>
        <v>382.57616666666672</v>
      </c>
    </row>
    <row r="35" spans="1:9" ht="15.75" hidden="1" customHeight="1">
      <c r="A35" s="21">
        <v>9</v>
      </c>
      <c r="B35" s="39" t="s">
        <v>91</v>
      </c>
      <c r="C35" s="40" t="s">
        <v>30</v>
      </c>
      <c r="D35" s="39" t="s">
        <v>62</v>
      </c>
      <c r="E35" s="59">
        <v>0.33333333333333331</v>
      </c>
      <c r="F35" s="41">
        <f>155/3</f>
        <v>51.666666666666664</v>
      </c>
      <c r="G35" s="41">
        <v>64.48</v>
      </c>
      <c r="H35" s="55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39" t="s">
        <v>63</v>
      </c>
      <c r="C36" s="40" t="s">
        <v>32</v>
      </c>
      <c r="D36" s="39" t="s">
        <v>65</v>
      </c>
      <c r="E36" s="54"/>
      <c r="F36" s="41">
        <v>3</v>
      </c>
      <c r="G36" s="41">
        <v>217.61</v>
      </c>
      <c r="H36" s="55">
        <f t="shared" si="2"/>
        <v>0.65283000000000002</v>
      </c>
      <c r="I36" s="10">
        <v>0</v>
      </c>
    </row>
    <row r="37" spans="1:9" ht="15.75" hidden="1" customHeight="1">
      <c r="A37" s="21"/>
      <c r="B37" s="39" t="s">
        <v>64</v>
      </c>
      <c r="C37" s="40" t="s">
        <v>31</v>
      </c>
      <c r="D37" s="39" t="s">
        <v>65</v>
      </c>
      <c r="E37" s="54"/>
      <c r="F37" s="41">
        <v>2</v>
      </c>
      <c r="G37" s="41">
        <v>1292.47</v>
      </c>
      <c r="H37" s="55">
        <f t="shared" si="2"/>
        <v>2.58494</v>
      </c>
      <c r="I37" s="10">
        <v>0</v>
      </c>
    </row>
    <row r="38" spans="1:9" ht="15.75" customHeight="1">
      <c r="A38" s="21"/>
      <c r="B38" s="74" t="s">
        <v>5</v>
      </c>
      <c r="C38" s="40"/>
      <c r="D38" s="39"/>
      <c r="E38" s="54"/>
      <c r="F38" s="41"/>
      <c r="G38" s="41"/>
      <c r="H38" s="55" t="s">
        <v>155</v>
      </c>
      <c r="I38" s="58"/>
    </row>
    <row r="39" spans="1:9" ht="15.75" customHeight="1">
      <c r="A39" s="21">
        <v>4</v>
      </c>
      <c r="B39" s="39" t="s">
        <v>26</v>
      </c>
      <c r="C39" s="40" t="s">
        <v>31</v>
      </c>
      <c r="D39" s="39" t="s">
        <v>309</v>
      </c>
      <c r="E39" s="54"/>
      <c r="F39" s="41">
        <v>8</v>
      </c>
      <c r="G39" s="128">
        <v>1930</v>
      </c>
      <c r="H39" s="55">
        <f t="shared" ref="H39:H45" si="4">SUM(F39*G39/1000)</f>
        <v>15.44</v>
      </c>
      <c r="I39" s="10">
        <f>G39*1.5</f>
        <v>2895</v>
      </c>
    </row>
    <row r="40" spans="1:9" ht="15.75" customHeight="1">
      <c r="A40" s="21">
        <v>5</v>
      </c>
      <c r="B40" s="130" t="s">
        <v>66</v>
      </c>
      <c r="C40" s="131" t="s">
        <v>29</v>
      </c>
      <c r="D40" s="130" t="s">
        <v>219</v>
      </c>
      <c r="E40" s="132">
        <v>200</v>
      </c>
      <c r="F40" s="132">
        <f>SUM(E40*24/1000)</f>
        <v>4.8</v>
      </c>
      <c r="G40" s="132">
        <v>3134.93</v>
      </c>
      <c r="H40" s="55">
        <f t="shared" si="4"/>
        <v>15.047663999999999</v>
      </c>
      <c r="I40" s="10">
        <f>F40/6*G40</f>
        <v>2507.9439999999995</v>
      </c>
    </row>
    <row r="41" spans="1:9" ht="15.75" hidden="1" customHeight="1">
      <c r="A41" s="21"/>
      <c r="B41" s="86" t="s">
        <v>124</v>
      </c>
      <c r="C41" s="87" t="s">
        <v>54</v>
      </c>
      <c r="D41" s="86"/>
      <c r="E41" s="88"/>
      <c r="F41" s="132">
        <v>65</v>
      </c>
      <c r="G41" s="89">
        <v>343</v>
      </c>
      <c r="H41" s="55">
        <f t="shared" si="4"/>
        <v>22.295000000000002</v>
      </c>
      <c r="I41" s="10">
        <v>0</v>
      </c>
    </row>
    <row r="42" spans="1:9" ht="15.75" customHeight="1">
      <c r="A42" s="21">
        <v>6</v>
      </c>
      <c r="B42" s="86" t="s">
        <v>67</v>
      </c>
      <c r="C42" s="87" t="s">
        <v>29</v>
      </c>
      <c r="D42" s="86" t="s">
        <v>192</v>
      </c>
      <c r="E42" s="89">
        <v>60</v>
      </c>
      <c r="F42" s="132">
        <f>SUM(E42*155/1000)</f>
        <v>9.3000000000000007</v>
      </c>
      <c r="G42" s="89">
        <v>522.92999999999995</v>
      </c>
      <c r="H42" s="55">
        <f t="shared" si="4"/>
        <v>4.8632489999999997</v>
      </c>
      <c r="I42" s="10">
        <f t="shared" ref="I42:I43" si="5">F42/6*G42</f>
        <v>810.54149999999993</v>
      </c>
    </row>
    <row r="43" spans="1:9" ht="47.25" customHeight="1">
      <c r="A43" s="21">
        <v>7</v>
      </c>
      <c r="B43" s="86" t="s">
        <v>82</v>
      </c>
      <c r="C43" s="87" t="s">
        <v>86</v>
      </c>
      <c r="D43" s="86" t="s">
        <v>193</v>
      </c>
      <c r="E43" s="89">
        <v>40.9</v>
      </c>
      <c r="F43" s="132">
        <f>SUM(E43*35/1000)</f>
        <v>1.4315</v>
      </c>
      <c r="G43" s="89">
        <v>8652.07</v>
      </c>
      <c r="H43" s="55">
        <f t="shared" si="4"/>
        <v>12.385438205</v>
      </c>
      <c r="I43" s="10">
        <f t="shared" si="5"/>
        <v>2064.2397008333332</v>
      </c>
    </row>
    <row r="44" spans="1:9" ht="15.75" hidden="1" customHeight="1">
      <c r="A44" s="21">
        <v>8</v>
      </c>
      <c r="B44" s="86" t="s">
        <v>87</v>
      </c>
      <c r="C44" s="87" t="s">
        <v>86</v>
      </c>
      <c r="D44" s="86" t="s">
        <v>68</v>
      </c>
      <c r="E44" s="89">
        <v>60</v>
      </c>
      <c r="F44" s="132">
        <f>SUM(E44*45/1000)</f>
        <v>2.7</v>
      </c>
      <c r="G44" s="89">
        <v>639.14</v>
      </c>
      <c r="H44" s="55">
        <f t="shared" si="4"/>
        <v>1.725678</v>
      </c>
      <c r="I44" s="10">
        <f>F44/7.5*G44</f>
        <v>230.09040000000002</v>
      </c>
    </row>
    <row r="45" spans="1:9" ht="15.75" hidden="1" customHeight="1">
      <c r="A45" s="21">
        <v>9</v>
      </c>
      <c r="B45" s="130" t="s">
        <v>69</v>
      </c>
      <c r="C45" s="131" t="s">
        <v>32</v>
      </c>
      <c r="D45" s="130"/>
      <c r="E45" s="113"/>
      <c r="F45" s="132">
        <v>0.9</v>
      </c>
      <c r="G45" s="132">
        <v>900</v>
      </c>
      <c r="H45" s="55">
        <f t="shared" si="4"/>
        <v>0.81</v>
      </c>
      <c r="I45" s="10">
        <f>F45/7.5*G45</f>
        <v>108.00000000000001</v>
      </c>
    </row>
    <row r="46" spans="1:9" ht="33" customHeight="1">
      <c r="A46" s="118">
        <v>8</v>
      </c>
      <c r="B46" s="86" t="s">
        <v>218</v>
      </c>
      <c r="C46" s="87" t="s">
        <v>29</v>
      </c>
      <c r="D46" s="86" t="s">
        <v>220</v>
      </c>
      <c r="E46" s="88">
        <v>3</v>
      </c>
      <c r="F46" s="89">
        <f>E46*12/1000</f>
        <v>3.5999999999999997E-2</v>
      </c>
      <c r="G46" s="89">
        <v>20547.34</v>
      </c>
      <c r="H46" s="49"/>
      <c r="I46" s="129">
        <f>G46*F46/6</f>
        <v>123.28403999999999</v>
      </c>
    </row>
    <row r="47" spans="1:9" ht="15.75" customHeight="1">
      <c r="A47" s="148" t="s">
        <v>148</v>
      </c>
      <c r="B47" s="149"/>
      <c r="C47" s="149"/>
      <c r="D47" s="149"/>
      <c r="E47" s="149"/>
      <c r="F47" s="149"/>
      <c r="G47" s="149"/>
      <c r="H47" s="149"/>
      <c r="I47" s="150"/>
    </row>
    <row r="48" spans="1:9" ht="15.75" hidden="1" customHeight="1">
      <c r="A48" s="21"/>
      <c r="B48" s="39" t="s">
        <v>156</v>
      </c>
      <c r="C48" s="40" t="s">
        <v>86</v>
      </c>
      <c r="D48" s="39" t="s">
        <v>42</v>
      </c>
      <c r="E48" s="54">
        <v>1300.5</v>
      </c>
      <c r="F48" s="41">
        <f>SUM(E48/1000)*2</f>
        <v>2.601</v>
      </c>
      <c r="G48" s="10">
        <v>1173.18</v>
      </c>
      <c r="H48" s="55">
        <f t="shared" ref="H48:H58" si="6">SUM(F48*G48/1000)</f>
        <v>3.0514411800000003</v>
      </c>
      <c r="I48" s="10">
        <v>0</v>
      </c>
    </row>
    <row r="49" spans="1:9" ht="15.75" hidden="1" customHeight="1">
      <c r="A49" s="21"/>
      <c r="B49" s="39" t="s">
        <v>35</v>
      </c>
      <c r="C49" s="40" t="s">
        <v>86</v>
      </c>
      <c r="D49" s="39" t="s">
        <v>42</v>
      </c>
      <c r="E49" s="54">
        <v>52</v>
      </c>
      <c r="F49" s="41">
        <f>SUM(E49*2/1000)</f>
        <v>0.104</v>
      </c>
      <c r="G49" s="10">
        <v>659.09</v>
      </c>
      <c r="H49" s="55">
        <f t="shared" si="6"/>
        <v>6.854536E-2</v>
      </c>
      <c r="I49" s="10">
        <v>0</v>
      </c>
    </row>
    <row r="50" spans="1:9" ht="15.75" hidden="1" customHeight="1">
      <c r="A50" s="21"/>
      <c r="B50" s="39" t="s">
        <v>36</v>
      </c>
      <c r="C50" s="40" t="s">
        <v>86</v>
      </c>
      <c r="D50" s="39" t="s">
        <v>42</v>
      </c>
      <c r="E50" s="54">
        <v>1483.1</v>
      </c>
      <c r="F50" s="41">
        <f>SUM(E50*2/1000)</f>
        <v>2.9661999999999997</v>
      </c>
      <c r="G50" s="10">
        <v>1564.24</v>
      </c>
      <c r="H50" s="55">
        <f t="shared" si="6"/>
        <v>4.6398486879999998</v>
      </c>
      <c r="I50" s="10">
        <v>0</v>
      </c>
    </row>
    <row r="51" spans="1:9" ht="15.75" hidden="1" customHeight="1">
      <c r="A51" s="21"/>
      <c r="B51" s="39" t="s">
        <v>37</v>
      </c>
      <c r="C51" s="40" t="s">
        <v>86</v>
      </c>
      <c r="D51" s="39" t="s">
        <v>42</v>
      </c>
      <c r="E51" s="54">
        <v>2320</v>
      </c>
      <c r="F51" s="41">
        <f>SUM(E51*2/1000)</f>
        <v>4.6399999999999997</v>
      </c>
      <c r="G51" s="10">
        <v>1078.3599999999999</v>
      </c>
      <c r="H51" s="55">
        <f t="shared" si="6"/>
        <v>5.0035903999999993</v>
      </c>
      <c r="I51" s="10">
        <v>0</v>
      </c>
    </row>
    <row r="52" spans="1:9" ht="15.75" hidden="1" customHeight="1">
      <c r="A52" s="21"/>
      <c r="B52" s="39" t="s">
        <v>33</v>
      </c>
      <c r="C52" s="40" t="s">
        <v>34</v>
      </c>
      <c r="D52" s="39" t="s">
        <v>42</v>
      </c>
      <c r="E52" s="54">
        <v>91.84</v>
      </c>
      <c r="F52" s="41">
        <f>SUM(E52*2/100)</f>
        <v>1.8368</v>
      </c>
      <c r="G52" s="10">
        <v>82.82</v>
      </c>
      <c r="H52" s="55">
        <f t="shared" si="6"/>
        <v>0.15212377599999999</v>
      </c>
      <c r="I52" s="10">
        <v>0</v>
      </c>
    </row>
    <row r="53" spans="1:9" ht="15.75" customHeight="1">
      <c r="A53" s="21">
        <v>9</v>
      </c>
      <c r="B53" s="86" t="s">
        <v>55</v>
      </c>
      <c r="C53" s="87" t="s">
        <v>86</v>
      </c>
      <c r="D53" s="86" t="s">
        <v>195</v>
      </c>
      <c r="E53" s="88">
        <v>1040.4000000000001</v>
      </c>
      <c r="F53" s="89">
        <f>SUM(E53*5/1000)</f>
        <v>5.202</v>
      </c>
      <c r="G53" s="26">
        <v>1809.27</v>
      </c>
      <c r="H53" s="55">
        <f>SUM(F53*G53/1000)</f>
        <v>9.4118225399999993</v>
      </c>
      <c r="I53" s="10">
        <f>F53/5*G53</f>
        <v>1882.3645079999999</v>
      </c>
    </row>
    <row r="54" spans="1:9" ht="31.5" hidden="1" customHeight="1">
      <c r="A54" s="21">
        <v>10</v>
      </c>
      <c r="B54" s="39" t="s">
        <v>88</v>
      </c>
      <c r="C54" s="40" t="s">
        <v>86</v>
      </c>
      <c r="D54" s="39" t="s">
        <v>42</v>
      </c>
      <c r="E54" s="54">
        <v>1040.4000000000001</v>
      </c>
      <c r="F54" s="41">
        <f>SUM(E54*2/1000)</f>
        <v>2.0808</v>
      </c>
      <c r="G54" s="10">
        <v>1380.31</v>
      </c>
      <c r="H54" s="55">
        <f t="shared" si="6"/>
        <v>2.8721490479999998</v>
      </c>
      <c r="I54" s="10">
        <f>F54/2*G54</f>
        <v>1436.0745239999999</v>
      </c>
    </row>
    <row r="55" spans="1:9" ht="31.5" hidden="1" customHeight="1">
      <c r="A55" s="21">
        <v>11</v>
      </c>
      <c r="B55" s="39" t="s">
        <v>89</v>
      </c>
      <c r="C55" s="40" t="s">
        <v>38</v>
      </c>
      <c r="D55" s="39" t="s">
        <v>42</v>
      </c>
      <c r="E55" s="54">
        <v>20</v>
      </c>
      <c r="F55" s="41">
        <f>SUM(E55*2/100)</f>
        <v>0.4</v>
      </c>
      <c r="G55" s="10">
        <v>3519.56</v>
      </c>
      <c r="H55" s="55">
        <f t="shared" si="6"/>
        <v>1.407824</v>
      </c>
      <c r="I55" s="10">
        <f t="shared" ref="I55:I56" si="7">F55/2*G55</f>
        <v>703.91200000000003</v>
      </c>
    </row>
    <row r="56" spans="1:9" ht="15.75" hidden="1" customHeight="1">
      <c r="A56" s="21">
        <v>12</v>
      </c>
      <c r="B56" s="39" t="s">
        <v>39</v>
      </c>
      <c r="C56" s="40" t="s">
        <v>40</v>
      </c>
      <c r="D56" s="39" t="s">
        <v>42</v>
      </c>
      <c r="E56" s="54">
        <v>1</v>
      </c>
      <c r="F56" s="41">
        <v>0.02</v>
      </c>
      <c r="G56" s="10">
        <v>6428.82</v>
      </c>
      <c r="H56" s="55">
        <f t="shared" si="6"/>
        <v>0.12857640000000001</v>
      </c>
      <c r="I56" s="10">
        <f t="shared" si="7"/>
        <v>64.288200000000003</v>
      </c>
    </row>
    <row r="57" spans="1:9" ht="15.75" hidden="1" customHeight="1">
      <c r="A57" s="21">
        <v>13</v>
      </c>
      <c r="B57" s="39" t="s">
        <v>98</v>
      </c>
      <c r="C57" s="40" t="s">
        <v>93</v>
      </c>
      <c r="D57" s="39" t="s">
        <v>70</v>
      </c>
      <c r="E57" s="54">
        <v>56</v>
      </c>
      <c r="F57" s="41">
        <f>SUM(E57*3)</f>
        <v>168</v>
      </c>
      <c r="G57" s="10">
        <v>160.51</v>
      </c>
      <c r="H57" s="55">
        <f t="shared" si="6"/>
        <v>26.965679999999999</v>
      </c>
      <c r="I57" s="10">
        <f>E57*G57</f>
        <v>8988.56</v>
      </c>
    </row>
    <row r="58" spans="1:9" ht="15.75" hidden="1" customHeight="1">
      <c r="A58" s="21">
        <v>14</v>
      </c>
      <c r="B58" s="39" t="s">
        <v>41</v>
      </c>
      <c r="C58" s="40" t="s">
        <v>93</v>
      </c>
      <c r="D58" s="39" t="s">
        <v>70</v>
      </c>
      <c r="E58" s="54">
        <v>112</v>
      </c>
      <c r="F58" s="41">
        <f>SUM(E58)*3</f>
        <v>336</v>
      </c>
      <c r="G58" s="10">
        <v>74.709999999999994</v>
      </c>
      <c r="H58" s="55">
        <f t="shared" si="6"/>
        <v>25.102559999999997</v>
      </c>
      <c r="I58" s="10">
        <f>E58*G58</f>
        <v>8367.5199999999986</v>
      </c>
    </row>
    <row r="59" spans="1:9" ht="15.75" customHeight="1">
      <c r="A59" s="148" t="s">
        <v>149</v>
      </c>
      <c r="B59" s="149"/>
      <c r="C59" s="149"/>
      <c r="D59" s="149"/>
      <c r="E59" s="149"/>
      <c r="F59" s="149"/>
      <c r="G59" s="149"/>
      <c r="H59" s="149"/>
      <c r="I59" s="150"/>
    </row>
    <row r="60" spans="1:9" ht="15.75" customHeight="1">
      <c r="A60" s="21"/>
      <c r="B60" s="74" t="s">
        <v>43</v>
      </c>
      <c r="C60" s="40"/>
      <c r="D60" s="39"/>
      <c r="E60" s="54"/>
      <c r="F60" s="41"/>
      <c r="G60" s="41"/>
      <c r="H60" s="55"/>
      <c r="I60" s="58"/>
    </row>
    <row r="61" spans="1:9" ht="31.5" hidden="1" customHeight="1">
      <c r="A61" s="21">
        <v>13</v>
      </c>
      <c r="B61" s="39" t="s">
        <v>101</v>
      </c>
      <c r="C61" s="40" t="s">
        <v>84</v>
      </c>
      <c r="D61" s="39" t="s">
        <v>157</v>
      </c>
      <c r="E61" s="54">
        <v>142.05000000000001</v>
      </c>
      <c r="F61" s="41">
        <f>SUM(E61*6/100)</f>
        <v>8.5230000000000015</v>
      </c>
      <c r="G61" s="10">
        <v>2108.4299999999998</v>
      </c>
      <c r="H61" s="55">
        <f>SUM(F61*G61/1000)</f>
        <v>17.970148890000001</v>
      </c>
      <c r="I61" s="10">
        <f>F61/6*G61</f>
        <v>2995.0248150000002</v>
      </c>
    </row>
    <row r="62" spans="1:9" ht="31.5" customHeight="1">
      <c r="A62" s="21">
        <v>10</v>
      </c>
      <c r="B62" s="86" t="s">
        <v>224</v>
      </c>
      <c r="C62" s="87" t="s">
        <v>52</v>
      </c>
      <c r="D62" s="86"/>
      <c r="E62" s="88">
        <v>4.62</v>
      </c>
      <c r="F62" s="91">
        <f>E62*12/100</f>
        <v>0.5544</v>
      </c>
      <c r="G62" s="26">
        <v>2306.83</v>
      </c>
      <c r="H62" s="61"/>
      <c r="I62" s="10">
        <f>G62*F62/6</f>
        <v>213.15109199999998</v>
      </c>
    </row>
    <row r="63" spans="1:9" ht="15.75" customHeight="1">
      <c r="A63" s="21"/>
      <c r="B63" s="74" t="s">
        <v>44</v>
      </c>
      <c r="C63" s="40"/>
      <c r="D63" s="39"/>
      <c r="E63" s="54"/>
      <c r="F63" s="55"/>
      <c r="G63" s="10"/>
      <c r="H63" s="61"/>
      <c r="I63" s="58"/>
    </row>
    <row r="64" spans="1:9" ht="15.75" hidden="1" customHeight="1">
      <c r="A64" s="21"/>
      <c r="B64" s="39" t="s">
        <v>158</v>
      </c>
      <c r="C64" s="40" t="s">
        <v>84</v>
      </c>
      <c r="D64" s="39" t="s">
        <v>53</v>
      </c>
      <c r="E64" s="54">
        <v>1040.4000000000001</v>
      </c>
      <c r="F64" s="55">
        <f>E64/100</f>
        <v>10.404000000000002</v>
      </c>
      <c r="G64" s="10">
        <v>902.66</v>
      </c>
      <c r="H64" s="61">
        <f>G64*F64/1000</f>
        <v>9.3912746400000007</v>
      </c>
      <c r="I64" s="10">
        <v>0</v>
      </c>
    </row>
    <row r="65" spans="1:9" ht="15.75" customHeight="1">
      <c r="A65" s="21">
        <v>11</v>
      </c>
      <c r="B65" s="39" t="s">
        <v>126</v>
      </c>
      <c r="C65" s="40" t="s">
        <v>25</v>
      </c>
      <c r="D65" s="39" t="s">
        <v>194</v>
      </c>
      <c r="E65" s="54">
        <v>240</v>
      </c>
      <c r="F65" s="41">
        <v>2400</v>
      </c>
      <c r="G65" s="49">
        <v>1.4</v>
      </c>
      <c r="H65" s="55">
        <f>F65*G65/1000</f>
        <v>3.36</v>
      </c>
      <c r="I65" s="10">
        <f>F65/12*G65</f>
        <v>280</v>
      </c>
    </row>
    <row r="66" spans="1:9" ht="15.75" customHeight="1">
      <c r="A66" s="21"/>
      <c r="B66" s="75" t="s">
        <v>45</v>
      </c>
      <c r="C66" s="62"/>
      <c r="D66" s="63"/>
      <c r="E66" s="64"/>
      <c r="F66" s="65"/>
      <c r="G66" s="65"/>
      <c r="H66" s="66" t="s">
        <v>155</v>
      </c>
      <c r="I66" s="58"/>
    </row>
    <row r="67" spans="1:9" ht="15.75" hidden="1" customHeight="1">
      <c r="A67" s="21">
        <v>12</v>
      </c>
      <c r="B67" s="11" t="s">
        <v>46</v>
      </c>
      <c r="C67" s="13" t="s">
        <v>40</v>
      </c>
      <c r="D67" s="39" t="s">
        <v>200</v>
      </c>
      <c r="E67" s="15">
        <v>15</v>
      </c>
      <c r="F67" s="41">
        <f>15/100</f>
        <v>0.15</v>
      </c>
      <c r="G67" s="115">
        <v>331.57</v>
      </c>
      <c r="H67" s="67">
        <f t="shared" ref="H67:H86" si="8">SUM(F67*G67/1000)</f>
        <v>4.9735499999999995E-2</v>
      </c>
      <c r="I67" s="10">
        <f>G67*3</f>
        <v>994.71</v>
      </c>
    </row>
    <row r="68" spans="1:9" ht="15.75" customHeight="1">
      <c r="A68" s="21">
        <v>12</v>
      </c>
      <c r="B68" s="11" t="s">
        <v>47</v>
      </c>
      <c r="C68" s="13" t="s">
        <v>40</v>
      </c>
      <c r="D68" s="39" t="s">
        <v>189</v>
      </c>
      <c r="E68" s="15">
        <v>10</v>
      </c>
      <c r="F68" s="41">
        <f>10/100</f>
        <v>0.1</v>
      </c>
      <c r="G68" s="115">
        <v>113.69</v>
      </c>
      <c r="H68" s="67">
        <f t="shared" si="8"/>
        <v>1.1369000000000001E-2</v>
      </c>
      <c r="I68" s="10">
        <f>G68*2</f>
        <v>227.38</v>
      </c>
    </row>
    <row r="69" spans="1:9" ht="15.75" hidden="1" customHeight="1">
      <c r="A69" s="21"/>
      <c r="B69" s="11" t="s">
        <v>48</v>
      </c>
      <c r="C69" s="13" t="s">
        <v>94</v>
      </c>
      <c r="D69" s="11" t="s">
        <v>53</v>
      </c>
      <c r="E69" s="54">
        <v>17532</v>
      </c>
      <c r="F69" s="10">
        <f>SUM(E69/100)</f>
        <v>175.32</v>
      </c>
      <c r="G69" s="10">
        <v>241.31</v>
      </c>
      <c r="H69" s="67">
        <f t="shared" si="8"/>
        <v>42.306469200000002</v>
      </c>
      <c r="I69" s="10">
        <f>F69*G69</f>
        <v>42306.4692</v>
      </c>
    </row>
    <row r="70" spans="1:9" ht="15.75" hidden="1" customHeight="1">
      <c r="A70" s="21"/>
      <c r="B70" s="11" t="s">
        <v>49</v>
      </c>
      <c r="C70" s="13" t="s">
        <v>95</v>
      </c>
      <c r="D70" s="11"/>
      <c r="E70" s="54">
        <v>17532</v>
      </c>
      <c r="F70" s="10">
        <f>SUM(E70/1000)</f>
        <v>17.532</v>
      </c>
      <c r="G70" s="10">
        <v>187.91</v>
      </c>
      <c r="H70" s="67">
        <f t="shared" si="8"/>
        <v>3.2944381199999997</v>
      </c>
      <c r="I70" s="10">
        <f>F70*G70</f>
        <v>3294.4381199999998</v>
      </c>
    </row>
    <row r="71" spans="1:9" ht="15.75" hidden="1" customHeight="1">
      <c r="A71" s="21"/>
      <c r="B71" s="11" t="s">
        <v>50</v>
      </c>
      <c r="C71" s="13" t="s">
        <v>77</v>
      </c>
      <c r="D71" s="11" t="s">
        <v>53</v>
      </c>
      <c r="E71" s="54">
        <v>1365</v>
      </c>
      <c r="F71" s="10">
        <f>SUM(E71/100)</f>
        <v>13.65</v>
      </c>
      <c r="G71" s="10">
        <v>2359.7199999999998</v>
      </c>
      <c r="H71" s="67">
        <f t="shared" si="8"/>
        <v>32.210177999999999</v>
      </c>
      <c r="I71" s="10">
        <f t="shared" ref="I71:I74" si="9">F71*G71</f>
        <v>32210.178</v>
      </c>
    </row>
    <row r="72" spans="1:9" ht="15.75" hidden="1" customHeight="1">
      <c r="A72" s="21"/>
      <c r="B72" s="68" t="s">
        <v>71</v>
      </c>
      <c r="C72" s="13" t="s">
        <v>32</v>
      </c>
      <c r="D72" s="11"/>
      <c r="E72" s="54">
        <v>15.6</v>
      </c>
      <c r="F72" s="10">
        <f>SUM(E72)</f>
        <v>15.6</v>
      </c>
      <c r="G72" s="10">
        <v>45.4</v>
      </c>
      <c r="H72" s="67">
        <f t="shared" si="8"/>
        <v>0.70823999999999998</v>
      </c>
      <c r="I72" s="10">
        <f t="shared" si="9"/>
        <v>708.24</v>
      </c>
    </row>
    <row r="73" spans="1:9" ht="15.75" hidden="1" customHeight="1">
      <c r="A73" s="21"/>
      <c r="B73" s="68" t="s">
        <v>161</v>
      </c>
      <c r="C73" s="13" t="s">
        <v>32</v>
      </c>
      <c r="D73" s="11"/>
      <c r="E73" s="54">
        <v>15.6</v>
      </c>
      <c r="F73" s="10">
        <f>SUM(E73)</f>
        <v>15.6</v>
      </c>
      <c r="G73" s="10">
        <v>42.35</v>
      </c>
      <c r="H73" s="67">
        <f t="shared" si="8"/>
        <v>0.66065999999999991</v>
      </c>
      <c r="I73" s="10">
        <f t="shared" si="9"/>
        <v>660.66</v>
      </c>
    </row>
    <row r="74" spans="1:9" ht="15.75" hidden="1" customHeight="1">
      <c r="A74" s="21"/>
      <c r="B74" s="11" t="s">
        <v>56</v>
      </c>
      <c r="C74" s="13" t="s">
        <v>57</v>
      </c>
      <c r="D74" s="11" t="s">
        <v>53</v>
      </c>
      <c r="E74" s="15">
        <v>4</v>
      </c>
      <c r="F74" s="41">
        <f>SUM(E74)</f>
        <v>4</v>
      </c>
      <c r="G74" s="10">
        <v>56.74</v>
      </c>
      <c r="H74" s="67">
        <f t="shared" si="8"/>
        <v>0.22696</v>
      </c>
      <c r="I74" s="10">
        <f t="shared" si="9"/>
        <v>226.96</v>
      </c>
    </row>
    <row r="75" spans="1:9" ht="15.75" customHeight="1">
      <c r="A75" s="21">
        <v>13</v>
      </c>
      <c r="B75" s="85" t="s">
        <v>127</v>
      </c>
      <c r="C75" s="108" t="s">
        <v>57</v>
      </c>
      <c r="D75" s="85" t="s">
        <v>195</v>
      </c>
      <c r="E75" s="14">
        <v>1</v>
      </c>
      <c r="F75" s="90">
        <v>12</v>
      </c>
      <c r="G75" s="26">
        <v>1829</v>
      </c>
      <c r="H75" s="67">
        <f t="shared" si="8"/>
        <v>21.948</v>
      </c>
      <c r="I75" s="10">
        <f>G75</f>
        <v>1829</v>
      </c>
    </row>
    <row r="76" spans="1:9" ht="15.75" customHeight="1">
      <c r="A76" s="21"/>
      <c r="B76" s="76" t="s">
        <v>102</v>
      </c>
      <c r="C76" s="108"/>
      <c r="D76" s="85"/>
      <c r="E76" s="14"/>
      <c r="F76" s="90"/>
      <c r="G76" s="26"/>
      <c r="H76" s="67"/>
      <c r="I76" s="10"/>
    </row>
    <row r="77" spans="1:9" ht="31.5" customHeight="1">
      <c r="A77" s="21">
        <v>14</v>
      </c>
      <c r="B77" s="100" t="s">
        <v>205</v>
      </c>
      <c r="C77" s="101" t="s">
        <v>206</v>
      </c>
      <c r="D77" s="112"/>
      <c r="E77" s="122">
        <v>3455.3</v>
      </c>
      <c r="F77" s="102">
        <f>E77*12</f>
        <v>41463.600000000006</v>
      </c>
      <c r="G77" s="102">
        <v>2.6</v>
      </c>
      <c r="H77" s="67">
        <f t="shared" ref="H77" si="10">F77*G77/1000</f>
        <v>107.80536000000002</v>
      </c>
      <c r="I77" s="10">
        <f>G77*F77/12</f>
        <v>8983.7800000000007</v>
      </c>
    </row>
    <row r="78" spans="1:9" ht="15.75" customHeight="1">
      <c r="A78" s="21"/>
      <c r="B78" s="77" t="s">
        <v>72</v>
      </c>
      <c r="C78" s="13"/>
      <c r="D78" s="11"/>
      <c r="E78" s="15"/>
      <c r="F78" s="10"/>
      <c r="G78" s="10"/>
      <c r="H78" s="67" t="s">
        <v>155</v>
      </c>
      <c r="I78" s="58"/>
    </row>
    <row r="79" spans="1:9" ht="15.75" hidden="1" customHeight="1">
      <c r="A79" s="21"/>
      <c r="B79" s="11" t="s">
        <v>128</v>
      </c>
      <c r="C79" s="13" t="s">
        <v>30</v>
      </c>
      <c r="D79" s="39" t="s">
        <v>65</v>
      </c>
      <c r="E79" s="15">
        <v>2</v>
      </c>
      <c r="F79" s="10">
        <v>2</v>
      </c>
      <c r="G79" s="10">
        <v>892.5</v>
      </c>
      <c r="H79" s="67">
        <f>G79*F79/1000</f>
        <v>1.7849999999999999</v>
      </c>
      <c r="I79" s="10">
        <v>0</v>
      </c>
    </row>
    <row r="80" spans="1:9" ht="15.75" hidden="1" customHeight="1">
      <c r="A80" s="21"/>
      <c r="B80" s="11" t="s">
        <v>114</v>
      </c>
      <c r="C80" s="13" t="s">
        <v>129</v>
      </c>
      <c r="D80" s="11"/>
      <c r="E80" s="15">
        <v>1</v>
      </c>
      <c r="F80" s="10">
        <v>1</v>
      </c>
      <c r="G80" s="10">
        <v>750</v>
      </c>
      <c r="H80" s="67">
        <f>G80*F80/1000</f>
        <v>0.75</v>
      </c>
      <c r="I80" s="10">
        <v>0</v>
      </c>
    </row>
    <row r="81" spans="1:9" ht="15.75" hidden="1" customHeight="1">
      <c r="A81" s="21"/>
      <c r="B81" s="11" t="s">
        <v>73</v>
      </c>
      <c r="C81" s="13" t="s">
        <v>75</v>
      </c>
      <c r="D81" s="11"/>
      <c r="E81" s="15">
        <v>2</v>
      </c>
      <c r="F81" s="10">
        <v>0.2</v>
      </c>
      <c r="G81" s="10">
        <v>570.54</v>
      </c>
      <c r="H81" s="67">
        <f t="shared" si="8"/>
        <v>0.114108</v>
      </c>
      <c r="I81" s="10">
        <v>0</v>
      </c>
    </row>
    <row r="82" spans="1:9" ht="15.75" hidden="1" customHeight="1">
      <c r="A82" s="21"/>
      <c r="B82" s="11" t="s">
        <v>74</v>
      </c>
      <c r="C82" s="13" t="s">
        <v>30</v>
      </c>
      <c r="D82" s="11"/>
      <c r="E82" s="15">
        <v>1</v>
      </c>
      <c r="F82" s="49">
        <v>1</v>
      </c>
      <c r="G82" s="10">
        <v>970.21</v>
      </c>
      <c r="H82" s="67">
        <f t="shared" si="8"/>
        <v>0.97021000000000002</v>
      </c>
      <c r="I82" s="10">
        <v>0</v>
      </c>
    </row>
    <row r="83" spans="1:9" ht="15.75" hidden="1" customHeight="1">
      <c r="A83" s="21">
        <v>15</v>
      </c>
      <c r="B83" s="11" t="s">
        <v>130</v>
      </c>
      <c r="C83" s="13" t="s">
        <v>93</v>
      </c>
      <c r="D83" s="11"/>
      <c r="E83" s="15">
        <v>1</v>
      </c>
      <c r="F83" s="41">
        <f>SUM(E83)</f>
        <v>1</v>
      </c>
      <c r="G83" s="10">
        <v>407.79</v>
      </c>
      <c r="H83" s="67">
        <f t="shared" si="8"/>
        <v>0.40779000000000004</v>
      </c>
      <c r="I83" s="10">
        <f>G83</f>
        <v>407.79</v>
      </c>
    </row>
    <row r="84" spans="1:9" ht="15.75" customHeight="1">
      <c r="A84" s="21">
        <v>15</v>
      </c>
      <c r="B84" s="85" t="s">
        <v>207</v>
      </c>
      <c r="C84" s="108" t="s">
        <v>93</v>
      </c>
      <c r="D84" s="85" t="s">
        <v>195</v>
      </c>
      <c r="E84" s="14">
        <v>1</v>
      </c>
      <c r="F84" s="26">
        <f>E84*12</f>
        <v>12</v>
      </c>
      <c r="G84" s="26">
        <v>420</v>
      </c>
      <c r="H84" s="67">
        <f>G84*F84/1000</f>
        <v>5.04</v>
      </c>
      <c r="I84" s="10">
        <f>G84*1</f>
        <v>420</v>
      </c>
    </row>
    <row r="85" spans="1:9" ht="15.75" hidden="1" customHeight="1">
      <c r="A85" s="21"/>
      <c r="B85" s="72" t="s">
        <v>76</v>
      </c>
      <c r="C85" s="13"/>
      <c r="D85" s="11"/>
      <c r="E85" s="15"/>
      <c r="F85" s="10"/>
      <c r="G85" s="10" t="s">
        <v>155</v>
      </c>
      <c r="H85" s="67" t="s">
        <v>155</v>
      </c>
      <c r="I85" s="58"/>
    </row>
    <row r="86" spans="1:9" ht="15.75" hidden="1" customHeight="1">
      <c r="A86" s="21"/>
      <c r="B86" s="34" t="s">
        <v>99</v>
      </c>
      <c r="C86" s="13" t="s">
        <v>77</v>
      </c>
      <c r="D86" s="11"/>
      <c r="E86" s="15"/>
      <c r="F86" s="10">
        <v>0.6</v>
      </c>
      <c r="G86" s="10">
        <v>3138.65</v>
      </c>
      <c r="H86" s="67">
        <f t="shared" si="8"/>
        <v>1.8831900000000001</v>
      </c>
      <c r="I86" s="10">
        <v>0</v>
      </c>
    </row>
    <row r="87" spans="1:9" ht="15.75" hidden="1" customHeight="1">
      <c r="A87" s="21"/>
      <c r="B87" s="77" t="s">
        <v>90</v>
      </c>
      <c r="C87" s="13"/>
      <c r="D87" s="11"/>
      <c r="E87" s="50"/>
      <c r="F87" s="10"/>
      <c r="G87" s="10"/>
      <c r="H87" s="67"/>
      <c r="I87" s="10"/>
    </row>
    <row r="88" spans="1:9" ht="15.75" hidden="1" customHeight="1">
      <c r="A88" s="21"/>
      <c r="B88" s="39" t="s">
        <v>96</v>
      </c>
      <c r="C88" s="13"/>
      <c r="D88" s="11"/>
      <c r="E88" s="50"/>
      <c r="F88" s="10">
        <v>1</v>
      </c>
      <c r="G88" s="10">
        <v>21095</v>
      </c>
      <c r="H88" s="67">
        <f>G88*F88/1000</f>
        <v>21.094999999999999</v>
      </c>
      <c r="I88" s="10">
        <v>0</v>
      </c>
    </row>
    <row r="89" spans="1:9" ht="15.75" customHeight="1">
      <c r="A89" s="151" t="s">
        <v>150</v>
      </c>
      <c r="B89" s="152"/>
      <c r="C89" s="152"/>
      <c r="D89" s="152"/>
      <c r="E89" s="152"/>
      <c r="F89" s="152"/>
      <c r="G89" s="152"/>
      <c r="H89" s="152"/>
      <c r="I89" s="153"/>
    </row>
    <row r="90" spans="1:9" ht="15.75" customHeight="1">
      <c r="A90" s="21">
        <v>16</v>
      </c>
      <c r="B90" s="100" t="s">
        <v>97</v>
      </c>
      <c r="C90" s="108" t="s">
        <v>54</v>
      </c>
      <c r="D90" s="123"/>
      <c r="E90" s="26">
        <v>3455.3</v>
      </c>
      <c r="F90" s="26">
        <v>41463.599999999999</v>
      </c>
      <c r="G90" s="26">
        <v>3.5</v>
      </c>
      <c r="H90" s="67">
        <f>SUM(F90*G90/1000)</f>
        <v>145.12260000000001</v>
      </c>
      <c r="I90" s="10">
        <f>F90/12*G90</f>
        <v>12093.55</v>
      </c>
    </row>
    <row r="91" spans="1:9" ht="31.5" customHeight="1">
      <c r="A91" s="21">
        <v>17</v>
      </c>
      <c r="B91" s="85" t="s">
        <v>208</v>
      </c>
      <c r="C91" s="108" t="s">
        <v>54</v>
      </c>
      <c r="D91" s="37"/>
      <c r="E91" s="88">
        <f>E90</f>
        <v>3455.3</v>
      </c>
      <c r="F91" s="26">
        <f>E91*12</f>
        <v>41463.600000000006</v>
      </c>
      <c r="G91" s="26">
        <v>3.2</v>
      </c>
      <c r="H91" s="67">
        <f>F91*G91/1000</f>
        <v>132.68352000000002</v>
      </c>
      <c r="I91" s="10">
        <f>F91/12*G91</f>
        <v>11056.960000000003</v>
      </c>
    </row>
    <row r="92" spans="1:9" ht="15.75" customHeight="1">
      <c r="A92" s="21"/>
      <c r="B92" s="27" t="s">
        <v>79</v>
      </c>
      <c r="C92" s="72"/>
      <c r="D92" s="70"/>
      <c r="E92" s="71"/>
      <c r="F92" s="71"/>
      <c r="G92" s="71"/>
      <c r="H92" s="69">
        <f>SUM(H91)</f>
        <v>132.68352000000002</v>
      </c>
      <c r="I92" s="71">
        <f>I91+I90+I84+I77+I75+I68+I65+I62+I53+I46+I43+I42+I40+I39+I18+I17+I16</f>
        <v>56857.032590833325</v>
      </c>
    </row>
    <row r="93" spans="1:9" ht="15.75" customHeight="1">
      <c r="A93" s="159" t="s">
        <v>59</v>
      </c>
      <c r="B93" s="160"/>
      <c r="C93" s="160"/>
      <c r="D93" s="160"/>
      <c r="E93" s="160"/>
      <c r="F93" s="160"/>
      <c r="G93" s="160"/>
      <c r="H93" s="160"/>
      <c r="I93" s="161"/>
    </row>
    <row r="94" spans="1:9" ht="30.75" customHeight="1">
      <c r="A94" s="21">
        <v>18</v>
      </c>
      <c r="B94" s="127" t="s">
        <v>231</v>
      </c>
      <c r="C94" s="107" t="s">
        <v>232</v>
      </c>
      <c r="D94" s="37" t="s">
        <v>313</v>
      </c>
      <c r="E94" s="26"/>
      <c r="F94" s="26">
        <v>2</v>
      </c>
      <c r="G94" s="26">
        <v>477.25</v>
      </c>
      <c r="H94" s="67"/>
      <c r="I94" s="10">
        <f>G94*1</f>
        <v>477.25</v>
      </c>
    </row>
    <row r="95" spans="1:9" ht="14.25" customHeight="1">
      <c r="A95" s="21">
        <v>19</v>
      </c>
      <c r="B95" s="127" t="s">
        <v>312</v>
      </c>
      <c r="C95" s="107" t="s">
        <v>107</v>
      </c>
      <c r="D95" s="37" t="s">
        <v>313</v>
      </c>
      <c r="E95" s="26"/>
      <c r="F95" s="26">
        <v>0.06</v>
      </c>
      <c r="G95" s="26">
        <v>2787.6</v>
      </c>
      <c r="H95" s="67"/>
      <c r="I95" s="10">
        <f>G95*0.06</f>
        <v>167.256</v>
      </c>
    </row>
    <row r="96" spans="1:9" ht="31.5" customHeight="1">
      <c r="A96" s="21">
        <v>20</v>
      </c>
      <c r="B96" s="38" t="s">
        <v>279</v>
      </c>
      <c r="C96" s="84" t="s">
        <v>280</v>
      </c>
      <c r="D96" s="85" t="s">
        <v>314</v>
      </c>
      <c r="E96" s="26"/>
      <c r="F96" s="26">
        <v>4</v>
      </c>
      <c r="G96" s="26">
        <v>64.06</v>
      </c>
      <c r="H96" s="67"/>
      <c r="I96" s="10">
        <f>G96*2</f>
        <v>128.12</v>
      </c>
    </row>
    <row r="97" spans="1:9">
      <c r="A97" s="21"/>
      <c r="B97" s="32" t="s">
        <v>51</v>
      </c>
      <c r="C97" s="28"/>
      <c r="D97" s="35"/>
      <c r="E97" s="28">
        <v>1</v>
      </c>
      <c r="F97" s="28"/>
      <c r="G97" s="28"/>
      <c r="H97" s="28"/>
      <c r="I97" s="24">
        <f>SUM(I94:I96)</f>
        <v>772.62599999999998</v>
      </c>
    </row>
    <row r="98" spans="1:9">
      <c r="A98" s="21"/>
      <c r="B98" s="34" t="s">
        <v>78</v>
      </c>
      <c r="C98" s="12"/>
      <c r="D98" s="12"/>
      <c r="E98" s="29"/>
      <c r="F98" s="29"/>
      <c r="G98" s="30"/>
      <c r="H98" s="30"/>
      <c r="I98" s="14">
        <v>0</v>
      </c>
    </row>
    <row r="99" spans="1:9" ht="15.75" customHeight="1">
      <c r="A99" s="36"/>
      <c r="B99" s="33" t="s">
        <v>172</v>
      </c>
      <c r="C99" s="25"/>
      <c r="D99" s="25"/>
      <c r="E99" s="25"/>
      <c r="F99" s="25"/>
      <c r="G99" s="25"/>
      <c r="H99" s="25"/>
      <c r="I99" s="31">
        <f>I92+I97</f>
        <v>57629.658590833322</v>
      </c>
    </row>
    <row r="100" spans="1:9" ht="15.75">
      <c r="A100" s="154" t="s">
        <v>315</v>
      </c>
      <c r="B100" s="154"/>
      <c r="C100" s="154"/>
      <c r="D100" s="154"/>
      <c r="E100" s="154"/>
      <c r="F100" s="154"/>
      <c r="G100" s="154"/>
      <c r="H100" s="154"/>
      <c r="I100" s="154"/>
    </row>
    <row r="101" spans="1:9" ht="15.75">
      <c r="A101" s="48"/>
      <c r="B101" s="155" t="s">
        <v>316</v>
      </c>
      <c r="C101" s="155"/>
      <c r="D101" s="155"/>
      <c r="E101" s="155"/>
      <c r="F101" s="155"/>
      <c r="G101" s="155"/>
      <c r="H101" s="53"/>
      <c r="I101" s="2"/>
    </row>
    <row r="102" spans="1:9">
      <c r="A102" s="82"/>
      <c r="B102" s="156" t="s">
        <v>6</v>
      </c>
      <c r="C102" s="156"/>
      <c r="D102" s="156"/>
      <c r="E102" s="156"/>
      <c r="F102" s="156"/>
      <c r="G102" s="156"/>
      <c r="H102" s="16"/>
      <c r="I102" s="4"/>
    </row>
    <row r="103" spans="1:9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 customHeight="1">
      <c r="A104" s="157" t="s">
        <v>7</v>
      </c>
      <c r="B104" s="157"/>
      <c r="C104" s="157"/>
      <c r="D104" s="157"/>
      <c r="E104" s="157"/>
      <c r="F104" s="157"/>
      <c r="G104" s="157"/>
      <c r="H104" s="157"/>
      <c r="I104" s="157"/>
    </row>
    <row r="105" spans="1:9" ht="15.75" customHeight="1">
      <c r="A105" s="157" t="s">
        <v>8</v>
      </c>
      <c r="B105" s="157"/>
      <c r="C105" s="157"/>
      <c r="D105" s="157"/>
      <c r="E105" s="157"/>
      <c r="F105" s="157"/>
      <c r="G105" s="157"/>
      <c r="H105" s="157"/>
      <c r="I105" s="157"/>
    </row>
    <row r="106" spans="1:9" ht="15.75" customHeight="1">
      <c r="A106" s="158" t="s">
        <v>60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ht="7.5" customHeight="1">
      <c r="A107" s="8"/>
    </row>
    <row r="108" spans="1:9" ht="15.75" customHeight="1">
      <c r="A108" s="146" t="s">
        <v>9</v>
      </c>
      <c r="B108" s="146"/>
      <c r="C108" s="146"/>
      <c r="D108" s="146"/>
      <c r="E108" s="146"/>
      <c r="F108" s="146"/>
      <c r="G108" s="146"/>
      <c r="H108" s="146"/>
      <c r="I108" s="146"/>
    </row>
    <row r="109" spans="1:9" ht="15.75" customHeight="1">
      <c r="A109" s="3"/>
    </row>
    <row r="110" spans="1:9" ht="15.75" customHeight="1">
      <c r="B110" s="80" t="s">
        <v>10</v>
      </c>
      <c r="C110" s="163" t="s">
        <v>217</v>
      </c>
      <c r="D110" s="163"/>
      <c r="E110" s="163"/>
      <c r="F110" s="51"/>
      <c r="I110" s="81"/>
    </row>
    <row r="111" spans="1:9">
      <c r="A111" s="82"/>
      <c r="C111" s="156" t="s">
        <v>11</v>
      </c>
      <c r="D111" s="156"/>
      <c r="E111" s="156"/>
      <c r="F111" s="16"/>
      <c r="I111" s="79" t="s">
        <v>12</v>
      </c>
    </row>
    <row r="112" spans="1:9" ht="8.25" customHeight="1">
      <c r="A112" s="17"/>
      <c r="C112" s="9"/>
      <c r="D112" s="9"/>
      <c r="G112" s="9"/>
      <c r="H112" s="9"/>
    </row>
    <row r="113" spans="1:9" ht="15.75">
      <c r="B113" s="80" t="s">
        <v>13</v>
      </c>
      <c r="C113" s="164"/>
      <c r="D113" s="164"/>
      <c r="E113" s="164"/>
      <c r="F113" s="52"/>
      <c r="I113" s="81"/>
    </row>
    <row r="114" spans="1:9">
      <c r="A114" s="82"/>
      <c r="C114" s="165" t="s">
        <v>11</v>
      </c>
      <c r="D114" s="165"/>
      <c r="E114" s="165"/>
      <c r="F114" s="82"/>
      <c r="I114" s="79" t="s">
        <v>12</v>
      </c>
    </row>
    <row r="115" spans="1:9" ht="15.75">
      <c r="A115" s="3" t="s">
        <v>14</v>
      </c>
    </row>
    <row r="116" spans="1:9">
      <c r="A116" s="166" t="s">
        <v>15</v>
      </c>
      <c r="B116" s="166"/>
      <c r="C116" s="166"/>
      <c r="D116" s="166"/>
      <c r="E116" s="166"/>
      <c r="F116" s="166"/>
      <c r="G116" s="166"/>
      <c r="H116" s="166"/>
      <c r="I116" s="166"/>
    </row>
    <row r="117" spans="1:9" ht="45" customHeight="1">
      <c r="A117" s="162" t="s">
        <v>16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30" customHeight="1">
      <c r="A118" s="162" t="s">
        <v>17</v>
      </c>
      <c r="B118" s="162"/>
      <c r="C118" s="162"/>
      <c r="D118" s="162"/>
      <c r="E118" s="162"/>
      <c r="F118" s="162"/>
      <c r="G118" s="162"/>
      <c r="H118" s="162"/>
      <c r="I118" s="162"/>
    </row>
    <row r="119" spans="1:9" ht="30" customHeight="1">
      <c r="A119" s="162" t="s">
        <v>21</v>
      </c>
      <c r="B119" s="162"/>
      <c r="C119" s="162"/>
      <c r="D119" s="162"/>
      <c r="E119" s="162"/>
      <c r="F119" s="162"/>
      <c r="G119" s="162"/>
      <c r="H119" s="162"/>
      <c r="I119" s="162"/>
    </row>
    <row r="120" spans="1:9" ht="15" customHeight="1">
      <c r="A120" s="162" t="s">
        <v>20</v>
      </c>
      <c r="B120" s="162"/>
      <c r="C120" s="162"/>
      <c r="D120" s="162"/>
      <c r="E120" s="162"/>
      <c r="F120" s="162"/>
      <c r="G120" s="162"/>
      <c r="H120" s="162"/>
      <c r="I120" s="162"/>
    </row>
  </sheetData>
  <mergeCells count="28">
    <mergeCell ref="A14:I14"/>
    <mergeCell ref="A3:I3"/>
    <mergeCell ref="A4:I4"/>
    <mergeCell ref="A5:I5"/>
    <mergeCell ref="A8:I8"/>
    <mergeCell ref="A10:I10"/>
    <mergeCell ref="A106:I106"/>
    <mergeCell ref="A15:I15"/>
    <mergeCell ref="A29:I29"/>
    <mergeCell ref="A47:I47"/>
    <mergeCell ref="A59:I59"/>
    <mergeCell ref="A89:I89"/>
    <mergeCell ref="A93:I93"/>
    <mergeCell ref="A100:I100"/>
    <mergeCell ref="B101:G101"/>
    <mergeCell ref="B102:G102"/>
    <mergeCell ref="A104:I104"/>
    <mergeCell ref="A105:I10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58" workbookViewId="0">
      <selection activeCell="B61" sqref="B61:I6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162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235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44255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214</v>
      </c>
      <c r="E16" s="88">
        <v>70.7</v>
      </c>
      <c r="F16" s="89">
        <f>SUM(E16*156/100)</f>
        <v>110.292</v>
      </c>
      <c r="G16" s="89">
        <v>261.45</v>
      </c>
      <c r="H16" s="55">
        <f t="shared" ref="H16:H26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191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194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F18/18*G18</f>
        <v>2658.8856000000001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108</v>
      </c>
      <c r="E19" s="54">
        <v>40</v>
      </c>
      <c r="F19" s="41">
        <f>SUM(E19/10)</f>
        <v>4</v>
      </c>
      <c r="G19" s="41">
        <v>193.55</v>
      </c>
      <c r="H19" s="55">
        <f t="shared" si="0"/>
        <v>0.7742</v>
      </c>
      <c r="I19" s="10">
        <v>0</v>
      </c>
    </row>
    <row r="20" spans="1:9" ht="15.75" hidden="1" customHeight="1">
      <c r="A20" s="21"/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41">
        <v>324.83999999999997</v>
      </c>
      <c r="H20" s="55">
        <f t="shared" si="0"/>
        <v>6.8216399999999996E-2</v>
      </c>
      <c r="I20" s="10">
        <f>G20*F20/2</f>
        <v>34.108199999999997</v>
      </c>
    </row>
    <row r="21" spans="1:9" ht="15.75" hidden="1" customHeight="1">
      <c r="A21" s="21"/>
      <c r="B21" s="39" t="s">
        <v>110</v>
      </c>
      <c r="C21" s="40" t="s">
        <v>84</v>
      </c>
      <c r="D21" s="39" t="s">
        <v>194</v>
      </c>
      <c r="E21" s="88">
        <v>2.7</v>
      </c>
      <c r="F21" s="89">
        <f>SUM(E21*2/100)</f>
        <v>5.4000000000000006E-2</v>
      </c>
      <c r="G21" s="89">
        <v>322.20999999999998</v>
      </c>
      <c r="H21" s="55">
        <f t="shared" si="0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111</v>
      </c>
      <c r="C22" s="40" t="s">
        <v>52</v>
      </c>
      <c r="D22" s="39" t="s">
        <v>108</v>
      </c>
      <c r="E22" s="54">
        <v>357</v>
      </c>
      <c r="F22" s="41">
        <f>SUM(E22/100)</f>
        <v>3.57</v>
      </c>
      <c r="G22" s="41">
        <v>306.26</v>
      </c>
      <c r="H22" s="55">
        <f t="shared" si="0"/>
        <v>1.0933481999999999</v>
      </c>
      <c r="I22" s="10">
        <v>0</v>
      </c>
    </row>
    <row r="23" spans="1:9" ht="15.75" hidden="1" customHeight="1">
      <c r="A23" s="21"/>
      <c r="B23" s="39" t="s">
        <v>112</v>
      </c>
      <c r="C23" s="40" t="s">
        <v>52</v>
      </c>
      <c r="D23" s="39" t="s">
        <v>108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0"/>
        <v>1.9462968000000001E-2</v>
      </c>
      <c r="I23" s="10">
        <v>0</v>
      </c>
    </row>
    <row r="24" spans="1:9" ht="15.75" hidden="1" customHeight="1">
      <c r="A24" s="21"/>
      <c r="B24" s="39" t="s">
        <v>113</v>
      </c>
      <c r="C24" s="40" t="s">
        <v>52</v>
      </c>
      <c r="D24" s="39" t="s">
        <v>118</v>
      </c>
      <c r="E24" s="54">
        <v>15</v>
      </c>
      <c r="F24" s="41">
        <f>E24/100</f>
        <v>0.15</v>
      </c>
      <c r="G24" s="41">
        <v>443.27</v>
      </c>
      <c r="H24" s="55">
        <f t="shared" si="0"/>
        <v>6.6490499999999994E-2</v>
      </c>
      <c r="I24" s="10">
        <v>0</v>
      </c>
    </row>
    <row r="25" spans="1:9" ht="15.75" hidden="1" customHeight="1">
      <c r="A25" s="21"/>
      <c r="B25" s="39" t="s">
        <v>119</v>
      </c>
      <c r="C25" s="40" t="s">
        <v>84</v>
      </c>
      <c r="D25" s="39" t="s">
        <v>53</v>
      </c>
      <c r="E25" s="54">
        <v>14.25</v>
      </c>
      <c r="F25" s="41">
        <v>0.1</v>
      </c>
      <c r="G25" s="41">
        <v>245.81</v>
      </c>
      <c r="H25" s="55">
        <v>3.1E-2</v>
      </c>
      <c r="I25" s="10">
        <v>0</v>
      </c>
    </row>
    <row r="26" spans="1:9" ht="15.75" hidden="1" customHeight="1">
      <c r="A26" s="21"/>
      <c r="B26" s="39" t="s">
        <v>120</v>
      </c>
      <c r="C26" s="40" t="s">
        <v>52</v>
      </c>
      <c r="D26" s="39" t="s">
        <v>108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0"/>
        <v>3.7793205999999996E-2</v>
      </c>
      <c r="I26" s="10">
        <v>0</v>
      </c>
    </row>
    <row r="27" spans="1:9" ht="15.75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10.81</v>
      </c>
      <c r="H27" s="55">
        <f>SUM(F27*G27/1000)</f>
        <v>14.5584756</v>
      </c>
      <c r="I27" s="10">
        <f>F27/12*G27</f>
        <v>1213.2063000000001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hidden="1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31.5" hidden="1" customHeight="1">
      <c r="A30" s="21">
        <v>6</v>
      </c>
      <c r="B30" s="39" t="s">
        <v>92</v>
      </c>
      <c r="C30" s="40" t="s">
        <v>86</v>
      </c>
      <c r="D30" s="39" t="s">
        <v>121</v>
      </c>
      <c r="E30" s="41">
        <v>573.6</v>
      </c>
      <c r="F30" s="41">
        <f>SUM(E30*52/1000)</f>
        <v>29.827200000000001</v>
      </c>
      <c r="G30" s="41">
        <v>177.3</v>
      </c>
      <c r="H30" s="55">
        <f t="shared" ref="H30:H36" si="1">SUM(F30*G30/1000)</f>
        <v>5.2883625600000004</v>
      </c>
      <c r="I30" s="10">
        <v>0</v>
      </c>
    </row>
    <row r="31" spans="1:9" ht="31.5" hidden="1" customHeight="1">
      <c r="A31" s="21">
        <v>7</v>
      </c>
      <c r="B31" s="39" t="s">
        <v>159</v>
      </c>
      <c r="C31" s="40" t="s">
        <v>86</v>
      </c>
      <c r="D31" s="39" t="s">
        <v>122</v>
      </c>
      <c r="E31" s="41">
        <v>200</v>
      </c>
      <c r="F31" s="41">
        <f>SUM(E31*78/1000)</f>
        <v>15.6</v>
      </c>
      <c r="G31" s="41">
        <v>294.17</v>
      </c>
      <c r="H31" s="55">
        <f t="shared" si="1"/>
        <v>4.5890520000000006</v>
      </c>
      <c r="I31" s="10">
        <v>0</v>
      </c>
    </row>
    <row r="32" spans="1:9" ht="15.75" hidden="1" customHeight="1">
      <c r="A32" s="21">
        <v>16</v>
      </c>
      <c r="B32" s="39" t="s">
        <v>27</v>
      </c>
      <c r="C32" s="40" t="s">
        <v>86</v>
      </c>
      <c r="D32" s="39" t="s">
        <v>53</v>
      </c>
      <c r="E32" s="41">
        <v>573.6</v>
      </c>
      <c r="F32" s="41">
        <f>SUM(E32/1000)</f>
        <v>0.5736</v>
      </c>
      <c r="G32" s="41">
        <v>3435.36</v>
      </c>
      <c r="H32" s="55">
        <f t="shared" si="1"/>
        <v>1.9705224960000001</v>
      </c>
      <c r="I32" s="10">
        <v>0</v>
      </c>
    </row>
    <row r="33" spans="1:9" ht="15.75" hidden="1" customHeight="1">
      <c r="A33" s="21">
        <v>8</v>
      </c>
      <c r="B33" s="39" t="s">
        <v>123</v>
      </c>
      <c r="C33" s="40" t="s">
        <v>40</v>
      </c>
      <c r="D33" s="39" t="s">
        <v>62</v>
      </c>
      <c r="E33" s="41">
        <v>1</v>
      </c>
      <c r="F33" s="41">
        <v>1.55</v>
      </c>
      <c r="G33" s="41">
        <v>1480.94</v>
      </c>
      <c r="H33" s="55">
        <f>G33*F33/1000</f>
        <v>2.2954570000000003</v>
      </c>
      <c r="I33" s="10">
        <v>0</v>
      </c>
    </row>
    <row r="34" spans="1:9" ht="15.75" hidden="1" customHeight="1">
      <c r="A34" s="21">
        <v>9</v>
      </c>
      <c r="B34" s="39" t="s">
        <v>154</v>
      </c>
      <c r="C34" s="40" t="s">
        <v>30</v>
      </c>
      <c r="D34" s="39" t="s">
        <v>62</v>
      </c>
      <c r="E34" s="59">
        <v>0.33333333333333331</v>
      </c>
      <c r="F34" s="41">
        <f>155/3</f>
        <v>51.666666666666664</v>
      </c>
      <c r="G34" s="41">
        <v>64.48</v>
      </c>
      <c r="H34" s="55">
        <f>SUM(G34*155/3/1000)</f>
        <v>3.331466666666667</v>
      </c>
      <c r="I34" s="10">
        <v>0</v>
      </c>
    </row>
    <row r="35" spans="1:9" ht="15.75" hidden="1" customHeight="1">
      <c r="A35" s="21"/>
      <c r="B35" s="39" t="s">
        <v>63</v>
      </c>
      <c r="C35" s="40" t="s">
        <v>32</v>
      </c>
      <c r="D35" s="39" t="s">
        <v>65</v>
      </c>
      <c r="E35" s="54"/>
      <c r="F35" s="41">
        <v>3</v>
      </c>
      <c r="G35" s="41">
        <v>217.61</v>
      </c>
      <c r="H35" s="55">
        <f t="shared" si="1"/>
        <v>0.65283000000000002</v>
      </c>
      <c r="I35" s="10">
        <v>0</v>
      </c>
    </row>
    <row r="36" spans="1:9" ht="15.75" hidden="1" customHeight="1">
      <c r="A36" s="21"/>
      <c r="B36" s="39" t="s">
        <v>64</v>
      </c>
      <c r="C36" s="40" t="s">
        <v>31</v>
      </c>
      <c r="D36" s="39" t="s">
        <v>65</v>
      </c>
      <c r="E36" s="54"/>
      <c r="F36" s="41">
        <v>2</v>
      </c>
      <c r="G36" s="41">
        <v>1292.47</v>
      </c>
      <c r="H36" s="55">
        <f t="shared" si="1"/>
        <v>2.58494</v>
      </c>
      <c r="I36" s="10">
        <v>0</v>
      </c>
    </row>
    <row r="37" spans="1:9" ht="15.75" customHeight="1">
      <c r="A37" s="21"/>
      <c r="B37" s="74" t="s">
        <v>5</v>
      </c>
      <c r="C37" s="40"/>
      <c r="D37" s="39"/>
      <c r="E37" s="54"/>
      <c r="F37" s="41"/>
      <c r="G37" s="41"/>
      <c r="H37" s="55" t="s">
        <v>155</v>
      </c>
      <c r="I37" s="58"/>
    </row>
    <row r="38" spans="1:9" ht="15.75" customHeight="1">
      <c r="A38" s="21">
        <v>5</v>
      </c>
      <c r="B38" s="39" t="s">
        <v>26</v>
      </c>
      <c r="C38" s="40" t="s">
        <v>31</v>
      </c>
      <c r="D38" s="39" t="s">
        <v>230</v>
      </c>
      <c r="E38" s="54"/>
      <c r="F38" s="41">
        <v>8</v>
      </c>
      <c r="G38" s="128">
        <v>1930</v>
      </c>
      <c r="H38" s="55">
        <f t="shared" ref="H38:H44" si="2">SUM(F38*G38/1000)</f>
        <v>15.44</v>
      </c>
      <c r="I38" s="10">
        <f>G38*1</f>
        <v>1930</v>
      </c>
    </row>
    <row r="39" spans="1:9" ht="15.75" customHeight="1">
      <c r="A39" s="21">
        <v>6</v>
      </c>
      <c r="B39" s="130" t="s">
        <v>66</v>
      </c>
      <c r="C39" s="131" t="s">
        <v>29</v>
      </c>
      <c r="D39" s="130" t="s">
        <v>219</v>
      </c>
      <c r="E39" s="132">
        <v>200</v>
      </c>
      <c r="F39" s="132">
        <f>SUM(E39*24/1000)</f>
        <v>4.8</v>
      </c>
      <c r="G39" s="132">
        <v>3134.93</v>
      </c>
      <c r="H39" s="55">
        <f t="shared" si="2"/>
        <v>15.047663999999999</v>
      </c>
      <c r="I39" s="10">
        <f>F39/6*G39</f>
        <v>2507.9439999999995</v>
      </c>
    </row>
    <row r="40" spans="1:9" ht="15.75" hidden="1" customHeight="1">
      <c r="A40" s="21"/>
      <c r="B40" s="86" t="s">
        <v>124</v>
      </c>
      <c r="C40" s="87" t="s">
        <v>54</v>
      </c>
      <c r="D40" s="86"/>
      <c r="E40" s="88"/>
      <c r="F40" s="132">
        <v>65</v>
      </c>
      <c r="G40" s="89">
        <v>343</v>
      </c>
      <c r="H40" s="55">
        <f t="shared" si="2"/>
        <v>22.295000000000002</v>
      </c>
      <c r="I40" s="10">
        <v>0</v>
      </c>
    </row>
    <row r="41" spans="1:9" ht="15.75" customHeight="1">
      <c r="A41" s="21">
        <v>7</v>
      </c>
      <c r="B41" s="86" t="s">
        <v>67</v>
      </c>
      <c r="C41" s="87" t="s">
        <v>29</v>
      </c>
      <c r="D41" s="86" t="s">
        <v>192</v>
      </c>
      <c r="E41" s="89">
        <v>60</v>
      </c>
      <c r="F41" s="132">
        <f>SUM(E41*155/1000)</f>
        <v>9.3000000000000007</v>
      </c>
      <c r="G41" s="89">
        <v>522.92999999999995</v>
      </c>
      <c r="H41" s="55">
        <f t="shared" si="2"/>
        <v>4.8632489999999997</v>
      </c>
      <c r="I41" s="10">
        <f t="shared" ref="I41:I42" si="3">F41/6*G41</f>
        <v>810.54149999999993</v>
      </c>
    </row>
    <row r="42" spans="1:9" ht="47.25" customHeight="1">
      <c r="A42" s="21">
        <v>8</v>
      </c>
      <c r="B42" s="86" t="s">
        <v>82</v>
      </c>
      <c r="C42" s="87" t="s">
        <v>86</v>
      </c>
      <c r="D42" s="86" t="s">
        <v>193</v>
      </c>
      <c r="E42" s="89">
        <v>40.9</v>
      </c>
      <c r="F42" s="132">
        <f>SUM(E42*35/1000)</f>
        <v>1.4315</v>
      </c>
      <c r="G42" s="89">
        <v>8652.07</v>
      </c>
      <c r="H42" s="55">
        <f t="shared" si="2"/>
        <v>12.385438205</v>
      </c>
      <c r="I42" s="10">
        <f t="shared" si="3"/>
        <v>2064.2397008333332</v>
      </c>
    </row>
    <row r="43" spans="1:9" ht="15.75" hidden="1" customHeight="1">
      <c r="A43" s="21">
        <v>8</v>
      </c>
      <c r="B43" s="86" t="s">
        <v>87</v>
      </c>
      <c r="C43" s="87" t="s">
        <v>86</v>
      </c>
      <c r="D43" s="86" t="s">
        <v>68</v>
      </c>
      <c r="E43" s="89">
        <v>60</v>
      </c>
      <c r="F43" s="132">
        <f>SUM(E43*45/1000)</f>
        <v>2.7</v>
      </c>
      <c r="G43" s="89">
        <v>639.14</v>
      </c>
      <c r="H43" s="55">
        <f t="shared" si="2"/>
        <v>1.725678</v>
      </c>
      <c r="I43" s="10">
        <f>F43/7.5*G43</f>
        <v>230.09040000000002</v>
      </c>
    </row>
    <row r="44" spans="1:9" ht="15.75" hidden="1" customHeight="1">
      <c r="A44" s="21">
        <v>9</v>
      </c>
      <c r="B44" s="130" t="s">
        <v>69</v>
      </c>
      <c r="C44" s="131" t="s">
        <v>32</v>
      </c>
      <c r="D44" s="130"/>
      <c r="E44" s="113"/>
      <c r="F44" s="132">
        <v>0.9</v>
      </c>
      <c r="G44" s="132">
        <v>900</v>
      </c>
      <c r="H44" s="55">
        <f t="shared" si="2"/>
        <v>0.81</v>
      </c>
      <c r="I44" s="10">
        <f>F44/7.5*G44</f>
        <v>108.00000000000001</v>
      </c>
    </row>
    <row r="45" spans="1:9" ht="28.5" customHeight="1">
      <c r="A45" s="118">
        <v>9</v>
      </c>
      <c r="B45" s="86" t="s">
        <v>218</v>
      </c>
      <c r="C45" s="87" t="s">
        <v>29</v>
      </c>
      <c r="D45" s="86" t="s">
        <v>220</v>
      </c>
      <c r="E45" s="88">
        <v>3</v>
      </c>
      <c r="F45" s="89">
        <f>E45*12/1000</f>
        <v>3.5999999999999997E-2</v>
      </c>
      <c r="G45" s="89">
        <v>20547.34</v>
      </c>
      <c r="H45" s="49"/>
      <c r="I45" s="129">
        <f>G45*F45/6</f>
        <v>123.28403999999999</v>
      </c>
    </row>
    <row r="46" spans="1:9" ht="15.75" customHeight="1">
      <c r="A46" s="148" t="s">
        <v>148</v>
      </c>
      <c r="B46" s="149"/>
      <c r="C46" s="149"/>
      <c r="D46" s="149"/>
      <c r="E46" s="149"/>
      <c r="F46" s="149"/>
      <c r="G46" s="149"/>
      <c r="H46" s="149"/>
      <c r="I46" s="150"/>
    </row>
    <row r="47" spans="1:9" ht="15.75" hidden="1" customHeight="1">
      <c r="A47" s="21"/>
      <c r="B47" s="39" t="s">
        <v>156</v>
      </c>
      <c r="C47" s="40" t="s">
        <v>86</v>
      </c>
      <c r="D47" s="39" t="s">
        <v>42</v>
      </c>
      <c r="E47" s="54">
        <v>1300.5</v>
      </c>
      <c r="F47" s="41">
        <f>SUM(E47/1000)*2</f>
        <v>2.601</v>
      </c>
      <c r="G47" s="10">
        <v>1173.18</v>
      </c>
      <c r="H47" s="55">
        <f t="shared" ref="H47:H57" si="4">SUM(F47*G47/1000)</f>
        <v>3.0514411800000003</v>
      </c>
      <c r="I47" s="10">
        <v>0</v>
      </c>
    </row>
    <row r="48" spans="1:9" ht="15.75" hidden="1" customHeight="1">
      <c r="A48" s="21"/>
      <c r="B48" s="39" t="s">
        <v>35</v>
      </c>
      <c r="C48" s="40" t="s">
        <v>86</v>
      </c>
      <c r="D48" s="39" t="s">
        <v>42</v>
      </c>
      <c r="E48" s="54">
        <v>52</v>
      </c>
      <c r="F48" s="41">
        <f>SUM(E48*2/1000)</f>
        <v>0.104</v>
      </c>
      <c r="G48" s="10">
        <v>659.09</v>
      </c>
      <c r="H48" s="55">
        <f t="shared" si="4"/>
        <v>6.854536E-2</v>
      </c>
      <c r="I48" s="10">
        <v>0</v>
      </c>
    </row>
    <row r="49" spans="1:9" ht="15.75" hidden="1" customHeight="1">
      <c r="A49" s="21"/>
      <c r="B49" s="39" t="s">
        <v>36</v>
      </c>
      <c r="C49" s="40" t="s">
        <v>86</v>
      </c>
      <c r="D49" s="39" t="s">
        <v>42</v>
      </c>
      <c r="E49" s="54">
        <v>1483.1</v>
      </c>
      <c r="F49" s="41">
        <f>SUM(E49*2/1000)</f>
        <v>2.9661999999999997</v>
      </c>
      <c r="G49" s="10">
        <v>1564.24</v>
      </c>
      <c r="H49" s="55">
        <f t="shared" si="4"/>
        <v>4.6398486879999998</v>
      </c>
      <c r="I49" s="10">
        <v>0</v>
      </c>
    </row>
    <row r="50" spans="1:9" ht="15.75" hidden="1" customHeight="1">
      <c r="A50" s="21"/>
      <c r="B50" s="39" t="s">
        <v>37</v>
      </c>
      <c r="C50" s="40" t="s">
        <v>86</v>
      </c>
      <c r="D50" s="39" t="s">
        <v>42</v>
      </c>
      <c r="E50" s="54">
        <v>2320</v>
      </c>
      <c r="F50" s="41">
        <f>SUM(E50*2/1000)</f>
        <v>4.6399999999999997</v>
      </c>
      <c r="G50" s="10">
        <v>1078.3599999999999</v>
      </c>
      <c r="H50" s="55">
        <f t="shared" si="4"/>
        <v>5.0035903999999993</v>
      </c>
      <c r="I50" s="10">
        <v>0</v>
      </c>
    </row>
    <row r="51" spans="1:9" ht="15.75" hidden="1" customHeight="1">
      <c r="A51" s="21"/>
      <c r="B51" s="39" t="s">
        <v>33</v>
      </c>
      <c r="C51" s="40" t="s">
        <v>34</v>
      </c>
      <c r="D51" s="39" t="s">
        <v>42</v>
      </c>
      <c r="E51" s="54">
        <v>91.84</v>
      </c>
      <c r="F51" s="41">
        <f>SUM(E51*2/100)</f>
        <v>1.8368</v>
      </c>
      <c r="G51" s="10">
        <v>82.82</v>
      </c>
      <c r="H51" s="55">
        <f t="shared" si="4"/>
        <v>0.15212377599999999</v>
      </c>
      <c r="I51" s="10">
        <v>0</v>
      </c>
    </row>
    <row r="52" spans="1:9" ht="15.75" customHeight="1">
      <c r="A52" s="21">
        <v>10</v>
      </c>
      <c r="B52" s="86" t="s">
        <v>55</v>
      </c>
      <c r="C52" s="87" t="s">
        <v>86</v>
      </c>
      <c r="D52" s="86" t="s">
        <v>195</v>
      </c>
      <c r="E52" s="88">
        <v>1040.4000000000001</v>
      </c>
      <c r="F52" s="89">
        <f>SUM(E52*5/1000)</f>
        <v>5.202</v>
      </c>
      <c r="G52" s="26">
        <v>1809.27</v>
      </c>
      <c r="H52" s="55">
        <f>SUM(F52*G52/1000)</f>
        <v>9.4118225399999993</v>
      </c>
      <c r="I52" s="10">
        <f>F52/5*G52</f>
        <v>1882.3645079999999</v>
      </c>
    </row>
    <row r="53" spans="1:9" ht="31.5" hidden="1" customHeight="1">
      <c r="A53" s="21"/>
      <c r="B53" s="39" t="s">
        <v>88</v>
      </c>
      <c r="C53" s="40" t="s">
        <v>86</v>
      </c>
      <c r="D53" s="39" t="s">
        <v>42</v>
      </c>
      <c r="E53" s="54">
        <v>1040.4000000000001</v>
      </c>
      <c r="F53" s="41">
        <f>SUM(E53*2/1000)</f>
        <v>2.0808</v>
      </c>
      <c r="G53" s="10">
        <v>1380.31</v>
      </c>
      <c r="H53" s="55">
        <f t="shared" si="4"/>
        <v>2.8721490479999998</v>
      </c>
      <c r="I53" s="10">
        <v>0</v>
      </c>
    </row>
    <row r="54" spans="1:9" ht="31.5" hidden="1" customHeight="1">
      <c r="A54" s="21"/>
      <c r="B54" s="39" t="s">
        <v>89</v>
      </c>
      <c r="C54" s="40" t="s">
        <v>38</v>
      </c>
      <c r="D54" s="39" t="s">
        <v>42</v>
      </c>
      <c r="E54" s="54">
        <v>20</v>
      </c>
      <c r="F54" s="41">
        <f>SUM(E54*2/100)</f>
        <v>0.4</v>
      </c>
      <c r="G54" s="10">
        <v>3519.56</v>
      </c>
      <c r="H54" s="55">
        <f t="shared" si="4"/>
        <v>1.407824</v>
      </c>
      <c r="I54" s="10">
        <v>0</v>
      </c>
    </row>
    <row r="55" spans="1:9" ht="15.75" hidden="1" customHeight="1">
      <c r="A55" s="21"/>
      <c r="B55" s="39" t="s">
        <v>39</v>
      </c>
      <c r="C55" s="40" t="s">
        <v>40</v>
      </c>
      <c r="D55" s="39" t="s">
        <v>42</v>
      </c>
      <c r="E55" s="54">
        <v>1</v>
      </c>
      <c r="F55" s="41">
        <v>0.02</v>
      </c>
      <c r="G55" s="10">
        <v>6428.82</v>
      </c>
      <c r="H55" s="55">
        <f t="shared" si="4"/>
        <v>0.12857640000000001</v>
      </c>
      <c r="I55" s="10">
        <v>0</v>
      </c>
    </row>
    <row r="56" spans="1:9" ht="15.75" hidden="1" customHeight="1">
      <c r="A56" s="21">
        <v>13</v>
      </c>
      <c r="B56" s="39" t="s">
        <v>98</v>
      </c>
      <c r="C56" s="40" t="s">
        <v>93</v>
      </c>
      <c r="D56" s="39" t="s">
        <v>70</v>
      </c>
      <c r="E56" s="54">
        <v>56</v>
      </c>
      <c r="F56" s="41">
        <f>SUM(E56*3)</f>
        <v>168</v>
      </c>
      <c r="G56" s="10">
        <v>160.51</v>
      </c>
      <c r="H56" s="55">
        <f t="shared" si="4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39" t="s">
        <v>41</v>
      </c>
      <c r="C57" s="40" t="s">
        <v>93</v>
      </c>
      <c r="D57" s="39" t="s">
        <v>70</v>
      </c>
      <c r="E57" s="54">
        <v>112</v>
      </c>
      <c r="F57" s="41">
        <f>SUM(E57)*3</f>
        <v>336</v>
      </c>
      <c r="G57" s="10">
        <v>74.709999999999994</v>
      </c>
      <c r="H57" s="55">
        <f t="shared" si="4"/>
        <v>25.102559999999997</v>
      </c>
      <c r="I57" s="10">
        <f>E57*G57</f>
        <v>8367.5199999999986</v>
      </c>
    </row>
    <row r="58" spans="1:9" ht="15.75" customHeight="1">
      <c r="A58" s="148" t="s">
        <v>149</v>
      </c>
      <c r="B58" s="149"/>
      <c r="C58" s="149"/>
      <c r="D58" s="149"/>
      <c r="E58" s="149"/>
      <c r="F58" s="149"/>
      <c r="G58" s="149"/>
      <c r="H58" s="149"/>
      <c r="I58" s="150"/>
    </row>
    <row r="59" spans="1:9" ht="15.75" customHeight="1">
      <c r="A59" s="21"/>
      <c r="B59" s="74" t="s">
        <v>43</v>
      </c>
      <c r="C59" s="40"/>
      <c r="D59" s="39"/>
      <c r="E59" s="54"/>
      <c r="F59" s="41"/>
      <c r="G59" s="41"/>
      <c r="H59" s="55"/>
      <c r="I59" s="58"/>
    </row>
    <row r="60" spans="1:9" ht="31.5" customHeight="1">
      <c r="A60" s="21">
        <v>11</v>
      </c>
      <c r="B60" s="86" t="s">
        <v>101</v>
      </c>
      <c r="C60" s="87" t="s">
        <v>84</v>
      </c>
      <c r="D60" s="86"/>
      <c r="E60" s="88">
        <v>36</v>
      </c>
      <c r="F60" s="89">
        <f>SUM(E60*6/100)</f>
        <v>2.16</v>
      </c>
      <c r="G60" s="26">
        <v>2306.83</v>
      </c>
      <c r="H60" s="55">
        <f>SUM(F60*G60/1000)</f>
        <v>4.9827528000000001</v>
      </c>
      <c r="I60" s="10">
        <f>G60*1.04</f>
        <v>2399.1032</v>
      </c>
    </row>
    <row r="61" spans="1:9" ht="31.5" customHeight="1">
      <c r="A61" s="21">
        <v>12</v>
      </c>
      <c r="B61" s="86" t="s">
        <v>224</v>
      </c>
      <c r="C61" s="87" t="s">
        <v>52</v>
      </c>
      <c r="D61" s="86"/>
      <c r="E61" s="88">
        <v>4.62</v>
      </c>
      <c r="F61" s="91">
        <f>E61*12/100</f>
        <v>0.5544</v>
      </c>
      <c r="G61" s="26">
        <v>2306.83</v>
      </c>
      <c r="H61" s="61"/>
      <c r="I61" s="10">
        <f>G61*F61/6</f>
        <v>213.15109199999998</v>
      </c>
    </row>
    <row r="62" spans="1:9" ht="15.75" customHeight="1">
      <c r="A62" s="21"/>
      <c r="B62" s="74" t="s">
        <v>44</v>
      </c>
      <c r="C62" s="40"/>
      <c r="D62" s="39"/>
      <c r="E62" s="54"/>
      <c r="F62" s="55"/>
      <c r="G62" s="10"/>
      <c r="H62" s="61"/>
      <c r="I62" s="58"/>
    </row>
    <row r="63" spans="1:9" ht="15.75" hidden="1" customHeight="1">
      <c r="A63" s="21"/>
      <c r="B63" s="39" t="s">
        <v>158</v>
      </c>
      <c r="C63" s="40" t="s">
        <v>84</v>
      </c>
      <c r="D63" s="39" t="s">
        <v>53</v>
      </c>
      <c r="E63" s="54">
        <v>1040.4000000000001</v>
      </c>
      <c r="F63" s="55">
        <f>E63/100</f>
        <v>10.404000000000002</v>
      </c>
      <c r="G63" s="10">
        <v>902.66</v>
      </c>
      <c r="H63" s="61">
        <f>G63*F63/1000</f>
        <v>9.3912746400000007</v>
      </c>
      <c r="I63" s="10">
        <v>0</v>
      </c>
    </row>
    <row r="64" spans="1:9" ht="15.75" customHeight="1">
      <c r="A64" s="21">
        <v>13</v>
      </c>
      <c r="B64" s="39" t="s">
        <v>126</v>
      </c>
      <c r="C64" s="40" t="s">
        <v>25</v>
      </c>
      <c r="D64" s="39" t="s">
        <v>194</v>
      </c>
      <c r="E64" s="54">
        <v>240</v>
      </c>
      <c r="F64" s="41">
        <v>2400</v>
      </c>
      <c r="G64" s="49">
        <v>1.4</v>
      </c>
      <c r="H64" s="55">
        <f>F64*G64/1000</f>
        <v>3.36</v>
      </c>
      <c r="I64" s="10">
        <f>F64/12*G64</f>
        <v>280</v>
      </c>
    </row>
    <row r="65" spans="1:9" ht="15.75" customHeight="1">
      <c r="A65" s="21"/>
      <c r="B65" s="75" t="s">
        <v>45</v>
      </c>
      <c r="C65" s="62"/>
      <c r="D65" s="63"/>
      <c r="E65" s="64"/>
      <c r="F65" s="65"/>
      <c r="G65" s="65"/>
      <c r="H65" s="66" t="s">
        <v>155</v>
      </c>
      <c r="I65" s="58"/>
    </row>
    <row r="66" spans="1:9" ht="15.75" hidden="1" customHeight="1">
      <c r="A66" s="21">
        <v>12</v>
      </c>
      <c r="B66" s="11" t="s">
        <v>46</v>
      </c>
      <c r="C66" s="13" t="s">
        <v>40</v>
      </c>
      <c r="D66" s="39" t="s">
        <v>194</v>
      </c>
      <c r="E66" s="15">
        <v>15</v>
      </c>
      <c r="F66" s="41">
        <f>15/100</f>
        <v>0.15</v>
      </c>
      <c r="G66" s="10">
        <v>252.96</v>
      </c>
      <c r="H66" s="67">
        <f t="shared" ref="H66:H85" si="5">SUM(F66*G66/1000)</f>
        <v>3.7944000000000006E-2</v>
      </c>
      <c r="I66" s="10">
        <f>G66*1</f>
        <v>252.96</v>
      </c>
    </row>
    <row r="67" spans="1:9" ht="15.75" hidden="1" customHeight="1">
      <c r="A67" s="21"/>
      <c r="B67" s="11" t="s">
        <v>47</v>
      </c>
      <c r="C67" s="13" t="s">
        <v>40</v>
      </c>
      <c r="D67" s="39" t="s">
        <v>65</v>
      </c>
      <c r="E67" s="15">
        <v>10</v>
      </c>
      <c r="F67" s="41">
        <f>10/100</f>
        <v>0.1</v>
      </c>
      <c r="G67" s="10">
        <v>86.74</v>
      </c>
      <c r="H67" s="67">
        <f t="shared" si="5"/>
        <v>8.6739999999999994E-3</v>
      </c>
      <c r="I67" s="10">
        <v>0</v>
      </c>
    </row>
    <row r="68" spans="1:9" ht="15.75" hidden="1" customHeight="1">
      <c r="A68" s="21"/>
      <c r="B68" s="11" t="s">
        <v>48</v>
      </c>
      <c r="C68" s="13" t="s">
        <v>94</v>
      </c>
      <c r="D68" s="11" t="s">
        <v>53</v>
      </c>
      <c r="E68" s="54">
        <v>17532</v>
      </c>
      <c r="F68" s="10">
        <f>SUM(E68/100)</f>
        <v>175.32</v>
      </c>
      <c r="G68" s="10">
        <v>241.31</v>
      </c>
      <c r="H68" s="67">
        <f t="shared" si="5"/>
        <v>42.306469200000002</v>
      </c>
      <c r="I68" s="10">
        <f>F68*G68</f>
        <v>42306.4692</v>
      </c>
    </row>
    <row r="69" spans="1:9" ht="15.75" hidden="1" customHeight="1">
      <c r="A69" s="21"/>
      <c r="B69" s="11" t="s">
        <v>49</v>
      </c>
      <c r="C69" s="13" t="s">
        <v>95</v>
      </c>
      <c r="D69" s="11"/>
      <c r="E69" s="54">
        <v>17532</v>
      </c>
      <c r="F69" s="10">
        <f>SUM(E69/1000)</f>
        <v>17.532</v>
      </c>
      <c r="G69" s="10">
        <v>187.91</v>
      </c>
      <c r="H69" s="67">
        <f t="shared" si="5"/>
        <v>3.2944381199999997</v>
      </c>
      <c r="I69" s="10">
        <f>F69*G69</f>
        <v>3294.4381199999998</v>
      </c>
    </row>
    <row r="70" spans="1:9" ht="15.75" hidden="1" customHeight="1">
      <c r="A70" s="21"/>
      <c r="B70" s="11" t="s">
        <v>50</v>
      </c>
      <c r="C70" s="13" t="s">
        <v>77</v>
      </c>
      <c r="D70" s="11" t="s">
        <v>53</v>
      </c>
      <c r="E70" s="54">
        <v>1365</v>
      </c>
      <c r="F70" s="10">
        <f>SUM(E70/100)</f>
        <v>13.65</v>
      </c>
      <c r="G70" s="10">
        <v>2359.7199999999998</v>
      </c>
      <c r="H70" s="67">
        <f t="shared" si="5"/>
        <v>32.210177999999999</v>
      </c>
      <c r="I70" s="10">
        <f t="shared" ref="I70:I73" si="6">F70*G70</f>
        <v>32210.178</v>
      </c>
    </row>
    <row r="71" spans="1:9" ht="15.75" hidden="1" customHeight="1">
      <c r="A71" s="21"/>
      <c r="B71" s="68" t="s">
        <v>71</v>
      </c>
      <c r="C71" s="13" t="s">
        <v>32</v>
      </c>
      <c r="D71" s="11"/>
      <c r="E71" s="54">
        <v>15.6</v>
      </c>
      <c r="F71" s="10">
        <f>SUM(E71)</f>
        <v>15.6</v>
      </c>
      <c r="G71" s="10">
        <v>45.4</v>
      </c>
      <c r="H71" s="67">
        <f t="shared" si="5"/>
        <v>0.70823999999999998</v>
      </c>
      <c r="I71" s="10">
        <f t="shared" si="6"/>
        <v>708.24</v>
      </c>
    </row>
    <row r="72" spans="1:9" ht="15.75" hidden="1" customHeight="1">
      <c r="A72" s="21"/>
      <c r="B72" s="68" t="s">
        <v>161</v>
      </c>
      <c r="C72" s="13" t="s">
        <v>32</v>
      </c>
      <c r="D72" s="11"/>
      <c r="E72" s="54">
        <v>15.6</v>
      </c>
      <c r="F72" s="10">
        <f>SUM(E72)</f>
        <v>15.6</v>
      </c>
      <c r="G72" s="10">
        <v>42.35</v>
      </c>
      <c r="H72" s="67">
        <f t="shared" si="5"/>
        <v>0.66065999999999991</v>
      </c>
      <c r="I72" s="10">
        <f t="shared" si="6"/>
        <v>660.66</v>
      </c>
    </row>
    <row r="73" spans="1:9" ht="15.75" hidden="1" customHeight="1">
      <c r="A73" s="21"/>
      <c r="B73" s="11" t="s">
        <v>56</v>
      </c>
      <c r="C73" s="13" t="s">
        <v>57</v>
      </c>
      <c r="D73" s="11" t="s">
        <v>53</v>
      </c>
      <c r="E73" s="15">
        <v>4</v>
      </c>
      <c r="F73" s="41">
        <f>SUM(E73)</f>
        <v>4</v>
      </c>
      <c r="G73" s="10">
        <v>56.74</v>
      </c>
      <c r="H73" s="67">
        <f t="shared" si="5"/>
        <v>0.22696</v>
      </c>
      <c r="I73" s="10">
        <f t="shared" si="6"/>
        <v>226.96</v>
      </c>
    </row>
    <row r="74" spans="1:9" ht="15.75" customHeight="1">
      <c r="A74" s="21">
        <v>14</v>
      </c>
      <c r="B74" s="11" t="s">
        <v>127</v>
      </c>
      <c r="C74" s="13" t="s">
        <v>57</v>
      </c>
      <c r="D74" s="11" t="s">
        <v>195</v>
      </c>
      <c r="E74" s="15">
        <v>1</v>
      </c>
      <c r="F74" s="49">
        <v>12</v>
      </c>
      <c r="G74" s="26">
        <v>1829</v>
      </c>
      <c r="H74" s="67">
        <f t="shared" si="5"/>
        <v>21.948</v>
      </c>
      <c r="I74" s="10">
        <f>G74</f>
        <v>1829</v>
      </c>
    </row>
    <row r="75" spans="1:9" ht="15.75" customHeight="1">
      <c r="A75" s="21"/>
      <c r="B75" s="76" t="s">
        <v>102</v>
      </c>
      <c r="C75" s="108"/>
      <c r="D75" s="85"/>
      <c r="E75" s="14"/>
      <c r="F75" s="90"/>
      <c r="G75" s="26"/>
      <c r="H75" s="67"/>
      <c r="I75" s="10"/>
    </row>
    <row r="76" spans="1:9" ht="31.5" customHeight="1">
      <c r="A76" s="21">
        <v>15</v>
      </c>
      <c r="B76" s="100" t="s">
        <v>205</v>
      </c>
      <c r="C76" s="101" t="s">
        <v>206</v>
      </c>
      <c r="D76" s="112"/>
      <c r="E76" s="122">
        <v>3455.3</v>
      </c>
      <c r="F76" s="102">
        <f>E76*12</f>
        <v>41463.600000000006</v>
      </c>
      <c r="G76" s="102">
        <v>2.6</v>
      </c>
      <c r="H76" s="67">
        <f t="shared" ref="H76" si="7">F76*G76/1000</f>
        <v>107.80536000000002</v>
      </c>
      <c r="I76" s="10">
        <f>G76*F76/12</f>
        <v>8983.7800000000007</v>
      </c>
    </row>
    <row r="77" spans="1:9" ht="15.75" customHeight="1">
      <c r="A77" s="21"/>
      <c r="B77" s="43" t="s">
        <v>72</v>
      </c>
      <c r="C77" s="13"/>
      <c r="D77" s="11"/>
      <c r="E77" s="15"/>
      <c r="F77" s="10"/>
      <c r="G77" s="10"/>
      <c r="H77" s="67" t="s">
        <v>155</v>
      </c>
      <c r="I77" s="58"/>
    </row>
    <row r="78" spans="1:9" ht="15.75" hidden="1" customHeight="1">
      <c r="A78" s="21"/>
      <c r="B78" s="11" t="s">
        <v>128</v>
      </c>
      <c r="C78" s="13" t="s">
        <v>30</v>
      </c>
      <c r="D78" s="39" t="s">
        <v>65</v>
      </c>
      <c r="E78" s="15">
        <v>2</v>
      </c>
      <c r="F78" s="10">
        <v>2</v>
      </c>
      <c r="G78" s="10">
        <v>892.5</v>
      </c>
      <c r="H78" s="67">
        <f>G78*F78/1000</f>
        <v>1.7849999999999999</v>
      </c>
      <c r="I78" s="10">
        <v>0</v>
      </c>
    </row>
    <row r="79" spans="1:9" ht="15.75" hidden="1" customHeight="1">
      <c r="A79" s="21"/>
      <c r="B79" s="11" t="s">
        <v>114</v>
      </c>
      <c r="C79" s="13" t="s">
        <v>129</v>
      </c>
      <c r="D79" s="11"/>
      <c r="E79" s="15">
        <v>1</v>
      </c>
      <c r="F79" s="10">
        <v>1</v>
      </c>
      <c r="G79" s="10">
        <v>750</v>
      </c>
      <c r="H79" s="67">
        <f>G79*F79/1000</f>
        <v>0.75</v>
      </c>
      <c r="I79" s="10">
        <v>0</v>
      </c>
    </row>
    <row r="80" spans="1:9" ht="15.75" hidden="1" customHeight="1">
      <c r="A80" s="21"/>
      <c r="B80" s="11" t="s">
        <v>73</v>
      </c>
      <c r="C80" s="13" t="s">
        <v>75</v>
      </c>
      <c r="D80" s="11"/>
      <c r="E80" s="15">
        <v>2</v>
      </c>
      <c r="F80" s="10">
        <v>0.2</v>
      </c>
      <c r="G80" s="10">
        <v>570.54</v>
      </c>
      <c r="H80" s="67">
        <f t="shared" si="5"/>
        <v>0.114108</v>
      </c>
      <c r="I80" s="10">
        <v>0</v>
      </c>
    </row>
    <row r="81" spans="1:9" ht="15.75" hidden="1" customHeight="1">
      <c r="A81" s="21"/>
      <c r="B81" s="11" t="s">
        <v>74</v>
      </c>
      <c r="C81" s="13" t="s">
        <v>30</v>
      </c>
      <c r="D81" s="11"/>
      <c r="E81" s="15">
        <v>1</v>
      </c>
      <c r="F81" s="49">
        <v>1</v>
      </c>
      <c r="G81" s="10">
        <v>970.21</v>
      </c>
      <c r="H81" s="67">
        <f t="shared" si="5"/>
        <v>0.97021000000000002</v>
      </c>
      <c r="I81" s="10">
        <v>0</v>
      </c>
    </row>
    <row r="82" spans="1:9" ht="15.75" hidden="1" customHeight="1">
      <c r="A82" s="21">
        <v>16</v>
      </c>
      <c r="B82" s="11" t="s">
        <v>130</v>
      </c>
      <c r="C82" s="13" t="s">
        <v>93</v>
      </c>
      <c r="D82" s="11"/>
      <c r="E82" s="15">
        <v>1</v>
      </c>
      <c r="F82" s="41">
        <f>SUM(E82)</f>
        <v>1</v>
      </c>
      <c r="G82" s="10">
        <v>407.79</v>
      </c>
      <c r="H82" s="67">
        <f t="shared" si="5"/>
        <v>0.40779000000000004</v>
      </c>
      <c r="I82" s="10">
        <f>G82</f>
        <v>407.79</v>
      </c>
    </row>
    <row r="83" spans="1:9" ht="15.75" customHeight="1">
      <c r="A83" s="21">
        <v>16</v>
      </c>
      <c r="B83" s="85" t="s">
        <v>207</v>
      </c>
      <c r="C83" s="108" t="s">
        <v>93</v>
      </c>
      <c r="D83" s="85" t="s">
        <v>195</v>
      </c>
      <c r="E83" s="14">
        <v>1</v>
      </c>
      <c r="F83" s="26">
        <f>E83*12</f>
        <v>12</v>
      </c>
      <c r="G83" s="26">
        <v>420</v>
      </c>
      <c r="H83" s="67">
        <f>G83*F83/1000</f>
        <v>5.04</v>
      </c>
      <c r="I83" s="10">
        <f>G83*1</f>
        <v>420</v>
      </c>
    </row>
    <row r="84" spans="1:9" ht="15.75" hidden="1" customHeight="1">
      <c r="A84" s="21"/>
      <c r="B84" s="72" t="s">
        <v>76</v>
      </c>
      <c r="C84" s="13"/>
      <c r="D84" s="11"/>
      <c r="E84" s="15"/>
      <c r="F84" s="10"/>
      <c r="G84" s="10" t="s">
        <v>155</v>
      </c>
      <c r="H84" s="67" t="s">
        <v>155</v>
      </c>
      <c r="I84" s="58"/>
    </row>
    <row r="85" spans="1:9" ht="15.75" hidden="1" customHeight="1">
      <c r="A85" s="21"/>
      <c r="B85" s="34" t="s">
        <v>99</v>
      </c>
      <c r="C85" s="13" t="s">
        <v>77</v>
      </c>
      <c r="D85" s="11"/>
      <c r="E85" s="15"/>
      <c r="F85" s="10">
        <v>0.6</v>
      </c>
      <c r="G85" s="10">
        <v>3138.65</v>
      </c>
      <c r="H85" s="67">
        <f t="shared" si="5"/>
        <v>1.8831900000000001</v>
      </c>
      <c r="I85" s="10">
        <v>0</v>
      </c>
    </row>
    <row r="86" spans="1:9" ht="15.75" hidden="1" customHeight="1">
      <c r="A86" s="21"/>
      <c r="B86" s="43" t="s">
        <v>90</v>
      </c>
      <c r="C86" s="13"/>
      <c r="D86" s="11"/>
      <c r="E86" s="50"/>
      <c r="F86" s="10"/>
      <c r="G86" s="10"/>
      <c r="H86" s="67"/>
      <c r="I86" s="10"/>
    </row>
    <row r="87" spans="1:9" ht="15.75" hidden="1" customHeight="1">
      <c r="A87" s="21"/>
      <c r="B87" s="39" t="s">
        <v>96</v>
      </c>
      <c r="C87" s="13"/>
      <c r="D87" s="11"/>
      <c r="E87" s="50"/>
      <c r="F87" s="10">
        <v>1</v>
      </c>
      <c r="G87" s="10">
        <v>21095</v>
      </c>
      <c r="H87" s="67">
        <f>G87*F87/1000</f>
        <v>21.094999999999999</v>
      </c>
      <c r="I87" s="10">
        <v>0</v>
      </c>
    </row>
    <row r="88" spans="1:9" ht="15.75" customHeight="1">
      <c r="A88" s="151" t="s">
        <v>150</v>
      </c>
      <c r="B88" s="152"/>
      <c r="C88" s="152"/>
      <c r="D88" s="152"/>
      <c r="E88" s="152"/>
      <c r="F88" s="152"/>
      <c r="G88" s="152"/>
      <c r="H88" s="152"/>
      <c r="I88" s="153"/>
    </row>
    <row r="89" spans="1:9" ht="15.75" customHeight="1">
      <c r="A89" s="21">
        <v>17</v>
      </c>
      <c r="B89" s="100" t="s">
        <v>97</v>
      </c>
      <c r="C89" s="108" t="s">
        <v>54</v>
      </c>
      <c r="D89" s="123"/>
      <c r="E89" s="26">
        <v>3455.3</v>
      </c>
      <c r="F89" s="26">
        <v>41463.599999999999</v>
      </c>
      <c r="G89" s="26">
        <v>3.5</v>
      </c>
      <c r="H89" s="67">
        <f>SUM(F89*G89/1000)</f>
        <v>145.12260000000001</v>
      </c>
      <c r="I89" s="10">
        <f>F89/12*G89</f>
        <v>12093.55</v>
      </c>
    </row>
    <row r="90" spans="1:9" ht="31.5" customHeight="1">
      <c r="A90" s="21">
        <v>18</v>
      </c>
      <c r="B90" s="85" t="s">
        <v>208</v>
      </c>
      <c r="C90" s="108" t="s">
        <v>54</v>
      </c>
      <c r="D90" s="37"/>
      <c r="E90" s="88">
        <f>E89</f>
        <v>3455.3</v>
      </c>
      <c r="F90" s="26">
        <f>E90*12</f>
        <v>41463.600000000006</v>
      </c>
      <c r="G90" s="26">
        <v>3.2</v>
      </c>
      <c r="H90" s="67">
        <f>F90*G90/1000</f>
        <v>132.68352000000002</v>
      </c>
      <c r="I90" s="10">
        <f>F90/12*G90</f>
        <v>11056.960000000003</v>
      </c>
    </row>
    <row r="91" spans="1:9" ht="15.75" customHeight="1">
      <c r="A91" s="21"/>
      <c r="B91" s="27" t="s">
        <v>79</v>
      </c>
      <c r="C91" s="72"/>
      <c r="D91" s="70"/>
      <c r="E91" s="71"/>
      <c r="F91" s="71"/>
      <c r="G91" s="71"/>
      <c r="H91" s="69">
        <f>SUM(H90)</f>
        <v>132.68352000000002</v>
      </c>
      <c r="I91" s="71">
        <f>I90+I89+I83+I76+I74+I64+I61+I60+I52+I45+I42+I41+I39+I38+I27+I18+I17+I16</f>
        <v>59276.962090833331</v>
      </c>
    </row>
    <row r="92" spans="1:9" ht="15.75" customHeight="1">
      <c r="A92" s="159" t="s">
        <v>59</v>
      </c>
      <c r="B92" s="160"/>
      <c r="C92" s="160"/>
      <c r="D92" s="160"/>
      <c r="E92" s="160"/>
      <c r="F92" s="160"/>
      <c r="G92" s="160"/>
      <c r="H92" s="160"/>
      <c r="I92" s="161"/>
    </row>
    <row r="93" spans="1:9" ht="33" customHeight="1">
      <c r="A93" s="21">
        <v>19</v>
      </c>
      <c r="B93" s="127" t="s">
        <v>231</v>
      </c>
      <c r="C93" s="107" t="s">
        <v>232</v>
      </c>
      <c r="D93" s="37" t="s">
        <v>212</v>
      </c>
      <c r="E93" s="26"/>
      <c r="F93" s="26">
        <v>1</v>
      </c>
      <c r="G93" s="26">
        <v>477.25</v>
      </c>
      <c r="H93" s="67"/>
      <c r="I93" s="10">
        <f>G93*1</f>
        <v>477.25</v>
      </c>
    </row>
    <row r="94" spans="1:9">
      <c r="A94" s="21"/>
      <c r="B94" s="32" t="s">
        <v>51</v>
      </c>
      <c r="C94" s="28"/>
      <c r="D94" s="35"/>
      <c r="E94" s="28">
        <v>1</v>
      </c>
      <c r="F94" s="28"/>
      <c r="G94" s="28"/>
      <c r="H94" s="28"/>
      <c r="I94" s="24">
        <f>SUM(I93:I93)</f>
        <v>477.25</v>
      </c>
    </row>
    <row r="95" spans="1:9">
      <c r="A95" s="21"/>
      <c r="B95" s="34" t="s">
        <v>78</v>
      </c>
      <c r="C95" s="12"/>
      <c r="D95" s="12"/>
      <c r="E95" s="29"/>
      <c r="F95" s="29"/>
      <c r="G95" s="30"/>
      <c r="H95" s="30"/>
      <c r="I95" s="14">
        <v>0</v>
      </c>
    </row>
    <row r="96" spans="1:9" ht="15.75" customHeight="1">
      <c r="A96" s="36"/>
      <c r="B96" s="33" t="s">
        <v>172</v>
      </c>
      <c r="C96" s="25"/>
      <c r="D96" s="25"/>
      <c r="E96" s="25"/>
      <c r="F96" s="25"/>
      <c r="G96" s="25"/>
      <c r="H96" s="25"/>
      <c r="I96" s="31">
        <f>I91+I94</f>
        <v>59754.212090833331</v>
      </c>
    </row>
    <row r="97" spans="1:9" ht="15.75">
      <c r="A97" s="154" t="s">
        <v>236</v>
      </c>
      <c r="B97" s="154"/>
      <c r="C97" s="154"/>
      <c r="D97" s="154"/>
      <c r="E97" s="154"/>
      <c r="F97" s="154"/>
      <c r="G97" s="154"/>
      <c r="H97" s="154"/>
      <c r="I97" s="154"/>
    </row>
    <row r="98" spans="1:9" ht="15.75">
      <c r="A98" s="48"/>
      <c r="B98" s="155" t="s">
        <v>233</v>
      </c>
      <c r="C98" s="155"/>
      <c r="D98" s="155"/>
      <c r="E98" s="155"/>
      <c r="F98" s="155"/>
      <c r="G98" s="155"/>
      <c r="H98" s="53"/>
      <c r="I98" s="2"/>
    </row>
    <row r="99" spans="1:9">
      <c r="A99" s="42"/>
      <c r="B99" s="156" t="s">
        <v>6</v>
      </c>
      <c r="C99" s="156"/>
      <c r="D99" s="156"/>
      <c r="E99" s="156"/>
      <c r="F99" s="156"/>
      <c r="G99" s="156"/>
      <c r="H99" s="16"/>
      <c r="I99" s="4"/>
    </row>
    <row r="100" spans="1:9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5.75" customHeight="1">
      <c r="A101" s="157" t="s">
        <v>7</v>
      </c>
      <c r="B101" s="157"/>
      <c r="C101" s="157"/>
      <c r="D101" s="157"/>
      <c r="E101" s="157"/>
      <c r="F101" s="157"/>
      <c r="G101" s="157"/>
      <c r="H101" s="157"/>
      <c r="I101" s="157"/>
    </row>
    <row r="102" spans="1:9" ht="15.75" customHeight="1">
      <c r="A102" s="157" t="s">
        <v>8</v>
      </c>
      <c r="B102" s="157"/>
      <c r="C102" s="157"/>
      <c r="D102" s="157"/>
      <c r="E102" s="157"/>
      <c r="F102" s="157"/>
      <c r="G102" s="157"/>
      <c r="H102" s="157"/>
      <c r="I102" s="157"/>
    </row>
    <row r="103" spans="1:9" ht="15.75" customHeight="1">
      <c r="A103" s="158" t="s">
        <v>60</v>
      </c>
      <c r="B103" s="158"/>
      <c r="C103" s="158"/>
      <c r="D103" s="158"/>
      <c r="E103" s="158"/>
      <c r="F103" s="158"/>
      <c r="G103" s="158"/>
      <c r="H103" s="158"/>
      <c r="I103" s="158"/>
    </row>
    <row r="104" spans="1:9" ht="15.75" customHeight="1">
      <c r="A104" s="8"/>
    </row>
    <row r="105" spans="1:9" ht="15.75" customHeight="1">
      <c r="A105" s="146" t="s">
        <v>9</v>
      </c>
      <c r="B105" s="146"/>
      <c r="C105" s="146"/>
      <c r="D105" s="146"/>
      <c r="E105" s="146"/>
      <c r="F105" s="146"/>
      <c r="G105" s="146"/>
      <c r="H105" s="146"/>
      <c r="I105" s="146"/>
    </row>
    <row r="106" spans="1:9" ht="15.75" customHeight="1">
      <c r="A106" s="3"/>
    </row>
    <row r="107" spans="1:9" ht="15.75" customHeight="1">
      <c r="B107" s="44" t="s">
        <v>10</v>
      </c>
      <c r="C107" s="163" t="s">
        <v>217</v>
      </c>
      <c r="D107" s="163"/>
      <c r="E107" s="163"/>
      <c r="F107" s="51"/>
      <c r="I107" s="46"/>
    </row>
    <row r="108" spans="1:9">
      <c r="A108" s="42"/>
      <c r="C108" s="156" t="s">
        <v>11</v>
      </c>
      <c r="D108" s="156"/>
      <c r="E108" s="156"/>
      <c r="F108" s="16"/>
      <c r="I108" s="47" t="s">
        <v>12</v>
      </c>
    </row>
    <row r="109" spans="1:9" ht="15.75">
      <c r="A109" s="17"/>
      <c r="C109" s="9"/>
      <c r="D109" s="9"/>
      <c r="G109" s="9"/>
      <c r="H109" s="9"/>
    </row>
    <row r="110" spans="1:9" ht="15.75">
      <c r="B110" s="44" t="s">
        <v>13</v>
      </c>
      <c r="C110" s="164"/>
      <c r="D110" s="164"/>
      <c r="E110" s="164"/>
      <c r="F110" s="52"/>
      <c r="I110" s="46"/>
    </row>
    <row r="111" spans="1:9">
      <c r="A111" s="42"/>
      <c r="C111" s="165" t="s">
        <v>11</v>
      </c>
      <c r="D111" s="165"/>
      <c r="E111" s="165"/>
      <c r="F111" s="42"/>
      <c r="I111" s="47" t="s">
        <v>12</v>
      </c>
    </row>
    <row r="112" spans="1:9" ht="15.75">
      <c r="A112" s="3" t="s">
        <v>14</v>
      </c>
    </row>
    <row r="113" spans="1:9">
      <c r="A113" s="166" t="s">
        <v>15</v>
      </c>
      <c r="B113" s="166"/>
      <c r="C113" s="166"/>
      <c r="D113" s="166"/>
      <c r="E113" s="166"/>
      <c r="F113" s="166"/>
      <c r="G113" s="166"/>
      <c r="H113" s="166"/>
      <c r="I113" s="166"/>
    </row>
    <row r="114" spans="1:9" ht="45" customHeight="1">
      <c r="A114" s="162" t="s">
        <v>16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30" customHeight="1">
      <c r="A115" s="162" t="s">
        <v>17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30" customHeight="1">
      <c r="A116" s="162" t="s">
        <v>21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15" customHeight="1">
      <c r="A117" s="162" t="s">
        <v>20</v>
      </c>
      <c r="B117" s="162"/>
      <c r="C117" s="162"/>
      <c r="D117" s="162"/>
      <c r="E117" s="162"/>
      <c r="F117" s="162"/>
      <c r="G117" s="162"/>
      <c r="H117" s="162"/>
      <c r="I117" s="162"/>
    </row>
  </sheetData>
  <mergeCells count="28">
    <mergeCell ref="A115:I115"/>
    <mergeCell ref="A116:I116"/>
    <mergeCell ref="A117:I117"/>
    <mergeCell ref="C107:E107"/>
    <mergeCell ref="C108:E108"/>
    <mergeCell ref="C110:E110"/>
    <mergeCell ref="C111:E111"/>
    <mergeCell ref="A113:I113"/>
    <mergeCell ref="A114:I114"/>
    <mergeCell ref="A105:I105"/>
    <mergeCell ref="A15:I15"/>
    <mergeCell ref="A28:I28"/>
    <mergeCell ref="A46:I46"/>
    <mergeCell ref="A58:I58"/>
    <mergeCell ref="A88:I88"/>
    <mergeCell ref="A97:I97"/>
    <mergeCell ref="B98:G98"/>
    <mergeCell ref="B99:G99"/>
    <mergeCell ref="A101:I101"/>
    <mergeCell ref="A102:I102"/>
    <mergeCell ref="A103:I103"/>
    <mergeCell ref="A92:I92"/>
    <mergeCell ref="A14:I14"/>
    <mergeCell ref="A3:I3"/>
    <mergeCell ref="A4:I4"/>
    <mergeCell ref="A5:I5"/>
    <mergeCell ref="A8:I8"/>
    <mergeCell ref="A10:I10"/>
  </mergeCells>
  <pageMargins left="0.70866141732283472" right="0" top="0.27559055118110237" bottom="0.27559055118110237" header="0.31496062992125984" footer="0.31496062992125984"/>
  <pageSetup paperSize="9" scale="6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1"/>
  <sheetViews>
    <sheetView topLeftCell="A85" workbookViewId="0">
      <selection activeCell="B65" sqref="B65:I6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163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234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44286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210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214</v>
      </c>
      <c r="E16" s="88">
        <v>70.7</v>
      </c>
      <c r="F16" s="89">
        <f>SUM(E16*156/100)</f>
        <v>110.292</v>
      </c>
      <c r="G16" s="89">
        <v>261.45</v>
      </c>
      <c r="H16" s="55">
        <f t="shared" ref="H16:H26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191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194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F18/18*G18</f>
        <v>2658.8856000000001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108</v>
      </c>
      <c r="E19" s="54">
        <v>40</v>
      </c>
      <c r="F19" s="41">
        <f>SUM(E19/10)</f>
        <v>4</v>
      </c>
      <c r="G19" s="41">
        <v>193.55</v>
      </c>
      <c r="H19" s="55">
        <f t="shared" si="0"/>
        <v>0.7742</v>
      </c>
      <c r="I19" s="10">
        <v>0</v>
      </c>
    </row>
    <row r="20" spans="1:9" ht="15.75" hidden="1" customHeight="1">
      <c r="A20" s="21"/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41">
        <v>324.83999999999997</v>
      </c>
      <c r="H20" s="55">
        <f t="shared" si="0"/>
        <v>6.8216399999999996E-2</v>
      </c>
      <c r="I20" s="10">
        <f>G20*F20/2</f>
        <v>34.108199999999997</v>
      </c>
    </row>
    <row r="21" spans="1:9" ht="15.75" hidden="1" customHeight="1">
      <c r="A21" s="21"/>
      <c r="B21" s="39" t="s">
        <v>110</v>
      </c>
      <c r="C21" s="40" t="s">
        <v>84</v>
      </c>
      <c r="D21" s="39" t="s">
        <v>194</v>
      </c>
      <c r="E21" s="88">
        <v>2.7</v>
      </c>
      <c r="F21" s="89">
        <f>SUM(E21*2/100)</f>
        <v>5.4000000000000006E-2</v>
      </c>
      <c r="G21" s="89">
        <v>322.20999999999998</v>
      </c>
      <c r="H21" s="55">
        <f t="shared" si="0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111</v>
      </c>
      <c r="C22" s="40" t="s">
        <v>52</v>
      </c>
      <c r="D22" s="39" t="s">
        <v>108</v>
      </c>
      <c r="E22" s="54">
        <v>357</v>
      </c>
      <c r="F22" s="41">
        <f>SUM(E22/100)</f>
        <v>3.57</v>
      </c>
      <c r="G22" s="41">
        <v>306.26</v>
      </c>
      <c r="H22" s="55">
        <f t="shared" si="0"/>
        <v>1.0933481999999999</v>
      </c>
      <c r="I22" s="10">
        <v>0</v>
      </c>
    </row>
    <row r="23" spans="1:9" ht="15.75" hidden="1" customHeight="1">
      <c r="A23" s="21"/>
      <c r="B23" s="39" t="s">
        <v>112</v>
      </c>
      <c r="C23" s="40" t="s">
        <v>52</v>
      </c>
      <c r="D23" s="39" t="s">
        <v>108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0"/>
        <v>1.9462968000000001E-2</v>
      </c>
      <c r="I23" s="10">
        <v>0</v>
      </c>
    </row>
    <row r="24" spans="1:9" ht="15.75" hidden="1" customHeight="1">
      <c r="A24" s="21"/>
      <c r="B24" s="39" t="s">
        <v>113</v>
      </c>
      <c r="C24" s="40" t="s">
        <v>52</v>
      </c>
      <c r="D24" s="39" t="s">
        <v>118</v>
      </c>
      <c r="E24" s="54">
        <v>15</v>
      </c>
      <c r="F24" s="41">
        <f>E24/100</f>
        <v>0.15</v>
      </c>
      <c r="G24" s="41">
        <v>443.27</v>
      </c>
      <c r="H24" s="55">
        <f t="shared" si="0"/>
        <v>6.6490499999999994E-2</v>
      </c>
      <c r="I24" s="10">
        <v>0</v>
      </c>
    </row>
    <row r="25" spans="1:9" ht="15.75" hidden="1" customHeight="1">
      <c r="A25" s="21"/>
      <c r="B25" s="39" t="s">
        <v>119</v>
      </c>
      <c r="C25" s="40" t="s">
        <v>84</v>
      </c>
      <c r="D25" s="39" t="s">
        <v>53</v>
      </c>
      <c r="E25" s="54">
        <v>14.25</v>
      </c>
      <c r="F25" s="41">
        <v>0.1</v>
      </c>
      <c r="G25" s="41">
        <v>245.81</v>
      </c>
      <c r="H25" s="55">
        <v>3.1E-2</v>
      </c>
      <c r="I25" s="10">
        <v>0</v>
      </c>
    </row>
    <row r="26" spans="1:9" ht="15.75" hidden="1" customHeight="1">
      <c r="A26" s="21"/>
      <c r="B26" s="39" t="s">
        <v>120</v>
      </c>
      <c r="C26" s="40" t="s">
        <v>52</v>
      </c>
      <c r="D26" s="39" t="s">
        <v>108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0"/>
        <v>3.7793205999999996E-2</v>
      </c>
      <c r="I26" s="10">
        <v>0</v>
      </c>
    </row>
    <row r="27" spans="1:9" ht="15.75" hidden="1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10.81</v>
      </c>
      <c r="H27" s="55">
        <f>SUM(F27*G27/1000)</f>
        <v>14.5584756</v>
      </c>
      <c r="I27" s="10">
        <f>F27/12*G27</f>
        <v>1213.2063000000001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hidden="1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31.5" hidden="1" customHeight="1">
      <c r="A30" s="21">
        <v>6</v>
      </c>
      <c r="B30" s="39" t="s">
        <v>92</v>
      </c>
      <c r="C30" s="40" t="s">
        <v>86</v>
      </c>
      <c r="D30" s="39" t="s">
        <v>121</v>
      </c>
      <c r="E30" s="41">
        <v>573.6</v>
      </c>
      <c r="F30" s="41">
        <f>SUM(E30*52/1000)</f>
        <v>29.827200000000001</v>
      </c>
      <c r="G30" s="41">
        <v>177.3</v>
      </c>
      <c r="H30" s="55">
        <f t="shared" ref="H30:H36" si="1">SUM(F30*G30/1000)</f>
        <v>5.2883625600000004</v>
      </c>
      <c r="I30" s="10">
        <v>0</v>
      </c>
    </row>
    <row r="31" spans="1:9" ht="31.5" hidden="1" customHeight="1">
      <c r="A31" s="21">
        <v>7</v>
      </c>
      <c r="B31" s="39" t="s">
        <v>159</v>
      </c>
      <c r="C31" s="40" t="s">
        <v>86</v>
      </c>
      <c r="D31" s="39" t="s">
        <v>122</v>
      </c>
      <c r="E31" s="41">
        <v>200</v>
      </c>
      <c r="F31" s="41">
        <f>SUM(E31*78/1000)</f>
        <v>15.6</v>
      </c>
      <c r="G31" s="41">
        <v>294.17</v>
      </c>
      <c r="H31" s="55">
        <f t="shared" si="1"/>
        <v>4.5890520000000006</v>
      </c>
      <c r="I31" s="10">
        <v>0</v>
      </c>
    </row>
    <row r="32" spans="1:9" ht="15.75" hidden="1" customHeight="1">
      <c r="A32" s="21">
        <v>16</v>
      </c>
      <c r="B32" s="39" t="s">
        <v>27</v>
      </c>
      <c r="C32" s="40" t="s">
        <v>86</v>
      </c>
      <c r="D32" s="39" t="s">
        <v>53</v>
      </c>
      <c r="E32" s="41">
        <v>573.6</v>
      </c>
      <c r="F32" s="41">
        <f>SUM(E32/1000)</f>
        <v>0.5736</v>
      </c>
      <c r="G32" s="41">
        <v>3435.36</v>
      </c>
      <c r="H32" s="55">
        <f t="shared" si="1"/>
        <v>1.9705224960000001</v>
      </c>
      <c r="I32" s="10">
        <v>0</v>
      </c>
    </row>
    <row r="33" spans="1:9" ht="15.75" hidden="1" customHeight="1">
      <c r="A33" s="21">
        <v>8</v>
      </c>
      <c r="B33" s="39" t="s">
        <v>123</v>
      </c>
      <c r="C33" s="40" t="s">
        <v>40</v>
      </c>
      <c r="D33" s="39" t="s">
        <v>62</v>
      </c>
      <c r="E33" s="41">
        <v>1</v>
      </c>
      <c r="F33" s="41">
        <v>1.55</v>
      </c>
      <c r="G33" s="41">
        <v>1480.94</v>
      </c>
      <c r="H33" s="55">
        <f>G33*F33/1000</f>
        <v>2.2954570000000003</v>
      </c>
      <c r="I33" s="10">
        <v>0</v>
      </c>
    </row>
    <row r="34" spans="1:9" ht="15.75" hidden="1" customHeight="1">
      <c r="A34" s="21">
        <v>9</v>
      </c>
      <c r="B34" s="39" t="s">
        <v>154</v>
      </c>
      <c r="C34" s="40" t="s">
        <v>30</v>
      </c>
      <c r="D34" s="39" t="s">
        <v>62</v>
      </c>
      <c r="E34" s="59">
        <v>0.33333333333333331</v>
      </c>
      <c r="F34" s="41">
        <f>155/3</f>
        <v>51.666666666666664</v>
      </c>
      <c r="G34" s="41">
        <v>64.48</v>
      </c>
      <c r="H34" s="55">
        <f>SUM(G34*155/3/1000)</f>
        <v>3.331466666666667</v>
      </c>
      <c r="I34" s="10">
        <v>0</v>
      </c>
    </row>
    <row r="35" spans="1:9" ht="15.75" hidden="1" customHeight="1">
      <c r="A35" s="21"/>
      <c r="B35" s="39" t="s">
        <v>63</v>
      </c>
      <c r="C35" s="40" t="s">
        <v>32</v>
      </c>
      <c r="D35" s="39" t="s">
        <v>65</v>
      </c>
      <c r="E35" s="54"/>
      <c r="F35" s="41">
        <v>3</v>
      </c>
      <c r="G35" s="41">
        <v>217.61</v>
      </c>
      <c r="H35" s="55">
        <f t="shared" si="1"/>
        <v>0.65283000000000002</v>
      </c>
      <c r="I35" s="10">
        <v>0</v>
      </c>
    </row>
    <row r="36" spans="1:9" ht="15.75" hidden="1" customHeight="1">
      <c r="A36" s="21"/>
      <c r="B36" s="39" t="s">
        <v>64</v>
      </c>
      <c r="C36" s="40" t="s">
        <v>31</v>
      </c>
      <c r="D36" s="39" t="s">
        <v>65</v>
      </c>
      <c r="E36" s="54"/>
      <c r="F36" s="41">
        <v>2</v>
      </c>
      <c r="G36" s="41">
        <v>1292.47</v>
      </c>
      <c r="H36" s="55">
        <f t="shared" si="1"/>
        <v>2.58494</v>
      </c>
      <c r="I36" s="10">
        <v>0</v>
      </c>
    </row>
    <row r="37" spans="1:9" ht="15.75" customHeight="1">
      <c r="A37" s="21"/>
      <c r="B37" s="74" t="s">
        <v>5</v>
      </c>
      <c r="C37" s="40"/>
      <c r="D37" s="39"/>
      <c r="E37" s="54"/>
      <c r="F37" s="41"/>
      <c r="G37" s="41"/>
      <c r="H37" s="55" t="s">
        <v>155</v>
      </c>
      <c r="I37" s="58"/>
    </row>
    <row r="38" spans="1:9" ht="15.75" hidden="1" customHeight="1">
      <c r="A38" s="21">
        <v>5</v>
      </c>
      <c r="B38" s="39" t="s">
        <v>26</v>
      </c>
      <c r="C38" s="40" t="s">
        <v>31</v>
      </c>
      <c r="D38" s="39" t="s">
        <v>230</v>
      </c>
      <c r="E38" s="54"/>
      <c r="F38" s="41">
        <v>8</v>
      </c>
      <c r="G38" s="128">
        <v>1930</v>
      </c>
      <c r="H38" s="55">
        <f t="shared" ref="H38:H44" si="2">SUM(F38*G38/1000)</f>
        <v>15.44</v>
      </c>
      <c r="I38" s="10">
        <f>G38*1</f>
        <v>1930</v>
      </c>
    </row>
    <row r="39" spans="1:9" ht="15.75" customHeight="1">
      <c r="A39" s="21">
        <v>4</v>
      </c>
      <c r="B39" s="130" t="s">
        <v>66</v>
      </c>
      <c r="C39" s="131" t="s">
        <v>29</v>
      </c>
      <c r="D39" s="130" t="s">
        <v>219</v>
      </c>
      <c r="E39" s="132">
        <v>200</v>
      </c>
      <c r="F39" s="132">
        <f>SUM(E39*24/1000)</f>
        <v>4.8</v>
      </c>
      <c r="G39" s="132">
        <v>3134.93</v>
      </c>
      <c r="H39" s="55">
        <f t="shared" si="2"/>
        <v>15.047663999999999</v>
      </c>
      <c r="I39" s="10">
        <f>F39/6*G39</f>
        <v>2507.9439999999995</v>
      </c>
    </row>
    <row r="40" spans="1:9" ht="15.75" hidden="1" customHeight="1">
      <c r="A40" s="21"/>
      <c r="B40" s="86" t="s">
        <v>124</v>
      </c>
      <c r="C40" s="87" t="s">
        <v>54</v>
      </c>
      <c r="D40" s="86"/>
      <c r="E40" s="88"/>
      <c r="F40" s="132">
        <v>65</v>
      </c>
      <c r="G40" s="89">
        <v>343</v>
      </c>
      <c r="H40" s="55">
        <f t="shared" si="2"/>
        <v>22.295000000000002</v>
      </c>
      <c r="I40" s="10">
        <v>0</v>
      </c>
    </row>
    <row r="41" spans="1:9" ht="15.75" customHeight="1">
      <c r="A41" s="21">
        <v>5</v>
      </c>
      <c r="B41" s="86" t="s">
        <v>67</v>
      </c>
      <c r="C41" s="87" t="s">
        <v>29</v>
      </c>
      <c r="D41" s="86" t="s">
        <v>192</v>
      </c>
      <c r="E41" s="89">
        <v>60</v>
      </c>
      <c r="F41" s="132">
        <f>SUM(E41*155/1000)</f>
        <v>9.3000000000000007</v>
      </c>
      <c r="G41" s="89">
        <v>522.92999999999995</v>
      </c>
      <c r="H41" s="55">
        <f t="shared" si="2"/>
        <v>4.8632489999999997</v>
      </c>
      <c r="I41" s="10">
        <f t="shared" ref="I41:I42" si="3">F41/6*G41</f>
        <v>810.54149999999993</v>
      </c>
    </row>
    <row r="42" spans="1:9" ht="47.25" customHeight="1">
      <c r="A42" s="21">
        <v>6</v>
      </c>
      <c r="B42" s="86" t="s">
        <v>82</v>
      </c>
      <c r="C42" s="87" t="s">
        <v>86</v>
      </c>
      <c r="D42" s="86" t="s">
        <v>193</v>
      </c>
      <c r="E42" s="89">
        <v>40.9</v>
      </c>
      <c r="F42" s="132">
        <f>SUM(E42*35/1000)</f>
        <v>1.4315</v>
      </c>
      <c r="G42" s="89">
        <v>8652.07</v>
      </c>
      <c r="H42" s="55">
        <f t="shared" si="2"/>
        <v>12.385438205</v>
      </c>
      <c r="I42" s="10">
        <f t="shared" si="3"/>
        <v>2064.2397008333332</v>
      </c>
    </row>
    <row r="43" spans="1:9" ht="15.75" customHeight="1">
      <c r="A43" s="21">
        <v>7</v>
      </c>
      <c r="B43" s="86" t="s">
        <v>87</v>
      </c>
      <c r="C43" s="87" t="s">
        <v>86</v>
      </c>
      <c r="D43" s="86" t="s">
        <v>194</v>
      </c>
      <c r="E43" s="89">
        <v>60</v>
      </c>
      <c r="F43" s="132">
        <f>SUM(E43*45/1000)</f>
        <v>2.7</v>
      </c>
      <c r="G43" s="89">
        <v>639.14</v>
      </c>
      <c r="H43" s="55">
        <f t="shared" si="2"/>
        <v>1.725678</v>
      </c>
      <c r="I43" s="10">
        <f>G43*F43/45</f>
        <v>38.348400000000005</v>
      </c>
    </row>
    <row r="44" spans="1:9" ht="15.75" customHeight="1">
      <c r="A44" s="21">
        <v>8</v>
      </c>
      <c r="B44" s="130" t="s">
        <v>69</v>
      </c>
      <c r="C44" s="131" t="s">
        <v>32</v>
      </c>
      <c r="D44" s="130"/>
      <c r="E44" s="113"/>
      <c r="F44" s="132">
        <v>0.9</v>
      </c>
      <c r="G44" s="132">
        <v>900</v>
      </c>
      <c r="H44" s="55">
        <f t="shared" si="2"/>
        <v>0.81</v>
      </c>
      <c r="I44" s="10">
        <f>G44*F44/45</f>
        <v>18</v>
      </c>
    </row>
    <row r="45" spans="1:9" ht="33" customHeight="1">
      <c r="A45" s="118">
        <v>9</v>
      </c>
      <c r="B45" s="86" t="s">
        <v>218</v>
      </c>
      <c r="C45" s="87" t="s">
        <v>29</v>
      </c>
      <c r="D45" s="86" t="s">
        <v>220</v>
      </c>
      <c r="E45" s="88">
        <v>3</v>
      </c>
      <c r="F45" s="89">
        <f>E45*12/1000</f>
        <v>3.5999999999999997E-2</v>
      </c>
      <c r="G45" s="89">
        <v>20547.34</v>
      </c>
      <c r="H45" s="49"/>
      <c r="I45" s="129">
        <f>G45*F45/6</f>
        <v>123.28403999999999</v>
      </c>
    </row>
    <row r="46" spans="1:9" ht="15.75" hidden="1" customHeight="1">
      <c r="A46" s="148" t="s">
        <v>148</v>
      </c>
      <c r="B46" s="149"/>
      <c r="C46" s="149"/>
      <c r="D46" s="149"/>
      <c r="E46" s="149"/>
      <c r="F46" s="149"/>
      <c r="G46" s="149"/>
      <c r="H46" s="149"/>
      <c r="I46" s="150"/>
    </row>
    <row r="47" spans="1:9" ht="15.75" hidden="1" customHeight="1">
      <c r="A47" s="21"/>
      <c r="B47" s="39" t="s">
        <v>156</v>
      </c>
      <c r="C47" s="40" t="s">
        <v>86</v>
      </c>
      <c r="D47" s="39" t="s">
        <v>42</v>
      </c>
      <c r="E47" s="54">
        <v>1300.5</v>
      </c>
      <c r="F47" s="41">
        <f>SUM(E47/1000)*2</f>
        <v>2.601</v>
      </c>
      <c r="G47" s="10">
        <v>1173.18</v>
      </c>
      <c r="H47" s="55">
        <f t="shared" ref="H47:H57" si="4">SUM(F47*G47/1000)</f>
        <v>3.0514411800000003</v>
      </c>
      <c r="I47" s="10">
        <v>0</v>
      </c>
    </row>
    <row r="48" spans="1:9" ht="15.75" hidden="1" customHeight="1">
      <c r="A48" s="21"/>
      <c r="B48" s="39" t="s">
        <v>35</v>
      </c>
      <c r="C48" s="40" t="s">
        <v>86</v>
      </c>
      <c r="D48" s="39" t="s">
        <v>42</v>
      </c>
      <c r="E48" s="54">
        <v>52</v>
      </c>
      <c r="F48" s="41">
        <f>SUM(E48*2/1000)</f>
        <v>0.104</v>
      </c>
      <c r="G48" s="10">
        <v>659.09</v>
      </c>
      <c r="H48" s="55">
        <f t="shared" si="4"/>
        <v>6.854536E-2</v>
      </c>
      <c r="I48" s="10">
        <v>0</v>
      </c>
    </row>
    <row r="49" spans="1:9" ht="15.75" hidden="1" customHeight="1">
      <c r="A49" s="21"/>
      <c r="B49" s="39" t="s">
        <v>36</v>
      </c>
      <c r="C49" s="40" t="s">
        <v>86</v>
      </c>
      <c r="D49" s="39" t="s">
        <v>42</v>
      </c>
      <c r="E49" s="54">
        <v>1483.1</v>
      </c>
      <c r="F49" s="41">
        <f>SUM(E49*2/1000)</f>
        <v>2.9661999999999997</v>
      </c>
      <c r="G49" s="10">
        <v>1564.24</v>
      </c>
      <c r="H49" s="55">
        <f t="shared" si="4"/>
        <v>4.6398486879999998</v>
      </c>
      <c r="I49" s="10">
        <v>0</v>
      </c>
    </row>
    <row r="50" spans="1:9" ht="15.75" hidden="1" customHeight="1">
      <c r="A50" s="21"/>
      <c r="B50" s="39" t="s">
        <v>37</v>
      </c>
      <c r="C50" s="40" t="s">
        <v>86</v>
      </c>
      <c r="D50" s="39" t="s">
        <v>42</v>
      </c>
      <c r="E50" s="54">
        <v>2320</v>
      </c>
      <c r="F50" s="41">
        <f>SUM(E50*2/1000)</f>
        <v>4.6399999999999997</v>
      </c>
      <c r="G50" s="10">
        <v>1078.3599999999999</v>
      </c>
      <c r="H50" s="55">
        <f t="shared" si="4"/>
        <v>5.0035903999999993</v>
      </c>
      <c r="I50" s="10">
        <v>0</v>
      </c>
    </row>
    <row r="51" spans="1:9" ht="15.75" hidden="1" customHeight="1">
      <c r="A51" s="21"/>
      <c r="B51" s="39" t="s">
        <v>33</v>
      </c>
      <c r="C51" s="40" t="s">
        <v>34</v>
      </c>
      <c r="D51" s="39" t="s">
        <v>42</v>
      </c>
      <c r="E51" s="54">
        <v>91.84</v>
      </c>
      <c r="F51" s="41">
        <f>SUM(E51*2/100)</f>
        <v>1.8368</v>
      </c>
      <c r="G51" s="10">
        <v>82.82</v>
      </c>
      <c r="H51" s="55">
        <f t="shared" si="4"/>
        <v>0.15212377599999999</v>
      </c>
      <c r="I51" s="10">
        <v>0</v>
      </c>
    </row>
    <row r="52" spans="1:9" ht="15.75" hidden="1" customHeight="1">
      <c r="A52" s="21">
        <v>12</v>
      </c>
      <c r="B52" s="39" t="s">
        <v>55</v>
      </c>
      <c r="C52" s="40" t="s">
        <v>86</v>
      </c>
      <c r="D52" s="39" t="s">
        <v>160</v>
      </c>
      <c r="E52" s="54">
        <v>1040.4000000000001</v>
      </c>
      <c r="F52" s="41">
        <f>SUM(E52*5/1000)</f>
        <v>5.202</v>
      </c>
      <c r="G52" s="10">
        <v>1564.24</v>
      </c>
      <c r="H52" s="55">
        <f>SUM(F52*G52/1000)</f>
        <v>8.1371764800000008</v>
      </c>
      <c r="I52" s="10">
        <f>F52/5*G52</f>
        <v>1627.4352960000001</v>
      </c>
    </row>
    <row r="53" spans="1:9" ht="31.5" hidden="1" customHeight="1">
      <c r="A53" s="21"/>
      <c r="B53" s="39" t="s">
        <v>88</v>
      </c>
      <c r="C53" s="40" t="s">
        <v>86</v>
      </c>
      <c r="D53" s="39" t="s">
        <v>42</v>
      </c>
      <c r="E53" s="54">
        <v>1040.4000000000001</v>
      </c>
      <c r="F53" s="41">
        <f>SUM(E53*2/1000)</f>
        <v>2.0808</v>
      </c>
      <c r="G53" s="10">
        <v>1380.31</v>
      </c>
      <c r="H53" s="55">
        <f t="shared" si="4"/>
        <v>2.8721490479999998</v>
      </c>
      <c r="I53" s="10">
        <v>0</v>
      </c>
    </row>
    <row r="54" spans="1:9" ht="31.5" hidden="1" customHeight="1">
      <c r="A54" s="21"/>
      <c r="B54" s="39" t="s">
        <v>89</v>
      </c>
      <c r="C54" s="40" t="s">
        <v>38</v>
      </c>
      <c r="D54" s="39" t="s">
        <v>42</v>
      </c>
      <c r="E54" s="54">
        <v>20</v>
      </c>
      <c r="F54" s="41">
        <f>SUM(E54*2/100)</f>
        <v>0.4</v>
      </c>
      <c r="G54" s="10">
        <v>3519.56</v>
      </c>
      <c r="H54" s="55">
        <f t="shared" si="4"/>
        <v>1.407824</v>
      </c>
      <c r="I54" s="10">
        <v>0</v>
      </c>
    </row>
    <row r="55" spans="1:9" ht="15.75" hidden="1" customHeight="1">
      <c r="A55" s="21">
        <v>12</v>
      </c>
      <c r="B55" s="39" t="s">
        <v>39</v>
      </c>
      <c r="C55" s="40" t="s">
        <v>40</v>
      </c>
      <c r="D55" s="39" t="s">
        <v>42</v>
      </c>
      <c r="E55" s="54">
        <v>1</v>
      </c>
      <c r="F55" s="41">
        <v>0.02</v>
      </c>
      <c r="G55" s="10">
        <v>6428.82</v>
      </c>
      <c r="H55" s="55">
        <f t="shared" si="4"/>
        <v>0.12857640000000001</v>
      </c>
      <c r="I55" s="10">
        <f>F55/2*G55</f>
        <v>64.288200000000003</v>
      </c>
    </row>
    <row r="56" spans="1:9" ht="15.75" hidden="1" customHeight="1">
      <c r="A56" s="21">
        <v>13</v>
      </c>
      <c r="B56" s="39" t="s">
        <v>98</v>
      </c>
      <c r="C56" s="40" t="s">
        <v>93</v>
      </c>
      <c r="D56" s="39" t="s">
        <v>70</v>
      </c>
      <c r="E56" s="54">
        <v>56</v>
      </c>
      <c r="F56" s="41">
        <f>SUM(E56*3)</f>
        <v>168</v>
      </c>
      <c r="G56" s="10">
        <v>160.51</v>
      </c>
      <c r="H56" s="55">
        <f t="shared" si="4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39" t="s">
        <v>41</v>
      </c>
      <c r="C57" s="40" t="s">
        <v>93</v>
      </c>
      <c r="D57" s="39" t="s">
        <v>70</v>
      </c>
      <c r="E57" s="54">
        <v>112</v>
      </c>
      <c r="F57" s="41">
        <f>SUM(E57)*3</f>
        <v>336</v>
      </c>
      <c r="G57" s="10">
        <v>74.709999999999994</v>
      </c>
      <c r="H57" s="55">
        <f t="shared" si="4"/>
        <v>25.102559999999997</v>
      </c>
      <c r="I57" s="10">
        <f>E57*G57</f>
        <v>8367.5199999999986</v>
      </c>
    </row>
    <row r="58" spans="1:9" ht="15.75" customHeight="1">
      <c r="A58" s="148" t="s">
        <v>151</v>
      </c>
      <c r="B58" s="149"/>
      <c r="C58" s="149"/>
      <c r="D58" s="149"/>
      <c r="E58" s="149"/>
      <c r="F58" s="149"/>
      <c r="G58" s="149"/>
      <c r="H58" s="149"/>
      <c r="I58" s="150"/>
    </row>
    <row r="59" spans="1:9" ht="15.75" customHeight="1">
      <c r="A59" s="21"/>
      <c r="B59" s="74" t="s">
        <v>43</v>
      </c>
      <c r="C59" s="40"/>
      <c r="D59" s="39"/>
      <c r="E59" s="54"/>
      <c r="F59" s="41"/>
      <c r="G59" s="41"/>
      <c r="H59" s="55"/>
      <c r="I59" s="58"/>
    </row>
    <row r="60" spans="1:9" ht="31.5" customHeight="1">
      <c r="A60" s="21">
        <v>10</v>
      </c>
      <c r="B60" s="86" t="s">
        <v>101</v>
      </c>
      <c r="C60" s="87" t="s">
        <v>84</v>
      </c>
      <c r="D60" s="86"/>
      <c r="E60" s="88">
        <v>36</v>
      </c>
      <c r="F60" s="89">
        <f>SUM(E60*6/100)</f>
        <v>2.16</v>
      </c>
      <c r="G60" s="26">
        <v>2306.83</v>
      </c>
      <c r="H60" s="55">
        <f>SUM(F60*G60/1000)</f>
        <v>4.9827528000000001</v>
      </c>
      <c r="I60" s="10">
        <f>G60*0.48</f>
        <v>1107.2783999999999</v>
      </c>
    </row>
    <row r="61" spans="1:9" ht="31.5" customHeight="1">
      <c r="A61" s="21">
        <v>11</v>
      </c>
      <c r="B61" s="86" t="s">
        <v>224</v>
      </c>
      <c r="C61" s="87" t="s">
        <v>52</v>
      </c>
      <c r="D61" s="86"/>
      <c r="E61" s="88">
        <v>4.62</v>
      </c>
      <c r="F61" s="91">
        <f>E61*12/100</f>
        <v>0.5544</v>
      </c>
      <c r="G61" s="26">
        <v>2306.83</v>
      </c>
      <c r="H61" s="61"/>
      <c r="I61" s="10">
        <f>G61*F61/6</f>
        <v>213.15109199999998</v>
      </c>
    </row>
    <row r="62" spans="1:9" ht="18" customHeight="1">
      <c r="A62" s="21">
        <v>12</v>
      </c>
      <c r="B62" s="86" t="s">
        <v>115</v>
      </c>
      <c r="C62" s="87" t="s">
        <v>31</v>
      </c>
      <c r="D62" s="86">
        <v>3.6</v>
      </c>
      <c r="E62" s="88"/>
      <c r="F62" s="91">
        <v>5</v>
      </c>
      <c r="G62" s="90">
        <v>1800</v>
      </c>
      <c r="H62" s="61"/>
      <c r="I62" s="10">
        <f>G62*3.6</f>
        <v>6480</v>
      </c>
    </row>
    <row r="63" spans="1:9" ht="15.75" customHeight="1">
      <c r="A63" s="21"/>
      <c r="B63" s="74" t="s">
        <v>44</v>
      </c>
      <c r="C63" s="40"/>
      <c r="D63" s="39"/>
      <c r="E63" s="54"/>
      <c r="F63" s="55"/>
      <c r="G63" s="10"/>
      <c r="H63" s="61"/>
      <c r="I63" s="58"/>
    </row>
    <row r="64" spans="1:9" ht="15.75" hidden="1" customHeight="1">
      <c r="A64" s="21"/>
      <c r="B64" s="39" t="s">
        <v>158</v>
      </c>
      <c r="C64" s="40" t="s">
        <v>84</v>
      </c>
      <c r="D64" s="39" t="s">
        <v>53</v>
      </c>
      <c r="E64" s="54">
        <v>1040.4000000000001</v>
      </c>
      <c r="F64" s="55">
        <f>E64/100</f>
        <v>10.404000000000002</v>
      </c>
      <c r="G64" s="10">
        <v>902.66</v>
      </c>
      <c r="H64" s="61">
        <f>G64*F64/1000</f>
        <v>9.3912746400000007</v>
      </c>
      <c r="I64" s="10">
        <v>0</v>
      </c>
    </row>
    <row r="65" spans="1:9" ht="15.75" customHeight="1">
      <c r="A65" s="21">
        <v>13</v>
      </c>
      <c r="B65" s="39" t="s">
        <v>126</v>
      </c>
      <c r="C65" s="40" t="s">
        <v>25</v>
      </c>
      <c r="D65" s="39" t="s">
        <v>194</v>
      </c>
      <c r="E65" s="54">
        <v>240</v>
      </c>
      <c r="F65" s="41">
        <v>2400</v>
      </c>
      <c r="G65" s="49">
        <v>1.4</v>
      </c>
      <c r="H65" s="55">
        <f>F65*G65/1000</f>
        <v>3.36</v>
      </c>
      <c r="I65" s="10">
        <f>F65/12*G65</f>
        <v>280</v>
      </c>
    </row>
    <row r="66" spans="1:9" ht="15.75" customHeight="1">
      <c r="A66" s="21">
        <v>14</v>
      </c>
      <c r="B66" s="86" t="s">
        <v>158</v>
      </c>
      <c r="C66" s="87" t="s">
        <v>84</v>
      </c>
      <c r="D66" s="86" t="s">
        <v>237</v>
      </c>
      <c r="E66" s="88">
        <v>1040.4000000000001</v>
      </c>
      <c r="F66" s="91">
        <f>E66/100</f>
        <v>10.404000000000002</v>
      </c>
      <c r="G66" s="26">
        <v>1183.19</v>
      </c>
      <c r="H66" s="66"/>
      <c r="I66" s="10">
        <f>G66*F66</f>
        <v>12309.908760000002</v>
      </c>
    </row>
    <row r="67" spans="1:9" ht="15.75" customHeight="1">
      <c r="A67" s="21"/>
      <c r="B67" s="75" t="s">
        <v>45</v>
      </c>
      <c r="C67" s="62"/>
      <c r="D67" s="63"/>
      <c r="E67" s="64"/>
      <c r="F67" s="65"/>
      <c r="G67" s="65"/>
      <c r="H67" s="66" t="s">
        <v>155</v>
      </c>
      <c r="I67" s="58"/>
    </row>
    <row r="68" spans="1:9" ht="15.75" hidden="1" customHeight="1">
      <c r="A68" s="21">
        <v>15</v>
      </c>
      <c r="B68" s="11" t="s">
        <v>46</v>
      </c>
      <c r="C68" s="13" t="s">
        <v>40</v>
      </c>
      <c r="D68" s="39" t="s">
        <v>65</v>
      </c>
      <c r="E68" s="15">
        <v>15</v>
      </c>
      <c r="F68" s="41">
        <f>15/100</f>
        <v>0.15</v>
      </c>
      <c r="G68" s="10">
        <v>252.96</v>
      </c>
      <c r="H68" s="67">
        <f t="shared" ref="H68:H87" si="5">SUM(F68*G68/1000)</f>
        <v>3.7944000000000006E-2</v>
      </c>
      <c r="I68" s="10">
        <f>G68*4</f>
        <v>1011.84</v>
      </c>
    </row>
    <row r="69" spans="1:9" ht="15.75" customHeight="1">
      <c r="A69" s="21">
        <v>15</v>
      </c>
      <c r="B69" s="11" t="s">
        <v>47</v>
      </c>
      <c r="C69" s="13" t="s">
        <v>40</v>
      </c>
      <c r="D69" s="39" t="s">
        <v>194</v>
      </c>
      <c r="E69" s="15">
        <v>10</v>
      </c>
      <c r="F69" s="41">
        <f>10/100</f>
        <v>0.1</v>
      </c>
      <c r="G69" s="115">
        <v>113.69</v>
      </c>
      <c r="H69" s="67">
        <f t="shared" si="5"/>
        <v>1.1369000000000001E-2</v>
      </c>
      <c r="I69" s="10">
        <f>G69</f>
        <v>113.69</v>
      </c>
    </row>
    <row r="70" spans="1:9" ht="15.75" hidden="1" customHeight="1">
      <c r="A70" s="21"/>
      <c r="B70" s="11" t="s">
        <v>48</v>
      </c>
      <c r="C70" s="13" t="s">
        <v>94</v>
      </c>
      <c r="D70" s="11" t="s">
        <v>53</v>
      </c>
      <c r="E70" s="54">
        <v>17532</v>
      </c>
      <c r="F70" s="10">
        <f>SUM(E70/100)</f>
        <v>175.32</v>
      </c>
      <c r="G70" s="10">
        <v>241.31</v>
      </c>
      <c r="H70" s="67">
        <f t="shared" si="5"/>
        <v>42.306469200000002</v>
      </c>
      <c r="I70" s="10">
        <f>F70*G70</f>
        <v>42306.4692</v>
      </c>
    </row>
    <row r="71" spans="1:9" ht="15.75" hidden="1" customHeight="1">
      <c r="A71" s="21"/>
      <c r="B71" s="11" t="s">
        <v>49</v>
      </c>
      <c r="C71" s="13" t="s">
        <v>95</v>
      </c>
      <c r="D71" s="11"/>
      <c r="E71" s="54">
        <v>17532</v>
      </c>
      <c r="F71" s="10">
        <f>SUM(E71/1000)</f>
        <v>17.532</v>
      </c>
      <c r="G71" s="10">
        <v>187.91</v>
      </c>
      <c r="H71" s="67">
        <f t="shared" si="5"/>
        <v>3.2944381199999997</v>
      </c>
      <c r="I71" s="10">
        <f>F71*G71</f>
        <v>3294.4381199999998</v>
      </c>
    </row>
    <row r="72" spans="1:9" ht="15.75" hidden="1" customHeight="1">
      <c r="A72" s="21"/>
      <c r="B72" s="11" t="s">
        <v>50</v>
      </c>
      <c r="C72" s="13" t="s">
        <v>77</v>
      </c>
      <c r="D72" s="11" t="s">
        <v>53</v>
      </c>
      <c r="E72" s="54">
        <v>1365</v>
      </c>
      <c r="F72" s="10">
        <f>SUM(E72/100)</f>
        <v>13.65</v>
      </c>
      <c r="G72" s="10">
        <v>2359.7199999999998</v>
      </c>
      <c r="H72" s="67">
        <f t="shared" si="5"/>
        <v>32.210177999999999</v>
      </c>
      <c r="I72" s="10">
        <f t="shared" ref="I72:I75" si="6">F72*G72</f>
        <v>32210.178</v>
      </c>
    </row>
    <row r="73" spans="1:9" ht="15.75" hidden="1" customHeight="1">
      <c r="A73" s="21"/>
      <c r="B73" s="68" t="s">
        <v>71</v>
      </c>
      <c r="C73" s="13" t="s">
        <v>32</v>
      </c>
      <c r="D73" s="11"/>
      <c r="E73" s="54">
        <v>15.6</v>
      </c>
      <c r="F73" s="10">
        <f>SUM(E73)</f>
        <v>15.6</v>
      </c>
      <c r="G73" s="10">
        <v>45.4</v>
      </c>
      <c r="H73" s="67">
        <f t="shared" si="5"/>
        <v>0.70823999999999998</v>
      </c>
      <c r="I73" s="10">
        <f t="shared" si="6"/>
        <v>708.24</v>
      </c>
    </row>
    <row r="74" spans="1:9" ht="15.75" hidden="1" customHeight="1">
      <c r="A74" s="21"/>
      <c r="B74" s="68" t="s">
        <v>161</v>
      </c>
      <c r="C74" s="13" t="s">
        <v>32</v>
      </c>
      <c r="D74" s="11"/>
      <c r="E74" s="54">
        <v>15.6</v>
      </c>
      <c r="F74" s="10">
        <f>SUM(E74)</f>
        <v>15.6</v>
      </c>
      <c r="G74" s="10">
        <v>42.35</v>
      </c>
      <c r="H74" s="67">
        <f t="shared" si="5"/>
        <v>0.66065999999999991</v>
      </c>
      <c r="I74" s="10">
        <f t="shared" si="6"/>
        <v>660.66</v>
      </c>
    </row>
    <row r="75" spans="1:9" ht="15.75" hidden="1" customHeight="1">
      <c r="A75" s="21"/>
      <c r="B75" s="11" t="s">
        <v>56</v>
      </c>
      <c r="C75" s="13" t="s">
        <v>57</v>
      </c>
      <c r="D75" s="11" t="s">
        <v>53</v>
      </c>
      <c r="E75" s="15">
        <v>4</v>
      </c>
      <c r="F75" s="41">
        <f>SUM(E75)</f>
        <v>4</v>
      </c>
      <c r="G75" s="10">
        <v>56.74</v>
      </c>
      <c r="H75" s="67">
        <f t="shared" si="5"/>
        <v>0.22696</v>
      </c>
      <c r="I75" s="10">
        <f t="shared" si="6"/>
        <v>226.96</v>
      </c>
    </row>
    <row r="76" spans="1:9" ht="15.75" customHeight="1">
      <c r="A76" s="21">
        <v>16</v>
      </c>
      <c r="B76" s="11" t="s">
        <v>127</v>
      </c>
      <c r="C76" s="13" t="s">
        <v>57</v>
      </c>
      <c r="D76" s="11" t="s">
        <v>195</v>
      </c>
      <c r="E76" s="15">
        <v>1</v>
      </c>
      <c r="F76" s="49">
        <v>12</v>
      </c>
      <c r="G76" s="26">
        <v>1829</v>
      </c>
      <c r="H76" s="67">
        <f t="shared" ref="H76" si="7">SUM(F76*G76/1000)</f>
        <v>21.948</v>
      </c>
      <c r="I76" s="10">
        <f>G76</f>
        <v>1829</v>
      </c>
    </row>
    <row r="77" spans="1:9" ht="15.75" customHeight="1">
      <c r="A77" s="21"/>
      <c r="B77" s="76" t="s">
        <v>102</v>
      </c>
      <c r="C77" s="108"/>
      <c r="D77" s="85"/>
      <c r="E77" s="14"/>
      <c r="F77" s="90"/>
      <c r="G77" s="26"/>
      <c r="H77" s="67"/>
      <c r="I77" s="10"/>
    </row>
    <row r="78" spans="1:9" ht="15.75" customHeight="1">
      <c r="A78" s="21">
        <v>17</v>
      </c>
      <c r="B78" s="100" t="s">
        <v>205</v>
      </c>
      <c r="C78" s="101" t="s">
        <v>206</v>
      </c>
      <c r="D78" s="112"/>
      <c r="E78" s="122">
        <v>3455.3</v>
      </c>
      <c r="F78" s="102">
        <f>E78*12</f>
        <v>41463.600000000006</v>
      </c>
      <c r="G78" s="102">
        <v>2.6</v>
      </c>
      <c r="H78" s="67">
        <f t="shared" ref="H78" si="8">F78*G78/1000</f>
        <v>107.80536000000002</v>
      </c>
      <c r="I78" s="10">
        <f>G78*F78/12</f>
        <v>8983.7800000000007</v>
      </c>
    </row>
    <row r="79" spans="1:9" ht="15.75" customHeight="1">
      <c r="A79" s="21"/>
      <c r="B79" s="43" t="s">
        <v>72</v>
      </c>
      <c r="C79" s="13"/>
      <c r="D79" s="11"/>
      <c r="E79" s="15"/>
      <c r="F79" s="10"/>
      <c r="G79" s="10"/>
      <c r="H79" s="67" t="s">
        <v>155</v>
      </c>
      <c r="I79" s="58"/>
    </row>
    <row r="80" spans="1:9" ht="15.75" hidden="1" customHeight="1">
      <c r="A80" s="21"/>
      <c r="B80" s="11" t="s">
        <v>128</v>
      </c>
      <c r="C80" s="13" t="s">
        <v>30</v>
      </c>
      <c r="D80" s="39" t="s">
        <v>65</v>
      </c>
      <c r="E80" s="15">
        <v>2</v>
      </c>
      <c r="F80" s="10">
        <v>2</v>
      </c>
      <c r="G80" s="10">
        <v>892.5</v>
      </c>
      <c r="H80" s="67">
        <f>G80*F80/1000</f>
        <v>1.7849999999999999</v>
      </c>
      <c r="I80" s="10">
        <v>0</v>
      </c>
    </row>
    <row r="81" spans="1:9" ht="15.75" hidden="1" customHeight="1">
      <c r="A81" s="21"/>
      <c r="B81" s="11" t="s">
        <v>114</v>
      </c>
      <c r="C81" s="13" t="s">
        <v>129</v>
      </c>
      <c r="D81" s="11"/>
      <c r="E81" s="15">
        <v>1</v>
      </c>
      <c r="F81" s="10">
        <v>1</v>
      </c>
      <c r="G81" s="10">
        <v>750</v>
      </c>
      <c r="H81" s="67">
        <f>G81*F81/1000</f>
        <v>0.75</v>
      </c>
      <c r="I81" s="10">
        <v>0</v>
      </c>
    </row>
    <row r="82" spans="1:9" ht="15.75" hidden="1" customHeight="1">
      <c r="A82" s="21">
        <v>17</v>
      </c>
      <c r="B82" s="11" t="s">
        <v>73</v>
      </c>
      <c r="C82" s="13" t="s">
        <v>75</v>
      </c>
      <c r="D82" s="11"/>
      <c r="E82" s="15">
        <v>2</v>
      </c>
      <c r="F82" s="10">
        <v>0.2</v>
      </c>
      <c r="G82" s="10">
        <v>570.54</v>
      </c>
      <c r="H82" s="67">
        <f t="shared" si="5"/>
        <v>0.114108</v>
      </c>
      <c r="I82" s="10">
        <f>G82*0.7</f>
        <v>399.37799999999993</v>
      </c>
    </row>
    <row r="83" spans="1:9" ht="15.75" hidden="1" customHeight="1">
      <c r="A83" s="21"/>
      <c r="B83" s="11" t="s">
        <v>74</v>
      </c>
      <c r="C83" s="13" t="s">
        <v>30</v>
      </c>
      <c r="D83" s="11"/>
      <c r="E83" s="15">
        <v>1</v>
      </c>
      <c r="F83" s="49">
        <v>1</v>
      </c>
      <c r="G83" s="10">
        <v>970.21</v>
      </c>
      <c r="H83" s="67">
        <f t="shared" si="5"/>
        <v>0.97021000000000002</v>
      </c>
      <c r="I83" s="10">
        <v>0</v>
      </c>
    </row>
    <row r="84" spans="1:9" ht="15.75" hidden="1" customHeight="1">
      <c r="A84" s="21"/>
      <c r="B84" s="11" t="s">
        <v>130</v>
      </c>
      <c r="C84" s="13" t="s">
        <v>93</v>
      </c>
      <c r="D84" s="11"/>
      <c r="E84" s="15">
        <v>1</v>
      </c>
      <c r="F84" s="41">
        <f>SUM(E84)</f>
        <v>1</v>
      </c>
      <c r="G84" s="10">
        <v>407.79</v>
      </c>
      <c r="H84" s="67">
        <f t="shared" si="5"/>
        <v>0.40779000000000004</v>
      </c>
      <c r="I84" s="10">
        <v>0</v>
      </c>
    </row>
    <row r="85" spans="1:9" ht="15.75" customHeight="1">
      <c r="A85" s="21">
        <v>18</v>
      </c>
      <c r="B85" s="85" t="s">
        <v>207</v>
      </c>
      <c r="C85" s="108" t="s">
        <v>93</v>
      </c>
      <c r="D85" s="85" t="s">
        <v>195</v>
      </c>
      <c r="E85" s="14">
        <v>1</v>
      </c>
      <c r="F85" s="26">
        <f>E85*12</f>
        <v>12</v>
      </c>
      <c r="G85" s="26">
        <v>420</v>
      </c>
      <c r="H85" s="67">
        <f>G85*F85/1000</f>
        <v>5.04</v>
      </c>
      <c r="I85" s="10">
        <f>G85*1</f>
        <v>420</v>
      </c>
    </row>
    <row r="86" spans="1:9" ht="15.75" hidden="1" customHeight="1">
      <c r="A86" s="21"/>
      <c r="B86" s="72" t="s">
        <v>76</v>
      </c>
      <c r="C86" s="13"/>
      <c r="D86" s="11"/>
      <c r="E86" s="15"/>
      <c r="F86" s="10"/>
      <c r="G86" s="10" t="s">
        <v>155</v>
      </c>
      <c r="H86" s="67" t="s">
        <v>155</v>
      </c>
      <c r="I86" s="58"/>
    </row>
    <row r="87" spans="1:9" ht="15.75" hidden="1" customHeight="1">
      <c r="A87" s="21"/>
      <c r="B87" s="34" t="s">
        <v>99</v>
      </c>
      <c r="C87" s="13" t="s">
        <v>77</v>
      </c>
      <c r="D87" s="11"/>
      <c r="E87" s="15"/>
      <c r="F87" s="10">
        <v>0.6</v>
      </c>
      <c r="G87" s="10">
        <v>3138.65</v>
      </c>
      <c r="H87" s="67">
        <f t="shared" si="5"/>
        <v>1.8831900000000001</v>
      </c>
      <c r="I87" s="10">
        <v>0</v>
      </c>
    </row>
    <row r="88" spans="1:9" ht="16.5" hidden="1" customHeight="1">
      <c r="A88" s="21"/>
      <c r="B88" s="43" t="s">
        <v>90</v>
      </c>
      <c r="C88" s="13"/>
      <c r="D88" s="11"/>
      <c r="E88" s="50"/>
      <c r="F88" s="10"/>
      <c r="G88" s="10"/>
      <c r="H88" s="67"/>
      <c r="I88" s="10"/>
    </row>
    <row r="89" spans="1:9" ht="19.5" hidden="1" customHeight="1">
      <c r="A89" s="21">
        <v>13</v>
      </c>
      <c r="B89" s="39" t="s">
        <v>96</v>
      </c>
      <c r="C89" s="13"/>
      <c r="D89" s="11"/>
      <c r="E89" s="50"/>
      <c r="F89" s="10">
        <v>1</v>
      </c>
      <c r="G89" s="93">
        <v>9699</v>
      </c>
      <c r="H89" s="67">
        <f>G89*F89/1000</f>
        <v>9.6989999999999998</v>
      </c>
      <c r="I89" s="10">
        <f>G89</f>
        <v>9699</v>
      </c>
    </row>
    <row r="90" spans="1:9" ht="22.5" hidden="1" customHeight="1">
      <c r="A90" s="21"/>
      <c r="B90" s="73" t="s">
        <v>133</v>
      </c>
      <c r="C90" s="13" t="s">
        <v>134</v>
      </c>
      <c r="D90" s="39" t="s">
        <v>65</v>
      </c>
      <c r="E90" s="15">
        <v>30</v>
      </c>
      <c r="F90" s="10">
        <v>10</v>
      </c>
      <c r="G90" s="10">
        <v>972.09</v>
      </c>
      <c r="H90" s="67">
        <f t="shared" ref="H90:H101" si="9">F90*G90/1000</f>
        <v>9.7209000000000003</v>
      </c>
      <c r="I90" s="10">
        <v>0</v>
      </c>
    </row>
    <row r="91" spans="1:9" ht="21.75" hidden="1" customHeight="1">
      <c r="A91" s="21"/>
      <c r="B91" s="73" t="s">
        <v>135</v>
      </c>
      <c r="C91" s="13" t="s">
        <v>52</v>
      </c>
      <c r="D91" s="39" t="s">
        <v>65</v>
      </c>
      <c r="E91" s="15">
        <v>100</v>
      </c>
      <c r="F91" s="10">
        <v>1</v>
      </c>
      <c r="G91" s="10">
        <v>1829.52</v>
      </c>
      <c r="H91" s="67">
        <f t="shared" si="9"/>
        <v>1.82952</v>
      </c>
      <c r="I91" s="10">
        <v>0</v>
      </c>
    </row>
    <row r="92" spans="1:9" ht="30" hidden="1" customHeight="1">
      <c r="A92" s="21">
        <v>14</v>
      </c>
      <c r="B92" s="73" t="s">
        <v>136</v>
      </c>
      <c r="C92" s="13" t="s">
        <v>137</v>
      </c>
      <c r="D92" s="39"/>
      <c r="E92" s="15">
        <v>40</v>
      </c>
      <c r="F92" s="10">
        <v>4</v>
      </c>
      <c r="G92" s="10">
        <v>272.39</v>
      </c>
      <c r="H92" s="67">
        <f t="shared" si="9"/>
        <v>1.0895599999999999</v>
      </c>
      <c r="I92" s="10">
        <f>G92*0.6</f>
        <v>163.434</v>
      </c>
    </row>
    <row r="93" spans="1:9" ht="28.5" hidden="1" customHeight="1">
      <c r="A93" s="21"/>
      <c r="B93" s="73" t="s">
        <v>138</v>
      </c>
      <c r="C93" s="13" t="s">
        <v>80</v>
      </c>
      <c r="D93" s="39" t="s">
        <v>65</v>
      </c>
      <c r="E93" s="15">
        <v>15</v>
      </c>
      <c r="F93" s="10">
        <v>15</v>
      </c>
      <c r="G93" s="10">
        <v>1430.02</v>
      </c>
      <c r="H93" s="67">
        <f t="shared" si="9"/>
        <v>21.450299999999999</v>
      </c>
      <c r="I93" s="10">
        <v>0</v>
      </c>
    </row>
    <row r="94" spans="1:9" ht="33" hidden="1" customHeight="1">
      <c r="A94" s="21"/>
      <c r="B94" s="73" t="s">
        <v>139</v>
      </c>
      <c r="C94" s="13" t="s">
        <v>80</v>
      </c>
      <c r="D94" s="39" t="s">
        <v>65</v>
      </c>
      <c r="E94" s="15">
        <v>10</v>
      </c>
      <c r="F94" s="10">
        <v>10</v>
      </c>
      <c r="G94" s="10">
        <v>1743.04</v>
      </c>
      <c r="H94" s="67">
        <f t="shared" si="9"/>
        <v>17.430400000000002</v>
      </c>
      <c r="I94" s="10">
        <v>0</v>
      </c>
    </row>
    <row r="95" spans="1:9" ht="28.5" hidden="1" customHeight="1">
      <c r="A95" s="21"/>
      <c r="B95" s="73" t="s">
        <v>140</v>
      </c>
      <c r="C95" s="13" t="s">
        <v>80</v>
      </c>
      <c r="D95" s="39" t="s">
        <v>65</v>
      </c>
      <c r="E95" s="15">
        <v>20</v>
      </c>
      <c r="F95" s="10">
        <v>20</v>
      </c>
      <c r="G95" s="10">
        <v>607.27</v>
      </c>
      <c r="H95" s="67">
        <f t="shared" si="9"/>
        <v>12.1454</v>
      </c>
      <c r="I95" s="10">
        <v>0</v>
      </c>
    </row>
    <row r="96" spans="1:9" ht="34.5" hidden="1" customHeight="1">
      <c r="A96" s="21"/>
      <c r="B96" s="73" t="s">
        <v>141</v>
      </c>
      <c r="C96" s="13" t="s">
        <v>80</v>
      </c>
      <c r="D96" s="39" t="s">
        <v>65</v>
      </c>
      <c r="E96" s="15">
        <v>30</v>
      </c>
      <c r="F96" s="10">
        <v>30</v>
      </c>
      <c r="G96" s="10">
        <v>711.93</v>
      </c>
      <c r="H96" s="67">
        <f t="shared" si="9"/>
        <v>21.357899999999997</v>
      </c>
      <c r="I96" s="10">
        <v>0</v>
      </c>
    </row>
    <row r="97" spans="1:9" ht="31.5" hidden="1" customHeight="1">
      <c r="A97" s="21"/>
      <c r="B97" s="73" t="s">
        <v>104</v>
      </c>
      <c r="C97" s="13" t="s">
        <v>30</v>
      </c>
      <c r="D97" s="39" t="s">
        <v>65</v>
      </c>
      <c r="E97" s="15">
        <v>10</v>
      </c>
      <c r="F97" s="10">
        <v>10</v>
      </c>
      <c r="G97" s="10">
        <v>455.31</v>
      </c>
      <c r="H97" s="67">
        <f t="shared" si="9"/>
        <v>4.5531000000000006</v>
      </c>
      <c r="I97" s="10">
        <v>0</v>
      </c>
    </row>
    <row r="98" spans="1:9" ht="23.25" hidden="1" customHeight="1">
      <c r="A98" s="21"/>
      <c r="B98" s="73" t="s">
        <v>142</v>
      </c>
      <c r="C98" s="13" t="s">
        <v>80</v>
      </c>
      <c r="D98" s="39" t="s">
        <v>65</v>
      </c>
      <c r="E98" s="15">
        <v>30</v>
      </c>
      <c r="F98" s="10">
        <v>30</v>
      </c>
      <c r="G98" s="10">
        <v>1155.7</v>
      </c>
      <c r="H98" s="67">
        <f t="shared" si="9"/>
        <v>34.670999999999999</v>
      </c>
      <c r="I98" s="10">
        <v>0</v>
      </c>
    </row>
    <row r="99" spans="1:9" ht="21.75" hidden="1" customHeight="1">
      <c r="A99" s="21"/>
      <c r="B99" s="73" t="s">
        <v>143</v>
      </c>
      <c r="C99" s="13" t="s">
        <v>29</v>
      </c>
      <c r="D99" s="11" t="s">
        <v>42</v>
      </c>
      <c r="E99" s="15">
        <v>1040.4000000000001</v>
      </c>
      <c r="F99" s="10">
        <f>E99*2/1000</f>
        <v>2.0808</v>
      </c>
      <c r="G99" s="10">
        <v>1560.98</v>
      </c>
      <c r="H99" s="67">
        <f t="shared" si="9"/>
        <v>3.2480871840000001</v>
      </c>
      <c r="I99" s="10">
        <v>0</v>
      </c>
    </row>
    <row r="100" spans="1:9" ht="24" hidden="1" customHeight="1">
      <c r="A100" s="21">
        <v>17</v>
      </c>
      <c r="B100" s="73" t="s">
        <v>144</v>
      </c>
      <c r="C100" s="21" t="s">
        <v>146</v>
      </c>
      <c r="D100" s="39" t="s">
        <v>65</v>
      </c>
      <c r="E100" s="15">
        <v>100</v>
      </c>
      <c r="F100" s="10">
        <v>1</v>
      </c>
      <c r="G100" s="10">
        <v>12859.93</v>
      </c>
      <c r="H100" s="67">
        <f t="shared" si="9"/>
        <v>12.85993</v>
      </c>
      <c r="I100" s="10">
        <f>G100*(10/100)</f>
        <v>1285.9930000000002</v>
      </c>
    </row>
    <row r="101" spans="1:9" ht="21.75" hidden="1" customHeight="1">
      <c r="A101" s="21"/>
      <c r="B101" s="73" t="s">
        <v>145</v>
      </c>
      <c r="C101" s="13" t="s">
        <v>29</v>
      </c>
      <c r="D101" s="11" t="s">
        <v>42</v>
      </c>
      <c r="E101" s="15">
        <v>1040.4000000000001</v>
      </c>
      <c r="F101" s="10">
        <v>2.08</v>
      </c>
      <c r="G101" s="10">
        <v>1453.29</v>
      </c>
      <c r="H101" s="67">
        <f t="shared" si="9"/>
        <v>3.0228432000000001</v>
      </c>
      <c r="I101" s="10">
        <v>0</v>
      </c>
    </row>
    <row r="102" spans="1:9" ht="15.75" customHeight="1">
      <c r="A102" s="151" t="s">
        <v>152</v>
      </c>
      <c r="B102" s="152"/>
      <c r="C102" s="152"/>
      <c r="D102" s="152"/>
      <c r="E102" s="152"/>
      <c r="F102" s="152"/>
      <c r="G102" s="152"/>
      <c r="H102" s="152"/>
      <c r="I102" s="153"/>
    </row>
    <row r="103" spans="1:9" ht="15.75" customHeight="1">
      <c r="A103" s="21">
        <v>19</v>
      </c>
      <c r="B103" s="100" t="s">
        <v>97</v>
      </c>
      <c r="C103" s="108" t="s">
        <v>54</v>
      </c>
      <c r="D103" s="123"/>
      <c r="E103" s="26">
        <v>3455.3</v>
      </c>
      <c r="F103" s="26">
        <v>41463.599999999999</v>
      </c>
      <c r="G103" s="26">
        <v>3.5</v>
      </c>
      <c r="H103" s="67">
        <f>SUM(F103*G103/1000)</f>
        <v>145.12260000000001</v>
      </c>
      <c r="I103" s="10">
        <f>F103/12*G103</f>
        <v>12093.55</v>
      </c>
    </row>
    <row r="104" spans="1:9" ht="31.5" customHeight="1">
      <c r="A104" s="21">
        <v>20</v>
      </c>
      <c r="B104" s="85" t="s">
        <v>208</v>
      </c>
      <c r="C104" s="108" t="s">
        <v>54</v>
      </c>
      <c r="D104" s="37"/>
      <c r="E104" s="88">
        <f>E103</f>
        <v>3455.3</v>
      </c>
      <c r="F104" s="26">
        <f>E104*12</f>
        <v>41463.600000000006</v>
      </c>
      <c r="G104" s="26">
        <v>3.2</v>
      </c>
      <c r="H104" s="67">
        <f>F104*G104/1000</f>
        <v>132.68352000000002</v>
      </c>
      <c r="I104" s="10">
        <f>F104/12*G104</f>
        <v>11056.960000000003</v>
      </c>
    </row>
    <row r="105" spans="1:9" ht="15.75" customHeight="1">
      <c r="A105" s="21"/>
      <c r="B105" s="27" t="s">
        <v>79</v>
      </c>
      <c r="C105" s="72"/>
      <c r="D105" s="70"/>
      <c r="E105" s="71"/>
      <c r="F105" s="71"/>
      <c r="G105" s="71"/>
      <c r="H105" s="69">
        <f>SUM(H104)</f>
        <v>132.68352000000002</v>
      </c>
      <c r="I105" s="71">
        <f>I104+I103+I85+I78+I76+I66+I65+I62+I61+I60+I45+I44+I43+I42+I41+I39+I18+I17+I16+I69</f>
        <v>71919.51364283335</v>
      </c>
    </row>
    <row r="106" spans="1:9" ht="15.75" customHeight="1">
      <c r="A106" s="159" t="s">
        <v>59</v>
      </c>
      <c r="B106" s="160"/>
      <c r="C106" s="160"/>
      <c r="D106" s="160"/>
      <c r="E106" s="160"/>
      <c r="F106" s="160"/>
      <c r="G106" s="160"/>
      <c r="H106" s="160"/>
      <c r="I106" s="161"/>
    </row>
    <row r="107" spans="1:9" ht="33.75" customHeight="1">
      <c r="A107" s="21">
        <v>21</v>
      </c>
      <c r="B107" s="127" t="s">
        <v>238</v>
      </c>
      <c r="C107" s="107" t="s">
        <v>232</v>
      </c>
      <c r="D107" s="37" t="s">
        <v>243</v>
      </c>
      <c r="E107" s="26"/>
      <c r="F107" s="26">
        <v>1</v>
      </c>
      <c r="G107" s="26">
        <v>2287.54</v>
      </c>
      <c r="H107" s="83"/>
      <c r="I107" s="10">
        <f>G107*1</f>
        <v>2287.54</v>
      </c>
    </row>
    <row r="108" spans="1:9" ht="16.5" customHeight="1">
      <c r="A108" s="21">
        <v>22</v>
      </c>
      <c r="B108" s="38" t="s">
        <v>103</v>
      </c>
      <c r="C108" s="84" t="s">
        <v>201</v>
      </c>
      <c r="D108" s="37" t="s">
        <v>247</v>
      </c>
      <c r="E108" s="26"/>
      <c r="F108" s="26">
        <v>6</v>
      </c>
      <c r="G108" s="26">
        <v>295.36</v>
      </c>
      <c r="H108" s="83"/>
      <c r="I108" s="10">
        <v>0</v>
      </c>
    </row>
    <row r="109" spans="1:9" ht="21" customHeight="1">
      <c r="A109" s="21">
        <v>23</v>
      </c>
      <c r="B109" s="38" t="s">
        <v>182</v>
      </c>
      <c r="C109" s="84" t="s">
        <v>183</v>
      </c>
      <c r="D109" s="37"/>
      <c r="E109" s="26"/>
      <c r="F109" s="26">
        <v>1</v>
      </c>
      <c r="G109" s="26">
        <v>236.08</v>
      </c>
      <c r="H109" s="83"/>
      <c r="I109" s="10">
        <f>G109*1</f>
        <v>236.08</v>
      </c>
    </row>
    <row r="110" spans="1:9" ht="18.75" customHeight="1">
      <c r="A110" s="21">
        <v>24</v>
      </c>
      <c r="B110" s="38" t="s">
        <v>211</v>
      </c>
      <c r="C110" s="84" t="s">
        <v>93</v>
      </c>
      <c r="D110" s="37" t="s">
        <v>246</v>
      </c>
      <c r="E110" s="26"/>
      <c r="F110" s="26">
        <v>1</v>
      </c>
      <c r="G110" s="26">
        <v>218.81</v>
      </c>
      <c r="H110" s="83"/>
      <c r="I110" s="10">
        <v>0</v>
      </c>
    </row>
    <row r="111" spans="1:9" ht="30" customHeight="1">
      <c r="A111" s="21">
        <v>25</v>
      </c>
      <c r="B111" s="104" t="s">
        <v>239</v>
      </c>
      <c r="C111" s="107" t="s">
        <v>240</v>
      </c>
      <c r="D111" s="37" t="s">
        <v>244</v>
      </c>
      <c r="E111" s="26"/>
      <c r="F111" s="26">
        <v>0.09</v>
      </c>
      <c r="G111" s="26">
        <v>2177.25</v>
      </c>
      <c r="H111" s="83"/>
      <c r="I111" s="10">
        <f>G111*0.09</f>
        <v>195.95249999999999</v>
      </c>
    </row>
    <row r="112" spans="1:9" ht="30" customHeight="1">
      <c r="A112" s="21">
        <v>26</v>
      </c>
      <c r="B112" s="127" t="s">
        <v>136</v>
      </c>
      <c r="C112" s="107" t="s">
        <v>137</v>
      </c>
      <c r="D112" s="37"/>
      <c r="E112" s="26"/>
      <c r="F112" s="26">
        <v>0.2</v>
      </c>
      <c r="G112" s="26">
        <v>1948.52</v>
      </c>
      <c r="H112" s="83"/>
      <c r="I112" s="10">
        <f>G112*0.2</f>
        <v>389.70400000000001</v>
      </c>
    </row>
    <row r="113" spans="1:9" ht="18" customHeight="1">
      <c r="A113" s="21">
        <v>27</v>
      </c>
      <c r="B113" s="38" t="s">
        <v>180</v>
      </c>
      <c r="C113" s="84" t="s">
        <v>181</v>
      </c>
      <c r="D113" s="37"/>
      <c r="E113" s="26"/>
      <c r="F113" s="26">
        <v>1</v>
      </c>
      <c r="G113" s="26">
        <v>960.81</v>
      </c>
      <c r="H113" s="83"/>
      <c r="I113" s="10">
        <f>G113*1</f>
        <v>960.81</v>
      </c>
    </row>
    <row r="114" spans="1:9" ht="33" customHeight="1">
      <c r="A114" s="21">
        <v>28</v>
      </c>
      <c r="B114" s="38" t="s">
        <v>241</v>
      </c>
      <c r="C114" s="84" t="s">
        <v>173</v>
      </c>
      <c r="D114" s="37" t="s">
        <v>245</v>
      </c>
      <c r="E114" s="26"/>
      <c r="F114" s="26">
        <v>1</v>
      </c>
      <c r="G114" s="26">
        <v>614.47</v>
      </c>
      <c r="H114" s="83"/>
      <c r="I114" s="10">
        <f>G114*1</f>
        <v>614.47</v>
      </c>
    </row>
    <row r="115" spans="1:9" ht="18" customHeight="1">
      <c r="A115" s="21">
        <v>29</v>
      </c>
      <c r="B115" s="38" t="s">
        <v>242</v>
      </c>
      <c r="C115" s="84" t="s">
        <v>202</v>
      </c>
      <c r="D115" s="37" t="s">
        <v>244</v>
      </c>
      <c r="E115" s="26"/>
      <c r="F115" s="26">
        <v>1</v>
      </c>
      <c r="G115" s="26">
        <v>280.70999999999998</v>
      </c>
      <c r="H115" s="83"/>
      <c r="I115" s="10">
        <f>G115*1</f>
        <v>280.70999999999998</v>
      </c>
    </row>
    <row r="116" spans="1:9" ht="18" customHeight="1">
      <c r="A116" s="21">
        <v>30</v>
      </c>
      <c r="B116" s="38" t="s">
        <v>81</v>
      </c>
      <c r="C116" s="84" t="s">
        <v>93</v>
      </c>
      <c r="D116" s="37"/>
      <c r="E116" s="26"/>
      <c r="F116" s="26">
        <v>3</v>
      </c>
      <c r="G116" s="26">
        <v>224.48</v>
      </c>
      <c r="H116" s="83"/>
      <c r="I116" s="10">
        <f>G116*3</f>
        <v>673.43999999999994</v>
      </c>
    </row>
    <row r="117" spans="1:9" ht="28.5" customHeight="1">
      <c r="A117" s="21">
        <v>31</v>
      </c>
      <c r="B117" s="38" t="s">
        <v>184</v>
      </c>
      <c r="C117" s="84" t="s">
        <v>38</v>
      </c>
      <c r="D117" s="37" t="s">
        <v>194</v>
      </c>
      <c r="E117" s="26"/>
      <c r="F117" s="26">
        <v>0.01</v>
      </c>
      <c r="G117" s="26">
        <v>4233.72</v>
      </c>
      <c r="H117" s="83"/>
      <c r="I117" s="10">
        <v>0</v>
      </c>
    </row>
    <row r="118" spans="1:9">
      <c r="A118" s="21"/>
      <c r="B118" s="32" t="s">
        <v>51</v>
      </c>
      <c r="C118" s="28"/>
      <c r="D118" s="35"/>
      <c r="E118" s="28">
        <v>1</v>
      </c>
      <c r="F118" s="28"/>
      <c r="G118" s="28"/>
      <c r="H118" s="28"/>
      <c r="I118" s="24">
        <f>SUM(I107:I116)</f>
        <v>5638.7064999999993</v>
      </c>
    </row>
    <row r="119" spans="1:9">
      <c r="A119" s="21"/>
      <c r="B119" s="34" t="s">
        <v>78</v>
      </c>
      <c r="C119" s="12"/>
      <c r="D119" s="12"/>
      <c r="E119" s="29"/>
      <c r="F119" s="29"/>
      <c r="G119" s="30"/>
      <c r="H119" s="30"/>
      <c r="I119" s="14">
        <v>0</v>
      </c>
    </row>
    <row r="120" spans="1:9" ht="15.75" customHeight="1">
      <c r="A120" s="36"/>
      <c r="B120" s="33" t="s">
        <v>172</v>
      </c>
      <c r="C120" s="25"/>
      <c r="D120" s="25"/>
      <c r="E120" s="25"/>
      <c r="F120" s="25"/>
      <c r="G120" s="25"/>
      <c r="H120" s="25"/>
      <c r="I120" s="31">
        <f>I105+I118</f>
        <v>77558.22014283335</v>
      </c>
    </row>
    <row r="121" spans="1:9" ht="15.75">
      <c r="A121" s="154" t="s">
        <v>248</v>
      </c>
      <c r="B121" s="154"/>
      <c r="C121" s="154"/>
      <c r="D121" s="154"/>
      <c r="E121" s="154"/>
      <c r="F121" s="154"/>
      <c r="G121" s="154"/>
      <c r="H121" s="154"/>
      <c r="I121" s="154"/>
    </row>
    <row r="122" spans="1:9" ht="15.75">
      <c r="A122" s="48"/>
      <c r="B122" s="155" t="s">
        <v>249</v>
      </c>
      <c r="C122" s="155"/>
      <c r="D122" s="155"/>
      <c r="E122" s="155"/>
      <c r="F122" s="155"/>
      <c r="G122" s="155"/>
      <c r="H122" s="53"/>
      <c r="I122" s="2"/>
    </row>
    <row r="123" spans="1:9">
      <c r="A123" s="42"/>
      <c r="B123" s="156" t="s">
        <v>6</v>
      </c>
      <c r="C123" s="156"/>
      <c r="D123" s="156"/>
      <c r="E123" s="156"/>
      <c r="F123" s="156"/>
      <c r="G123" s="156"/>
      <c r="H123" s="16"/>
      <c r="I123" s="4"/>
    </row>
    <row r="124" spans="1:9">
      <c r="A124" s="7"/>
      <c r="B124" s="7"/>
      <c r="C124" s="7"/>
      <c r="D124" s="7"/>
      <c r="E124" s="7"/>
      <c r="F124" s="7"/>
      <c r="G124" s="7"/>
      <c r="H124" s="7"/>
      <c r="I124" s="7"/>
    </row>
    <row r="125" spans="1:9" ht="15.75" customHeight="1">
      <c r="A125" s="157" t="s">
        <v>7</v>
      </c>
      <c r="B125" s="157"/>
      <c r="C125" s="157"/>
      <c r="D125" s="157"/>
      <c r="E125" s="157"/>
      <c r="F125" s="157"/>
      <c r="G125" s="157"/>
      <c r="H125" s="157"/>
      <c r="I125" s="157"/>
    </row>
    <row r="126" spans="1:9" ht="15.75" customHeight="1">
      <c r="A126" s="157" t="s">
        <v>8</v>
      </c>
      <c r="B126" s="157"/>
      <c r="C126" s="157"/>
      <c r="D126" s="157"/>
      <c r="E126" s="157"/>
      <c r="F126" s="157"/>
      <c r="G126" s="157"/>
      <c r="H126" s="157"/>
      <c r="I126" s="157"/>
    </row>
    <row r="127" spans="1:9" ht="15.75" customHeight="1">
      <c r="A127" s="158" t="s">
        <v>60</v>
      </c>
      <c r="B127" s="158"/>
      <c r="C127" s="158"/>
      <c r="D127" s="158"/>
      <c r="E127" s="158"/>
      <c r="F127" s="158"/>
      <c r="G127" s="158"/>
      <c r="H127" s="158"/>
      <c r="I127" s="158"/>
    </row>
    <row r="128" spans="1:9" ht="15.75" customHeight="1">
      <c r="A128" s="8"/>
    </row>
    <row r="129" spans="1:9" ht="15.75" customHeight="1">
      <c r="A129" s="146" t="s">
        <v>9</v>
      </c>
      <c r="B129" s="146"/>
      <c r="C129" s="146"/>
      <c r="D129" s="146"/>
      <c r="E129" s="146"/>
      <c r="F129" s="146"/>
      <c r="G129" s="146"/>
      <c r="H129" s="146"/>
      <c r="I129" s="146"/>
    </row>
    <row r="130" spans="1:9" ht="15.75" customHeight="1">
      <c r="A130" s="3"/>
    </row>
    <row r="131" spans="1:9" ht="15.75" customHeight="1">
      <c r="B131" s="44" t="s">
        <v>10</v>
      </c>
      <c r="C131" s="163" t="s">
        <v>217</v>
      </c>
      <c r="D131" s="163"/>
      <c r="E131" s="163"/>
      <c r="F131" s="51"/>
      <c r="I131" s="46"/>
    </row>
    <row r="132" spans="1:9">
      <c r="A132" s="42"/>
      <c r="C132" s="156" t="s">
        <v>11</v>
      </c>
      <c r="D132" s="156"/>
      <c r="E132" s="156"/>
      <c r="F132" s="16"/>
      <c r="I132" s="47" t="s">
        <v>12</v>
      </c>
    </row>
    <row r="133" spans="1:9" ht="15.75">
      <c r="A133" s="17"/>
      <c r="C133" s="9"/>
      <c r="D133" s="9"/>
      <c r="G133" s="9"/>
      <c r="H133" s="9"/>
    </row>
    <row r="134" spans="1:9" ht="15.75">
      <c r="B134" s="44" t="s">
        <v>13</v>
      </c>
      <c r="C134" s="164"/>
      <c r="D134" s="164"/>
      <c r="E134" s="164"/>
      <c r="F134" s="52"/>
      <c r="I134" s="46"/>
    </row>
    <row r="135" spans="1:9">
      <c r="A135" s="42"/>
      <c r="C135" s="165" t="s">
        <v>11</v>
      </c>
      <c r="D135" s="165"/>
      <c r="E135" s="165"/>
      <c r="F135" s="42"/>
      <c r="I135" s="47" t="s">
        <v>12</v>
      </c>
    </row>
    <row r="136" spans="1:9" ht="15.75">
      <c r="A136" s="3" t="s">
        <v>14</v>
      </c>
    </row>
    <row r="137" spans="1:9">
      <c r="A137" s="166" t="s">
        <v>15</v>
      </c>
      <c r="B137" s="166"/>
      <c r="C137" s="166"/>
      <c r="D137" s="166"/>
      <c r="E137" s="166"/>
      <c r="F137" s="166"/>
      <c r="G137" s="166"/>
      <c r="H137" s="166"/>
      <c r="I137" s="166"/>
    </row>
    <row r="138" spans="1:9" ht="45" customHeight="1">
      <c r="A138" s="162" t="s">
        <v>16</v>
      </c>
      <c r="B138" s="162"/>
      <c r="C138" s="162"/>
      <c r="D138" s="162"/>
      <c r="E138" s="162"/>
      <c r="F138" s="162"/>
      <c r="G138" s="162"/>
      <c r="H138" s="162"/>
      <c r="I138" s="162"/>
    </row>
    <row r="139" spans="1:9" ht="30" customHeight="1">
      <c r="A139" s="162" t="s">
        <v>17</v>
      </c>
      <c r="B139" s="162"/>
      <c r="C139" s="162"/>
      <c r="D139" s="162"/>
      <c r="E139" s="162"/>
      <c r="F139" s="162"/>
      <c r="G139" s="162"/>
      <c r="H139" s="162"/>
      <c r="I139" s="162"/>
    </row>
    <row r="140" spans="1:9" ht="30" customHeight="1">
      <c r="A140" s="162" t="s">
        <v>21</v>
      </c>
      <c r="B140" s="162"/>
      <c r="C140" s="162"/>
      <c r="D140" s="162"/>
      <c r="E140" s="162"/>
      <c r="F140" s="162"/>
      <c r="G140" s="162"/>
      <c r="H140" s="162"/>
      <c r="I140" s="162"/>
    </row>
    <row r="141" spans="1:9" ht="15" customHeight="1">
      <c r="A141" s="162" t="s">
        <v>20</v>
      </c>
      <c r="B141" s="162"/>
      <c r="C141" s="162"/>
      <c r="D141" s="162"/>
      <c r="E141" s="162"/>
      <c r="F141" s="162"/>
      <c r="G141" s="162"/>
      <c r="H141" s="162"/>
      <c r="I141" s="162"/>
    </row>
  </sheetData>
  <mergeCells count="28">
    <mergeCell ref="A139:I139"/>
    <mergeCell ref="A140:I140"/>
    <mergeCell ref="A141:I141"/>
    <mergeCell ref="C131:E131"/>
    <mergeCell ref="C132:E132"/>
    <mergeCell ref="C134:E134"/>
    <mergeCell ref="C135:E135"/>
    <mergeCell ref="A137:I137"/>
    <mergeCell ref="A138:I138"/>
    <mergeCell ref="A129:I129"/>
    <mergeCell ref="A15:I15"/>
    <mergeCell ref="A28:I28"/>
    <mergeCell ref="A46:I46"/>
    <mergeCell ref="A58:I58"/>
    <mergeCell ref="A102:I102"/>
    <mergeCell ref="A121:I121"/>
    <mergeCell ref="B122:G122"/>
    <mergeCell ref="B123:G123"/>
    <mergeCell ref="A125:I125"/>
    <mergeCell ref="A126:I126"/>
    <mergeCell ref="A127:I127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0"/>
  <sheetViews>
    <sheetView topLeftCell="A107" workbookViewId="0">
      <selection activeCell="A116" sqref="A116:I11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164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250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44316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214</v>
      </c>
      <c r="E16" s="88">
        <v>70.7</v>
      </c>
      <c r="F16" s="89">
        <f>SUM(E16*156/100)</f>
        <v>110.292</v>
      </c>
      <c r="G16" s="89">
        <v>261.45</v>
      </c>
      <c r="H16" s="55">
        <f t="shared" ref="H16:H18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191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194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F18/18*G18</f>
        <v>2658.8856000000001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108</v>
      </c>
      <c r="E19" s="54">
        <v>40</v>
      </c>
      <c r="F19" s="41">
        <f>SUM(E19/10)</f>
        <v>4</v>
      </c>
      <c r="G19" s="41">
        <v>193.55</v>
      </c>
      <c r="H19" s="55">
        <f t="shared" ref="H19:H26" si="1">SUM(F19*G19/1000)</f>
        <v>0.7742</v>
      </c>
      <c r="I19" s="10">
        <v>0</v>
      </c>
    </row>
    <row r="20" spans="1:9" ht="15.75" hidden="1" customHeight="1">
      <c r="A20" s="21"/>
      <c r="B20" s="39" t="s">
        <v>109</v>
      </c>
      <c r="C20" s="40" t="s">
        <v>84</v>
      </c>
      <c r="D20" s="39" t="s">
        <v>42</v>
      </c>
      <c r="E20" s="54">
        <v>10.5</v>
      </c>
      <c r="F20" s="41">
        <f>E20*2/100</f>
        <v>0.21</v>
      </c>
      <c r="G20" s="41">
        <v>247.82</v>
      </c>
      <c r="H20" s="55">
        <f t="shared" si="1"/>
        <v>5.2042199999999997E-2</v>
      </c>
      <c r="I20" s="10">
        <v>0</v>
      </c>
    </row>
    <row r="21" spans="1:9" ht="15.75" hidden="1" customHeight="1">
      <c r="A21" s="21"/>
      <c r="B21" s="39" t="s">
        <v>110</v>
      </c>
      <c r="C21" s="40" t="s">
        <v>84</v>
      </c>
      <c r="D21" s="39" t="s">
        <v>42</v>
      </c>
      <c r="E21" s="54">
        <v>2.7</v>
      </c>
      <c r="F21" s="41">
        <f>SUM(E21*2/100)</f>
        <v>5.4000000000000006E-2</v>
      </c>
      <c r="G21" s="41">
        <v>245.81</v>
      </c>
      <c r="H21" s="55">
        <f t="shared" si="1"/>
        <v>1.3273740000000003E-2</v>
      </c>
      <c r="I21" s="10">
        <v>0</v>
      </c>
    </row>
    <row r="22" spans="1:9" ht="15.75" hidden="1" customHeight="1">
      <c r="A22" s="21"/>
      <c r="B22" s="39" t="s">
        <v>111</v>
      </c>
      <c r="C22" s="40" t="s">
        <v>52</v>
      </c>
      <c r="D22" s="39" t="s">
        <v>108</v>
      </c>
      <c r="E22" s="54">
        <v>357</v>
      </c>
      <c r="F22" s="41">
        <f>SUM(E22/100)</f>
        <v>3.57</v>
      </c>
      <c r="G22" s="41">
        <v>306.26</v>
      </c>
      <c r="H22" s="55">
        <f t="shared" si="1"/>
        <v>1.0933481999999999</v>
      </c>
      <c r="I22" s="10">
        <v>0</v>
      </c>
    </row>
    <row r="23" spans="1:9" ht="15.75" hidden="1" customHeight="1">
      <c r="A23" s="21"/>
      <c r="B23" s="39" t="s">
        <v>112</v>
      </c>
      <c r="C23" s="40" t="s">
        <v>52</v>
      </c>
      <c r="D23" s="39" t="s">
        <v>108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1"/>
        <v>1.9462968000000001E-2</v>
      </c>
      <c r="I23" s="10">
        <v>0</v>
      </c>
    </row>
    <row r="24" spans="1:9" ht="15.75" hidden="1" customHeight="1">
      <c r="A24" s="21"/>
      <c r="B24" s="39" t="s">
        <v>113</v>
      </c>
      <c r="C24" s="40" t="s">
        <v>52</v>
      </c>
      <c r="D24" s="39" t="s">
        <v>118</v>
      </c>
      <c r="E24" s="54">
        <v>15</v>
      </c>
      <c r="F24" s="41">
        <f>E24/100</f>
        <v>0.15</v>
      </c>
      <c r="G24" s="41">
        <v>443.27</v>
      </c>
      <c r="H24" s="55">
        <f t="shared" si="1"/>
        <v>6.6490499999999994E-2</v>
      </c>
      <c r="I24" s="10">
        <v>0</v>
      </c>
    </row>
    <row r="25" spans="1:9" ht="15.75" hidden="1" customHeight="1">
      <c r="A25" s="21"/>
      <c r="B25" s="39" t="s">
        <v>119</v>
      </c>
      <c r="C25" s="40" t="s">
        <v>84</v>
      </c>
      <c r="D25" s="39" t="s">
        <v>53</v>
      </c>
      <c r="E25" s="54">
        <v>14.25</v>
      </c>
      <c r="F25" s="41">
        <v>0.1</v>
      </c>
      <c r="G25" s="41">
        <v>245.81</v>
      </c>
      <c r="H25" s="55">
        <v>3.1E-2</v>
      </c>
      <c r="I25" s="10">
        <v>0</v>
      </c>
    </row>
    <row r="26" spans="1:9" ht="15.75" hidden="1" customHeight="1">
      <c r="A26" s="21"/>
      <c r="B26" s="39" t="s">
        <v>120</v>
      </c>
      <c r="C26" s="40" t="s">
        <v>52</v>
      </c>
      <c r="D26" s="39" t="s">
        <v>108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1"/>
        <v>3.7793205999999996E-2</v>
      </c>
      <c r="I26" s="10">
        <v>0</v>
      </c>
    </row>
    <row r="27" spans="1:9" ht="15.75" hidden="1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10.39</v>
      </c>
      <c r="H27" s="55">
        <f>SUM(F27*G27/1000)</f>
        <v>13.9928364</v>
      </c>
      <c r="I27" s="10">
        <f>F27/12*G27</f>
        <v>1166.0697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hidden="1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31.5" hidden="1" customHeight="1">
      <c r="A30" s="21">
        <v>6</v>
      </c>
      <c r="B30" s="39" t="s">
        <v>92</v>
      </c>
      <c r="C30" s="40" t="s">
        <v>86</v>
      </c>
      <c r="D30" s="39" t="s">
        <v>121</v>
      </c>
      <c r="E30" s="41">
        <v>573.6</v>
      </c>
      <c r="F30" s="41">
        <f>SUM(E30*52/1000)</f>
        <v>29.827200000000001</v>
      </c>
      <c r="G30" s="41">
        <v>177.3</v>
      </c>
      <c r="H30" s="55">
        <f t="shared" ref="H30:H36" si="2">SUM(F30*G30/1000)</f>
        <v>5.2883625600000004</v>
      </c>
      <c r="I30" s="10">
        <v>0</v>
      </c>
    </row>
    <row r="31" spans="1:9" ht="31.5" hidden="1" customHeight="1">
      <c r="A31" s="21">
        <v>7</v>
      </c>
      <c r="B31" s="39" t="s">
        <v>159</v>
      </c>
      <c r="C31" s="40" t="s">
        <v>86</v>
      </c>
      <c r="D31" s="39" t="s">
        <v>122</v>
      </c>
      <c r="E31" s="41">
        <v>200</v>
      </c>
      <c r="F31" s="41">
        <f>SUM(E31*78/1000)</f>
        <v>15.6</v>
      </c>
      <c r="G31" s="41">
        <v>294.17</v>
      </c>
      <c r="H31" s="55">
        <f t="shared" si="2"/>
        <v>4.5890520000000006</v>
      </c>
      <c r="I31" s="10">
        <v>0</v>
      </c>
    </row>
    <row r="32" spans="1:9" ht="15.75" hidden="1" customHeight="1">
      <c r="A32" s="21">
        <v>16</v>
      </c>
      <c r="B32" s="39" t="s">
        <v>27</v>
      </c>
      <c r="C32" s="40" t="s">
        <v>86</v>
      </c>
      <c r="D32" s="39" t="s">
        <v>53</v>
      </c>
      <c r="E32" s="41">
        <v>573.6</v>
      </c>
      <c r="F32" s="41">
        <f>SUM(E32/1000)</f>
        <v>0.5736</v>
      </c>
      <c r="G32" s="41">
        <v>3435.36</v>
      </c>
      <c r="H32" s="55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39" t="s">
        <v>123</v>
      </c>
      <c r="C33" s="40" t="s">
        <v>40</v>
      </c>
      <c r="D33" s="39" t="s">
        <v>62</v>
      </c>
      <c r="E33" s="41">
        <v>1</v>
      </c>
      <c r="F33" s="41">
        <v>1.55</v>
      </c>
      <c r="G33" s="41">
        <v>1480.94</v>
      </c>
      <c r="H33" s="55">
        <f>G33*F33/1000</f>
        <v>2.2954570000000003</v>
      </c>
      <c r="I33" s="10">
        <v>0</v>
      </c>
    </row>
    <row r="34" spans="1:9" ht="15.75" hidden="1" customHeight="1">
      <c r="A34" s="21">
        <v>9</v>
      </c>
      <c r="B34" s="39" t="s">
        <v>154</v>
      </c>
      <c r="C34" s="40" t="s">
        <v>30</v>
      </c>
      <c r="D34" s="39" t="s">
        <v>62</v>
      </c>
      <c r="E34" s="59">
        <v>0.33333333333333331</v>
      </c>
      <c r="F34" s="41">
        <f>155/3</f>
        <v>51.666666666666664</v>
      </c>
      <c r="G34" s="41">
        <v>64.48</v>
      </c>
      <c r="H34" s="55">
        <f>SUM(G34*155/3/1000)</f>
        <v>3.331466666666667</v>
      </c>
      <c r="I34" s="10">
        <v>0</v>
      </c>
    </row>
    <row r="35" spans="1:9" ht="15.75" hidden="1" customHeight="1">
      <c r="A35" s="21"/>
      <c r="B35" s="39" t="s">
        <v>63</v>
      </c>
      <c r="C35" s="40" t="s">
        <v>32</v>
      </c>
      <c r="D35" s="39" t="s">
        <v>65</v>
      </c>
      <c r="E35" s="54"/>
      <c r="F35" s="41">
        <v>3</v>
      </c>
      <c r="G35" s="41">
        <v>217.61</v>
      </c>
      <c r="H35" s="55">
        <f t="shared" si="2"/>
        <v>0.65283000000000002</v>
      </c>
      <c r="I35" s="10">
        <v>0</v>
      </c>
    </row>
    <row r="36" spans="1:9" ht="15.75" hidden="1" customHeight="1">
      <c r="A36" s="21"/>
      <c r="B36" s="39" t="s">
        <v>64</v>
      </c>
      <c r="C36" s="40" t="s">
        <v>31</v>
      </c>
      <c r="D36" s="39" t="s">
        <v>65</v>
      </c>
      <c r="E36" s="54"/>
      <c r="F36" s="41">
        <v>2</v>
      </c>
      <c r="G36" s="41">
        <v>1292.47</v>
      </c>
      <c r="H36" s="55">
        <f t="shared" si="2"/>
        <v>2.58494</v>
      </c>
      <c r="I36" s="10">
        <v>0</v>
      </c>
    </row>
    <row r="37" spans="1:9" ht="15.75" customHeight="1">
      <c r="A37" s="21"/>
      <c r="B37" s="74" t="s">
        <v>5</v>
      </c>
      <c r="C37" s="40"/>
      <c r="D37" s="39"/>
      <c r="E37" s="54"/>
      <c r="F37" s="41"/>
      <c r="G37" s="41"/>
      <c r="H37" s="55" t="s">
        <v>155</v>
      </c>
      <c r="I37" s="58"/>
    </row>
    <row r="38" spans="1:9" ht="15.75" customHeight="1">
      <c r="A38" s="21">
        <v>4</v>
      </c>
      <c r="B38" s="39" t="s">
        <v>26</v>
      </c>
      <c r="C38" s="40" t="s">
        <v>31</v>
      </c>
      <c r="D38" s="39" t="s">
        <v>252</v>
      </c>
      <c r="E38" s="54"/>
      <c r="F38" s="41">
        <v>8</v>
      </c>
      <c r="G38" s="128">
        <v>1930</v>
      </c>
      <c r="H38" s="55">
        <f t="shared" ref="H38" si="3">SUM(F38*G38/1000)</f>
        <v>15.44</v>
      </c>
      <c r="I38" s="10">
        <f>G38*0.5</f>
        <v>965</v>
      </c>
    </row>
    <row r="39" spans="1:9" ht="15.75" customHeight="1">
      <c r="A39" s="21">
        <v>5</v>
      </c>
      <c r="B39" s="130" t="s">
        <v>66</v>
      </c>
      <c r="C39" s="131" t="s">
        <v>29</v>
      </c>
      <c r="D39" s="130" t="s">
        <v>219</v>
      </c>
      <c r="E39" s="132">
        <v>200</v>
      </c>
      <c r="F39" s="132">
        <f>SUM(E39*24/1000)</f>
        <v>4.8</v>
      </c>
      <c r="G39" s="132">
        <v>3134.93</v>
      </c>
      <c r="H39" s="55">
        <f t="shared" ref="H39:H44" si="4">SUM(F39*G39/1000)</f>
        <v>15.047663999999999</v>
      </c>
      <c r="I39" s="10">
        <f>F39/6*G39</f>
        <v>2507.9439999999995</v>
      </c>
    </row>
    <row r="40" spans="1:9" ht="13.5" customHeight="1">
      <c r="A40" s="21">
        <v>6</v>
      </c>
      <c r="B40" s="86" t="s">
        <v>124</v>
      </c>
      <c r="C40" s="87" t="s">
        <v>54</v>
      </c>
      <c r="D40" s="86" t="s">
        <v>251</v>
      </c>
      <c r="E40" s="88"/>
      <c r="F40" s="132">
        <v>65</v>
      </c>
      <c r="G40" s="89">
        <v>343</v>
      </c>
      <c r="H40" s="55">
        <f t="shared" si="4"/>
        <v>22.295000000000002</v>
      </c>
      <c r="I40" s="10">
        <f>G40*13</f>
        <v>4459</v>
      </c>
    </row>
    <row r="41" spans="1:9" ht="15.75" customHeight="1">
      <c r="A41" s="21">
        <v>7</v>
      </c>
      <c r="B41" s="86" t="s">
        <v>67</v>
      </c>
      <c r="C41" s="87" t="s">
        <v>29</v>
      </c>
      <c r="D41" s="86" t="s">
        <v>192</v>
      </c>
      <c r="E41" s="89">
        <v>60</v>
      </c>
      <c r="F41" s="132">
        <f>SUM(E41*155/1000)</f>
        <v>9.3000000000000007</v>
      </c>
      <c r="G41" s="89">
        <v>522.92999999999995</v>
      </c>
      <c r="H41" s="55">
        <f t="shared" si="4"/>
        <v>4.8632489999999997</v>
      </c>
      <c r="I41" s="10">
        <f t="shared" ref="I41:I42" si="5">F41/6*G41</f>
        <v>810.54149999999993</v>
      </c>
    </row>
    <row r="42" spans="1:9" ht="47.25" customHeight="1">
      <c r="A42" s="21">
        <v>8</v>
      </c>
      <c r="B42" s="86" t="s">
        <v>82</v>
      </c>
      <c r="C42" s="87" t="s">
        <v>86</v>
      </c>
      <c r="D42" s="86" t="s">
        <v>193</v>
      </c>
      <c r="E42" s="89">
        <v>40.9</v>
      </c>
      <c r="F42" s="132">
        <f>SUM(E42*35/1000)</f>
        <v>1.4315</v>
      </c>
      <c r="G42" s="89">
        <v>8652.07</v>
      </c>
      <c r="H42" s="55">
        <f t="shared" si="4"/>
        <v>12.385438205</v>
      </c>
      <c r="I42" s="10">
        <f t="shared" si="5"/>
        <v>2064.2397008333332</v>
      </c>
    </row>
    <row r="43" spans="1:9" ht="15.75" hidden="1" customHeight="1">
      <c r="A43" s="21">
        <v>10</v>
      </c>
      <c r="B43" s="86" t="s">
        <v>87</v>
      </c>
      <c r="C43" s="87" t="s">
        <v>86</v>
      </c>
      <c r="D43" s="86" t="s">
        <v>194</v>
      </c>
      <c r="E43" s="89">
        <v>60</v>
      </c>
      <c r="F43" s="132">
        <f>SUM(E43*45/1000)</f>
        <v>2.7</v>
      </c>
      <c r="G43" s="89">
        <v>639.14</v>
      </c>
      <c r="H43" s="55">
        <f t="shared" si="4"/>
        <v>1.725678</v>
      </c>
      <c r="I43" s="10">
        <f>G43*F43/45</f>
        <v>38.348400000000005</v>
      </c>
    </row>
    <row r="44" spans="1:9" ht="15.75" hidden="1" customHeight="1">
      <c r="A44" s="21">
        <v>11</v>
      </c>
      <c r="B44" s="130" t="s">
        <v>69</v>
      </c>
      <c r="C44" s="131" t="s">
        <v>32</v>
      </c>
      <c r="D44" s="130"/>
      <c r="E44" s="113"/>
      <c r="F44" s="132">
        <v>0.9</v>
      </c>
      <c r="G44" s="132">
        <v>900</v>
      </c>
      <c r="H44" s="55">
        <f t="shared" si="4"/>
        <v>0.81</v>
      </c>
      <c r="I44" s="10">
        <f>G44*F44/45</f>
        <v>18</v>
      </c>
    </row>
    <row r="45" spans="1:9" ht="29.25" customHeight="1">
      <c r="A45" s="118">
        <v>9</v>
      </c>
      <c r="B45" s="86" t="s">
        <v>218</v>
      </c>
      <c r="C45" s="87" t="s">
        <v>29</v>
      </c>
      <c r="D45" s="86" t="s">
        <v>220</v>
      </c>
      <c r="E45" s="88">
        <v>3</v>
      </c>
      <c r="F45" s="89">
        <f>E45*12/1000</f>
        <v>3.5999999999999997E-2</v>
      </c>
      <c r="G45" s="89">
        <v>20547.34</v>
      </c>
      <c r="H45" s="49"/>
      <c r="I45" s="129">
        <f>G45*F45/6</f>
        <v>123.28403999999999</v>
      </c>
    </row>
    <row r="46" spans="1:9" ht="18" hidden="1" customHeight="1">
      <c r="A46" s="148" t="s">
        <v>148</v>
      </c>
      <c r="B46" s="149"/>
      <c r="C46" s="149"/>
      <c r="D46" s="149"/>
      <c r="E46" s="149"/>
      <c r="F46" s="149"/>
      <c r="G46" s="149"/>
      <c r="H46" s="149"/>
      <c r="I46" s="150"/>
    </row>
    <row r="47" spans="1:9" ht="23.25" hidden="1" customHeight="1">
      <c r="A47" s="21"/>
      <c r="B47" s="39" t="s">
        <v>156</v>
      </c>
      <c r="C47" s="40" t="s">
        <v>86</v>
      </c>
      <c r="D47" s="39" t="s">
        <v>42</v>
      </c>
      <c r="E47" s="54">
        <v>1300.5</v>
      </c>
      <c r="F47" s="41">
        <f>SUM(E47/1000)*2</f>
        <v>2.601</v>
      </c>
      <c r="G47" s="10">
        <v>1173.18</v>
      </c>
      <c r="H47" s="55">
        <f t="shared" ref="H47:H57" si="6">SUM(F47*G47/1000)</f>
        <v>3.0514411800000003</v>
      </c>
      <c r="I47" s="10">
        <v>0</v>
      </c>
    </row>
    <row r="48" spans="1:9" ht="21.75" hidden="1" customHeight="1">
      <c r="A48" s="21"/>
      <c r="B48" s="39" t="s">
        <v>35</v>
      </c>
      <c r="C48" s="40" t="s">
        <v>86</v>
      </c>
      <c r="D48" s="39" t="s">
        <v>42</v>
      </c>
      <c r="E48" s="54">
        <v>52</v>
      </c>
      <c r="F48" s="41">
        <f>SUM(E48*2/1000)</f>
        <v>0.104</v>
      </c>
      <c r="G48" s="10">
        <v>659.09</v>
      </c>
      <c r="H48" s="55">
        <f t="shared" si="6"/>
        <v>6.854536E-2</v>
      </c>
      <c r="I48" s="10">
        <v>0</v>
      </c>
    </row>
    <row r="49" spans="1:9" ht="21" hidden="1" customHeight="1">
      <c r="A49" s="21"/>
      <c r="B49" s="39" t="s">
        <v>36</v>
      </c>
      <c r="C49" s="40" t="s">
        <v>86</v>
      </c>
      <c r="D49" s="39" t="s">
        <v>42</v>
      </c>
      <c r="E49" s="54">
        <v>1483.1</v>
      </c>
      <c r="F49" s="41">
        <f>SUM(E49*2/1000)</f>
        <v>2.9661999999999997</v>
      </c>
      <c r="G49" s="10">
        <v>1564.24</v>
      </c>
      <c r="H49" s="55">
        <f t="shared" si="6"/>
        <v>4.6398486879999998</v>
      </c>
      <c r="I49" s="10">
        <v>0</v>
      </c>
    </row>
    <row r="50" spans="1:9" ht="18.75" hidden="1" customHeight="1">
      <c r="A50" s="21"/>
      <c r="B50" s="39" t="s">
        <v>37</v>
      </c>
      <c r="C50" s="40" t="s">
        <v>86</v>
      </c>
      <c r="D50" s="39" t="s">
        <v>42</v>
      </c>
      <c r="E50" s="54">
        <v>2320</v>
      </c>
      <c r="F50" s="41">
        <f>SUM(E50*2/1000)</f>
        <v>4.6399999999999997</v>
      </c>
      <c r="G50" s="10">
        <v>1078.3599999999999</v>
      </c>
      <c r="H50" s="55">
        <f t="shared" si="6"/>
        <v>5.0035903999999993</v>
      </c>
      <c r="I50" s="10">
        <v>0</v>
      </c>
    </row>
    <row r="51" spans="1:9" ht="20.25" hidden="1" customHeight="1">
      <c r="A51" s="21"/>
      <c r="B51" s="39" t="s">
        <v>33</v>
      </c>
      <c r="C51" s="40" t="s">
        <v>34</v>
      </c>
      <c r="D51" s="39" t="s">
        <v>42</v>
      </c>
      <c r="E51" s="54">
        <v>91.84</v>
      </c>
      <c r="F51" s="41">
        <f>SUM(E51*2/100)</f>
        <v>1.8368</v>
      </c>
      <c r="G51" s="10">
        <v>82.82</v>
      </c>
      <c r="H51" s="55">
        <f t="shared" si="6"/>
        <v>0.15212377599999999</v>
      </c>
      <c r="I51" s="10">
        <v>0</v>
      </c>
    </row>
    <row r="52" spans="1:9" ht="17.25" hidden="1" customHeight="1">
      <c r="A52" s="21">
        <v>12</v>
      </c>
      <c r="B52" s="39" t="s">
        <v>55</v>
      </c>
      <c r="C52" s="40" t="s">
        <v>86</v>
      </c>
      <c r="D52" s="39" t="s">
        <v>160</v>
      </c>
      <c r="E52" s="54">
        <v>1040.4000000000001</v>
      </c>
      <c r="F52" s="41">
        <f>SUM(E52*5/1000)</f>
        <v>5.202</v>
      </c>
      <c r="G52" s="10">
        <v>1564.24</v>
      </c>
      <c r="H52" s="55">
        <f>SUM(F52*G52/1000)</f>
        <v>8.1371764800000008</v>
      </c>
      <c r="I52" s="10">
        <f>F52/5*G52</f>
        <v>1627.4352960000001</v>
      </c>
    </row>
    <row r="53" spans="1:9" ht="17.25" hidden="1" customHeight="1">
      <c r="A53" s="21"/>
      <c r="B53" s="39" t="s">
        <v>88</v>
      </c>
      <c r="C53" s="40" t="s">
        <v>86</v>
      </c>
      <c r="D53" s="39" t="s">
        <v>42</v>
      </c>
      <c r="E53" s="54">
        <v>1040.4000000000001</v>
      </c>
      <c r="F53" s="41">
        <f>SUM(E53*2/1000)</f>
        <v>2.0808</v>
      </c>
      <c r="G53" s="10">
        <v>1380.31</v>
      </c>
      <c r="H53" s="55">
        <f t="shared" si="6"/>
        <v>2.8721490479999998</v>
      </c>
      <c r="I53" s="10">
        <v>0</v>
      </c>
    </row>
    <row r="54" spans="1:9" ht="14.25" hidden="1" customHeight="1">
      <c r="A54" s="21"/>
      <c r="B54" s="39" t="s">
        <v>89</v>
      </c>
      <c r="C54" s="40" t="s">
        <v>38</v>
      </c>
      <c r="D54" s="39" t="s">
        <v>42</v>
      </c>
      <c r="E54" s="54">
        <v>20</v>
      </c>
      <c r="F54" s="41">
        <f>SUM(E54*2/100)</f>
        <v>0.4</v>
      </c>
      <c r="G54" s="10">
        <v>3519.56</v>
      </c>
      <c r="H54" s="55">
        <f t="shared" si="6"/>
        <v>1.407824</v>
      </c>
      <c r="I54" s="10">
        <v>0</v>
      </c>
    </row>
    <row r="55" spans="1:9" ht="17.25" hidden="1" customHeight="1">
      <c r="A55" s="21"/>
      <c r="B55" s="39" t="s">
        <v>39</v>
      </c>
      <c r="C55" s="40" t="s">
        <v>40</v>
      </c>
      <c r="D55" s="39" t="s">
        <v>42</v>
      </c>
      <c r="E55" s="54">
        <v>1</v>
      </c>
      <c r="F55" s="41">
        <v>0.02</v>
      </c>
      <c r="G55" s="10">
        <v>6428.82</v>
      </c>
      <c r="H55" s="55">
        <f t="shared" si="6"/>
        <v>0.12857640000000001</v>
      </c>
      <c r="I55" s="10">
        <v>0</v>
      </c>
    </row>
    <row r="56" spans="1:9" ht="18.75" hidden="1" customHeight="1">
      <c r="A56" s="21">
        <v>8</v>
      </c>
      <c r="B56" s="39" t="s">
        <v>98</v>
      </c>
      <c r="C56" s="40" t="s">
        <v>93</v>
      </c>
      <c r="D56" s="114">
        <v>43947</v>
      </c>
      <c r="E56" s="54">
        <v>56</v>
      </c>
      <c r="F56" s="41">
        <f>SUM(E56*3)</f>
        <v>168</v>
      </c>
      <c r="G56" s="10">
        <v>160.51</v>
      </c>
      <c r="H56" s="55">
        <f t="shared" si="6"/>
        <v>26.965679999999999</v>
      </c>
      <c r="I56" s="10">
        <f>E56*G56</f>
        <v>8988.56</v>
      </c>
    </row>
    <row r="57" spans="1:9" ht="18" hidden="1" customHeight="1">
      <c r="A57" s="21">
        <v>9</v>
      </c>
      <c r="B57" s="39" t="s">
        <v>41</v>
      </c>
      <c r="C57" s="40" t="s">
        <v>93</v>
      </c>
      <c r="D57" s="114">
        <v>43947</v>
      </c>
      <c r="E57" s="54">
        <v>112</v>
      </c>
      <c r="F57" s="41">
        <f>SUM(E57)*3</f>
        <v>336</v>
      </c>
      <c r="G57" s="10">
        <v>74.709999999999994</v>
      </c>
      <c r="H57" s="55">
        <f t="shared" si="6"/>
        <v>25.102559999999997</v>
      </c>
      <c r="I57" s="10">
        <f>E57*G57</f>
        <v>8367.5199999999986</v>
      </c>
    </row>
    <row r="58" spans="1:9" ht="15.75" customHeight="1">
      <c r="A58" s="148" t="s">
        <v>149</v>
      </c>
      <c r="B58" s="149"/>
      <c r="C58" s="149"/>
      <c r="D58" s="149"/>
      <c r="E58" s="149"/>
      <c r="F58" s="149"/>
      <c r="G58" s="149"/>
      <c r="H58" s="149"/>
      <c r="I58" s="150"/>
    </row>
    <row r="59" spans="1:9" ht="17.25" customHeight="1">
      <c r="A59" s="21"/>
      <c r="B59" s="74" t="s">
        <v>43</v>
      </c>
      <c r="C59" s="40"/>
      <c r="D59" s="39"/>
      <c r="E59" s="54"/>
      <c r="F59" s="41"/>
      <c r="G59" s="41"/>
      <c r="H59" s="55"/>
      <c r="I59" s="58"/>
    </row>
    <row r="60" spans="1:9" ht="29.25" hidden="1" customHeight="1">
      <c r="A60" s="21">
        <v>14</v>
      </c>
      <c r="B60" s="86" t="s">
        <v>101</v>
      </c>
      <c r="C60" s="87" t="s">
        <v>84</v>
      </c>
      <c r="D60" s="86"/>
      <c r="E60" s="88">
        <v>36</v>
      </c>
      <c r="F60" s="89">
        <f>SUM(E60*6/100)</f>
        <v>2.16</v>
      </c>
      <c r="G60" s="26">
        <v>2306.83</v>
      </c>
      <c r="H60" s="55">
        <f>SUM(F60*G60/1000)</f>
        <v>4.9827528000000001</v>
      </c>
      <c r="I60" s="10">
        <f>G60*0.48</f>
        <v>1107.2783999999999</v>
      </c>
    </row>
    <row r="61" spans="1:9" ht="29.25" customHeight="1">
      <c r="A61" s="21">
        <v>10</v>
      </c>
      <c r="B61" s="86" t="s">
        <v>224</v>
      </c>
      <c r="C61" s="87" t="s">
        <v>52</v>
      </c>
      <c r="D61" s="86"/>
      <c r="E61" s="88">
        <v>4.62</v>
      </c>
      <c r="F61" s="91">
        <f>E61*12/100</f>
        <v>0.5544</v>
      </c>
      <c r="G61" s="26">
        <v>2306.83</v>
      </c>
      <c r="H61" s="61"/>
      <c r="I61" s="10">
        <f>G61*F61/6</f>
        <v>213.15109199999998</v>
      </c>
    </row>
    <row r="62" spans="1:9" ht="15.75" customHeight="1">
      <c r="A62" s="21"/>
      <c r="B62" s="74" t="s">
        <v>44</v>
      </c>
      <c r="C62" s="40"/>
      <c r="D62" s="39"/>
      <c r="E62" s="54"/>
      <c r="F62" s="55"/>
      <c r="G62" s="10"/>
      <c r="H62" s="61"/>
      <c r="I62" s="58"/>
    </row>
    <row r="63" spans="1:9" ht="15.75" hidden="1" customHeight="1">
      <c r="A63" s="21"/>
      <c r="B63" s="39" t="s">
        <v>158</v>
      </c>
      <c r="C63" s="40" t="s">
        <v>84</v>
      </c>
      <c r="D63" s="39" t="s">
        <v>53</v>
      </c>
      <c r="E63" s="54">
        <v>1040.4000000000001</v>
      </c>
      <c r="F63" s="55">
        <f>E63/100</f>
        <v>10.404000000000002</v>
      </c>
      <c r="G63" s="10">
        <v>902.66</v>
      </c>
      <c r="H63" s="61">
        <f>G63*F63/1000</f>
        <v>9.3912746400000007</v>
      </c>
      <c r="I63" s="10">
        <v>0</v>
      </c>
    </row>
    <row r="64" spans="1:9" ht="15.75" customHeight="1">
      <c r="A64" s="21">
        <v>11</v>
      </c>
      <c r="B64" s="39" t="s">
        <v>126</v>
      </c>
      <c r="C64" s="40" t="s">
        <v>25</v>
      </c>
      <c r="D64" s="39" t="s">
        <v>194</v>
      </c>
      <c r="E64" s="54">
        <v>240</v>
      </c>
      <c r="F64" s="41">
        <v>2400</v>
      </c>
      <c r="G64" s="49">
        <v>1.4</v>
      </c>
      <c r="H64" s="55">
        <f>F64*G64/1000</f>
        <v>3.36</v>
      </c>
      <c r="I64" s="10">
        <f>F64/12*G64</f>
        <v>280</v>
      </c>
    </row>
    <row r="65" spans="1:9" ht="15.75" customHeight="1">
      <c r="A65" s="21"/>
      <c r="B65" s="75" t="s">
        <v>45</v>
      </c>
      <c r="C65" s="62"/>
      <c r="D65" s="63"/>
      <c r="E65" s="64"/>
      <c r="F65" s="65"/>
      <c r="G65" s="65"/>
      <c r="H65" s="66" t="s">
        <v>155</v>
      </c>
      <c r="I65" s="58"/>
    </row>
    <row r="66" spans="1:9" ht="15.75" hidden="1" customHeight="1">
      <c r="A66" s="21">
        <v>14</v>
      </c>
      <c r="B66" s="11" t="s">
        <v>46</v>
      </c>
      <c r="C66" s="13" t="s">
        <v>40</v>
      </c>
      <c r="D66" s="39" t="s">
        <v>65</v>
      </c>
      <c r="E66" s="15">
        <v>15</v>
      </c>
      <c r="F66" s="41">
        <f>15/100</f>
        <v>0.15</v>
      </c>
      <c r="G66" s="10">
        <v>252.96</v>
      </c>
      <c r="H66" s="67">
        <f t="shared" ref="H66:H83" si="7">SUM(F66*G66/1000)</f>
        <v>3.7944000000000006E-2</v>
      </c>
      <c r="I66" s="10">
        <f>G66</f>
        <v>252.96</v>
      </c>
    </row>
    <row r="67" spans="1:9" ht="15.75" hidden="1" customHeight="1">
      <c r="A67" s="21"/>
      <c r="B67" s="11" t="s">
        <v>47</v>
      </c>
      <c r="C67" s="13" t="s">
        <v>40</v>
      </c>
      <c r="D67" s="39" t="s">
        <v>65</v>
      </c>
      <c r="E67" s="15">
        <v>10</v>
      </c>
      <c r="F67" s="41">
        <f>10/100</f>
        <v>0.1</v>
      </c>
      <c r="G67" s="10">
        <v>86.74</v>
      </c>
      <c r="H67" s="67">
        <f t="shared" si="7"/>
        <v>8.6739999999999994E-3</v>
      </c>
      <c r="I67" s="10">
        <v>0</v>
      </c>
    </row>
    <row r="68" spans="1:9" ht="15.75" hidden="1" customHeight="1">
      <c r="A68" s="21"/>
      <c r="B68" s="11" t="s">
        <v>48</v>
      </c>
      <c r="C68" s="13" t="s">
        <v>94</v>
      </c>
      <c r="D68" s="11" t="s">
        <v>53</v>
      </c>
      <c r="E68" s="54">
        <v>17532</v>
      </c>
      <c r="F68" s="10">
        <f>SUM(E68/100)</f>
        <v>175.32</v>
      </c>
      <c r="G68" s="10">
        <v>241.31</v>
      </c>
      <c r="H68" s="67">
        <f t="shared" si="7"/>
        <v>42.306469200000002</v>
      </c>
      <c r="I68" s="10">
        <f>F68*G68</f>
        <v>42306.4692</v>
      </c>
    </row>
    <row r="69" spans="1:9" ht="15.75" hidden="1" customHeight="1">
      <c r="A69" s="21"/>
      <c r="B69" s="11" t="s">
        <v>49</v>
      </c>
      <c r="C69" s="13" t="s">
        <v>95</v>
      </c>
      <c r="D69" s="11"/>
      <c r="E69" s="54">
        <v>17532</v>
      </c>
      <c r="F69" s="10">
        <f>SUM(E69/1000)</f>
        <v>17.532</v>
      </c>
      <c r="G69" s="10">
        <v>187.91</v>
      </c>
      <c r="H69" s="67">
        <f t="shared" si="7"/>
        <v>3.2944381199999997</v>
      </c>
      <c r="I69" s="10">
        <f>F69*G69</f>
        <v>3294.4381199999998</v>
      </c>
    </row>
    <row r="70" spans="1:9" ht="15.75" hidden="1" customHeight="1">
      <c r="A70" s="21"/>
      <c r="B70" s="11" t="s">
        <v>50</v>
      </c>
      <c r="C70" s="13" t="s">
        <v>77</v>
      </c>
      <c r="D70" s="11" t="s">
        <v>53</v>
      </c>
      <c r="E70" s="54">
        <v>1365</v>
      </c>
      <c r="F70" s="10">
        <f>SUM(E70/100)</f>
        <v>13.65</v>
      </c>
      <c r="G70" s="10">
        <v>2359.7199999999998</v>
      </c>
      <c r="H70" s="67">
        <f t="shared" si="7"/>
        <v>32.210177999999999</v>
      </c>
      <c r="I70" s="10">
        <f t="shared" ref="I70:I73" si="8">F70*G70</f>
        <v>32210.178</v>
      </c>
    </row>
    <row r="71" spans="1:9" ht="15.75" hidden="1" customHeight="1">
      <c r="A71" s="21"/>
      <c r="B71" s="68" t="s">
        <v>71</v>
      </c>
      <c r="C71" s="13" t="s">
        <v>32</v>
      </c>
      <c r="D71" s="11"/>
      <c r="E71" s="54">
        <v>15.6</v>
      </c>
      <c r="F71" s="10">
        <f>SUM(E71)</f>
        <v>15.6</v>
      </c>
      <c r="G71" s="10">
        <v>45.4</v>
      </c>
      <c r="H71" s="67">
        <f t="shared" si="7"/>
        <v>0.70823999999999998</v>
      </c>
      <c r="I71" s="10">
        <f t="shared" si="8"/>
        <v>708.24</v>
      </c>
    </row>
    <row r="72" spans="1:9" ht="15.75" hidden="1" customHeight="1">
      <c r="A72" s="21"/>
      <c r="B72" s="68" t="s">
        <v>161</v>
      </c>
      <c r="C72" s="13" t="s">
        <v>32</v>
      </c>
      <c r="D72" s="11"/>
      <c r="E72" s="54">
        <v>15.6</v>
      </c>
      <c r="F72" s="10">
        <f>SUM(E72)</f>
        <v>15.6</v>
      </c>
      <c r="G72" s="10">
        <v>42.35</v>
      </c>
      <c r="H72" s="67">
        <f t="shared" si="7"/>
        <v>0.66065999999999991</v>
      </c>
      <c r="I72" s="10">
        <f t="shared" si="8"/>
        <v>660.66</v>
      </c>
    </row>
    <row r="73" spans="1:9" ht="15.75" hidden="1" customHeight="1">
      <c r="A73" s="21"/>
      <c r="B73" s="11" t="s">
        <v>56</v>
      </c>
      <c r="C73" s="13" t="s">
        <v>57</v>
      </c>
      <c r="D73" s="11" t="s">
        <v>53</v>
      </c>
      <c r="E73" s="15">
        <v>4</v>
      </c>
      <c r="F73" s="41">
        <f>SUM(E73)</f>
        <v>4</v>
      </c>
      <c r="G73" s="10">
        <v>56.74</v>
      </c>
      <c r="H73" s="67">
        <f t="shared" si="7"/>
        <v>0.22696</v>
      </c>
      <c r="I73" s="10">
        <f t="shared" si="8"/>
        <v>226.96</v>
      </c>
    </row>
    <row r="74" spans="1:9" ht="15.75" customHeight="1">
      <c r="A74" s="21">
        <v>12</v>
      </c>
      <c r="B74" s="11" t="s">
        <v>127</v>
      </c>
      <c r="C74" s="13" t="s">
        <v>57</v>
      </c>
      <c r="D74" s="11" t="s">
        <v>195</v>
      </c>
      <c r="E74" s="15">
        <v>1</v>
      </c>
      <c r="F74" s="49">
        <v>12</v>
      </c>
      <c r="G74" s="26">
        <v>1829</v>
      </c>
      <c r="H74" s="67">
        <f t="shared" ref="H74" si="9">SUM(F74*G74/1000)</f>
        <v>21.948</v>
      </c>
      <c r="I74" s="10">
        <f>G74</f>
        <v>1829</v>
      </c>
    </row>
    <row r="75" spans="1:9" ht="15.75" customHeight="1">
      <c r="A75" s="21"/>
      <c r="B75" s="43" t="s">
        <v>72</v>
      </c>
      <c r="C75" s="13"/>
      <c r="D75" s="11"/>
      <c r="E75" s="15"/>
      <c r="F75" s="10"/>
      <c r="G75" s="10"/>
      <c r="H75" s="67" t="s">
        <v>155</v>
      </c>
      <c r="I75" s="58"/>
    </row>
    <row r="76" spans="1:9" ht="15.75" hidden="1" customHeight="1">
      <c r="A76" s="21"/>
      <c r="B76" s="11" t="s">
        <v>128</v>
      </c>
      <c r="C76" s="13" t="s">
        <v>30</v>
      </c>
      <c r="D76" s="39" t="s">
        <v>65</v>
      </c>
      <c r="E76" s="15">
        <v>2</v>
      </c>
      <c r="F76" s="10">
        <v>2</v>
      </c>
      <c r="G76" s="10">
        <v>892.5</v>
      </c>
      <c r="H76" s="67">
        <f>G76*F76/1000</f>
        <v>1.7849999999999999</v>
      </c>
      <c r="I76" s="10">
        <v>0</v>
      </c>
    </row>
    <row r="77" spans="1:9" ht="15.75" hidden="1" customHeight="1">
      <c r="A77" s="21"/>
      <c r="B77" s="11" t="s">
        <v>114</v>
      </c>
      <c r="C77" s="13" t="s">
        <v>129</v>
      </c>
      <c r="D77" s="11"/>
      <c r="E77" s="15">
        <v>1</v>
      </c>
      <c r="F77" s="10">
        <v>1</v>
      </c>
      <c r="G77" s="10">
        <v>750</v>
      </c>
      <c r="H77" s="67">
        <f>G77*F77/1000</f>
        <v>0.75</v>
      </c>
      <c r="I77" s="10">
        <v>0</v>
      </c>
    </row>
    <row r="78" spans="1:9" ht="15.75" hidden="1" customHeight="1">
      <c r="A78" s="21"/>
      <c r="B78" s="11" t="s">
        <v>73</v>
      </c>
      <c r="C78" s="13" t="s">
        <v>75</v>
      </c>
      <c r="D78" s="11"/>
      <c r="E78" s="15">
        <v>2</v>
      </c>
      <c r="F78" s="10">
        <v>0.2</v>
      </c>
      <c r="G78" s="10">
        <v>570.54</v>
      </c>
      <c r="H78" s="67">
        <f t="shared" si="7"/>
        <v>0.114108</v>
      </c>
      <c r="I78" s="10">
        <v>0</v>
      </c>
    </row>
    <row r="79" spans="1:9" ht="15.75" hidden="1" customHeight="1">
      <c r="A79" s="21"/>
      <c r="B79" s="11" t="s">
        <v>74</v>
      </c>
      <c r="C79" s="13" t="s">
        <v>30</v>
      </c>
      <c r="D79" s="11"/>
      <c r="E79" s="15">
        <v>1</v>
      </c>
      <c r="F79" s="49">
        <v>1</v>
      </c>
      <c r="G79" s="10">
        <v>970.21</v>
      </c>
      <c r="H79" s="67">
        <f t="shared" si="7"/>
        <v>0.97021000000000002</v>
      </c>
      <c r="I79" s="10">
        <v>0</v>
      </c>
    </row>
    <row r="80" spans="1:9" ht="15.75" hidden="1" customHeight="1">
      <c r="A80" s="21"/>
      <c r="B80" s="11" t="s">
        <v>130</v>
      </c>
      <c r="C80" s="13" t="s">
        <v>93</v>
      </c>
      <c r="D80" s="11"/>
      <c r="E80" s="15">
        <v>1</v>
      </c>
      <c r="F80" s="41">
        <f>SUM(E80)</f>
        <v>1</v>
      </c>
      <c r="G80" s="10">
        <v>407.79</v>
      </c>
      <c r="H80" s="67">
        <f t="shared" si="7"/>
        <v>0.40779000000000004</v>
      </c>
      <c r="I80" s="10">
        <v>0</v>
      </c>
    </row>
    <row r="81" spans="1:9" ht="15.75" customHeight="1">
      <c r="A81" s="21">
        <v>13</v>
      </c>
      <c r="B81" s="85" t="s">
        <v>207</v>
      </c>
      <c r="C81" s="108" t="s">
        <v>93</v>
      </c>
      <c r="D81" s="85" t="s">
        <v>195</v>
      </c>
      <c r="E81" s="14">
        <v>1</v>
      </c>
      <c r="F81" s="26">
        <f>E81*12</f>
        <v>12</v>
      </c>
      <c r="G81" s="26">
        <v>420</v>
      </c>
      <c r="H81" s="67">
        <f>G81*F81/1000</f>
        <v>5.04</v>
      </c>
      <c r="I81" s="10">
        <f>G81*1</f>
        <v>420</v>
      </c>
    </row>
    <row r="82" spans="1:9" ht="15.75" customHeight="1">
      <c r="A82" s="21"/>
      <c r="B82" s="72" t="s">
        <v>76</v>
      </c>
      <c r="C82" s="13"/>
      <c r="D82" s="11"/>
      <c r="E82" s="15"/>
      <c r="F82" s="10"/>
      <c r="G82" s="10" t="s">
        <v>155</v>
      </c>
      <c r="H82" s="67" t="s">
        <v>155</v>
      </c>
      <c r="I82" s="58"/>
    </row>
    <row r="83" spans="1:9" ht="15.75" customHeight="1">
      <c r="A83" s="21">
        <v>14</v>
      </c>
      <c r="B83" s="34" t="s">
        <v>99</v>
      </c>
      <c r="C83" s="13" t="s">
        <v>77</v>
      </c>
      <c r="D83" s="11" t="s">
        <v>253</v>
      </c>
      <c r="E83" s="15"/>
      <c r="F83" s="10">
        <v>0.6</v>
      </c>
      <c r="G83" s="126">
        <v>10738.88</v>
      </c>
      <c r="H83" s="67">
        <f t="shared" si="7"/>
        <v>6.4433279999999993</v>
      </c>
      <c r="I83" s="10">
        <f>G83*0.06</f>
        <v>644.33279999999991</v>
      </c>
    </row>
    <row r="84" spans="1:9" ht="15.75" customHeight="1">
      <c r="A84" s="21"/>
      <c r="B84" s="43" t="s">
        <v>90</v>
      </c>
      <c r="C84" s="13"/>
      <c r="D84" s="11"/>
      <c r="E84" s="50"/>
      <c r="F84" s="10"/>
      <c r="G84" s="10"/>
      <c r="H84" s="67"/>
      <c r="I84" s="10"/>
    </row>
    <row r="85" spans="1:9" ht="15.75" customHeight="1">
      <c r="A85" s="21">
        <v>15</v>
      </c>
      <c r="B85" s="39" t="s">
        <v>96</v>
      </c>
      <c r="C85" s="13"/>
      <c r="D85" s="11"/>
      <c r="E85" s="50"/>
      <c r="F85" s="10">
        <v>1</v>
      </c>
      <c r="G85" s="115">
        <v>793.6</v>
      </c>
      <c r="H85" s="67">
        <f>G85*F85/1000</f>
        <v>0.79359999999999997</v>
      </c>
      <c r="I85" s="10">
        <f>G85*1</f>
        <v>793.6</v>
      </c>
    </row>
    <row r="86" spans="1:9" ht="15.75" customHeight="1">
      <c r="A86" s="21"/>
      <c r="B86" s="76" t="s">
        <v>102</v>
      </c>
      <c r="C86" s="72"/>
      <c r="D86" s="23"/>
      <c r="E86" s="24"/>
      <c r="F86" s="71"/>
      <c r="G86" s="71"/>
      <c r="H86" s="69"/>
      <c r="I86" s="57"/>
    </row>
    <row r="87" spans="1:9" ht="31.5" customHeight="1">
      <c r="A87" s="21">
        <v>16</v>
      </c>
      <c r="B87" s="100" t="s">
        <v>205</v>
      </c>
      <c r="C87" s="101" t="s">
        <v>206</v>
      </c>
      <c r="D87" s="112"/>
      <c r="E87" s="122">
        <v>3455.3</v>
      </c>
      <c r="F87" s="102">
        <f>E87*12</f>
        <v>41463.600000000006</v>
      </c>
      <c r="G87" s="102">
        <v>2.6</v>
      </c>
      <c r="H87" s="67">
        <f t="shared" ref="H87:H96" si="10">F87*G87/1000</f>
        <v>107.80536000000002</v>
      </c>
      <c r="I87" s="10">
        <f>G87*F87/12</f>
        <v>8983.7800000000007</v>
      </c>
    </row>
    <row r="88" spans="1:9" ht="31.5" hidden="1" customHeight="1">
      <c r="A88" s="21"/>
      <c r="B88" s="73" t="s">
        <v>138</v>
      </c>
      <c r="C88" s="13" t="s">
        <v>80</v>
      </c>
      <c r="D88" s="39" t="s">
        <v>65</v>
      </c>
      <c r="E88" s="15">
        <v>15</v>
      </c>
      <c r="F88" s="10">
        <v>15</v>
      </c>
      <c r="G88" s="10">
        <v>1430.02</v>
      </c>
      <c r="H88" s="67">
        <f t="shared" si="10"/>
        <v>21.450299999999999</v>
      </c>
      <c r="I88" s="10">
        <v>0</v>
      </c>
    </row>
    <row r="89" spans="1:9" ht="31.5" hidden="1" customHeight="1">
      <c r="A89" s="21"/>
      <c r="B89" s="73" t="s">
        <v>139</v>
      </c>
      <c r="C89" s="13" t="s">
        <v>80</v>
      </c>
      <c r="D89" s="39" t="s">
        <v>65</v>
      </c>
      <c r="E89" s="15">
        <v>10</v>
      </c>
      <c r="F89" s="10">
        <v>10</v>
      </c>
      <c r="G89" s="10">
        <v>1743.04</v>
      </c>
      <c r="H89" s="67">
        <f t="shared" si="10"/>
        <v>17.430400000000002</v>
      </c>
      <c r="I89" s="10">
        <v>0</v>
      </c>
    </row>
    <row r="90" spans="1:9" ht="31.5" hidden="1" customHeight="1">
      <c r="A90" s="21"/>
      <c r="B90" s="73" t="s">
        <v>140</v>
      </c>
      <c r="C90" s="13" t="s">
        <v>80</v>
      </c>
      <c r="D90" s="39" t="s">
        <v>65</v>
      </c>
      <c r="E90" s="15">
        <v>20</v>
      </c>
      <c r="F90" s="10">
        <v>20</v>
      </c>
      <c r="G90" s="10">
        <v>607.27</v>
      </c>
      <c r="H90" s="67">
        <f t="shared" si="10"/>
        <v>12.1454</v>
      </c>
      <c r="I90" s="10">
        <v>0</v>
      </c>
    </row>
    <row r="91" spans="1:9" ht="31.5" hidden="1" customHeight="1">
      <c r="A91" s="21"/>
      <c r="B91" s="73" t="s">
        <v>141</v>
      </c>
      <c r="C91" s="13" t="s">
        <v>80</v>
      </c>
      <c r="D91" s="39" t="s">
        <v>65</v>
      </c>
      <c r="E91" s="15">
        <v>30</v>
      </c>
      <c r="F91" s="10">
        <v>30</v>
      </c>
      <c r="G91" s="10">
        <v>711.93</v>
      </c>
      <c r="H91" s="67">
        <f t="shared" si="10"/>
        <v>21.357899999999997</v>
      </c>
      <c r="I91" s="10">
        <v>0</v>
      </c>
    </row>
    <row r="92" spans="1:9" ht="15.75" hidden="1" customHeight="1">
      <c r="A92" s="21"/>
      <c r="B92" s="73" t="s">
        <v>104</v>
      </c>
      <c r="C92" s="13" t="s">
        <v>30</v>
      </c>
      <c r="D92" s="39" t="s">
        <v>65</v>
      </c>
      <c r="E92" s="15">
        <v>10</v>
      </c>
      <c r="F92" s="10">
        <v>10</v>
      </c>
      <c r="G92" s="10">
        <v>455.31</v>
      </c>
      <c r="H92" s="67">
        <f t="shared" si="10"/>
        <v>4.5531000000000006</v>
      </c>
      <c r="I92" s="10">
        <v>0</v>
      </c>
    </row>
    <row r="93" spans="1:9" ht="31.5" hidden="1" customHeight="1">
      <c r="A93" s="21"/>
      <c r="B93" s="73" t="s">
        <v>142</v>
      </c>
      <c r="C93" s="13" t="s">
        <v>80</v>
      </c>
      <c r="D93" s="39" t="s">
        <v>65</v>
      </c>
      <c r="E93" s="15">
        <v>30</v>
      </c>
      <c r="F93" s="10">
        <v>30</v>
      </c>
      <c r="G93" s="10">
        <v>1155.7</v>
      </c>
      <c r="H93" s="67">
        <f t="shared" si="10"/>
        <v>34.670999999999999</v>
      </c>
      <c r="I93" s="10">
        <v>0</v>
      </c>
    </row>
    <row r="94" spans="1:9" ht="31.5" hidden="1" customHeight="1">
      <c r="A94" s="21"/>
      <c r="B94" s="73" t="s">
        <v>143</v>
      </c>
      <c r="C94" s="13" t="s">
        <v>29</v>
      </c>
      <c r="D94" s="11" t="s">
        <v>42</v>
      </c>
      <c r="E94" s="15">
        <v>1040.4000000000001</v>
      </c>
      <c r="F94" s="10">
        <f>E94*2/1000</f>
        <v>2.0808</v>
      </c>
      <c r="G94" s="10">
        <v>1560.98</v>
      </c>
      <c r="H94" s="67">
        <f t="shared" si="10"/>
        <v>3.2480871840000001</v>
      </c>
      <c r="I94" s="10">
        <v>0</v>
      </c>
    </row>
    <row r="95" spans="1:9" ht="31.5" hidden="1" customHeight="1">
      <c r="A95" s="21"/>
      <c r="B95" s="73" t="s">
        <v>144</v>
      </c>
      <c r="C95" s="21" t="s">
        <v>146</v>
      </c>
      <c r="D95" s="39" t="s">
        <v>65</v>
      </c>
      <c r="E95" s="15">
        <v>100</v>
      </c>
      <c r="F95" s="10">
        <v>1</v>
      </c>
      <c r="G95" s="10">
        <v>12859.93</v>
      </c>
      <c r="H95" s="67">
        <f t="shared" si="10"/>
        <v>12.85993</v>
      </c>
      <c r="I95" s="10">
        <v>0</v>
      </c>
    </row>
    <row r="96" spans="1:9" ht="15.75" hidden="1" customHeight="1">
      <c r="A96" s="94"/>
      <c r="B96" s="95" t="s">
        <v>145</v>
      </c>
      <c r="C96" s="96" t="s">
        <v>29</v>
      </c>
      <c r="D96" s="97" t="s">
        <v>42</v>
      </c>
      <c r="E96" s="98">
        <v>1040.4000000000001</v>
      </c>
      <c r="F96" s="92">
        <v>2.08</v>
      </c>
      <c r="G96" s="92">
        <v>1453.29</v>
      </c>
      <c r="H96" s="99">
        <f t="shared" si="10"/>
        <v>3.0228432000000001</v>
      </c>
      <c r="I96" s="92">
        <v>0</v>
      </c>
    </row>
    <row r="97" spans="1:9" ht="42.75" hidden="1" customHeight="1">
      <c r="A97" s="21">
        <v>16</v>
      </c>
      <c r="B97" s="100" t="s">
        <v>144</v>
      </c>
      <c r="C97" s="101" t="s">
        <v>178</v>
      </c>
      <c r="D97" s="11"/>
      <c r="E97" s="15"/>
      <c r="F97" s="10"/>
      <c r="G97" s="102">
        <v>12859.93</v>
      </c>
      <c r="H97" s="10"/>
      <c r="I97" s="10">
        <f>G97*0.15</f>
        <v>1928.9894999999999</v>
      </c>
    </row>
    <row r="98" spans="1:9" ht="15.75" customHeight="1">
      <c r="A98" s="151" t="s">
        <v>150</v>
      </c>
      <c r="B98" s="152"/>
      <c r="C98" s="152"/>
      <c r="D98" s="152"/>
      <c r="E98" s="152"/>
      <c r="F98" s="152"/>
      <c r="G98" s="152"/>
      <c r="H98" s="152"/>
      <c r="I98" s="153"/>
    </row>
    <row r="99" spans="1:9" ht="15.75" customHeight="1">
      <c r="A99" s="21">
        <v>17</v>
      </c>
      <c r="B99" s="100" t="s">
        <v>97</v>
      </c>
      <c r="C99" s="108" t="s">
        <v>54</v>
      </c>
      <c r="D99" s="123"/>
      <c r="E99" s="26">
        <v>3455.3</v>
      </c>
      <c r="F99" s="26">
        <v>41463.599999999999</v>
      </c>
      <c r="G99" s="26">
        <v>3.5</v>
      </c>
      <c r="H99" s="67">
        <f>SUM(F99*G99/1000)</f>
        <v>145.12260000000001</v>
      </c>
      <c r="I99" s="10">
        <f>F99/12*G99</f>
        <v>12093.55</v>
      </c>
    </row>
    <row r="100" spans="1:9" ht="31.5" customHeight="1">
      <c r="A100" s="21">
        <v>18</v>
      </c>
      <c r="B100" s="85" t="s">
        <v>208</v>
      </c>
      <c r="C100" s="108" t="s">
        <v>54</v>
      </c>
      <c r="D100" s="37"/>
      <c r="E100" s="88">
        <f>E99</f>
        <v>3455.3</v>
      </c>
      <c r="F100" s="26">
        <f>E100*12</f>
        <v>41463.600000000006</v>
      </c>
      <c r="G100" s="26">
        <v>3.2</v>
      </c>
      <c r="H100" s="67">
        <f>F100*G100/1000</f>
        <v>132.68352000000002</v>
      </c>
      <c r="I100" s="10">
        <f>F100/12*G100</f>
        <v>11056.960000000003</v>
      </c>
    </row>
    <row r="101" spans="1:9" ht="15.75" customHeight="1">
      <c r="A101" s="21"/>
      <c r="B101" s="27" t="s">
        <v>79</v>
      </c>
      <c r="C101" s="72"/>
      <c r="D101" s="70"/>
      <c r="E101" s="71"/>
      <c r="F101" s="71"/>
      <c r="G101" s="71"/>
      <c r="H101" s="69">
        <f>SUM(H100)</f>
        <v>132.68352000000002</v>
      </c>
      <c r="I101" s="71">
        <f>I100+I99+I87+I85+I83+I81+I74+I64+I61+I45+I42+I41+I40+I39+I38+I18+I17+I16</f>
        <v>58714.220882833331</v>
      </c>
    </row>
    <row r="102" spans="1:9" ht="15.75" customHeight="1">
      <c r="A102" s="159" t="s">
        <v>59</v>
      </c>
      <c r="B102" s="160"/>
      <c r="C102" s="160"/>
      <c r="D102" s="160"/>
      <c r="E102" s="160"/>
      <c r="F102" s="160"/>
      <c r="G102" s="160"/>
      <c r="H102" s="160"/>
      <c r="I102" s="161"/>
    </row>
    <row r="103" spans="1:9" ht="33" customHeight="1">
      <c r="A103" s="21">
        <v>19</v>
      </c>
      <c r="B103" s="127" t="s">
        <v>136</v>
      </c>
      <c r="C103" s="107" t="s">
        <v>137</v>
      </c>
      <c r="D103" s="37" t="s">
        <v>260</v>
      </c>
      <c r="E103" s="26"/>
      <c r="F103" s="26">
        <v>0.4</v>
      </c>
      <c r="G103" s="26">
        <v>1948.52</v>
      </c>
      <c r="H103" s="67"/>
      <c r="I103" s="10">
        <f>G103*0.4</f>
        <v>779.40800000000002</v>
      </c>
    </row>
    <row r="104" spans="1:9" ht="17.25" customHeight="1">
      <c r="A104" s="21">
        <v>20</v>
      </c>
      <c r="B104" s="38" t="s">
        <v>180</v>
      </c>
      <c r="C104" s="84" t="s">
        <v>181</v>
      </c>
      <c r="D104" s="37"/>
      <c r="E104" s="26"/>
      <c r="F104" s="26">
        <v>2</v>
      </c>
      <c r="G104" s="26">
        <v>960.81</v>
      </c>
      <c r="H104" s="83"/>
      <c r="I104" s="10">
        <f>G104*2</f>
        <v>1921.62</v>
      </c>
    </row>
    <row r="105" spans="1:9" ht="18.75" customHeight="1">
      <c r="A105" s="21">
        <v>21</v>
      </c>
      <c r="B105" s="38" t="s">
        <v>81</v>
      </c>
      <c r="C105" s="84" t="s">
        <v>93</v>
      </c>
      <c r="D105" s="37"/>
      <c r="E105" s="26"/>
      <c r="F105" s="26">
        <v>4</v>
      </c>
      <c r="G105" s="26">
        <v>224.48</v>
      </c>
      <c r="H105" s="83"/>
      <c r="I105" s="10">
        <f>G105*2</f>
        <v>448.96</v>
      </c>
    </row>
    <row r="106" spans="1:9" ht="18.75" customHeight="1">
      <c r="A106" s="21">
        <v>22</v>
      </c>
      <c r="B106" s="38" t="s">
        <v>221</v>
      </c>
      <c r="C106" s="84" t="s">
        <v>40</v>
      </c>
      <c r="D106" s="105" t="s">
        <v>194</v>
      </c>
      <c r="E106" s="106"/>
      <c r="F106" s="26">
        <v>0.01</v>
      </c>
      <c r="G106" s="103">
        <v>28224.75</v>
      </c>
      <c r="H106" s="83"/>
      <c r="I106" s="10">
        <v>0</v>
      </c>
    </row>
    <row r="107" spans="1:9">
      <c r="A107" s="21"/>
      <c r="B107" s="32" t="s">
        <v>51</v>
      </c>
      <c r="C107" s="28"/>
      <c r="D107" s="35"/>
      <c r="E107" s="28">
        <v>1</v>
      </c>
      <c r="F107" s="28"/>
      <c r="G107" s="28"/>
      <c r="H107" s="28"/>
      <c r="I107" s="24">
        <f>SUM(I103:I105)</f>
        <v>3149.9879999999998</v>
      </c>
    </row>
    <row r="108" spans="1:9">
      <c r="A108" s="21"/>
      <c r="B108" s="34" t="s">
        <v>78</v>
      </c>
      <c r="C108" s="12"/>
      <c r="D108" s="12"/>
      <c r="E108" s="29"/>
      <c r="F108" s="29"/>
      <c r="G108" s="30"/>
      <c r="H108" s="30"/>
      <c r="I108" s="14">
        <v>0</v>
      </c>
    </row>
    <row r="109" spans="1:9" ht="15.75" customHeight="1">
      <c r="A109" s="36"/>
      <c r="B109" s="33" t="s">
        <v>172</v>
      </c>
      <c r="C109" s="25"/>
      <c r="D109" s="25"/>
      <c r="E109" s="25"/>
      <c r="F109" s="25"/>
      <c r="G109" s="25"/>
      <c r="H109" s="25"/>
      <c r="I109" s="31">
        <f>I101+I107</f>
        <v>61864.208882833329</v>
      </c>
    </row>
    <row r="110" spans="1:9" ht="15.75">
      <c r="A110" s="154" t="s">
        <v>261</v>
      </c>
      <c r="B110" s="154"/>
      <c r="C110" s="154"/>
      <c r="D110" s="154"/>
      <c r="E110" s="154"/>
      <c r="F110" s="154"/>
      <c r="G110" s="154"/>
      <c r="H110" s="154"/>
      <c r="I110" s="154"/>
    </row>
    <row r="111" spans="1:9" ht="15.75">
      <c r="A111" s="48"/>
      <c r="B111" s="155" t="s">
        <v>262</v>
      </c>
      <c r="C111" s="155"/>
      <c r="D111" s="155"/>
      <c r="E111" s="155"/>
      <c r="F111" s="155"/>
      <c r="G111" s="155"/>
      <c r="H111" s="53"/>
      <c r="I111" s="2"/>
    </row>
    <row r="112" spans="1:9">
      <c r="A112" s="42"/>
      <c r="B112" s="156" t="s">
        <v>6</v>
      </c>
      <c r="C112" s="156"/>
      <c r="D112" s="156"/>
      <c r="E112" s="156"/>
      <c r="F112" s="156"/>
      <c r="G112" s="156"/>
      <c r="H112" s="16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57" t="s">
        <v>7</v>
      </c>
      <c r="B114" s="157"/>
      <c r="C114" s="157"/>
      <c r="D114" s="157"/>
      <c r="E114" s="157"/>
      <c r="F114" s="157"/>
      <c r="G114" s="157"/>
      <c r="H114" s="157"/>
      <c r="I114" s="157"/>
    </row>
    <row r="115" spans="1:9" ht="15.75" customHeight="1">
      <c r="A115" s="157" t="s">
        <v>8</v>
      </c>
      <c r="B115" s="157"/>
      <c r="C115" s="157"/>
      <c r="D115" s="157"/>
      <c r="E115" s="157"/>
      <c r="F115" s="157"/>
      <c r="G115" s="157"/>
      <c r="H115" s="157"/>
      <c r="I115" s="157"/>
    </row>
    <row r="116" spans="1:9" ht="15.75" customHeight="1">
      <c r="A116" s="158" t="s">
        <v>60</v>
      </c>
      <c r="B116" s="158"/>
      <c r="C116" s="158"/>
      <c r="D116" s="158"/>
      <c r="E116" s="158"/>
      <c r="F116" s="158"/>
      <c r="G116" s="158"/>
      <c r="H116" s="158"/>
      <c r="I116" s="158"/>
    </row>
    <row r="117" spans="1:9" ht="15.75" customHeight="1">
      <c r="A117" s="8"/>
    </row>
    <row r="118" spans="1:9" ht="15.75" customHeight="1">
      <c r="A118" s="146" t="s">
        <v>9</v>
      </c>
      <c r="B118" s="146"/>
      <c r="C118" s="146"/>
      <c r="D118" s="146"/>
      <c r="E118" s="146"/>
      <c r="F118" s="146"/>
      <c r="G118" s="146"/>
      <c r="H118" s="146"/>
      <c r="I118" s="146"/>
    </row>
    <row r="119" spans="1:9" ht="15.75" customHeight="1">
      <c r="A119" s="3"/>
    </row>
    <row r="120" spans="1:9" ht="15.75" customHeight="1">
      <c r="B120" s="44" t="s">
        <v>10</v>
      </c>
      <c r="C120" s="163" t="s">
        <v>217</v>
      </c>
      <c r="D120" s="163"/>
      <c r="E120" s="163"/>
      <c r="F120" s="51"/>
      <c r="I120" s="46"/>
    </row>
    <row r="121" spans="1:9">
      <c r="A121" s="42"/>
      <c r="C121" s="156" t="s">
        <v>11</v>
      </c>
      <c r="D121" s="156"/>
      <c r="E121" s="156"/>
      <c r="F121" s="16"/>
      <c r="I121" s="47" t="s">
        <v>12</v>
      </c>
    </row>
    <row r="122" spans="1:9" ht="15.75">
      <c r="A122" s="17"/>
      <c r="C122" s="9"/>
      <c r="D122" s="9"/>
      <c r="G122" s="9"/>
      <c r="H122" s="9"/>
    </row>
    <row r="123" spans="1:9" ht="15.75">
      <c r="B123" s="44" t="s">
        <v>13</v>
      </c>
      <c r="C123" s="164"/>
      <c r="D123" s="164"/>
      <c r="E123" s="164"/>
      <c r="F123" s="52"/>
      <c r="I123" s="46"/>
    </row>
    <row r="124" spans="1:9">
      <c r="A124" s="42"/>
      <c r="C124" s="165" t="s">
        <v>11</v>
      </c>
      <c r="D124" s="165"/>
      <c r="E124" s="165"/>
      <c r="F124" s="42"/>
      <c r="I124" s="47" t="s">
        <v>12</v>
      </c>
    </row>
    <row r="125" spans="1:9" ht="15.75">
      <c r="A125" s="3" t="s">
        <v>14</v>
      </c>
    </row>
    <row r="126" spans="1:9">
      <c r="A126" s="166" t="s">
        <v>15</v>
      </c>
      <c r="B126" s="166"/>
      <c r="C126" s="166"/>
      <c r="D126" s="166"/>
      <c r="E126" s="166"/>
      <c r="F126" s="166"/>
      <c r="G126" s="166"/>
      <c r="H126" s="166"/>
      <c r="I126" s="166"/>
    </row>
    <row r="127" spans="1:9" ht="45" customHeight="1">
      <c r="A127" s="162" t="s">
        <v>16</v>
      </c>
      <c r="B127" s="162"/>
      <c r="C127" s="162"/>
      <c r="D127" s="162"/>
      <c r="E127" s="162"/>
      <c r="F127" s="162"/>
      <c r="G127" s="162"/>
      <c r="H127" s="162"/>
      <c r="I127" s="162"/>
    </row>
    <row r="128" spans="1:9" ht="30" customHeight="1">
      <c r="A128" s="162" t="s">
        <v>17</v>
      </c>
      <c r="B128" s="162"/>
      <c r="C128" s="162"/>
      <c r="D128" s="162"/>
      <c r="E128" s="162"/>
      <c r="F128" s="162"/>
      <c r="G128" s="162"/>
      <c r="H128" s="162"/>
      <c r="I128" s="162"/>
    </row>
    <row r="129" spans="1:9" ht="30" customHeight="1">
      <c r="A129" s="162" t="s">
        <v>21</v>
      </c>
      <c r="B129" s="162"/>
      <c r="C129" s="162"/>
      <c r="D129" s="162"/>
      <c r="E129" s="162"/>
      <c r="F129" s="162"/>
      <c r="G129" s="162"/>
      <c r="H129" s="162"/>
      <c r="I129" s="162"/>
    </row>
    <row r="130" spans="1:9" ht="15" customHeight="1">
      <c r="A130" s="162" t="s">
        <v>20</v>
      </c>
      <c r="B130" s="162"/>
      <c r="C130" s="162"/>
      <c r="D130" s="162"/>
      <c r="E130" s="162"/>
      <c r="F130" s="162"/>
      <c r="G130" s="162"/>
      <c r="H130" s="162"/>
      <c r="I130" s="162"/>
    </row>
  </sheetData>
  <mergeCells count="28">
    <mergeCell ref="A128:I128"/>
    <mergeCell ref="A129:I129"/>
    <mergeCell ref="A130:I130"/>
    <mergeCell ref="C120:E120"/>
    <mergeCell ref="C121:E121"/>
    <mergeCell ref="C123:E123"/>
    <mergeCell ref="C124:E124"/>
    <mergeCell ref="A126:I126"/>
    <mergeCell ref="A127:I127"/>
    <mergeCell ref="A118:I118"/>
    <mergeCell ref="A15:I15"/>
    <mergeCell ref="A28:I28"/>
    <mergeCell ref="A46:I46"/>
    <mergeCell ref="A58:I58"/>
    <mergeCell ref="A98:I98"/>
    <mergeCell ref="A110:I110"/>
    <mergeCell ref="B111:G111"/>
    <mergeCell ref="B112:G112"/>
    <mergeCell ref="A114:I114"/>
    <mergeCell ref="A115:I115"/>
    <mergeCell ref="A116:I116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5"/>
  <sheetViews>
    <sheetView topLeftCell="A74" zoomScaleSheetLayoutView="80" workbookViewId="0">
      <selection activeCell="B101" sqref="B101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6.5703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165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254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44347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214</v>
      </c>
      <c r="E16" s="88">
        <v>70.7</v>
      </c>
      <c r="F16" s="89">
        <f>SUM(E16*156/100)</f>
        <v>110.292</v>
      </c>
      <c r="G16" s="89">
        <v>261.45</v>
      </c>
      <c r="H16" s="55">
        <f t="shared" ref="H16:H18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191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189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F18/18*2*G18</f>
        <v>5317.7712000000001</v>
      </c>
    </row>
    <row r="19" spans="1:9" ht="15.75" hidden="1" customHeight="1">
      <c r="A19" s="21">
        <v>4</v>
      </c>
      <c r="B19" s="39" t="s">
        <v>106</v>
      </c>
      <c r="C19" s="40" t="s">
        <v>107</v>
      </c>
      <c r="D19" s="39" t="s">
        <v>198</v>
      </c>
      <c r="E19" s="54">
        <v>40</v>
      </c>
      <c r="F19" s="41">
        <f>SUM(E19/10)</f>
        <v>4</v>
      </c>
      <c r="G19" s="41">
        <v>193.55</v>
      </c>
      <c r="H19" s="55">
        <f t="shared" ref="H19:H26" si="1">SUM(F19*G19/1000)</f>
        <v>0.7742</v>
      </c>
      <c r="I19" s="10">
        <f>F19*G19</f>
        <v>774.2</v>
      </c>
    </row>
    <row r="20" spans="1:9" ht="15.75" hidden="1" customHeight="1">
      <c r="A20" s="21">
        <v>5</v>
      </c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41">
        <v>247.82</v>
      </c>
      <c r="H20" s="55">
        <f t="shared" si="1"/>
        <v>5.2042199999999997E-2</v>
      </c>
      <c r="I20" s="10">
        <f t="shared" ref="I20:I21" si="2">F20/2*G20</f>
        <v>26.021099999999997</v>
      </c>
    </row>
    <row r="21" spans="1:9" ht="15.75" hidden="1" customHeight="1">
      <c r="A21" s="21">
        <v>6</v>
      </c>
      <c r="B21" s="39" t="s">
        <v>110</v>
      </c>
      <c r="C21" s="40" t="s">
        <v>84</v>
      </c>
      <c r="D21" s="39" t="s">
        <v>194</v>
      </c>
      <c r="E21" s="54">
        <v>2.7</v>
      </c>
      <c r="F21" s="41">
        <f>SUM(E21*2/100)</f>
        <v>5.4000000000000006E-2</v>
      </c>
      <c r="G21" s="41">
        <v>245.81</v>
      </c>
      <c r="H21" s="55">
        <f t="shared" si="1"/>
        <v>1.3273740000000003E-2</v>
      </c>
      <c r="I21" s="10">
        <f t="shared" si="2"/>
        <v>6.6368700000000009</v>
      </c>
    </row>
    <row r="22" spans="1:9" ht="15.75" hidden="1" customHeight="1">
      <c r="A22" s="21">
        <v>7</v>
      </c>
      <c r="B22" s="39" t="s">
        <v>111</v>
      </c>
      <c r="C22" s="40" t="s">
        <v>52</v>
      </c>
      <c r="D22" s="39" t="s">
        <v>194</v>
      </c>
      <c r="E22" s="54">
        <v>357</v>
      </c>
      <c r="F22" s="41">
        <f>SUM(E22/100)</f>
        <v>3.57</v>
      </c>
      <c r="G22" s="41">
        <v>306.26</v>
      </c>
      <c r="H22" s="55">
        <f t="shared" si="1"/>
        <v>1.0933481999999999</v>
      </c>
      <c r="I22" s="10">
        <f>F22*G22</f>
        <v>1093.3481999999999</v>
      </c>
    </row>
    <row r="23" spans="1:9" ht="15.75" hidden="1" customHeight="1">
      <c r="A23" s="21">
        <v>8</v>
      </c>
      <c r="B23" s="39" t="s">
        <v>112</v>
      </c>
      <c r="C23" s="40" t="s">
        <v>52</v>
      </c>
      <c r="D23" s="39" t="s">
        <v>194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1"/>
        <v>1.9462968000000001E-2</v>
      </c>
      <c r="I23" s="10">
        <f t="shared" ref="I23:I26" si="3">F23*G23</f>
        <v>19.462968</v>
      </c>
    </row>
    <row r="24" spans="1:9" ht="15.75" hidden="1" customHeight="1">
      <c r="A24" s="21">
        <v>9</v>
      </c>
      <c r="B24" s="39" t="s">
        <v>113</v>
      </c>
      <c r="C24" s="40" t="s">
        <v>52</v>
      </c>
      <c r="D24" s="39" t="s">
        <v>194</v>
      </c>
      <c r="E24" s="54">
        <v>15</v>
      </c>
      <c r="F24" s="41">
        <f>E24/100</f>
        <v>0.15</v>
      </c>
      <c r="G24" s="41">
        <v>443.27</v>
      </c>
      <c r="H24" s="55">
        <f t="shared" si="1"/>
        <v>6.6490499999999994E-2</v>
      </c>
      <c r="I24" s="10">
        <f t="shared" si="3"/>
        <v>66.490499999999997</v>
      </c>
    </row>
    <row r="25" spans="1:9" ht="15.75" hidden="1" customHeight="1">
      <c r="A25" s="21">
        <v>10</v>
      </c>
      <c r="B25" s="39" t="s">
        <v>119</v>
      </c>
      <c r="C25" s="40" t="s">
        <v>84</v>
      </c>
      <c r="D25" s="39" t="s">
        <v>194</v>
      </c>
      <c r="E25" s="54">
        <v>14.25</v>
      </c>
      <c r="F25" s="41">
        <v>0.1</v>
      </c>
      <c r="G25" s="41">
        <v>245.81</v>
      </c>
      <c r="H25" s="55">
        <v>3.1E-2</v>
      </c>
      <c r="I25" s="10">
        <f t="shared" si="3"/>
        <v>24.581000000000003</v>
      </c>
    </row>
    <row r="26" spans="1:9" ht="15.75" hidden="1" customHeight="1">
      <c r="A26" s="21">
        <v>11</v>
      </c>
      <c r="B26" s="39" t="s">
        <v>120</v>
      </c>
      <c r="C26" s="40" t="s">
        <v>52</v>
      </c>
      <c r="D26" s="39" t="s">
        <v>199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1"/>
        <v>3.7793205999999996E-2</v>
      </c>
      <c r="I26" s="10">
        <f t="shared" si="3"/>
        <v>37.793205999999998</v>
      </c>
    </row>
    <row r="27" spans="1:9" ht="15.75" hidden="1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10.39</v>
      </c>
      <c r="H27" s="55">
        <f>SUM(F27*G27/1000)</f>
        <v>13.9928364</v>
      </c>
      <c r="I27" s="10">
        <f>F27/12*G27</f>
        <v>1166.0697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15.75" customHeight="1">
      <c r="A30" s="21">
        <v>4</v>
      </c>
      <c r="B30" s="86" t="s">
        <v>92</v>
      </c>
      <c r="C30" s="87" t="s">
        <v>86</v>
      </c>
      <c r="D30" s="86" t="s">
        <v>188</v>
      </c>
      <c r="E30" s="89">
        <v>573.6</v>
      </c>
      <c r="F30" s="89">
        <f>E30*52/1000</f>
        <v>29.827200000000001</v>
      </c>
      <c r="G30" s="89">
        <v>232.4</v>
      </c>
      <c r="H30" s="55">
        <f t="shared" ref="H30:H35" si="4">SUM(F30*G30/1000)</f>
        <v>6.9318412800000004</v>
      </c>
      <c r="I30" s="10">
        <f>F30/6*G30</f>
        <v>1155.3068800000001</v>
      </c>
    </row>
    <row r="31" spans="1:9" ht="31.5" customHeight="1">
      <c r="A31" s="21">
        <v>5</v>
      </c>
      <c r="B31" s="86" t="s">
        <v>159</v>
      </c>
      <c r="C31" s="87" t="s">
        <v>86</v>
      </c>
      <c r="D31" s="86" t="s">
        <v>203</v>
      </c>
      <c r="E31" s="89">
        <v>200</v>
      </c>
      <c r="F31" s="89">
        <f>SUM(E31*72/1000)</f>
        <v>14.4</v>
      </c>
      <c r="G31" s="89">
        <v>385.6</v>
      </c>
      <c r="H31" s="55">
        <f t="shared" si="4"/>
        <v>5.5526400000000002</v>
      </c>
      <c r="I31" s="10">
        <f t="shared" ref="I31:I33" si="5">F31/6*G31</f>
        <v>925.44</v>
      </c>
    </row>
    <row r="32" spans="1:9" ht="15.75" customHeight="1">
      <c r="A32" s="21">
        <v>6</v>
      </c>
      <c r="B32" s="86" t="s">
        <v>27</v>
      </c>
      <c r="C32" s="87" t="s">
        <v>86</v>
      </c>
      <c r="D32" s="86" t="s">
        <v>194</v>
      </c>
      <c r="E32" s="89">
        <v>573.6</v>
      </c>
      <c r="F32" s="89">
        <f>SUM(E32/1000)</f>
        <v>0.5736</v>
      </c>
      <c r="G32" s="89">
        <v>4502.97</v>
      </c>
      <c r="H32" s="55">
        <f t="shared" si="4"/>
        <v>2.5829035920000001</v>
      </c>
      <c r="I32" s="10">
        <f>F32*G32</f>
        <v>2582.9035920000001</v>
      </c>
    </row>
    <row r="33" spans="1:9" ht="15.75" customHeight="1">
      <c r="A33" s="21">
        <v>7</v>
      </c>
      <c r="B33" s="86" t="s">
        <v>123</v>
      </c>
      <c r="C33" s="87" t="s">
        <v>40</v>
      </c>
      <c r="D33" s="86" t="s">
        <v>192</v>
      </c>
      <c r="E33" s="89">
        <v>1</v>
      </c>
      <c r="F33" s="89">
        <v>1.55</v>
      </c>
      <c r="G33" s="89">
        <v>1941.17</v>
      </c>
      <c r="H33" s="55">
        <f>G33*F33/1000</f>
        <v>3.0088135</v>
      </c>
      <c r="I33" s="10">
        <f t="shared" si="5"/>
        <v>501.46891666666676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4"/>
      <c r="F34" s="41">
        <v>3</v>
      </c>
      <c r="G34" s="41">
        <v>217.61</v>
      </c>
      <c r="H34" s="55">
        <f t="shared" si="4"/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4"/>
      <c r="F35" s="41">
        <v>2</v>
      </c>
      <c r="G35" s="41">
        <v>1292.47</v>
      </c>
      <c r="H35" s="55">
        <f t="shared" si="4"/>
        <v>2.58494</v>
      </c>
      <c r="I35" s="10">
        <v>0</v>
      </c>
    </row>
    <row r="36" spans="1:9" ht="15.75" hidden="1" customHeight="1">
      <c r="A36" s="21"/>
      <c r="B36" s="74" t="s">
        <v>5</v>
      </c>
      <c r="C36" s="40"/>
      <c r="D36" s="39"/>
      <c r="E36" s="54"/>
      <c r="F36" s="41"/>
      <c r="G36" s="41"/>
      <c r="H36" s="55" t="s">
        <v>155</v>
      </c>
      <c r="I36" s="58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4"/>
      <c r="F37" s="41">
        <v>8</v>
      </c>
      <c r="G37" s="41">
        <v>1737.08</v>
      </c>
      <c r="H37" s="55">
        <f t="shared" ref="H37:H43" si="6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100</v>
      </c>
      <c r="E38" s="41">
        <v>200</v>
      </c>
      <c r="F38" s="41">
        <f>SUM(E38*30/1000)</f>
        <v>6</v>
      </c>
      <c r="G38" s="41">
        <v>2391.67</v>
      </c>
      <c r="H38" s="55">
        <f t="shared" si="6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124</v>
      </c>
      <c r="C39" s="40" t="s">
        <v>54</v>
      </c>
      <c r="D39" s="39"/>
      <c r="E39" s="54"/>
      <c r="F39" s="41">
        <v>130</v>
      </c>
      <c r="G39" s="41">
        <v>226.84</v>
      </c>
      <c r="H39" s="55">
        <f t="shared" si="6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85</v>
      </c>
      <c r="E40" s="41">
        <v>60</v>
      </c>
      <c r="F40" s="41">
        <f>SUM(E40*155/1000)</f>
        <v>9.3000000000000007</v>
      </c>
      <c r="G40" s="41">
        <v>398.95</v>
      </c>
      <c r="H40" s="55">
        <f t="shared" si="6"/>
        <v>3.7102349999999999</v>
      </c>
      <c r="I40" s="10">
        <f t="shared" ref="I40:I43" si="7">F40/6*G40</f>
        <v>618.37249999999995</v>
      </c>
    </row>
    <row r="41" spans="1:9" ht="47.25" hidden="1" customHeight="1">
      <c r="A41" s="21">
        <v>9</v>
      </c>
      <c r="B41" s="39" t="s">
        <v>82</v>
      </c>
      <c r="C41" s="40" t="s">
        <v>86</v>
      </c>
      <c r="D41" s="39" t="s">
        <v>125</v>
      </c>
      <c r="E41" s="41">
        <v>40.9</v>
      </c>
      <c r="F41" s="41">
        <f>SUM(E41*35/1000)</f>
        <v>1.4315</v>
      </c>
      <c r="G41" s="41">
        <v>6600.74</v>
      </c>
      <c r="H41" s="55">
        <f t="shared" si="6"/>
        <v>9.4489593099999993</v>
      </c>
      <c r="I41" s="10">
        <f t="shared" si="7"/>
        <v>1574.8265516666668</v>
      </c>
    </row>
    <row r="42" spans="1:9" ht="15.75" hidden="1" customHeight="1">
      <c r="A42" s="21">
        <v>10</v>
      </c>
      <c r="B42" s="39" t="s">
        <v>87</v>
      </c>
      <c r="C42" s="40" t="s">
        <v>86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5">
        <f t="shared" si="6"/>
        <v>1.3165470000000001</v>
      </c>
      <c r="I42" s="10">
        <f t="shared" si="7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4"/>
      <c r="F43" s="41">
        <v>0.9</v>
      </c>
      <c r="G43" s="41">
        <v>907.65</v>
      </c>
      <c r="H43" s="55">
        <f t="shared" si="6"/>
        <v>0.81688499999999997</v>
      </c>
      <c r="I43" s="10">
        <f t="shared" si="7"/>
        <v>136.14749999999998</v>
      </c>
    </row>
    <row r="44" spans="1:9" ht="15.75" customHeight="1">
      <c r="A44" s="148" t="s">
        <v>148</v>
      </c>
      <c r="B44" s="149"/>
      <c r="C44" s="149"/>
      <c r="D44" s="149"/>
      <c r="E44" s="149"/>
      <c r="F44" s="149"/>
      <c r="G44" s="149"/>
      <c r="H44" s="149"/>
      <c r="I44" s="150"/>
    </row>
    <row r="45" spans="1:9" ht="15.75" customHeight="1">
      <c r="A45" s="21">
        <v>8</v>
      </c>
      <c r="B45" s="86" t="s">
        <v>156</v>
      </c>
      <c r="C45" s="87" t="s">
        <v>86</v>
      </c>
      <c r="D45" s="86" t="s">
        <v>194</v>
      </c>
      <c r="E45" s="88">
        <v>1300.5</v>
      </c>
      <c r="F45" s="89">
        <f>SUM(E45/1000)*2</f>
        <v>2.601</v>
      </c>
      <c r="G45" s="26">
        <v>1173.18</v>
      </c>
      <c r="H45" s="55">
        <f t="shared" ref="H45:H55" si="8">SUM(F45*G45/1000)</f>
        <v>3.0514411800000003</v>
      </c>
      <c r="I45" s="10">
        <f t="shared" ref="I45:I48" si="9">F45/2*G45</f>
        <v>1525.7205900000001</v>
      </c>
    </row>
    <row r="46" spans="1:9" ht="15.75" customHeight="1">
      <c r="A46" s="21">
        <v>9</v>
      </c>
      <c r="B46" s="86" t="s">
        <v>35</v>
      </c>
      <c r="C46" s="87" t="s">
        <v>86</v>
      </c>
      <c r="D46" s="86" t="s">
        <v>194</v>
      </c>
      <c r="E46" s="88">
        <v>52</v>
      </c>
      <c r="F46" s="89">
        <f>SUM(E46*2/1000)</f>
        <v>0.104</v>
      </c>
      <c r="G46" s="26">
        <v>863.92</v>
      </c>
      <c r="H46" s="55">
        <f t="shared" si="8"/>
        <v>8.9847679999999999E-2</v>
      </c>
      <c r="I46" s="10">
        <f t="shared" si="9"/>
        <v>44.923839999999998</v>
      </c>
    </row>
    <row r="47" spans="1:9" ht="15.75" customHeight="1">
      <c r="A47" s="21">
        <v>10</v>
      </c>
      <c r="B47" s="86" t="s">
        <v>36</v>
      </c>
      <c r="C47" s="87" t="s">
        <v>86</v>
      </c>
      <c r="D47" s="86" t="s">
        <v>194</v>
      </c>
      <c r="E47" s="88">
        <v>1483.1</v>
      </c>
      <c r="F47" s="89">
        <f>SUM(E47*2/1000)</f>
        <v>2.9661999999999997</v>
      </c>
      <c r="G47" s="26">
        <v>863.92</v>
      </c>
      <c r="H47" s="55">
        <f t="shared" si="8"/>
        <v>2.5625595039999998</v>
      </c>
      <c r="I47" s="10">
        <f t="shared" si="9"/>
        <v>1281.2797519999999</v>
      </c>
    </row>
    <row r="48" spans="1:9" ht="15.75" customHeight="1">
      <c r="A48" s="21">
        <v>11</v>
      </c>
      <c r="B48" s="86" t="s">
        <v>37</v>
      </c>
      <c r="C48" s="87" t="s">
        <v>86</v>
      </c>
      <c r="D48" s="86" t="s">
        <v>194</v>
      </c>
      <c r="E48" s="88">
        <v>2320</v>
      </c>
      <c r="F48" s="89">
        <f>SUM(E48*2/1000)</f>
        <v>4.6399999999999997</v>
      </c>
      <c r="G48" s="26">
        <v>904.65</v>
      </c>
      <c r="H48" s="55">
        <f t="shared" si="8"/>
        <v>4.1975759999999998</v>
      </c>
      <c r="I48" s="10">
        <f t="shared" si="9"/>
        <v>2098.788</v>
      </c>
    </row>
    <row r="49" spans="1:9" ht="15.75" customHeight="1">
      <c r="A49" s="21">
        <v>12</v>
      </c>
      <c r="B49" s="86" t="s">
        <v>33</v>
      </c>
      <c r="C49" s="87" t="s">
        <v>34</v>
      </c>
      <c r="D49" s="86" t="s">
        <v>194</v>
      </c>
      <c r="E49" s="88">
        <v>91.84</v>
      </c>
      <c r="F49" s="89">
        <f>SUM(E49*2/100)</f>
        <v>1.8368</v>
      </c>
      <c r="G49" s="26">
        <v>108.55</v>
      </c>
      <c r="H49" s="55">
        <f t="shared" si="8"/>
        <v>0.19938464</v>
      </c>
      <c r="I49" s="10">
        <f>F49/2*G49</f>
        <v>99.692319999999995</v>
      </c>
    </row>
    <row r="50" spans="1:9" ht="15.75" customHeight="1">
      <c r="A50" s="21">
        <v>13</v>
      </c>
      <c r="B50" s="86" t="s">
        <v>55</v>
      </c>
      <c r="C50" s="87" t="s">
        <v>86</v>
      </c>
      <c r="D50" s="86" t="s">
        <v>194</v>
      </c>
      <c r="E50" s="88">
        <v>1040.4000000000001</v>
      </c>
      <c r="F50" s="89">
        <f>SUM(E50*5/1000)</f>
        <v>5.202</v>
      </c>
      <c r="G50" s="26">
        <v>1809.27</v>
      </c>
      <c r="H50" s="55">
        <f>SUM(F50*G50/1000)</f>
        <v>9.4118225399999993</v>
      </c>
      <c r="I50" s="10">
        <f>F50/5*G50</f>
        <v>1882.3645079999999</v>
      </c>
    </row>
    <row r="51" spans="1:9" ht="30.75" customHeight="1">
      <c r="A51" s="21">
        <v>14</v>
      </c>
      <c r="B51" s="86" t="s">
        <v>88</v>
      </c>
      <c r="C51" s="87" t="s">
        <v>86</v>
      </c>
      <c r="D51" s="86" t="s">
        <v>194</v>
      </c>
      <c r="E51" s="88">
        <v>1040.4000000000001</v>
      </c>
      <c r="F51" s="89">
        <f>SUM(E51*2/1000)</f>
        <v>2.0808</v>
      </c>
      <c r="G51" s="26">
        <v>1809.27</v>
      </c>
      <c r="H51" s="55">
        <f t="shared" si="8"/>
        <v>3.764729016</v>
      </c>
      <c r="I51" s="10">
        <f>F51/2*G51</f>
        <v>1882.3645079999999</v>
      </c>
    </row>
    <row r="52" spans="1:9" ht="30.75" customHeight="1">
      <c r="A52" s="21">
        <v>15</v>
      </c>
      <c r="B52" s="86" t="s">
        <v>89</v>
      </c>
      <c r="C52" s="87" t="s">
        <v>38</v>
      </c>
      <c r="D52" s="86" t="s">
        <v>194</v>
      </c>
      <c r="E52" s="88">
        <v>20</v>
      </c>
      <c r="F52" s="89">
        <f>SUM(E52*2/100)</f>
        <v>0.4</v>
      </c>
      <c r="G52" s="26">
        <v>4070.89</v>
      </c>
      <c r="H52" s="55">
        <f t="shared" si="8"/>
        <v>1.6283559999999999</v>
      </c>
      <c r="I52" s="10">
        <f t="shared" ref="I52:I53" si="10">F52/2*G52</f>
        <v>814.178</v>
      </c>
    </row>
    <row r="53" spans="1:9" ht="21.75" customHeight="1">
      <c r="A53" s="21">
        <v>16</v>
      </c>
      <c r="B53" s="86" t="s">
        <v>39</v>
      </c>
      <c r="C53" s="87" t="s">
        <v>40</v>
      </c>
      <c r="D53" s="86" t="s">
        <v>194</v>
      </c>
      <c r="E53" s="88">
        <v>1</v>
      </c>
      <c r="F53" s="89">
        <v>0.02</v>
      </c>
      <c r="G53" s="26">
        <v>8426.7199999999993</v>
      </c>
      <c r="H53" s="55">
        <f t="shared" si="8"/>
        <v>0.16853439999999997</v>
      </c>
      <c r="I53" s="10">
        <f t="shared" si="10"/>
        <v>84.267199999999988</v>
      </c>
    </row>
    <row r="54" spans="1:9" ht="15.75" customHeight="1">
      <c r="A54" s="21">
        <v>17</v>
      </c>
      <c r="B54" s="86" t="s">
        <v>98</v>
      </c>
      <c r="C54" s="87" t="s">
        <v>93</v>
      </c>
      <c r="D54" s="134">
        <v>44334</v>
      </c>
      <c r="E54" s="88">
        <v>56</v>
      </c>
      <c r="F54" s="89">
        <f>SUM(E54*3)</f>
        <v>168</v>
      </c>
      <c r="G54" s="102">
        <v>210.4</v>
      </c>
      <c r="H54" s="55">
        <f t="shared" si="8"/>
        <v>35.347200000000001</v>
      </c>
      <c r="I54" s="10">
        <f>E54*G54</f>
        <v>11782.4</v>
      </c>
    </row>
    <row r="55" spans="1:9" ht="15.75" customHeight="1">
      <c r="A55" s="21">
        <v>18</v>
      </c>
      <c r="B55" s="86" t="s">
        <v>41</v>
      </c>
      <c r="C55" s="87" t="s">
        <v>93</v>
      </c>
      <c r="D55" s="134">
        <v>44334</v>
      </c>
      <c r="E55" s="88">
        <v>112</v>
      </c>
      <c r="F55" s="89">
        <f>SUM(E55)*3</f>
        <v>336</v>
      </c>
      <c r="G55" s="102">
        <v>97.93</v>
      </c>
      <c r="H55" s="55">
        <f t="shared" si="8"/>
        <v>32.904480000000007</v>
      </c>
      <c r="I55" s="10">
        <f>E55*G55</f>
        <v>10968.16</v>
      </c>
    </row>
    <row r="56" spans="1:9" ht="15.75" customHeight="1">
      <c r="A56" s="148" t="s">
        <v>149</v>
      </c>
      <c r="B56" s="149"/>
      <c r="C56" s="149"/>
      <c r="D56" s="149"/>
      <c r="E56" s="149"/>
      <c r="F56" s="149"/>
      <c r="G56" s="149"/>
      <c r="H56" s="149"/>
      <c r="I56" s="150"/>
    </row>
    <row r="57" spans="1:9" ht="15.75" hidden="1" customHeight="1">
      <c r="A57" s="21"/>
      <c r="B57" s="74" t="s">
        <v>43</v>
      </c>
      <c r="C57" s="40"/>
      <c r="D57" s="39"/>
      <c r="E57" s="54"/>
      <c r="F57" s="41"/>
      <c r="G57" s="41"/>
      <c r="H57" s="55"/>
      <c r="I57" s="58"/>
    </row>
    <row r="58" spans="1:9" ht="31.5" hidden="1" customHeight="1">
      <c r="A58" s="21">
        <v>15</v>
      </c>
      <c r="B58" s="39" t="s">
        <v>101</v>
      </c>
      <c r="C58" s="40" t="s">
        <v>84</v>
      </c>
      <c r="D58" s="39" t="s">
        <v>157</v>
      </c>
      <c r="E58" s="54">
        <v>142.05000000000001</v>
      </c>
      <c r="F58" s="41">
        <f>SUM(E58*6/100)</f>
        <v>8.5230000000000015</v>
      </c>
      <c r="G58" s="10">
        <v>2108.4299999999998</v>
      </c>
      <c r="H58" s="55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4" t="s">
        <v>44</v>
      </c>
      <c r="C59" s="40"/>
      <c r="D59" s="39"/>
      <c r="E59" s="54"/>
      <c r="F59" s="55"/>
      <c r="G59" s="10"/>
      <c r="H59" s="61"/>
      <c r="I59" s="58"/>
    </row>
    <row r="60" spans="1:9" ht="15.75" hidden="1" customHeight="1">
      <c r="A60" s="21"/>
      <c r="B60" s="39" t="s">
        <v>158</v>
      </c>
      <c r="C60" s="40" t="s">
        <v>84</v>
      </c>
      <c r="D60" s="39" t="s">
        <v>53</v>
      </c>
      <c r="E60" s="54">
        <v>1040.4000000000001</v>
      </c>
      <c r="F60" s="55">
        <f>E60/100</f>
        <v>10.404000000000002</v>
      </c>
      <c r="G60" s="10">
        <v>902.66</v>
      </c>
      <c r="H60" s="61">
        <f>G60*F60/1000</f>
        <v>9.3912746400000007</v>
      </c>
      <c r="I60" s="10">
        <v>0</v>
      </c>
    </row>
    <row r="61" spans="1:9" ht="15.75" customHeight="1">
      <c r="A61" s="21">
        <v>19</v>
      </c>
      <c r="B61" s="39" t="s">
        <v>126</v>
      </c>
      <c r="C61" s="40" t="s">
        <v>25</v>
      </c>
      <c r="D61" s="39" t="s">
        <v>194</v>
      </c>
      <c r="E61" s="54">
        <v>240</v>
      </c>
      <c r="F61" s="41">
        <v>2400</v>
      </c>
      <c r="G61" s="49">
        <v>1.4</v>
      </c>
      <c r="H61" s="55">
        <f>F61*G61/1000</f>
        <v>3.36</v>
      </c>
      <c r="I61" s="10">
        <f>F61/12*G61</f>
        <v>280</v>
      </c>
    </row>
    <row r="62" spans="1:9" ht="15.75" customHeight="1">
      <c r="A62" s="21"/>
      <c r="B62" s="75" t="s">
        <v>45</v>
      </c>
      <c r="C62" s="62"/>
      <c r="D62" s="63"/>
      <c r="E62" s="64"/>
      <c r="F62" s="65"/>
      <c r="G62" s="65"/>
      <c r="H62" s="66" t="s">
        <v>155</v>
      </c>
      <c r="I62" s="58"/>
    </row>
    <row r="63" spans="1:9" ht="15.75" hidden="1" customHeight="1">
      <c r="A63" s="21">
        <v>27</v>
      </c>
      <c r="B63" s="112" t="s">
        <v>46</v>
      </c>
      <c r="C63" s="108" t="s">
        <v>185</v>
      </c>
      <c r="D63" s="85" t="s">
        <v>200</v>
      </c>
      <c r="E63" s="14">
        <v>15</v>
      </c>
      <c r="F63" s="89">
        <f>15/100</f>
        <v>0.15</v>
      </c>
      <c r="G63" s="26">
        <v>252.96</v>
      </c>
      <c r="H63" s="49"/>
      <c r="I63" s="10">
        <f>G63*3</f>
        <v>758.88</v>
      </c>
    </row>
    <row r="64" spans="1:9" ht="22.5" hidden="1" customHeight="1">
      <c r="A64" s="21"/>
      <c r="B64" s="109" t="s">
        <v>47</v>
      </c>
      <c r="C64" s="110" t="s">
        <v>40</v>
      </c>
      <c r="D64" s="111" t="s">
        <v>65</v>
      </c>
      <c r="E64" s="15">
        <v>10</v>
      </c>
      <c r="F64" s="41">
        <f>10/100</f>
        <v>0.1</v>
      </c>
      <c r="G64" s="10">
        <v>86.74</v>
      </c>
      <c r="H64" s="67">
        <f t="shared" ref="H64:H82" si="11">SUM(F64*G64/1000)</f>
        <v>8.6739999999999994E-3</v>
      </c>
      <c r="I64" s="10">
        <v>0</v>
      </c>
    </row>
    <row r="65" spans="1:9" ht="15.75" hidden="1" customHeight="1">
      <c r="A65" s="21">
        <v>29</v>
      </c>
      <c r="B65" s="11" t="s">
        <v>48</v>
      </c>
      <c r="C65" s="13" t="s">
        <v>94</v>
      </c>
      <c r="D65" s="11" t="s">
        <v>53</v>
      </c>
      <c r="E65" s="54">
        <v>17532</v>
      </c>
      <c r="F65" s="10">
        <f>SUM(E65/100)</f>
        <v>175.32</v>
      </c>
      <c r="G65" s="10">
        <v>241.31</v>
      </c>
      <c r="H65" s="67">
        <f t="shared" si="11"/>
        <v>42.306469200000002</v>
      </c>
      <c r="I65" s="10">
        <f>F65*G65</f>
        <v>42306.4692</v>
      </c>
    </row>
    <row r="66" spans="1:9" ht="15.75" hidden="1" customHeight="1">
      <c r="A66" s="21">
        <v>30</v>
      </c>
      <c r="B66" s="11" t="s">
        <v>49</v>
      </c>
      <c r="C66" s="13" t="s">
        <v>95</v>
      </c>
      <c r="D66" s="11"/>
      <c r="E66" s="54">
        <v>17532</v>
      </c>
      <c r="F66" s="10">
        <f>SUM(E66/1000)</f>
        <v>17.532</v>
      </c>
      <c r="G66" s="10">
        <v>187.91</v>
      </c>
      <c r="H66" s="67">
        <f t="shared" si="11"/>
        <v>3.2944381199999997</v>
      </c>
      <c r="I66" s="10">
        <f>F66*G66</f>
        <v>3294.4381199999998</v>
      </c>
    </row>
    <row r="67" spans="1:9" ht="15.75" hidden="1" customHeight="1">
      <c r="A67" s="21">
        <v>31</v>
      </c>
      <c r="B67" s="11" t="s">
        <v>50</v>
      </c>
      <c r="C67" s="13" t="s">
        <v>77</v>
      </c>
      <c r="D67" s="11" t="s">
        <v>53</v>
      </c>
      <c r="E67" s="54">
        <v>1365</v>
      </c>
      <c r="F67" s="10">
        <f>SUM(E67/100)</f>
        <v>13.65</v>
      </c>
      <c r="G67" s="10">
        <v>2359.7199999999998</v>
      </c>
      <c r="H67" s="67">
        <f t="shared" si="11"/>
        <v>32.210177999999999</v>
      </c>
      <c r="I67" s="10">
        <f t="shared" ref="I67:I70" si="12">F67*G67</f>
        <v>32210.178</v>
      </c>
    </row>
    <row r="68" spans="1:9" ht="15.75" hidden="1" customHeight="1">
      <c r="A68" s="21">
        <v>32</v>
      </c>
      <c r="B68" s="68" t="s">
        <v>71</v>
      </c>
      <c r="C68" s="13" t="s">
        <v>32</v>
      </c>
      <c r="D68" s="11"/>
      <c r="E68" s="54">
        <v>15.6</v>
      </c>
      <c r="F68" s="10">
        <f>SUM(E68)</f>
        <v>15.6</v>
      </c>
      <c r="G68" s="10">
        <v>45.4</v>
      </c>
      <c r="H68" s="67">
        <f t="shared" si="11"/>
        <v>0.70823999999999998</v>
      </c>
      <c r="I68" s="10">
        <f t="shared" si="12"/>
        <v>708.24</v>
      </c>
    </row>
    <row r="69" spans="1:9" ht="15.75" hidden="1" customHeight="1">
      <c r="A69" s="21">
        <v>33</v>
      </c>
      <c r="B69" s="68" t="s">
        <v>161</v>
      </c>
      <c r="C69" s="13" t="s">
        <v>32</v>
      </c>
      <c r="D69" s="11"/>
      <c r="E69" s="54">
        <v>15.6</v>
      </c>
      <c r="F69" s="10">
        <f>SUM(E69)</f>
        <v>15.6</v>
      </c>
      <c r="G69" s="10">
        <v>42.35</v>
      </c>
      <c r="H69" s="67">
        <f t="shared" si="11"/>
        <v>0.66065999999999991</v>
      </c>
      <c r="I69" s="10">
        <f t="shared" si="12"/>
        <v>660.66</v>
      </c>
    </row>
    <row r="70" spans="1:9" ht="15.75" hidden="1" customHeight="1">
      <c r="A70" s="21"/>
      <c r="B70" s="11" t="s">
        <v>56</v>
      </c>
      <c r="C70" s="13" t="s">
        <v>57</v>
      </c>
      <c r="D70" s="11" t="s">
        <v>53</v>
      </c>
      <c r="E70" s="15">
        <v>4</v>
      </c>
      <c r="F70" s="41">
        <f>SUM(E70)</f>
        <v>4</v>
      </c>
      <c r="G70" s="10">
        <v>56.74</v>
      </c>
      <c r="H70" s="67">
        <f t="shared" si="11"/>
        <v>0.22696</v>
      </c>
      <c r="I70" s="10">
        <f t="shared" si="12"/>
        <v>226.96</v>
      </c>
    </row>
    <row r="71" spans="1:9" ht="15.75" customHeight="1">
      <c r="A71" s="21">
        <v>20</v>
      </c>
      <c r="B71" s="11" t="s">
        <v>127</v>
      </c>
      <c r="C71" s="13" t="s">
        <v>57</v>
      </c>
      <c r="D71" s="11" t="s">
        <v>195</v>
      </c>
      <c r="E71" s="15">
        <v>1</v>
      </c>
      <c r="F71" s="49">
        <v>12</v>
      </c>
      <c r="G71" s="26">
        <v>1829</v>
      </c>
      <c r="H71" s="67">
        <f t="shared" si="11"/>
        <v>21.948</v>
      </c>
      <c r="I71" s="10">
        <f>G71</f>
        <v>1829</v>
      </c>
    </row>
    <row r="72" spans="1:9" ht="15.75" customHeight="1">
      <c r="A72" s="21"/>
      <c r="B72" s="76" t="s">
        <v>102</v>
      </c>
      <c r="C72" s="72"/>
      <c r="D72" s="23"/>
      <c r="E72" s="24"/>
      <c r="F72" s="71"/>
      <c r="G72" s="71"/>
      <c r="H72" s="69"/>
      <c r="I72" s="57"/>
    </row>
    <row r="73" spans="1:9" ht="33.75" customHeight="1">
      <c r="A73" s="21">
        <v>21</v>
      </c>
      <c r="B73" s="100" t="s">
        <v>205</v>
      </c>
      <c r="C73" s="101" t="s">
        <v>206</v>
      </c>
      <c r="D73" s="112"/>
      <c r="E73" s="122">
        <v>3455.3</v>
      </c>
      <c r="F73" s="102">
        <f>E73*12</f>
        <v>41463.600000000006</v>
      </c>
      <c r="G73" s="102">
        <v>2.6</v>
      </c>
      <c r="H73" s="67">
        <f t="shared" ref="H73" si="13">F73*G73/1000</f>
        <v>107.80536000000002</v>
      </c>
      <c r="I73" s="10">
        <f>G73*F73/12</f>
        <v>8983.7800000000007</v>
      </c>
    </row>
    <row r="74" spans="1:9" ht="15.75" customHeight="1">
      <c r="A74" s="21"/>
      <c r="B74" s="43" t="s">
        <v>72</v>
      </c>
      <c r="C74" s="13"/>
      <c r="D74" s="11"/>
      <c r="E74" s="15"/>
      <c r="F74" s="10"/>
      <c r="G74" s="10"/>
      <c r="H74" s="67" t="s">
        <v>155</v>
      </c>
      <c r="I74" s="58"/>
    </row>
    <row r="75" spans="1:9" ht="15.75" hidden="1" customHeight="1">
      <c r="A75" s="21"/>
      <c r="B75" s="11" t="s">
        <v>128</v>
      </c>
      <c r="C75" s="13" t="s">
        <v>30</v>
      </c>
      <c r="D75" s="39" t="s">
        <v>65</v>
      </c>
      <c r="E75" s="15">
        <v>2</v>
      </c>
      <c r="F75" s="10">
        <v>2</v>
      </c>
      <c r="G75" s="10">
        <v>892.5</v>
      </c>
      <c r="H75" s="67">
        <f>G75*F75/1000</f>
        <v>1.7849999999999999</v>
      </c>
      <c r="I75" s="10">
        <v>0</v>
      </c>
    </row>
    <row r="76" spans="1:9" ht="15.75" hidden="1" customHeight="1">
      <c r="A76" s="21"/>
      <c r="B76" s="11" t="s">
        <v>114</v>
      </c>
      <c r="C76" s="13" t="s">
        <v>129</v>
      </c>
      <c r="D76" s="11"/>
      <c r="E76" s="15">
        <v>1</v>
      </c>
      <c r="F76" s="10">
        <v>1</v>
      </c>
      <c r="G76" s="10">
        <v>750</v>
      </c>
      <c r="H76" s="67">
        <f>G76*F76/1000</f>
        <v>0.75</v>
      </c>
      <c r="I76" s="10">
        <v>0</v>
      </c>
    </row>
    <row r="77" spans="1:9" ht="15.75" hidden="1" customHeight="1">
      <c r="A77" s="21">
        <v>35</v>
      </c>
      <c r="B77" s="11" t="s">
        <v>73</v>
      </c>
      <c r="C77" s="13" t="s">
        <v>75</v>
      </c>
      <c r="D77" s="11"/>
      <c r="E77" s="15">
        <v>2</v>
      </c>
      <c r="F77" s="10">
        <v>0.2</v>
      </c>
      <c r="G77" s="10">
        <v>570.54</v>
      </c>
      <c r="H77" s="67">
        <f t="shared" si="11"/>
        <v>0.114108</v>
      </c>
      <c r="I77" s="10">
        <f>G77*0.6</f>
        <v>342.32399999999996</v>
      </c>
    </row>
    <row r="78" spans="1:9" ht="15.75" hidden="1" customHeight="1">
      <c r="A78" s="21"/>
      <c r="B78" s="11" t="s">
        <v>74</v>
      </c>
      <c r="C78" s="13" t="s">
        <v>30</v>
      </c>
      <c r="D78" s="11"/>
      <c r="E78" s="15">
        <v>1</v>
      </c>
      <c r="F78" s="49">
        <v>1</v>
      </c>
      <c r="G78" s="10">
        <v>970.21</v>
      </c>
      <c r="H78" s="67">
        <f t="shared" si="11"/>
        <v>0.97021000000000002</v>
      </c>
      <c r="I78" s="10">
        <v>0</v>
      </c>
    </row>
    <row r="79" spans="1:9" ht="15.75" hidden="1" customHeight="1">
      <c r="A79" s="21"/>
      <c r="B79" s="11" t="s">
        <v>130</v>
      </c>
      <c r="C79" s="13" t="s">
        <v>93</v>
      </c>
      <c r="D79" s="11"/>
      <c r="E79" s="15">
        <v>1</v>
      </c>
      <c r="F79" s="41">
        <f>SUM(E79)</f>
        <v>1</v>
      </c>
      <c r="G79" s="10">
        <v>407.79</v>
      </c>
      <c r="H79" s="67">
        <f t="shared" si="11"/>
        <v>0.40779000000000004</v>
      </c>
      <c r="I79" s="10">
        <v>0</v>
      </c>
    </row>
    <row r="80" spans="1:9" ht="15.75" customHeight="1">
      <c r="A80" s="21">
        <v>22</v>
      </c>
      <c r="B80" s="85" t="s">
        <v>207</v>
      </c>
      <c r="C80" s="108" t="s">
        <v>93</v>
      </c>
      <c r="D80" s="85" t="s">
        <v>195</v>
      </c>
      <c r="E80" s="14">
        <v>1</v>
      </c>
      <c r="F80" s="26">
        <f>E80*12</f>
        <v>12</v>
      </c>
      <c r="G80" s="26">
        <v>420</v>
      </c>
      <c r="H80" s="67">
        <f>G80*F80/1000</f>
        <v>5.04</v>
      </c>
      <c r="I80" s="10">
        <f>G80*1</f>
        <v>420</v>
      </c>
    </row>
    <row r="81" spans="1:9" ht="15.75" hidden="1" customHeight="1">
      <c r="A81" s="21"/>
      <c r="B81" s="72" t="s">
        <v>76</v>
      </c>
      <c r="C81" s="13"/>
      <c r="D81" s="11"/>
      <c r="E81" s="15"/>
      <c r="F81" s="10"/>
      <c r="G81" s="10" t="s">
        <v>155</v>
      </c>
      <c r="H81" s="67" t="s">
        <v>155</v>
      </c>
      <c r="I81" s="58"/>
    </row>
    <row r="82" spans="1:9" ht="15.75" hidden="1" customHeight="1">
      <c r="A82" s="21"/>
      <c r="B82" s="34" t="s">
        <v>99</v>
      </c>
      <c r="C82" s="13" t="s">
        <v>77</v>
      </c>
      <c r="D82" s="11"/>
      <c r="E82" s="15"/>
      <c r="F82" s="10">
        <v>0.6</v>
      </c>
      <c r="G82" s="10">
        <v>3138.65</v>
      </c>
      <c r="H82" s="67">
        <f t="shared" si="11"/>
        <v>1.8831900000000001</v>
      </c>
      <c r="I82" s="10">
        <v>0</v>
      </c>
    </row>
    <row r="83" spans="1:9" ht="15.75" hidden="1" customHeight="1">
      <c r="A83" s="21"/>
      <c r="B83" s="43" t="s">
        <v>90</v>
      </c>
      <c r="C83" s="13"/>
      <c r="D83" s="11"/>
      <c r="E83" s="50"/>
      <c r="F83" s="10"/>
      <c r="G83" s="10"/>
      <c r="H83" s="67"/>
      <c r="I83" s="10"/>
    </row>
    <row r="84" spans="1:9" ht="15.75" hidden="1" customHeight="1">
      <c r="A84" s="21"/>
      <c r="B84" s="39" t="s">
        <v>96</v>
      </c>
      <c r="C84" s="13"/>
      <c r="D84" s="11"/>
      <c r="E84" s="50"/>
      <c r="F84" s="10">
        <v>1</v>
      </c>
      <c r="G84" s="10">
        <v>21095</v>
      </c>
      <c r="H84" s="67">
        <f>G84*F84/1000</f>
        <v>21.094999999999999</v>
      </c>
      <c r="I84" s="10">
        <v>0</v>
      </c>
    </row>
    <row r="85" spans="1:9" ht="15.75" hidden="1" customHeight="1">
      <c r="A85" s="21"/>
      <c r="B85" s="76" t="s">
        <v>102</v>
      </c>
      <c r="C85" s="72"/>
      <c r="D85" s="23"/>
      <c r="E85" s="24"/>
      <c r="F85" s="71"/>
      <c r="G85" s="71"/>
      <c r="H85" s="69"/>
      <c r="I85" s="57"/>
    </row>
    <row r="86" spans="1:9" ht="31.5" hidden="1" customHeight="1">
      <c r="A86" s="21"/>
      <c r="B86" s="73" t="s">
        <v>131</v>
      </c>
      <c r="C86" s="13" t="s">
        <v>132</v>
      </c>
      <c r="D86" s="39" t="s">
        <v>65</v>
      </c>
      <c r="E86" s="15">
        <v>10</v>
      </c>
      <c r="F86" s="10">
        <v>10</v>
      </c>
      <c r="G86" s="10">
        <v>271.88</v>
      </c>
      <c r="H86" s="67">
        <f t="shared" ref="H86:H99" si="14">F86*G86/1000</f>
        <v>2.7188000000000003</v>
      </c>
      <c r="I86" s="10">
        <v>0</v>
      </c>
    </row>
    <row r="87" spans="1:9" ht="19.5" hidden="1" customHeight="1">
      <c r="A87" s="21">
        <v>20</v>
      </c>
      <c r="B87" s="73" t="s">
        <v>103</v>
      </c>
      <c r="C87" s="13" t="s">
        <v>80</v>
      </c>
      <c r="D87" s="39"/>
      <c r="E87" s="15">
        <v>100</v>
      </c>
      <c r="F87" s="10">
        <v>100</v>
      </c>
      <c r="G87" s="10">
        <v>111.84</v>
      </c>
      <c r="H87" s="67">
        <f t="shared" si="14"/>
        <v>11.183999999999999</v>
      </c>
      <c r="I87" s="10">
        <f>G87*6</f>
        <v>671.04</v>
      </c>
    </row>
    <row r="88" spans="1:9" ht="21.75" hidden="1" customHeight="1">
      <c r="A88" s="21">
        <v>36</v>
      </c>
      <c r="B88" s="73" t="s">
        <v>133</v>
      </c>
      <c r="C88" s="13" t="s">
        <v>134</v>
      </c>
      <c r="D88" s="39" t="s">
        <v>65</v>
      </c>
      <c r="E88" s="15">
        <v>30</v>
      </c>
      <c r="F88" s="10">
        <v>10</v>
      </c>
      <c r="G88" s="10">
        <v>972.09</v>
      </c>
      <c r="H88" s="67">
        <f t="shared" si="14"/>
        <v>9.7209000000000003</v>
      </c>
      <c r="I88" s="10">
        <f>G88</f>
        <v>972.09</v>
      </c>
    </row>
    <row r="89" spans="1:9" ht="21" hidden="1" customHeight="1">
      <c r="A89" s="21"/>
      <c r="B89" s="73" t="s">
        <v>135</v>
      </c>
      <c r="C89" s="13" t="s">
        <v>52</v>
      </c>
      <c r="D89" s="39" t="s">
        <v>65</v>
      </c>
      <c r="E89" s="15">
        <v>100</v>
      </c>
      <c r="F89" s="10">
        <v>1</v>
      </c>
      <c r="G89" s="10">
        <v>1829.52</v>
      </c>
      <c r="H89" s="67">
        <f t="shared" si="14"/>
        <v>1.82952</v>
      </c>
      <c r="I89" s="10">
        <v>0</v>
      </c>
    </row>
    <row r="90" spans="1:9" ht="27.75" hidden="1" customHeight="1">
      <c r="A90" s="21">
        <v>21</v>
      </c>
      <c r="B90" s="73" t="s">
        <v>136</v>
      </c>
      <c r="C90" s="13" t="s">
        <v>137</v>
      </c>
      <c r="D90" s="39">
        <v>0.2</v>
      </c>
      <c r="E90" s="15">
        <v>40</v>
      </c>
      <c r="F90" s="10">
        <v>4</v>
      </c>
      <c r="G90" s="10">
        <v>272.39</v>
      </c>
      <c r="H90" s="67">
        <f t="shared" si="14"/>
        <v>1.0895599999999999</v>
      </c>
      <c r="I90" s="10">
        <f>G90*0.2</f>
        <v>54.478000000000002</v>
      </c>
    </row>
    <row r="91" spans="1:9" ht="29.25" hidden="1" customHeight="1">
      <c r="A91" s="21"/>
      <c r="B91" s="73" t="s">
        <v>138</v>
      </c>
      <c r="C91" s="13" t="s">
        <v>80</v>
      </c>
      <c r="D91" s="39" t="s">
        <v>65</v>
      </c>
      <c r="E91" s="15">
        <v>15</v>
      </c>
      <c r="F91" s="10">
        <v>15</v>
      </c>
      <c r="G91" s="10">
        <v>1430.02</v>
      </c>
      <c r="H91" s="67">
        <f t="shared" si="14"/>
        <v>21.450299999999999</v>
      </c>
      <c r="I91" s="10">
        <v>0</v>
      </c>
    </row>
    <row r="92" spans="1:9" ht="28.5" hidden="1" customHeight="1">
      <c r="A92" s="21"/>
      <c r="B92" s="73" t="s">
        <v>139</v>
      </c>
      <c r="C92" s="13" t="s">
        <v>80</v>
      </c>
      <c r="D92" s="39" t="s">
        <v>65</v>
      </c>
      <c r="E92" s="15">
        <v>10</v>
      </c>
      <c r="F92" s="10">
        <v>10</v>
      </c>
      <c r="G92" s="10">
        <v>1743.04</v>
      </c>
      <c r="H92" s="67">
        <f t="shared" si="14"/>
        <v>17.430400000000002</v>
      </c>
      <c r="I92" s="10">
        <v>0</v>
      </c>
    </row>
    <row r="93" spans="1:9" ht="28.5" hidden="1" customHeight="1">
      <c r="A93" s="21"/>
      <c r="B93" s="73" t="s">
        <v>140</v>
      </c>
      <c r="C93" s="13" t="s">
        <v>80</v>
      </c>
      <c r="D93" s="39" t="s">
        <v>65</v>
      </c>
      <c r="E93" s="15">
        <v>20</v>
      </c>
      <c r="F93" s="10">
        <v>20</v>
      </c>
      <c r="G93" s="10">
        <v>607.27</v>
      </c>
      <c r="H93" s="67">
        <f t="shared" si="14"/>
        <v>12.1454</v>
      </c>
      <c r="I93" s="10">
        <v>0</v>
      </c>
    </row>
    <row r="94" spans="1:9" ht="31.5" hidden="1" customHeight="1">
      <c r="A94" s="21"/>
      <c r="B94" s="73" t="s">
        <v>141</v>
      </c>
      <c r="C94" s="13" t="s">
        <v>80</v>
      </c>
      <c r="D94" s="39" t="s">
        <v>65</v>
      </c>
      <c r="E94" s="15">
        <v>30</v>
      </c>
      <c r="F94" s="10">
        <v>30</v>
      </c>
      <c r="G94" s="10">
        <v>711.93</v>
      </c>
      <c r="H94" s="67">
        <f t="shared" si="14"/>
        <v>21.357899999999997</v>
      </c>
      <c r="I94" s="10">
        <v>0</v>
      </c>
    </row>
    <row r="95" spans="1:9" ht="25.5" hidden="1" customHeight="1">
      <c r="A95" s="21"/>
      <c r="B95" s="73" t="s">
        <v>104</v>
      </c>
      <c r="C95" s="13" t="s">
        <v>30</v>
      </c>
      <c r="D95" s="39" t="s">
        <v>65</v>
      </c>
      <c r="E95" s="15">
        <v>10</v>
      </c>
      <c r="F95" s="10">
        <v>10</v>
      </c>
      <c r="G95" s="10">
        <v>455.31</v>
      </c>
      <c r="H95" s="67">
        <f t="shared" si="14"/>
        <v>4.5531000000000006</v>
      </c>
      <c r="I95" s="10">
        <v>0</v>
      </c>
    </row>
    <row r="96" spans="1:9" ht="29.25" hidden="1" customHeight="1">
      <c r="A96" s="21"/>
      <c r="B96" s="73" t="s">
        <v>142</v>
      </c>
      <c r="C96" s="13" t="s">
        <v>80</v>
      </c>
      <c r="D96" s="39" t="s">
        <v>65</v>
      </c>
      <c r="E96" s="15">
        <v>30</v>
      </c>
      <c r="F96" s="10">
        <v>30</v>
      </c>
      <c r="G96" s="10">
        <v>1155.7</v>
      </c>
      <c r="H96" s="67">
        <f t="shared" si="14"/>
        <v>34.670999999999999</v>
      </c>
      <c r="I96" s="10">
        <v>0</v>
      </c>
    </row>
    <row r="97" spans="1:9" ht="31.5" hidden="1" customHeight="1">
      <c r="A97" s="21">
        <v>22</v>
      </c>
      <c r="B97" s="73" t="s">
        <v>143</v>
      </c>
      <c r="C97" s="13" t="s">
        <v>29</v>
      </c>
      <c r="D97" s="11" t="s">
        <v>194</v>
      </c>
      <c r="E97" s="15">
        <v>1040.4000000000001</v>
      </c>
      <c r="F97" s="10">
        <f>E97*2/1000</f>
        <v>2.0808</v>
      </c>
      <c r="G97" s="10">
        <v>1560.98</v>
      </c>
      <c r="H97" s="67">
        <f t="shared" si="14"/>
        <v>3.2480871840000001</v>
      </c>
      <c r="I97" s="10">
        <f>F97/2*G97</f>
        <v>1624.043592</v>
      </c>
    </row>
    <row r="98" spans="1:9" ht="31.5" hidden="1" customHeight="1">
      <c r="A98" s="21"/>
      <c r="B98" s="73" t="s">
        <v>144</v>
      </c>
      <c r="C98" s="21" t="s">
        <v>146</v>
      </c>
      <c r="D98" s="39" t="s">
        <v>65</v>
      </c>
      <c r="E98" s="15">
        <v>100</v>
      </c>
      <c r="F98" s="10">
        <v>1</v>
      </c>
      <c r="G98" s="10">
        <v>12859.93</v>
      </c>
      <c r="H98" s="67">
        <f t="shared" si="14"/>
        <v>12.85993</v>
      </c>
      <c r="I98" s="10">
        <v>0</v>
      </c>
    </row>
    <row r="99" spans="1:9" ht="15.75" hidden="1" customHeight="1">
      <c r="A99" s="21"/>
      <c r="B99" s="73" t="s">
        <v>145</v>
      </c>
      <c r="C99" s="13" t="s">
        <v>29</v>
      </c>
      <c r="D99" s="11" t="s">
        <v>42</v>
      </c>
      <c r="E99" s="15">
        <v>1040.4000000000001</v>
      </c>
      <c r="F99" s="10">
        <v>2.08</v>
      </c>
      <c r="G99" s="10">
        <v>1453.29</v>
      </c>
      <c r="H99" s="67">
        <f t="shared" si="14"/>
        <v>3.0228432000000001</v>
      </c>
      <c r="I99" s="10">
        <v>0</v>
      </c>
    </row>
    <row r="100" spans="1:9" ht="15.75" customHeight="1">
      <c r="A100" s="151" t="s">
        <v>150</v>
      </c>
      <c r="B100" s="152"/>
      <c r="C100" s="152"/>
      <c r="D100" s="152"/>
      <c r="E100" s="152"/>
      <c r="F100" s="152"/>
      <c r="G100" s="152"/>
      <c r="H100" s="152"/>
      <c r="I100" s="153"/>
    </row>
    <row r="101" spans="1:9" ht="15.75" customHeight="1">
      <c r="A101" s="21">
        <v>23</v>
      </c>
      <c r="B101" s="100" t="s">
        <v>97</v>
      </c>
      <c r="C101" s="108" t="s">
        <v>54</v>
      </c>
      <c r="D101" s="123"/>
      <c r="E101" s="26">
        <v>3455.3</v>
      </c>
      <c r="F101" s="26">
        <v>41463.599999999999</v>
      </c>
      <c r="G101" s="26">
        <v>3.5</v>
      </c>
      <c r="H101" s="67">
        <f>SUM(F101*G101/1000)</f>
        <v>145.12260000000001</v>
      </c>
      <c r="I101" s="10">
        <f>F101/12*G101</f>
        <v>12093.55</v>
      </c>
    </row>
    <row r="102" spans="1:9" ht="31.5" customHeight="1">
      <c r="A102" s="21">
        <v>24</v>
      </c>
      <c r="B102" s="85" t="s">
        <v>208</v>
      </c>
      <c r="C102" s="108" t="s">
        <v>54</v>
      </c>
      <c r="D102" s="37"/>
      <c r="E102" s="88">
        <f>E101</f>
        <v>3455.3</v>
      </c>
      <c r="F102" s="26">
        <f>E102*12</f>
        <v>41463.600000000006</v>
      </c>
      <c r="G102" s="26">
        <v>3.2</v>
      </c>
      <c r="H102" s="67">
        <f>F102*G102/1000</f>
        <v>132.68352000000002</v>
      </c>
      <c r="I102" s="10">
        <f>F102/12*G102</f>
        <v>11056.960000000003</v>
      </c>
    </row>
    <row r="103" spans="1:9" ht="15.75" customHeight="1">
      <c r="A103" s="21"/>
      <c r="B103" s="27" t="s">
        <v>79</v>
      </c>
      <c r="C103" s="72"/>
      <c r="D103" s="70"/>
      <c r="E103" s="71"/>
      <c r="F103" s="71"/>
      <c r="G103" s="71"/>
      <c r="H103" s="69">
        <f>SUM(H102)</f>
        <v>132.68352000000002</v>
      </c>
      <c r="I103" s="71">
        <f>I102+I101+I80+I73+I71+I61+I55+I54+I53+I52+I51+I50+I49+I48+I47+I46+I45+I33+I32+I31+I30+I18+I17+I16</f>
        <v>86421.271456666684</v>
      </c>
    </row>
    <row r="104" spans="1:9" ht="15.75" customHeight="1">
      <c r="A104" s="159" t="s">
        <v>59</v>
      </c>
      <c r="B104" s="160"/>
      <c r="C104" s="160"/>
      <c r="D104" s="160"/>
      <c r="E104" s="160"/>
      <c r="F104" s="160"/>
      <c r="G104" s="160"/>
      <c r="H104" s="160"/>
      <c r="I104" s="161"/>
    </row>
    <row r="105" spans="1:9" ht="15.75" customHeight="1">
      <c r="A105" s="118">
        <v>25</v>
      </c>
      <c r="B105" s="38" t="s">
        <v>255</v>
      </c>
      <c r="C105" s="84" t="s">
        <v>29</v>
      </c>
      <c r="D105" s="37"/>
      <c r="E105" s="26"/>
      <c r="F105" s="26">
        <v>2.73</v>
      </c>
      <c r="G105" s="26">
        <v>241.69</v>
      </c>
      <c r="H105" s="133"/>
      <c r="I105" s="116">
        <f>G105*2.73</f>
        <v>659.81370000000004</v>
      </c>
    </row>
    <row r="106" spans="1:9" ht="15.75" customHeight="1">
      <c r="A106" s="118">
        <v>26</v>
      </c>
      <c r="B106" s="38" t="s">
        <v>103</v>
      </c>
      <c r="C106" s="84" t="s">
        <v>201</v>
      </c>
      <c r="D106" s="37"/>
      <c r="E106" s="26"/>
      <c r="F106" s="26">
        <v>18</v>
      </c>
      <c r="G106" s="26">
        <v>295.36</v>
      </c>
      <c r="H106" s="133"/>
      <c r="I106" s="116">
        <v>0</v>
      </c>
    </row>
    <row r="107" spans="1:9" ht="15.75" customHeight="1">
      <c r="A107" s="118">
        <v>27</v>
      </c>
      <c r="B107" s="38" t="s">
        <v>182</v>
      </c>
      <c r="C107" s="84" t="s">
        <v>183</v>
      </c>
      <c r="D107" s="37" t="s">
        <v>257</v>
      </c>
      <c r="E107" s="26"/>
      <c r="F107" s="26">
        <v>2</v>
      </c>
      <c r="G107" s="26">
        <v>236.08</v>
      </c>
      <c r="H107" s="133"/>
      <c r="I107" s="116">
        <f>G107*1</f>
        <v>236.08</v>
      </c>
    </row>
    <row r="108" spans="1:9" ht="32.25" customHeight="1">
      <c r="A108" s="118">
        <v>28</v>
      </c>
      <c r="B108" s="127" t="s">
        <v>136</v>
      </c>
      <c r="C108" s="107" t="s">
        <v>137</v>
      </c>
      <c r="D108" s="37"/>
      <c r="E108" s="26"/>
      <c r="F108" s="26">
        <v>0.6</v>
      </c>
      <c r="G108" s="26">
        <v>1948.52</v>
      </c>
      <c r="H108" s="133"/>
      <c r="I108" s="117">
        <f>G108*0.2</f>
        <v>389.70400000000001</v>
      </c>
    </row>
    <row r="109" spans="1:9" ht="15.75" customHeight="1">
      <c r="A109" s="118">
        <v>29</v>
      </c>
      <c r="B109" s="38" t="s">
        <v>180</v>
      </c>
      <c r="C109" s="84" t="s">
        <v>181</v>
      </c>
      <c r="D109" s="37"/>
      <c r="E109" s="26"/>
      <c r="F109" s="26">
        <v>3</v>
      </c>
      <c r="G109" s="26">
        <v>960.81</v>
      </c>
      <c r="H109" s="133"/>
      <c r="I109" s="116">
        <f>G109*1</f>
        <v>960.81</v>
      </c>
    </row>
    <row r="110" spans="1:9" ht="17.25" customHeight="1">
      <c r="A110" s="118">
        <v>30</v>
      </c>
      <c r="B110" s="38" t="s">
        <v>81</v>
      </c>
      <c r="C110" s="84" t="s">
        <v>93</v>
      </c>
      <c r="D110" s="37"/>
      <c r="E110" s="26"/>
      <c r="F110" s="26">
        <v>6</v>
      </c>
      <c r="G110" s="26">
        <v>224.48</v>
      </c>
      <c r="H110" s="133"/>
      <c r="I110" s="117">
        <f>G110*2</f>
        <v>448.96</v>
      </c>
    </row>
    <row r="111" spans="1:9" ht="31.5" customHeight="1">
      <c r="A111" s="118">
        <v>31</v>
      </c>
      <c r="B111" s="38" t="s">
        <v>227</v>
      </c>
      <c r="C111" s="84" t="s">
        <v>201</v>
      </c>
      <c r="D111" s="37" t="s">
        <v>256</v>
      </c>
      <c r="E111" s="26"/>
      <c r="F111" s="26">
        <v>2</v>
      </c>
      <c r="G111" s="26">
        <v>1584.54</v>
      </c>
      <c r="H111" s="133"/>
      <c r="I111" s="117">
        <f>G111*1</f>
        <v>1584.54</v>
      </c>
    </row>
    <row r="112" spans="1:9">
      <c r="A112" s="21"/>
      <c r="B112" s="32" t="s">
        <v>51</v>
      </c>
      <c r="C112" s="28"/>
      <c r="D112" s="35"/>
      <c r="E112" s="28">
        <v>1</v>
      </c>
      <c r="F112" s="28"/>
      <c r="G112" s="28"/>
      <c r="H112" s="28"/>
      <c r="I112" s="24">
        <f>SUM(I105:I111)</f>
        <v>4279.9076999999997</v>
      </c>
    </row>
    <row r="113" spans="1:9">
      <c r="A113" s="21"/>
      <c r="B113" s="34" t="s">
        <v>78</v>
      </c>
      <c r="C113" s="12"/>
      <c r="D113" s="12"/>
      <c r="E113" s="29"/>
      <c r="F113" s="29"/>
      <c r="G113" s="30"/>
      <c r="H113" s="30"/>
      <c r="I113" s="14">
        <v>0</v>
      </c>
    </row>
    <row r="114" spans="1:9" ht="15.75" customHeight="1">
      <c r="A114" s="36"/>
      <c r="B114" s="33" t="s">
        <v>172</v>
      </c>
      <c r="C114" s="25"/>
      <c r="D114" s="25"/>
      <c r="E114" s="25"/>
      <c r="F114" s="25"/>
      <c r="G114" s="25"/>
      <c r="H114" s="25"/>
      <c r="I114" s="31">
        <f>I103+I112</f>
        <v>90701.17915666668</v>
      </c>
    </row>
    <row r="115" spans="1:9" ht="15.75">
      <c r="A115" s="154" t="s">
        <v>258</v>
      </c>
      <c r="B115" s="154"/>
      <c r="C115" s="154"/>
      <c r="D115" s="154"/>
      <c r="E115" s="154"/>
      <c r="F115" s="154"/>
      <c r="G115" s="154"/>
      <c r="H115" s="154"/>
      <c r="I115" s="154"/>
    </row>
    <row r="116" spans="1:9" ht="15.75">
      <c r="A116" s="48"/>
      <c r="B116" s="155" t="s">
        <v>259</v>
      </c>
      <c r="C116" s="155"/>
      <c r="D116" s="155"/>
      <c r="E116" s="155"/>
      <c r="F116" s="155"/>
      <c r="G116" s="155"/>
      <c r="H116" s="53"/>
      <c r="I116" s="2"/>
    </row>
    <row r="117" spans="1:9">
      <c r="A117" s="42"/>
      <c r="B117" s="156" t="s">
        <v>6</v>
      </c>
      <c r="C117" s="156"/>
      <c r="D117" s="156"/>
      <c r="E117" s="156"/>
      <c r="F117" s="156"/>
      <c r="G117" s="156"/>
      <c r="H117" s="16"/>
      <c r="I117" s="4"/>
    </row>
    <row r="118" spans="1:9">
      <c r="A118" s="7"/>
      <c r="B118" s="7"/>
      <c r="C118" s="7"/>
      <c r="D118" s="7"/>
      <c r="E118" s="7"/>
      <c r="F118" s="7"/>
      <c r="G118" s="7"/>
      <c r="H118" s="7"/>
      <c r="I118" s="7"/>
    </row>
    <row r="119" spans="1:9" ht="15.75" customHeight="1">
      <c r="A119" s="157" t="s">
        <v>7</v>
      </c>
      <c r="B119" s="157"/>
      <c r="C119" s="157"/>
      <c r="D119" s="157"/>
      <c r="E119" s="157"/>
      <c r="F119" s="157"/>
      <c r="G119" s="157"/>
      <c r="H119" s="157"/>
      <c r="I119" s="157"/>
    </row>
    <row r="120" spans="1:9" ht="15.75" customHeight="1">
      <c r="A120" s="157" t="s">
        <v>8</v>
      </c>
      <c r="B120" s="157"/>
      <c r="C120" s="157"/>
      <c r="D120" s="157"/>
      <c r="E120" s="157"/>
      <c r="F120" s="157"/>
      <c r="G120" s="157"/>
      <c r="H120" s="157"/>
      <c r="I120" s="157"/>
    </row>
    <row r="121" spans="1:9" ht="15.75" customHeight="1">
      <c r="A121" s="158" t="s">
        <v>60</v>
      </c>
      <c r="B121" s="158"/>
      <c r="C121" s="158"/>
      <c r="D121" s="158"/>
      <c r="E121" s="158"/>
      <c r="F121" s="158"/>
      <c r="G121" s="158"/>
      <c r="H121" s="158"/>
      <c r="I121" s="158"/>
    </row>
    <row r="122" spans="1:9" ht="15.75" customHeight="1">
      <c r="A122" s="8"/>
    </row>
    <row r="123" spans="1:9" ht="15.75" customHeight="1">
      <c r="A123" s="146" t="s">
        <v>9</v>
      </c>
      <c r="B123" s="146"/>
      <c r="C123" s="146"/>
      <c r="D123" s="146"/>
      <c r="E123" s="146"/>
      <c r="F123" s="146"/>
      <c r="G123" s="146"/>
      <c r="H123" s="146"/>
      <c r="I123" s="146"/>
    </row>
    <row r="124" spans="1:9" ht="15.75" customHeight="1">
      <c r="A124" s="3"/>
    </row>
    <row r="125" spans="1:9" ht="15.75" customHeight="1">
      <c r="B125" s="44" t="s">
        <v>10</v>
      </c>
      <c r="C125" s="163" t="s">
        <v>217</v>
      </c>
      <c r="D125" s="163"/>
      <c r="E125" s="163"/>
      <c r="F125" s="51"/>
      <c r="I125" s="46"/>
    </row>
    <row r="126" spans="1:9">
      <c r="A126" s="42"/>
      <c r="C126" s="156" t="s">
        <v>11</v>
      </c>
      <c r="D126" s="156"/>
      <c r="E126" s="156"/>
      <c r="F126" s="16"/>
      <c r="I126" s="47" t="s">
        <v>12</v>
      </c>
    </row>
    <row r="127" spans="1:9" ht="15.75">
      <c r="A127" s="17"/>
      <c r="C127" s="9"/>
      <c r="D127" s="9"/>
      <c r="G127" s="9"/>
      <c r="H127" s="9"/>
    </row>
    <row r="128" spans="1:9" ht="15.75">
      <c r="B128" s="44" t="s">
        <v>13</v>
      </c>
      <c r="C128" s="164"/>
      <c r="D128" s="164"/>
      <c r="E128" s="164"/>
      <c r="F128" s="52"/>
      <c r="I128" s="46"/>
    </row>
    <row r="129" spans="1:9">
      <c r="A129" s="42"/>
      <c r="C129" s="165" t="s">
        <v>11</v>
      </c>
      <c r="D129" s="165"/>
      <c r="E129" s="165"/>
      <c r="F129" s="42"/>
      <c r="I129" s="47" t="s">
        <v>12</v>
      </c>
    </row>
    <row r="130" spans="1:9" ht="15.75">
      <c r="A130" s="3" t="s">
        <v>14</v>
      </c>
    </row>
    <row r="131" spans="1:9">
      <c r="A131" s="166" t="s">
        <v>15</v>
      </c>
      <c r="B131" s="166"/>
      <c r="C131" s="166"/>
      <c r="D131" s="166"/>
      <c r="E131" s="166"/>
      <c r="F131" s="166"/>
      <c r="G131" s="166"/>
      <c r="H131" s="166"/>
      <c r="I131" s="166"/>
    </row>
    <row r="132" spans="1:9" ht="45" customHeight="1">
      <c r="A132" s="162" t="s">
        <v>16</v>
      </c>
      <c r="B132" s="162"/>
      <c r="C132" s="162"/>
      <c r="D132" s="162"/>
      <c r="E132" s="162"/>
      <c r="F132" s="162"/>
      <c r="G132" s="162"/>
      <c r="H132" s="162"/>
      <c r="I132" s="162"/>
    </row>
    <row r="133" spans="1:9" ht="30" customHeight="1">
      <c r="A133" s="162" t="s">
        <v>17</v>
      </c>
      <c r="B133" s="162"/>
      <c r="C133" s="162"/>
      <c r="D133" s="162"/>
      <c r="E133" s="162"/>
      <c r="F133" s="162"/>
      <c r="G133" s="162"/>
      <c r="H133" s="162"/>
      <c r="I133" s="162"/>
    </row>
    <row r="134" spans="1:9" ht="30" customHeight="1">
      <c r="A134" s="162" t="s">
        <v>21</v>
      </c>
      <c r="B134" s="162"/>
      <c r="C134" s="162"/>
      <c r="D134" s="162"/>
      <c r="E134" s="162"/>
      <c r="F134" s="162"/>
      <c r="G134" s="162"/>
      <c r="H134" s="162"/>
      <c r="I134" s="162"/>
    </row>
    <row r="135" spans="1:9" ht="15" customHeight="1">
      <c r="A135" s="162" t="s">
        <v>20</v>
      </c>
      <c r="B135" s="162"/>
      <c r="C135" s="162"/>
      <c r="D135" s="162"/>
      <c r="E135" s="162"/>
      <c r="F135" s="162"/>
      <c r="G135" s="162"/>
      <c r="H135" s="162"/>
      <c r="I135" s="162"/>
    </row>
  </sheetData>
  <mergeCells count="28">
    <mergeCell ref="A133:I133"/>
    <mergeCell ref="A134:I134"/>
    <mergeCell ref="A135:I135"/>
    <mergeCell ref="C125:E125"/>
    <mergeCell ref="C126:E126"/>
    <mergeCell ref="C128:E128"/>
    <mergeCell ref="C129:E129"/>
    <mergeCell ref="A131:I131"/>
    <mergeCell ref="A132:I132"/>
    <mergeCell ref="A123:I123"/>
    <mergeCell ref="A15:I15"/>
    <mergeCell ref="A28:I28"/>
    <mergeCell ref="A44:I44"/>
    <mergeCell ref="A56:I56"/>
    <mergeCell ref="A100:I100"/>
    <mergeCell ref="A115:I115"/>
    <mergeCell ref="B116:G116"/>
    <mergeCell ref="B117:G117"/>
    <mergeCell ref="A119:I119"/>
    <mergeCell ref="A120:I120"/>
    <mergeCell ref="A121:I121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  <rowBreaks count="1" manualBreakCount="1">
    <brk id="1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31"/>
  <sheetViews>
    <sheetView topLeftCell="A68" workbookViewId="0">
      <selection activeCell="A116" sqref="A116:I11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166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263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44377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214</v>
      </c>
      <c r="E16" s="88">
        <v>70.7</v>
      </c>
      <c r="F16" s="89">
        <f>SUM(E16*156/100)</f>
        <v>110.292</v>
      </c>
      <c r="G16" s="89">
        <v>261.45</v>
      </c>
      <c r="H16" s="55">
        <f t="shared" ref="H16:H18" si="0">SUM(F16*G16/1000)</f>
        <v>28.835843399999998</v>
      </c>
      <c r="I16" s="10">
        <f>G16*F16/12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191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G17*F17/12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189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F18/18*2*G18</f>
        <v>5317.7712000000001</v>
      </c>
    </row>
    <row r="19" spans="1:9" ht="15.75" customHeight="1">
      <c r="A19" s="21">
        <v>4</v>
      </c>
      <c r="B19" s="86" t="s">
        <v>106</v>
      </c>
      <c r="C19" s="87" t="s">
        <v>107</v>
      </c>
      <c r="D19" s="86" t="s">
        <v>199</v>
      </c>
      <c r="E19" s="88">
        <v>40</v>
      </c>
      <c r="F19" s="89">
        <f>SUM(E19/10)</f>
        <v>4</v>
      </c>
      <c r="G19" s="89">
        <v>253.7</v>
      </c>
      <c r="H19" s="55">
        <f t="shared" ref="H19:H26" si="1">SUM(F19*G19/1000)</f>
        <v>1.0147999999999999</v>
      </c>
      <c r="I19" s="10">
        <f>G19*F19</f>
        <v>1014.8</v>
      </c>
    </row>
    <row r="20" spans="1:9" ht="15.75" hidden="1" customHeight="1">
      <c r="A20" s="21">
        <v>5</v>
      </c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41">
        <v>247.82</v>
      </c>
      <c r="H20" s="55">
        <f t="shared" si="1"/>
        <v>5.2042199999999997E-2</v>
      </c>
      <c r="I20" s="10">
        <f>G20*F20/2</f>
        <v>26.021099999999997</v>
      </c>
    </row>
    <row r="21" spans="1:9" ht="15.75" hidden="1" customHeight="1">
      <c r="A21" s="21">
        <v>6</v>
      </c>
      <c r="B21" s="39" t="s">
        <v>110</v>
      </c>
      <c r="C21" s="40" t="s">
        <v>84</v>
      </c>
      <c r="D21" s="39" t="s">
        <v>194</v>
      </c>
      <c r="E21" s="54">
        <v>2.7</v>
      </c>
      <c r="F21" s="41">
        <f>SUM(E21*2/100)</f>
        <v>5.4000000000000006E-2</v>
      </c>
      <c r="G21" s="41">
        <v>245.81</v>
      </c>
      <c r="H21" s="55">
        <f t="shared" si="1"/>
        <v>1.3273740000000003E-2</v>
      </c>
      <c r="I21" s="10">
        <f>G21*F21/2</f>
        <v>6.6368700000000009</v>
      </c>
    </row>
    <row r="22" spans="1:9" ht="15.75" hidden="1" customHeight="1">
      <c r="A22" s="21">
        <v>7</v>
      </c>
      <c r="B22" s="39" t="s">
        <v>111</v>
      </c>
      <c r="C22" s="40" t="s">
        <v>52</v>
      </c>
      <c r="D22" s="39" t="s">
        <v>198</v>
      </c>
      <c r="E22" s="54">
        <v>357</v>
      </c>
      <c r="F22" s="41">
        <f>SUM(E22/100)</f>
        <v>3.57</v>
      </c>
      <c r="G22" s="41">
        <v>306.26</v>
      </c>
      <c r="H22" s="55">
        <f t="shared" si="1"/>
        <v>1.0933481999999999</v>
      </c>
      <c r="I22" s="10">
        <f>G22*F22</f>
        <v>1093.3481999999999</v>
      </c>
    </row>
    <row r="23" spans="1:9" ht="15.75" hidden="1" customHeight="1">
      <c r="A23" s="21">
        <v>8</v>
      </c>
      <c r="B23" s="39" t="s">
        <v>112</v>
      </c>
      <c r="C23" s="40" t="s">
        <v>52</v>
      </c>
      <c r="D23" s="39" t="s">
        <v>198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1"/>
        <v>1.9462968000000001E-2</v>
      </c>
      <c r="I23" s="10">
        <f>G23*F23</f>
        <v>19.462968</v>
      </c>
    </row>
    <row r="24" spans="1:9" ht="15.75" hidden="1" customHeight="1">
      <c r="A24" s="21">
        <v>9</v>
      </c>
      <c r="B24" s="39" t="s">
        <v>113</v>
      </c>
      <c r="C24" s="40" t="s">
        <v>52</v>
      </c>
      <c r="D24" s="39" t="s">
        <v>195</v>
      </c>
      <c r="E24" s="54">
        <v>15</v>
      </c>
      <c r="F24" s="41">
        <f>E24/100</f>
        <v>0.15</v>
      </c>
      <c r="G24" s="41">
        <v>443.27</v>
      </c>
      <c r="H24" s="55">
        <f t="shared" si="1"/>
        <v>6.6490499999999994E-2</v>
      </c>
      <c r="I24" s="10">
        <f>G24*F24</f>
        <v>66.490499999999997</v>
      </c>
    </row>
    <row r="25" spans="1:9" ht="15.75" hidden="1" customHeight="1">
      <c r="A25" s="21">
        <v>10</v>
      </c>
      <c r="B25" s="39" t="s">
        <v>119</v>
      </c>
      <c r="C25" s="40" t="s">
        <v>84</v>
      </c>
      <c r="D25" s="39" t="s">
        <v>195</v>
      </c>
      <c r="E25" s="54">
        <v>14.25</v>
      </c>
      <c r="F25" s="41">
        <v>0.1</v>
      </c>
      <c r="G25" s="41">
        <v>245.81</v>
      </c>
      <c r="H25" s="55">
        <v>3.1E-2</v>
      </c>
      <c r="I25" s="10">
        <f>G25*F25</f>
        <v>24.581000000000003</v>
      </c>
    </row>
    <row r="26" spans="1:9" ht="15.75" hidden="1" customHeight="1">
      <c r="A26" s="21">
        <v>11</v>
      </c>
      <c r="B26" s="39" t="s">
        <v>120</v>
      </c>
      <c r="C26" s="40" t="s">
        <v>52</v>
      </c>
      <c r="D26" s="39" t="s">
        <v>198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1"/>
        <v>3.7793205999999996E-2</v>
      </c>
      <c r="I26" s="10">
        <f>G26*F26</f>
        <v>37.793205999999998</v>
      </c>
    </row>
    <row r="27" spans="1:9" ht="15.75" hidden="1" customHeight="1">
      <c r="A27" s="21">
        <v>12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10.39</v>
      </c>
      <c r="H27" s="55">
        <f>SUM(F27*G27/1000)</f>
        <v>13.9928364</v>
      </c>
      <c r="I27" s="10">
        <f>F27/12*G27</f>
        <v>1166.0697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15.75" customHeight="1">
      <c r="A30" s="21">
        <v>5</v>
      </c>
      <c r="B30" s="86" t="s">
        <v>92</v>
      </c>
      <c r="C30" s="87" t="s">
        <v>86</v>
      </c>
      <c r="D30" s="86" t="s">
        <v>188</v>
      </c>
      <c r="E30" s="89">
        <v>573.6</v>
      </c>
      <c r="F30" s="89">
        <f>E30*52/1000</f>
        <v>29.827200000000001</v>
      </c>
      <c r="G30" s="89">
        <v>232.4</v>
      </c>
      <c r="H30" s="55">
        <f t="shared" ref="H30:H32" si="2">SUM(F30*G30/1000)</f>
        <v>6.9318412800000004</v>
      </c>
      <c r="I30" s="10">
        <f>F30/6*G30</f>
        <v>1155.3068800000001</v>
      </c>
    </row>
    <row r="31" spans="1:9" ht="31.5" customHeight="1">
      <c r="A31" s="21">
        <v>6</v>
      </c>
      <c r="B31" s="86" t="s">
        <v>159</v>
      </c>
      <c r="C31" s="87" t="s">
        <v>86</v>
      </c>
      <c r="D31" s="86" t="s">
        <v>203</v>
      </c>
      <c r="E31" s="89">
        <v>200</v>
      </c>
      <c r="F31" s="89">
        <f>SUM(E31*72/1000)</f>
        <v>14.4</v>
      </c>
      <c r="G31" s="89">
        <v>385.6</v>
      </c>
      <c r="H31" s="55">
        <f t="shared" si="2"/>
        <v>5.5526400000000002</v>
      </c>
      <c r="I31" s="10">
        <f t="shared" ref="I31:I33" si="3">F31/6*G31</f>
        <v>925.44</v>
      </c>
    </row>
    <row r="32" spans="1:9" ht="15.75" hidden="1" customHeight="1">
      <c r="A32" s="21">
        <v>16</v>
      </c>
      <c r="B32" s="86" t="s">
        <v>27</v>
      </c>
      <c r="C32" s="87" t="s">
        <v>86</v>
      </c>
      <c r="D32" s="86" t="s">
        <v>194</v>
      </c>
      <c r="E32" s="89">
        <v>573.6</v>
      </c>
      <c r="F32" s="89">
        <f>SUM(E32/1000)</f>
        <v>0.5736</v>
      </c>
      <c r="G32" s="89">
        <v>4502.97</v>
      </c>
      <c r="H32" s="55">
        <f t="shared" si="2"/>
        <v>2.5829035920000001</v>
      </c>
      <c r="I32" s="10">
        <f>F32*G32</f>
        <v>2582.9035920000001</v>
      </c>
    </row>
    <row r="33" spans="1:9" ht="15.75" customHeight="1">
      <c r="A33" s="21">
        <v>7</v>
      </c>
      <c r="B33" s="86" t="s">
        <v>123</v>
      </c>
      <c r="C33" s="87" t="s">
        <v>40</v>
      </c>
      <c r="D33" s="86" t="s">
        <v>192</v>
      </c>
      <c r="E33" s="89">
        <v>1</v>
      </c>
      <c r="F33" s="89">
        <v>1.55</v>
      </c>
      <c r="G33" s="89">
        <v>1941.17</v>
      </c>
      <c r="H33" s="55">
        <f>G33*F33/1000</f>
        <v>3.0088135</v>
      </c>
      <c r="I33" s="10">
        <f t="shared" si="3"/>
        <v>501.46891666666676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4"/>
      <c r="F34" s="41">
        <v>3</v>
      </c>
      <c r="G34" s="41">
        <v>217.61</v>
      </c>
      <c r="H34" s="55">
        <f t="shared" ref="H34:H35" si="4">SUM(F34*G34/1000)</f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4"/>
      <c r="F35" s="41">
        <v>2</v>
      </c>
      <c r="G35" s="41">
        <v>1292.47</v>
      </c>
      <c r="H35" s="55">
        <f t="shared" si="4"/>
        <v>2.58494</v>
      </c>
      <c r="I35" s="10">
        <v>0</v>
      </c>
    </row>
    <row r="36" spans="1:9" ht="15.75" hidden="1" customHeight="1">
      <c r="A36" s="21"/>
      <c r="B36" s="74" t="s">
        <v>5</v>
      </c>
      <c r="C36" s="40"/>
      <c r="D36" s="39"/>
      <c r="E36" s="54"/>
      <c r="F36" s="41"/>
      <c r="G36" s="41"/>
      <c r="H36" s="55" t="s">
        <v>155</v>
      </c>
      <c r="I36" s="58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4"/>
      <c r="F37" s="41">
        <v>8</v>
      </c>
      <c r="G37" s="41">
        <v>1737.08</v>
      </c>
      <c r="H37" s="55">
        <f t="shared" ref="H37:H43" si="5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100</v>
      </c>
      <c r="E38" s="41">
        <v>200</v>
      </c>
      <c r="F38" s="41">
        <f>SUM(E38*30/1000)</f>
        <v>6</v>
      </c>
      <c r="G38" s="41">
        <v>2391.67</v>
      </c>
      <c r="H38" s="55">
        <f t="shared" si="5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124</v>
      </c>
      <c r="C39" s="40" t="s">
        <v>54</v>
      </c>
      <c r="D39" s="39"/>
      <c r="E39" s="54"/>
      <c r="F39" s="41">
        <v>130</v>
      </c>
      <c r="G39" s="41">
        <v>226.84</v>
      </c>
      <c r="H39" s="55">
        <f t="shared" si="5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85</v>
      </c>
      <c r="E40" s="41">
        <v>60</v>
      </c>
      <c r="F40" s="41">
        <f>SUM(E40*155/1000)</f>
        <v>9.3000000000000007</v>
      </c>
      <c r="G40" s="41">
        <v>398.95</v>
      </c>
      <c r="H40" s="55">
        <f t="shared" si="5"/>
        <v>3.7102349999999999</v>
      </c>
      <c r="I40" s="10">
        <f t="shared" ref="I40:I43" si="6">F40/6*G40</f>
        <v>618.37249999999995</v>
      </c>
    </row>
    <row r="41" spans="1:9" ht="47.25" hidden="1" customHeight="1">
      <c r="A41" s="21">
        <v>9</v>
      </c>
      <c r="B41" s="39" t="s">
        <v>82</v>
      </c>
      <c r="C41" s="40" t="s">
        <v>86</v>
      </c>
      <c r="D41" s="39" t="s">
        <v>125</v>
      </c>
      <c r="E41" s="41">
        <v>40.9</v>
      </c>
      <c r="F41" s="41">
        <f>SUM(E41*35/1000)</f>
        <v>1.4315</v>
      </c>
      <c r="G41" s="41">
        <v>6600.74</v>
      </c>
      <c r="H41" s="55">
        <f t="shared" si="5"/>
        <v>9.4489593099999993</v>
      </c>
      <c r="I41" s="10">
        <f t="shared" si="6"/>
        <v>1574.8265516666668</v>
      </c>
    </row>
    <row r="42" spans="1:9" ht="15.75" hidden="1" customHeight="1">
      <c r="A42" s="21">
        <v>10</v>
      </c>
      <c r="B42" s="39" t="s">
        <v>87</v>
      </c>
      <c r="C42" s="40" t="s">
        <v>86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5">
        <f t="shared" si="5"/>
        <v>1.3165470000000001</v>
      </c>
      <c r="I42" s="10">
        <f t="shared" si="6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4"/>
      <c r="F43" s="41">
        <v>0.9</v>
      </c>
      <c r="G43" s="41">
        <v>907.65</v>
      </c>
      <c r="H43" s="55">
        <f t="shared" si="5"/>
        <v>0.81688499999999997</v>
      </c>
      <c r="I43" s="10">
        <f t="shared" si="6"/>
        <v>136.14749999999998</v>
      </c>
    </row>
    <row r="44" spans="1:9" ht="15.75" hidden="1" customHeight="1">
      <c r="A44" s="148" t="s">
        <v>148</v>
      </c>
      <c r="B44" s="149"/>
      <c r="C44" s="149"/>
      <c r="D44" s="149"/>
      <c r="E44" s="149"/>
      <c r="F44" s="149"/>
      <c r="G44" s="149"/>
      <c r="H44" s="149"/>
      <c r="I44" s="150"/>
    </row>
    <row r="45" spans="1:9" ht="15.75" hidden="1" customHeight="1">
      <c r="A45" s="21"/>
      <c r="B45" s="39" t="s">
        <v>156</v>
      </c>
      <c r="C45" s="40" t="s">
        <v>86</v>
      </c>
      <c r="D45" s="39" t="s">
        <v>42</v>
      </c>
      <c r="E45" s="54">
        <v>1300.5</v>
      </c>
      <c r="F45" s="41">
        <f>SUM(E45/1000)*2</f>
        <v>2.601</v>
      </c>
      <c r="G45" s="10">
        <v>1173.18</v>
      </c>
      <c r="H45" s="55">
        <f t="shared" ref="H45:H55" si="7">SUM(F45*G45/1000)</f>
        <v>3.0514411800000003</v>
      </c>
      <c r="I45" s="10">
        <v>0</v>
      </c>
    </row>
    <row r="46" spans="1:9" ht="15.75" hidden="1" customHeight="1">
      <c r="A46" s="21"/>
      <c r="B46" s="39" t="s">
        <v>35</v>
      </c>
      <c r="C46" s="40" t="s">
        <v>86</v>
      </c>
      <c r="D46" s="39" t="s">
        <v>42</v>
      </c>
      <c r="E46" s="54">
        <v>52</v>
      </c>
      <c r="F46" s="41">
        <f>SUM(E46*2/1000)</f>
        <v>0.104</v>
      </c>
      <c r="G46" s="10">
        <v>659.09</v>
      </c>
      <c r="H46" s="55">
        <f t="shared" si="7"/>
        <v>6.854536E-2</v>
      </c>
      <c r="I46" s="10">
        <v>0</v>
      </c>
    </row>
    <row r="47" spans="1:9" ht="15.75" hidden="1" customHeight="1">
      <c r="A47" s="21"/>
      <c r="B47" s="39" t="s">
        <v>36</v>
      </c>
      <c r="C47" s="40" t="s">
        <v>86</v>
      </c>
      <c r="D47" s="39" t="s">
        <v>42</v>
      </c>
      <c r="E47" s="54">
        <v>1483.1</v>
      </c>
      <c r="F47" s="41">
        <f>SUM(E47*2/1000)</f>
        <v>2.9661999999999997</v>
      </c>
      <c r="G47" s="10">
        <v>1564.24</v>
      </c>
      <c r="H47" s="55">
        <f t="shared" si="7"/>
        <v>4.6398486879999998</v>
      </c>
      <c r="I47" s="10">
        <v>0</v>
      </c>
    </row>
    <row r="48" spans="1:9" ht="15.75" hidden="1" customHeight="1">
      <c r="A48" s="21"/>
      <c r="B48" s="39" t="s">
        <v>37</v>
      </c>
      <c r="C48" s="40" t="s">
        <v>86</v>
      </c>
      <c r="D48" s="39" t="s">
        <v>42</v>
      </c>
      <c r="E48" s="54">
        <v>2320</v>
      </c>
      <c r="F48" s="41">
        <f>SUM(E48*2/1000)</f>
        <v>4.6399999999999997</v>
      </c>
      <c r="G48" s="10">
        <v>1078.3599999999999</v>
      </c>
      <c r="H48" s="55">
        <f t="shared" si="7"/>
        <v>5.0035903999999993</v>
      </c>
      <c r="I48" s="10">
        <v>0</v>
      </c>
    </row>
    <row r="49" spans="1:9" ht="15.75" hidden="1" customHeight="1">
      <c r="A49" s="21"/>
      <c r="B49" s="39" t="s">
        <v>33</v>
      </c>
      <c r="C49" s="40" t="s">
        <v>34</v>
      </c>
      <c r="D49" s="39" t="s">
        <v>42</v>
      </c>
      <c r="E49" s="54">
        <v>91.84</v>
      </c>
      <c r="F49" s="41">
        <f>SUM(E49*2/100)</f>
        <v>1.8368</v>
      </c>
      <c r="G49" s="10">
        <v>82.82</v>
      </c>
      <c r="H49" s="55">
        <f t="shared" si="7"/>
        <v>0.15212377599999999</v>
      </c>
      <c r="I49" s="10">
        <v>0</v>
      </c>
    </row>
    <row r="50" spans="1:9" ht="15.75" hidden="1" customHeight="1">
      <c r="A50" s="21">
        <v>12</v>
      </c>
      <c r="B50" s="39" t="s">
        <v>55</v>
      </c>
      <c r="C50" s="40" t="s">
        <v>86</v>
      </c>
      <c r="D50" s="39" t="s">
        <v>160</v>
      </c>
      <c r="E50" s="54">
        <v>1040.4000000000001</v>
      </c>
      <c r="F50" s="41">
        <f>SUM(E50*5/1000)</f>
        <v>5.202</v>
      </c>
      <c r="G50" s="10">
        <v>1564.24</v>
      </c>
      <c r="H50" s="55">
        <f>SUM(F50*G50/1000)</f>
        <v>8.1371764800000008</v>
      </c>
      <c r="I50" s="10">
        <f>F50/5*G50</f>
        <v>1627.4352960000001</v>
      </c>
    </row>
    <row r="51" spans="1:9" ht="31.5" hidden="1" customHeight="1">
      <c r="A51" s="21"/>
      <c r="B51" s="39" t="s">
        <v>88</v>
      </c>
      <c r="C51" s="40" t="s">
        <v>86</v>
      </c>
      <c r="D51" s="39" t="s">
        <v>42</v>
      </c>
      <c r="E51" s="54">
        <v>1040.4000000000001</v>
      </c>
      <c r="F51" s="41">
        <f>SUM(E51*2/1000)</f>
        <v>2.0808</v>
      </c>
      <c r="G51" s="10">
        <v>1380.31</v>
      </c>
      <c r="H51" s="55">
        <f t="shared" si="7"/>
        <v>2.8721490479999998</v>
      </c>
      <c r="I51" s="10">
        <v>0</v>
      </c>
    </row>
    <row r="52" spans="1:9" ht="31.5" hidden="1" customHeight="1">
      <c r="A52" s="21"/>
      <c r="B52" s="39" t="s">
        <v>89</v>
      </c>
      <c r="C52" s="40" t="s">
        <v>38</v>
      </c>
      <c r="D52" s="39" t="s">
        <v>42</v>
      </c>
      <c r="E52" s="54">
        <v>20</v>
      </c>
      <c r="F52" s="41">
        <f>SUM(E52*2/100)</f>
        <v>0.4</v>
      </c>
      <c r="G52" s="10">
        <v>3519.56</v>
      </c>
      <c r="H52" s="55">
        <f t="shared" si="7"/>
        <v>1.407824</v>
      </c>
      <c r="I52" s="10">
        <v>0</v>
      </c>
    </row>
    <row r="53" spans="1:9" ht="15.75" hidden="1" customHeight="1">
      <c r="A53" s="21"/>
      <c r="B53" s="39" t="s">
        <v>39</v>
      </c>
      <c r="C53" s="40" t="s">
        <v>40</v>
      </c>
      <c r="D53" s="39" t="s">
        <v>42</v>
      </c>
      <c r="E53" s="54">
        <v>1</v>
      </c>
      <c r="F53" s="41">
        <v>0.02</v>
      </c>
      <c r="G53" s="10">
        <v>6428.82</v>
      </c>
      <c r="H53" s="55">
        <f t="shared" si="7"/>
        <v>0.12857640000000001</v>
      </c>
      <c r="I53" s="10">
        <v>0</v>
      </c>
    </row>
    <row r="54" spans="1:9" ht="15.75" hidden="1" customHeight="1">
      <c r="A54" s="21">
        <v>13</v>
      </c>
      <c r="B54" s="39" t="s">
        <v>98</v>
      </c>
      <c r="C54" s="40" t="s">
        <v>93</v>
      </c>
      <c r="D54" s="39" t="s">
        <v>70</v>
      </c>
      <c r="E54" s="54">
        <v>56</v>
      </c>
      <c r="F54" s="41">
        <f>SUM(E54*3)</f>
        <v>168</v>
      </c>
      <c r="G54" s="10">
        <v>160.51</v>
      </c>
      <c r="H54" s="55">
        <f t="shared" si="7"/>
        <v>26.965679999999999</v>
      </c>
      <c r="I54" s="10">
        <f>E54*G54</f>
        <v>8988.56</v>
      </c>
    </row>
    <row r="55" spans="1:9" ht="15.75" hidden="1" customHeight="1">
      <c r="A55" s="21">
        <v>14</v>
      </c>
      <c r="B55" s="39" t="s">
        <v>41</v>
      </c>
      <c r="C55" s="40" t="s">
        <v>93</v>
      </c>
      <c r="D55" s="39" t="s">
        <v>70</v>
      </c>
      <c r="E55" s="54">
        <v>112</v>
      </c>
      <c r="F55" s="41">
        <f>SUM(E55)*3</f>
        <v>336</v>
      </c>
      <c r="G55" s="10">
        <v>74.709999999999994</v>
      </c>
      <c r="H55" s="55">
        <f t="shared" si="7"/>
        <v>25.102559999999997</v>
      </c>
      <c r="I55" s="10">
        <f>E55*G55</f>
        <v>8367.5199999999986</v>
      </c>
    </row>
    <row r="56" spans="1:9" ht="15.75" customHeight="1">
      <c r="A56" s="148" t="s">
        <v>151</v>
      </c>
      <c r="B56" s="149"/>
      <c r="C56" s="149"/>
      <c r="D56" s="149"/>
      <c r="E56" s="149"/>
      <c r="F56" s="149"/>
      <c r="G56" s="149"/>
      <c r="H56" s="149"/>
      <c r="I56" s="150"/>
    </row>
    <row r="57" spans="1:9" ht="15.75" hidden="1" customHeight="1">
      <c r="A57" s="21"/>
      <c r="B57" s="74" t="s">
        <v>43</v>
      </c>
      <c r="C57" s="40"/>
      <c r="D57" s="39"/>
      <c r="E57" s="54"/>
      <c r="F57" s="41"/>
      <c r="G57" s="41"/>
      <c r="H57" s="55"/>
      <c r="I57" s="58"/>
    </row>
    <row r="58" spans="1:9" ht="31.5" hidden="1" customHeight="1">
      <c r="A58" s="21">
        <v>15</v>
      </c>
      <c r="B58" s="39" t="s">
        <v>101</v>
      </c>
      <c r="C58" s="40" t="s">
        <v>84</v>
      </c>
      <c r="D58" s="39" t="s">
        <v>157</v>
      </c>
      <c r="E58" s="54">
        <v>142.05000000000001</v>
      </c>
      <c r="F58" s="41">
        <f>SUM(E58*6/100)</f>
        <v>8.5230000000000015</v>
      </c>
      <c r="G58" s="10">
        <v>2108.4299999999998</v>
      </c>
      <c r="H58" s="55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4" t="s">
        <v>44</v>
      </c>
      <c r="C59" s="40"/>
      <c r="D59" s="39"/>
      <c r="E59" s="54"/>
      <c r="F59" s="55"/>
      <c r="G59" s="10"/>
      <c r="H59" s="61"/>
      <c r="I59" s="58"/>
    </row>
    <row r="60" spans="1:9" ht="15.75" hidden="1" customHeight="1">
      <c r="A60" s="21"/>
      <c r="B60" s="39" t="s">
        <v>158</v>
      </c>
      <c r="C60" s="40" t="s">
        <v>84</v>
      </c>
      <c r="D60" s="39" t="s">
        <v>53</v>
      </c>
      <c r="E60" s="54">
        <v>1040.4000000000001</v>
      </c>
      <c r="F60" s="55">
        <f>E60/100</f>
        <v>10.404000000000002</v>
      </c>
      <c r="G60" s="10">
        <v>902.66</v>
      </c>
      <c r="H60" s="61">
        <f>G60*F60/1000</f>
        <v>9.3912746400000007</v>
      </c>
      <c r="I60" s="10">
        <v>0</v>
      </c>
    </row>
    <row r="61" spans="1:9" ht="15.75" customHeight="1">
      <c r="A61" s="21">
        <v>8</v>
      </c>
      <c r="B61" s="39" t="s">
        <v>126</v>
      </c>
      <c r="C61" s="40" t="s">
        <v>25</v>
      </c>
      <c r="D61" s="39" t="s">
        <v>194</v>
      </c>
      <c r="E61" s="54">
        <v>240</v>
      </c>
      <c r="F61" s="41">
        <v>2400</v>
      </c>
      <c r="G61" s="49">
        <v>1.4</v>
      </c>
      <c r="H61" s="55">
        <f>F61*G61/1000</f>
        <v>3.36</v>
      </c>
      <c r="I61" s="10">
        <f>F61/12*G61</f>
        <v>280</v>
      </c>
    </row>
    <row r="62" spans="1:9" ht="15.75" customHeight="1">
      <c r="A62" s="21"/>
      <c r="B62" s="75" t="s">
        <v>45</v>
      </c>
      <c r="C62" s="62"/>
      <c r="D62" s="63"/>
      <c r="E62" s="64"/>
      <c r="F62" s="65"/>
      <c r="G62" s="65"/>
      <c r="H62" s="66" t="s">
        <v>155</v>
      </c>
      <c r="I62" s="58"/>
    </row>
    <row r="63" spans="1:9" ht="15.75" hidden="1" customHeight="1">
      <c r="A63" s="21">
        <v>17</v>
      </c>
      <c r="B63" s="11" t="s">
        <v>46</v>
      </c>
      <c r="C63" s="13" t="s">
        <v>40</v>
      </c>
      <c r="D63" s="39" t="s">
        <v>65</v>
      </c>
      <c r="E63" s="15">
        <v>15</v>
      </c>
      <c r="F63" s="41">
        <f>15/100</f>
        <v>0.15</v>
      </c>
      <c r="G63" s="10">
        <v>252.96</v>
      </c>
      <c r="H63" s="67">
        <f t="shared" ref="H63:H82" si="8">SUM(F63*G63/1000)</f>
        <v>3.7944000000000006E-2</v>
      </c>
      <c r="I63" s="10">
        <f>G63*5</f>
        <v>1264.8</v>
      </c>
    </row>
    <row r="64" spans="1:9" ht="15.75" hidden="1" customHeight="1">
      <c r="A64" s="21"/>
      <c r="B64" s="11" t="s">
        <v>47</v>
      </c>
      <c r="C64" s="13" t="s">
        <v>40</v>
      </c>
      <c r="D64" s="39" t="s">
        <v>65</v>
      </c>
      <c r="E64" s="15">
        <v>10</v>
      </c>
      <c r="F64" s="41">
        <f>10/100</f>
        <v>0.1</v>
      </c>
      <c r="G64" s="10">
        <v>86.74</v>
      </c>
      <c r="H64" s="67">
        <f t="shared" si="8"/>
        <v>8.6739999999999994E-3</v>
      </c>
      <c r="I64" s="10">
        <v>0</v>
      </c>
    </row>
    <row r="65" spans="1:9" ht="15.75" customHeight="1">
      <c r="A65" s="21">
        <v>9</v>
      </c>
      <c r="B65" s="112" t="s">
        <v>48</v>
      </c>
      <c r="C65" s="120" t="s">
        <v>94</v>
      </c>
      <c r="D65" s="85"/>
      <c r="E65" s="88">
        <v>17532</v>
      </c>
      <c r="F65" s="102">
        <f>SUM(E65/100)</f>
        <v>175.32</v>
      </c>
      <c r="G65" s="26">
        <v>316.3</v>
      </c>
      <c r="H65" s="67">
        <f t="shared" si="8"/>
        <v>55.453716</v>
      </c>
      <c r="I65" s="10">
        <f>F65*G65</f>
        <v>55453.716</v>
      </c>
    </row>
    <row r="66" spans="1:9" ht="15.75" customHeight="1">
      <c r="A66" s="21">
        <v>10</v>
      </c>
      <c r="B66" s="112" t="s">
        <v>49</v>
      </c>
      <c r="C66" s="108" t="s">
        <v>95</v>
      </c>
      <c r="D66" s="85"/>
      <c r="E66" s="88">
        <v>17532</v>
      </c>
      <c r="F66" s="26">
        <f>SUM(E66/1000)</f>
        <v>17.532</v>
      </c>
      <c r="G66" s="26">
        <v>246.31</v>
      </c>
      <c r="H66" s="67">
        <f t="shared" si="8"/>
        <v>4.3183069200000004</v>
      </c>
      <c r="I66" s="10">
        <f>F66*G66</f>
        <v>4318.30692</v>
      </c>
    </row>
    <row r="67" spans="1:9" ht="15.75" customHeight="1">
      <c r="A67" s="21">
        <v>11</v>
      </c>
      <c r="B67" s="112" t="s">
        <v>50</v>
      </c>
      <c r="C67" s="108" t="s">
        <v>77</v>
      </c>
      <c r="D67" s="85"/>
      <c r="E67" s="88">
        <v>1365</v>
      </c>
      <c r="F67" s="26">
        <f>SUM(E67/100)</f>
        <v>13.65</v>
      </c>
      <c r="G67" s="26">
        <v>3093.06</v>
      </c>
      <c r="H67" s="67">
        <f t="shared" si="8"/>
        <v>42.220269000000002</v>
      </c>
      <c r="I67" s="10">
        <f t="shared" ref="I67:I70" si="9">F67*G67</f>
        <v>42220.269</v>
      </c>
    </row>
    <row r="68" spans="1:9" ht="15.75" customHeight="1">
      <c r="A68" s="21">
        <v>12</v>
      </c>
      <c r="B68" s="121" t="s">
        <v>71</v>
      </c>
      <c r="C68" s="108" t="s">
        <v>32</v>
      </c>
      <c r="D68" s="85"/>
      <c r="E68" s="88">
        <v>15.6</v>
      </c>
      <c r="F68" s="26">
        <f>SUM(E68)</f>
        <v>15.6</v>
      </c>
      <c r="G68" s="26">
        <v>49.36</v>
      </c>
      <c r="H68" s="67">
        <f t="shared" si="8"/>
        <v>0.77001599999999992</v>
      </c>
      <c r="I68" s="10">
        <f t="shared" si="9"/>
        <v>770.01599999999996</v>
      </c>
    </row>
    <row r="69" spans="1:9" ht="15.75" customHeight="1">
      <c r="A69" s="21">
        <v>13</v>
      </c>
      <c r="B69" s="121" t="s">
        <v>204</v>
      </c>
      <c r="C69" s="108" t="s">
        <v>32</v>
      </c>
      <c r="D69" s="85"/>
      <c r="E69" s="88">
        <v>15.6</v>
      </c>
      <c r="F69" s="26">
        <f>SUM(E69)</f>
        <v>15.6</v>
      </c>
      <c r="G69" s="26">
        <v>56.66</v>
      </c>
      <c r="H69" s="67">
        <f t="shared" si="8"/>
        <v>0.8838959999999999</v>
      </c>
      <c r="I69" s="10">
        <f t="shared" si="9"/>
        <v>883.89599999999996</v>
      </c>
    </row>
    <row r="70" spans="1:9" ht="15.75" hidden="1" customHeight="1">
      <c r="A70" s="21"/>
      <c r="B70" s="85" t="s">
        <v>56</v>
      </c>
      <c r="C70" s="108" t="s">
        <v>57</v>
      </c>
      <c r="D70" s="85" t="s">
        <v>53</v>
      </c>
      <c r="E70" s="14">
        <v>4</v>
      </c>
      <c r="F70" s="89">
        <f>SUM(E70)</f>
        <v>4</v>
      </c>
      <c r="G70" s="26">
        <v>74.37</v>
      </c>
      <c r="H70" s="67">
        <f t="shared" si="8"/>
        <v>0.29748000000000002</v>
      </c>
      <c r="I70" s="10">
        <f t="shared" si="9"/>
        <v>297.48</v>
      </c>
    </row>
    <row r="71" spans="1:9" ht="18.75" customHeight="1">
      <c r="A71" s="21">
        <v>14</v>
      </c>
      <c r="B71" s="11" t="s">
        <v>127</v>
      </c>
      <c r="C71" s="13" t="s">
        <v>57</v>
      </c>
      <c r="D71" s="11" t="s">
        <v>195</v>
      </c>
      <c r="E71" s="15">
        <v>1</v>
      </c>
      <c r="F71" s="49">
        <v>12</v>
      </c>
      <c r="G71" s="26">
        <v>1829</v>
      </c>
      <c r="H71" s="67">
        <f t="shared" si="8"/>
        <v>21.948</v>
      </c>
      <c r="I71" s="10">
        <f>G71</f>
        <v>1829</v>
      </c>
    </row>
    <row r="72" spans="1:9" ht="18.75" customHeight="1">
      <c r="A72" s="21"/>
      <c r="B72" s="76" t="s">
        <v>102</v>
      </c>
      <c r="C72" s="72"/>
      <c r="D72" s="23"/>
      <c r="E72" s="24"/>
      <c r="F72" s="71"/>
      <c r="G72" s="71"/>
      <c r="H72" s="69"/>
      <c r="I72" s="57"/>
    </row>
    <row r="73" spans="1:9" ht="30" customHeight="1">
      <c r="A73" s="21">
        <v>15</v>
      </c>
      <c r="B73" s="100" t="s">
        <v>205</v>
      </c>
      <c r="C73" s="101" t="s">
        <v>206</v>
      </c>
      <c r="D73" s="112"/>
      <c r="E73" s="122">
        <v>3455.3</v>
      </c>
      <c r="F73" s="102">
        <f>E73*12</f>
        <v>41463.600000000006</v>
      </c>
      <c r="G73" s="102">
        <v>2.6</v>
      </c>
      <c r="H73" s="67">
        <f t="shared" ref="H73" si="10">F73*G73/1000</f>
        <v>107.80536000000002</v>
      </c>
      <c r="I73" s="10">
        <f>G73*F73/12</f>
        <v>8983.7800000000007</v>
      </c>
    </row>
    <row r="74" spans="1:9" ht="15.75" customHeight="1">
      <c r="A74" s="21"/>
      <c r="B74" s="43" t="s">
        <v>72</v>
      </c>
      <c r="C74" s="13"/>
      <c r="D74" s="11"/>
      <c r="E74" s="15"/>
      <c r="F74" s="10"/>
      <c r="G74" s="10"/>
      <c r="H74" s="67" t="s">
        <v>155</v>
      </c>
      <c r="I74" s="58"/>
    </row>
    <row r="75" spans="1:9" ht="15.75" hidden="1" customHeight="1">
      <c r="A75" s="21"/>
      <c r="B75" s="11" t="s">
        <v>128</v>
      </c>
      <c r="C75" s="13" t="s">
        <v>30</v>
      </c>
      <c r="D75" s="39" t="s">
        <v>65</v>
      </c>
      <c r="E75" s="15">
        <v>2</v>
      </c>
      <c r="F75" s="10">
        <v>2</v>
      </c>
      <c r="G75" s="10">
        <v>892.5</v>
      </c>
      <c r="H75" s="67">
        <f>G75*F75/1000</f>
        <v>1.7849999999999999</v>
      </c>
      <c r="I75" s="10">
        <v>0</v>
      </c>
    </row>
    <row r="76" spans="1:9" ht="15.75" hidden="1" customHeight="1">
      <c r="A76" s="21"/>
      <c r="B76" s="11" t="s">
        <v>114</v>
      </c>
      <c r="C76" s="13" t="s">
        <v>129</v>
      </c>
      <c r="D76" s="11"/>
      <c r="E76" s="15">
        <v>1</v>
      </c>
      <c r="F76" s="10">
        <v>1</v>
      </c>
      <c r="G76" s="10">
        <v>750</v>
      </c>
      <c r="H76" s="67">
        <f>G76*F76/1000</f>
        <v>0.75</v>
      </c>
      <c r="I76" s="10">
        <v>0</v>
      </c>
    </row>
    <row r="77" spans="1:9" ht="15.75" hidden="1" customHeight="1">
      <c r="A77" s="21">
        <v>12</v>
      </c>
      <c r="B77" s="11" t="s">
        <v>73</v>
      </c>
      <c r="C77" s="13" t="s">
        <v>75</v>
      </c>
      <c r="D77" s="11"/>
      <c r="E77" s="15">
        <v>2</v>
      </c>
      <c r="F77" s="10">
        <v>0.2</v>
      </c>
      <c r="G77" s="10">
        <v>570.54</v>
      </c>
      <c r="H77" s="67">
        <f t="shared" si="8"/>
        <v>0.114108</v>
      </c>
      <c r="I77" s="10">
        <f>G77*0.2</f>
        <v>114.108</v>
      </c>
    </row>
    <row r="78" spans="1:9" ht="15.75" hidden="1" customHeight="1">
      <c r="A78" s="21"/>
      <c r="B78" s="11" t="s">
        <v>74</v>
      </c>
      <c r="C78" s="13" t="s">
        <v>30</v>
      </c>
      <c r="D78" s="11"/>
      <c r="E78" s="15">
        <v>1</v>
      </c>
      <c r="F78" s="49">
        <v>1</v>
      </c>
      <c r="G78" s="10">
        <v>970.21</v>
      </c>
      <c r="H78" s="67">
        <f t="shared" si="8"/>
        <v>0.97021000000000002</v>
      </c>
      <c r="I78" s="10">
        <v>0</v>
      </c>
    </row>
    <row r="79" spans="1:9" ht="15.75" hidden="1" customHeight="1">
      <c r="A79" s="21"/>
      <c r="B79" s="11" t="s">
        <v>130</v>
      </c>
      <c r="C79" s="13" t="s">
        <v>93</v>
      </c>
      <c r="D79" s="11"/>
      <c r="E79" s="15">
        <v>1</v>
      </c>
      <c r="F79" s="41">
        <f>SUM(E79)</f>
        <v>1</v>
      </c>
      <c r="G79" s="10">
        <v>407.79</v>
      </c>
      <c r="H79" s="67">
        <f t="shared" si="8"/>
        <v>0.40779000000000004</v>
      </c>
      <c r="I79" s="10">
        <v>0</v>
      </c>
    </row>
    <row r="80" spans="1:9" ht="15.75" customHeight="1">
      <c r="A80" s="21">
        <v>16</v>
      </c>
      <c r="B80" s="85" t="s">
        <v>207</v>
      </c>
      <c r="C80" s="108" t="s">
        <v>93</v>
      </c>
      <c r="D80" s="85" t="s">
        <v>195</v>
      </c>
      <c r="E80" s="14">
        <v>1</v>
      </c>
      <c r="F80" s="26">
        <f>E80*12</f>
        <v>12</v>
      </c>
      <c r="G80" s="26">
        <v>420</v>
      </c>
      <c r="H80" s="67">
        <f>G80*F80/1000</f>
        <v>5.04</v>
      </c>
      <c r="I80" s="10">
        <f>G80*1</f>
        <v>420</v>
      </c>
    </row>
    <row r="81" spans="1:9" ht="15.75" hidden="1" customHeight="1">
      <c r="A81" s="21"/>
      <c r="B81" s="72" t="s">
        <v>76</v>
      </c>
      <c r="C81" s="13"/>
      <c r="D81" s="11"/>
      <c r="E81" s="15"/>
      <c r="F81" s="10"/>
      <c r="G81" s="10" t="s">
        <v>155</v>
      </c>
      <c r="H81" s="67" t="s">
        <v>155</v>
      </c>
      <c r="I81" s="58"/>
    </row>
    <row r="82" spans="1:9" ht="15.75" hidden="1" customHeight="1">
      <c r="A82" s="21"/>
      <c r="B82" s="34" t="s">
        <v>99</v>
      </c>
      <c r="C82" s="13" t="s">
        <v>77</v>
      </c>
      <c r="D82" s="11"/>
      <c r="E82" s="15"/>
      <c r="F82" s="10">
        <v>0.6</v>
      </c>
      <c r="G82" s="10">
        <v>3138.65</v>
      </c>
      <c r="H82" s="67">
        <f t="shared" si="8"/>
        <v>1.8831900000000001</v>
      </c>
      <c r="I82" s="10">
        <v>0</v>
      </c>
    </row>
    <row r="83" spans="1:9" ht="15.75" hidden="1" customHeight="1">
      <c r="A83" s="21"/>
      <c r="B83" s="43" t="s">
        <v>90</v>
      </c>
      <c r="C83" s="13"/>
      <c r="D83" s="11"/>
      <c r="E83" s="50"/>
      <c r="F83" s="10"/>
      <c r="G83" s="10"/>
      <c r="H83" s="67"/>
      <c r="I83" s="10"/>
    </row>
    <row r="84" spans="1:9" ht="15.75" hidden="1" customHeight="1">
      <c r="A84" s="21"/>
      <c r="B84" s="39" t="s">
        <v>96</v>
      </c>
      <c r="C84" s="13"/>
      <c r="D84" s="11"/>
      <c r="E84" s="50"/>
      <c r="F84" s="10">
        <v>1</v>
      </c>
      <c r="G84" s="10">
        <v>21095</v>
      </c>
      <c r="H84" s="67">
        <f>G84*F84/1000</f>
        <v>21.094999999999999</v>
      </c>
      <c r="I84" s="10">
        <v>0</v>
      </c>
    </row>
    <row r="85" spans="1:9" ht="36" hidden="1" customHeight="1">
      <c r="A85" s="21"/>
      <c r="B85" s="73" t="s">
        <v>138</v>
      </c>
      <c r="C85" s="13" t="s">
        <v>80</v>
      </c>
      <c r="D85" s="39" t="s">
        <v>65</v>
      </c>
      <c r="E85" s="15">
        <v>15</v>
      </c>
      <c r="F85" s="10">
        <v>15</v>
      </c>
      <c r="G85" s="10">
        <v>1430.02</v>
      </c>
      <c r="H85" s="67">
        <f t="shared" ref="H85:H93" si="11">F85*G85/1000</f>
        <v>21.450299999999999</v>
      </c>
      <c r="I85" s="10">
        <v>0</v>
      </c>
    </row>
    <row r="86" spans="1:9" ht="32.25" hidden="1" customHeight="1">
      <c r="A86" s="21"/>
      <c r="B86" s="73" t="s">
        <v>139</v>
      </c>
      <c r="C86" s="13" t="s">
        <v>80</v>
      </c>
      <c r="D86" s="39" t="s">
        <v>65</v>
      </c>
      <c r="E86" s="15">
        <v>10</v>
      </c>
      <c r="F86" s="10">
        <v>10</v>
      </c>
      <c r="G86" s="10">
        <v>1743.04</v>
      </c>
      <c r="H86" s="67">
        <f t="shared" si="11"/>
        <v>17.430400000000002</v>
      </c>
      <c r="I86" s="10">
        <v>0</v>
      </c>
    </row>
    <row r="87" spans="1:9" ht="29.25" hidden="1" customHeight="1">
      <c r="A87" s="21"/>
      <c r="B87" s="73" t="s">
        <v>140</v>
      </c>
      <c r="C87" s="13" t="s">
        <v>80</v>
      </c>
      <c r="D87" s="39" t="s">
        <v>65</v>
      </c>
      <c r="E87" s="15">
        <v>20</v>
      </c>
      <c r="F87" s="10">
        <v>20</v>
      </c>
      <c r="G87" s="10">
        <v>607.27</v>
      </c>
      <c r="H87" s="67">
        <f t="shared" si="11"/>
        <v>12.1454</v>
      </c>
      <c r="I87" s="10">
        <v>0</v>
      </c>
    </row>
    <row r="88" spans="1:9" ht="24.75" hidden="1" customHeight="1">
      <c r="A88" s="21"/>
      <c r="B88" s="73" t="s">
        <v>141</v>
      </c>
      <c r="C88" s="13" t="s">
        <v>80</v>
      </c>
      <c r="D88" s="39" t="s">
        <v>65</v>
      </c>
      <c r="E88" s="15">
        <v>30</v>
      </c>
      <c r="F88" s="10">
        <v>30</v>
      </c>
      <c r="G88" s="10">
        <v>711.93</v>
      </c>
      <c r="H88" s="67">
        <f t="shared" si="11"/>
        <v>21.357899999999997</v>
      </c>
      <c r="I88" s="10">
        <v>0</v>
      </c>
    </row>
    <row r="89" spans="1:9" ht="24.75" hidden="1" customHeight="1">
      <c r="A89" s="21"/>
      <c r="B89" s="73" t="s">
        <v>104</v>
      </c>
      <c r="C89" s="13" t="s">
        <v>30</v>
      </c>
      <c r="D89" s="39" t="s">
        <v>65</v>
      </c>
      <c r="E89" s="15">
        <v>10</v>
      </c>
      <c r="F89" s="10">
        <v>10</v>
      </c>
      <c r="G89" s="10">
        <v>455.31</v>
      </c>
      <c r="H89" s="67">
        <f t="shared" si="11"/>
        <v>4.5531000000000006</v>
      </c>
      <c r="I89" s="10">
        <v>0</v>
      </c>
    </row>
    <row r="90" spans="1:9" ht="28.5" hidden="1" customHeight="1">
      <c r="A90" s="21"/>
      <c r="B90" s="73" t="s">
        <v>142</v>
      </c>
      <c r="C90" s="13" t="s">
        <v>80</v>
      </c>
      <c r="D90" s="39" t="s">
        <v>65</v>
      </c>
      <c r="E90" s="15">
        <v>30</v>
      </c>
      <c r="F90" s="10">
        <v>30</v>
      </c>
      <c r="G90" s="10">
        <v>1155.7</v>
      </c>
      <c r="H90" s="67">
        <f t="shared" si="11"/>
        <v>34.670999999999999</v>
      </c>
      <c r="I90" s="10">
        <v>0</v>
      </c>
    </row>
    <row r="91" spans="1:9" ht="21.75" hidden="1" customHeight="1">
      <c r="A91" s="21"/>
      <c r="B91" s="73" t="s">
        <v>143</v>
      </c>
      <c r="C91" s="13" t="s">
        <v>29</v>
      </c>
      <c r="D91" s="11" t="s">
        <v>42</v>
      </c>
      <c r="E91" s="15">
        <v>1040.4000000000001</v>
      </c>
      <c r="F91" s="10">
        <f>E91*2/1000</f>
        <v>2.0808</v>
      </c>
      <c r="G91" s="10">
        <v>1560.98</v>
      </c>
      <c r="H91" s="67">
        <f t="shared" si="11"/>
        <v>3.2480871840000001</v>
      </c>
      <c r="I91" s="10">
        <v>0</v>
      </c>
    </row>
    <row r="92" spans="1:9" ht="23.25" hidden="1" customHeight="1">
      <c r="A92" s="21"/>
      <c r="B92" s="73" t="s">
        <v>144</v>
      </c>
      <c r="C92" s="21" t="s">
        <v>146</v>
      </c>
      <c r="D92" s="39" t="s">
        <v>65</v>
      </c>
      <c r="E92" s="15">
        <v>100</v>
      </c>
      <c r="F92" s="10">
        <v>1</v>
      </c>
      <c r="G92" s="10">
        <v>12859.93</v>
      </c>
      <c r="H92" s="67">
        <f t="shared" si="11"/>
        <v>12.85993</v>
      </c>
      <c r="I92" s="10">
        <v>0</v>
      </c>
    </row>
    <row r="93" spans="1:9" ht="21.75" hidden="1" customHeight="1">
      <c r="A93" s="21"/>
      <c r="B93" s="73" t="s">
        <v>145</v>
      </c>
      <c r="C93" s="13" t="s">
        <v>29</v>
      </c>
      <c r="D93" s="11" t="s">
        <v>42</v>
      </c>
      <c r="E93" s="15">
        <v>1040.4000000000001</v>
      </c>
      <c r="F93" s="10">
        <v>2.08</v>
      </c>
      <c r="G93" s="10">
        <v>1453.29</v>
      </c>
      <c r="H93" s="67">
        <f t="shared" si="11"/>
        <v>3.0228432000000001</v>
      </c>
      <c r="I93" s="10">
        <v>0</v>
      </c>
    </row>
    <row r="94" spans="1:9" ht="15.75" customHeight="1">
      <c r="A94" s="151" t="s">
        <v>152</v>
      </c>
      <c r="B94" s="152"/>
      <c r="C94" s="152"/>
      <c r="D94" s="152"/>
      <c r="E94" s="152"/>
      <c r="F94" s="152"/>
      <c r="G94" s="152"/>
      <c r="H94" s="152"/>
      <c r="I94" s="153"/>
    </row>
    <row r="95" spans="1:9" ht="15.75" customHeight="1">
      <c r="A95" s="21">
        <v>17</v>
      </c>
      <c r="B95" s="100" t="s">
        <v>97</v>
      </c>
      <c r="C95" s="108" t="s">
        <v>54</v>
      </c>
      <c r="D95" s="123"/>
      <c r="E95" s="26">
        <v>3455.3</v>
      </c>
      <c r="F95" s="26">
        <v>41463.599999999999</v>
      </c>
      <c r="G95" s="26">
        <v>3.5</v>
      </c>
      <c r="H95" s="67">
        <f>SUM(F95*G95/1000)</f>
        <v>145.12260000000001</v>
      </c>
      <c r="I95" s="10">
        <f>F95/12*G95</f>
        <v>12093.55</v>
      </c>
    </row>
    <row r="96" spans="1:9" ht="31.5" customHeight="1">
      <c r="A96" s="21">
        <v>18</v>
      </c>
      <c r="B96" s="85" t="s">
        <v>208</v>
      </c>
      <c r="C96" s="108" t="s">
        <v>54</v>
      </c>
      <c r="D96" s="37"/>
      <c r="E96" s="88">
        <f>E95</f>
        <v>3455.3</v>
      </c>
      <c r="F96" s="26">
        <f>E96*12</f>
        <v>41463.600000000006</v>
      </c>
      <c r="G96" s="26">
        <v>3.2</v>
      </c>
      <c r="H96" s="67">
        <f>F96*G96/1000</f>
        <v>132.68352000000002</v>
      </c>
      <c r="I96" s="10">
        <f>F96/12*G96</f>
        <v>11056.960000000003</v>
      </c>
    </row>
    <row r="97" spans="1:9" ht="15.75" customHeight="1">
      <c r="A97" s="21"/>
      <c r="B97" s="27" t="s">
        <v>79</v>
      </c>
      <c r="C97" s="72"/>
      <c r="D97" s="70"/>
      <c r="E97" s="71"/>
      <c r="F97" s="71"/>
      <c r="G97" s="71"/>
      <c r="H97" s="69">
        <f>SUM(H96)</f>
        <v>132.68352000000002</v>
      </c>
      <c r="I97" s="71">
        <f>I96+I95+I80+I73+I71+I69+I68+I67+I66+I65+I61+I33+I31+I30+I19+I18+I17+I16</f>
        <v>156035.23306666664</v>
      </c>
    </row>
    <row r="98" spans="1:9" ht="15.75" customHeight="1">
      <c r="A98" s="159" t="s">
        <v>59</v>
      </c>
      <c r="B98" s="160"/>
      <c r="C98" s="160"/>
      <c r="D98" s="160"/>
      <c r="E98" s="160"/>
      <c r="F98" s="160"/>
      <c r="G98" s="160"/>
      <c r="H98" s="160"/>
      <c r="I98" s="161"/>
    </row>
    <row r="99" spans="1:9" ht="15.75" customHeight="1">
      <c r="A99" s="21">
        <v>19</v>
      </c>
      <c r="B99" s="38" t="s">
        <v>255</v>
      </c>
      <c r="C99" s="84" t="s">
        <v>29</v>
      </c>
      <c r="D99" s="37"/>
      <c r="E99" s="26"/>
      <c r="F99" s="26">
        <f>2.73+2.73</f>
        <v>5.46</v>
      </c>
      <c r="G99" s="26">
        <v>241.69</v>
      </c>
      <c r="H99" s="67"/>
      <c r="I99" s="10">
        <f>G99*2.73</f>
        <v>659.81370000000004</v>
      </c>
    </row>
    <row r="100" spans="1:9" ht="16.5" customHeight="1">
      <c r="A100" s="21">
        <v>20</v>
      </c>
      <c r="B100" s="38" t="s">
        <v>103</v>
      </c>
      <c r="C100" s="84" t="s">
        <v>201</v>
      </c>
      <c r="D100" s="37" t="s">
        <v>247</v>
      </c>
      <c r="E100" s="26"/>
      <c r="F100" s="26">
        <v>24</v>
      </c>
      <c r="G100" s="26">
        <v>295.36</v>
      </c>
      <c r="H100" s="83"/>
      <c r="I100" s="10">
        <v>0</v>
      </c>
    </row>
    <row r="101" spans="1:9" ht="15.75" customHeight="1">
      <c r="A101" s="21">
        <v>21</v>
      </c>
      <c r="B101" s="38" t="s">
        <v>182</v>
      </c>
      <c r="C101" s="84" t="s">
        <v>183</v>
      </c>
      <c r="D101" s="37"/>
      <c r="E101" s="26"/>
      <c r="F101" s="26">
        <v>3</v>
      </c>
      <c r="G101" s="26">
        <v>236.08</v>
      </c>
      <c r="H101" s="83"/>
      <c r="I101" s="10">
        <f>G101*1</f>
        <v>236.08</v>
      </c>
    </row>
    <row r="102" spans="1:9" ht="15.75" customHeight="1">
      <c r="A102" s="21">
        <v>22</v>
      </c>
      <c r="B102" s="38" t="s">
        <v>266</v>
      </c>
      <c r="C102" s="84" t="s">
        <v>267</v>
      </c>
      <c r="D102" s="37" t="s">
        <v>268</v>
      </c>
      <c r="E102" s="26"/>
      <c r="F102" s="26">
        <v>25</v>
      </c>
      <c r="G102" s="26">
        <v>45</v>
      </c>
      <c r="H102" s="83"/>
      <c r="I102" s="10">
        <f>G102*25</f>
        <v>1125</v>
      </c>
    </row>
    <row r="103" spans="1:9" ht="15.75" customHeight="1">
      <c r="A103" s="21">
        <v>23</v>
      </c>
      <c r="B103" s="38" t="s">
        <v>221</v>
      </c>
      <c r="C103" s="84" t="s">
        <v>40</v>
      </c>
      <c r="D103" s="37" t="s">
        <v>194</v>
      </c>
      <c r="E103" s="26"/>
      <c r="F103" s="26">
        <v>0.02</v>
      </c>
      <c r="G103" s="26">
        <v>28224.75</v>
      </c>
      <c r="H103" s="83"/>
      <c r="I103" s="10">
        <v>0</v>
      </c>
    </row>
    <row r="104" spans="1:9" ht="30" customHeight="1">
      <c r="A104" s="21">
        <v>24</v>
      </c>
      <c r="B104" s="38" t="s">
        <v>241</v>
      </c>
      <c r="C104" s="84" t="s">
        <v>173</v>
      </c>
      <c r="D104" s="37" t="s">
        <v>270</v>
      </c>
      <c r="E104" s="26"/>
      <c r="F104" s="26">
        <v>2</v>
      </c>
      <c r="G104" s="26">
        <v>614.47</v>
      </c>
      <c r="H104" s="83"/>
      <c r="I104" s="10">
        <f>G104*1</f>
        <v>614.47</v>
      </c>
    </row>
    <row r="105" spans="1:9" ht="17.25" customHeight="1">
      <c r="A105" s="21">
        <v>25</v>
      </c>
      <c r="B105" s="38" t="s">
        <v>81</v>
      </c>
      <c r="C105" s="84" t="s">
        <v>93</v>
      </c>
      <c r="D105" s="37"/>
      <c r="E105" s="26"/>
      <c r="F105" s="26">
        <v>8</v>
      </c>
      <c r="G105" s="26">
        <v>224.48</v>
      </c>
      <c r="H105" s="83"/>
      <c r="I105" s="10">
        <f>G105*1</f>
        <v>224.48</v>
      </c>
    </row>
    <row r="106" spans="1:9" ht="17.25" customHeight="1">
      <c r="A106" s="21">
        <v>26</v>
      </c>
      <c r="B106" s="135" t="s">
        <v>264</v>
      </c>
      <c r="C106" s="136" t="s">
        <v>265</v>
      </c>
      <c r="D106" s="37" t="s">
        <v>269</v>
      </c>
      <c r="E106" s="26"/>
      <c r="F106" s="26">
        <f>0.5/3</f>
        <v>0.16666666666666666</v>
      </c>
      <c r="G106" s="26">
        <v>1325.15</v>
      </c>
      <c r="H106" s="83"/>
      <c r="I106" s="10">
        <f>G106*0.5/3</f>
        <v>220.85833333333335</v>
      </c>
    </row>
    <row r="107" spans="1:9" ht="17.25" customHeight="1">
      <c r="A107" s="21">
        <v>27</v>
      </c>
      <c r="B107" s="135" t="s">
        <v>271</v>
      </c>
      <c r="C107" s="136" t="s">
        <v>272</v>
      </c>
      <c r="D107" s="37"/>
      <c r="E107" s="26"/>
      <c r="F107" s="26">
        <v>1</v>
      </c>
      <c r="G107" s="26">
        <v>16079.57</v>
      </c>
      <c r="H107" s="83"/>
      <c r="I107" s="10">
        <f>G107*1</f>
        <v>16079.57</v>
      </c>
    </row>
    <row r="108" spans="1:9">
      <c r="A108" s="21"/>
      <c r="B108" s="32" t="s">
        <v>51</v>
      </c>
      <c r="C108" s="28"/>
      <c r="D108" s="35"/>
      <c r="E108" s="28">
        <v>1</v>
      </c>
      <c r="F108" s="28"/>
      <c r="G108" s="28"/>
      <c r="H108" s="28"/>
      <c r="I108" s="24">
        <f>SUM(I99:I107)</f>
        <v>19160.272033333335</v>
      </c>
    </row>
    <row r="109" spans="1:9">
      <c r="A109" s="21"/>
      <c r="B109" s="34" t="s">
        <v>78</v>
      </c>
      <c r="C109" s="12"/>
      <c r="D109" s="12"/>
      <c r="E109" s="29"/>
      <c r="F109" s="29"/>
      <c r="G109" s="30"/>
      <c r="H109" s="30"/>
      <c r="I109" s="14">
        <v>0</v>
      </c>
    </row>
    <row r="110" spans="1:9" ht="15.75" customHeight="1">
      <c r="A110" s="36"/>
      <c r="B110" s="33" t="s">
        <v>172</v>
      </c>
      <c r="C110" s="25"/>
      <c r="D110" s="25"/>
      <c r="E110" s="25"/>
      <c r="F110" s="25"/>
      <c r="G110" s="25"/>
      <c r="H110" s="25"/>
      <c r="I110" s="31">
        <f>I97+I108</f>
        <v>175195.50509999998</v>
      </c>
    </row>
    <row r="111" spans="1:9" ht="15.75">
      <c r="A111" s="154" t="s">
        <v>273</v>
      </c>
      <c r="B111" s="154"/>
      <c r="C111" s="154"/>
      <c r="D111" s="154"/>
      <c r="E111" s="154"/>
      <c r="F111" s="154"/>
      <c r="G111" s="154"/>
      <c r="H111" s="154"/>
      <c r="I111" s="154"/>
    </row>
    <row r="112" spans="1:9" ht="15.75">
      <c r="A112" s="48"/>
      <c r="B112" s="155" t="s">
        <v>274</v>
      </c>
      <c r="C112" s="155"/>
      <c r="D112" s="155"/>
      <c r="E112" s="155"/>
      <c r="F112" s="155"/>
      <c r="G112" s="155"/>
      <c r="H112" s="53"/>
      <c r="I112" s="2"/>
    </row>
    <row r="113" spans="1:9">
      <c r="A113" s="42"/>
      <c r="B113" s="156" t="s">
        <v>6</v>
      </c>
      <c r="C113" s="156"/>
      <c r="D113" s="156"/>
      <c r="E113" s="156"/>
      <c r="F113" s="156"/>
      <c r="G113" s="156"/>
      <c r="H113" s="16"/>
      <c r="I113" s="4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5.75" customHeight="1">
      <c r="A115" s="157" t="s">
        <v>7</v>
      </c>
      <c r="B115" s="157"/>
      <c r="C115" s="157"/>
      <c r="D115" s="157"/>
      <c r="E115" s="157"/>
      <c r="F115" s="157"/>
      <c r="G115" s="157"/>
      <c r="H115" s="157"/>
      <c r="I115" s="157"/>
    </row>
    <row r="116" spans="1:9" ht="15.75" customHeight="1">
      <c r="A116" s="157" t="s">
        <v>8</v>
      </c>
      <c r="B116" s="157"/>
      <c r="C116" s="157"/>
      <c r="D116" s="157"/>
      <c r="E116" s="157"/>
      <c r="F116" s="157"/>
      <c r="G116" s="157"/>
      <c r="H116" s="157"/>
      <c r="I116" s="157"/>
    </row>
    <row r="117" spans="1:9" ht="15.75" customHeight="1">
      <c r="A117" s="158" t="s">
        <v>60</v>
      </c>
      <c r="B117" s="158"/>
      <c r="C117" s="158"/>
      <c r="D117" s="158"/>
      <c r="E117" s="158"/>
      <c r="F117" s="158"/>
      <c r="G117" s="158"/>
      <c r="H117" s="158"/>
      <c r="I117" s="158"/>
    </row>
    <row r="118" spans="1:9" ht="15.75" customHeight="1">
      <c r="A118" s="8"/>
    </row>
    <row r="119" spans="1:9" ht="15.75" customHeight="1">
      <c r="A119" s="146" t="s">
        <v>9</v>
      </c>
      <c r="B119" s="146"/>
      <c r="C119" s="146"/>
      <c r="D119" s="146"/>
      <c r="E119" s="146"/>
      <c r="F119" s="146"/>
      <c r="G119" s="146"/>
      <c r="H119" s="146"/>
      <c r="I119" s="146"/>
    </row>
    <row r="120" spans="1:9" ht="15.75" customHeight="1">
      <c r="A120" s="3"/>
    </row>
    <row r="121" spans="1:9" ht="15.75" customHeight="1">
      <c r="B121" s="44" t="s">
        <v>10</v>
      </c>
      <c r="C121" s="163" t="s">
        <v>217</v>
      </c>
      <c r="D121" s="163"/>
      <c r="E121" s="163"/>
      <c r="F121" s="51"/>
      <c r="I121" s="46"/>
    </row>
    <row r="122" spans="1:9">
      <c r="A122" s="42"/>
      <c r="C122" s="156" t="s">
        <v>11</v>
      </c>
      <c r="D122" s="156"/>
      <c r="E122" s="156"/>
      <c r="F122" s="16"/>
      <c r="I122" s="47" t="s">
        <v>12</v>
      </c>
    </row>
    <row r="123" spans="1:9" ht="15.75">
      <c r="A123" s="17"/>
      <c r="C123" s="9"/>
      <c r="D123" s="9"/>
      <c r="G123" s="9"/>
      <c r="H123" s="9"/>
    </row>
    <row r="124" spans="1:9" ht="15.75">
      <c r="B124" s="44" t="s">
        <v>13</v>
      </c>
      <c r="C124" s="164"/>
      <c r="D124" s="164"/>
      <c r="E124" s="164"/>
      <c r="F124" s="52"/>
      <c r="I124" s="46"/>
    </row>
    <row r="125" spans="1:9">
      <c r="A125" s="42"/>
      <c r="C125" s="165" t="s">
        <v>11</v>
      </c>
      <c r="D125" s="165"/>
      <c r="E125" s="165"/>
      <c r="F125" s="42"/>
      <c r="I125" s="47" t="s">
        <v>12</v>
      </c>
    </row>
    <row r="126" spans="1:9" ht="15.75">
      <c r="A126" s="3" t="s">
        <v>14</v>
      </c>
    </row>
    <row r="127" spans="1:9">
      <c r="A127" s="166" t="s">
        <v>15</v>
      </c>
      <c r="B127" s="166"/>
      <c r="C127" s="166"/>
      <c r="D127" s="166"/>
      <c r="E127" s="166"/>
      <c r="F127" s="166"/>
      <c r="G127" s="166"/>
      <c r="H127" s="166"/>
      <c r="I127" s="166"/>
    </row>
    <row r="128" spans="1:9" ht="45" customHeight="1">
      <c r="A128" s="162" t="s">
        <v>16</v>
      </c>
      <c r="B128" s="162"/>
      <c r="C128" s="162"/>
      <c r="D128" s="162"/>
      <c r="E128" s="162"/>
      <c r="F128" s="162"/>
      <c r="G128" s="162"/>
      <c r="H128" s="162"/>
      <c r="I128" s="162"/>
    </row>
    <row r="129" spans="1:9" ht="30" customHeight="1">
      <c r="A129" s="162" t="s">
        <v>17</v>
      </c>
      <c r="B129" s="162"/>
      <c r="C129" s="162"/>
      <c r="D129" s="162"/>
      <c r="E129" s="162"/>
      <c r="F129" s="162"/>
      <c r="G129" s="162"/>
      <c r="H129" s="162"/>
      <c r="I129" s="162"/>
    </row>
    <row r="130" spans="1:9" ht="30" customHeight="1">
      <c r="A130" s="162" t="s">
        <v>21</v>
      </c>
      <c r="B130" s="162"/>
      <c r="C130" s="162"/>
      <c r="D130" s="162"/>
      <c r="E130" s="162"/>
      <c r="F130" s="162"/>
      <c r="G130" s="162"/>
      <c r="H130" s="162"/>
      <c r="I130" s="162"/>
    </row>
    <row r="131" spans="1:9" ht="15" customHeight="1">
      <c r="A131" s="162" t="s">
        <v>20</v>
      </c>
      <c r="B131" s="162"/>
      <c r="C131" s="162"/>
      <c r="D131" s="162"/>
      <c r="E131" s="162"/>
      <c r="F131" s="162"/>
      <c r="G131" s="162"/>
      <c r="H131" s="162"/>
      <c r="I131" s="162"/>
    </row>
  </sheetData>
  <mergeCells count="28">
    <mergeCell ref="A129:I129"/>
    <mergeCell ref="A130:I130"/>
    <mergeCell ref="A131:I131"/>
    <mergeCell ref="C121:E121"/>
    <mergeCell ref="C122:E122"/>
    <mergeCell ref="C124:E124"/>
    <mergeCell ref="C125:E125"/>
    <mergeCell ref="A127:I127"/>
    <mergeCell ref="A128:I128"/>
    <mergeCell ref="A119:I119"/>
    <mergeCell ref="A15:I15"/>
    <mergeCell ref="A28:I28"/>
    <mergeCell ref="A44:I44"/>
    <mergeCell ref="A56:I56"/>
    <mergeCell ref="A94:I94"/>
    <mergeCell ref="A111:I111"/>
    <mergeCell ref="B112:G112"/>
    <mergeCell ref="B113:G113"/>
    <mergeCell ref="A115:I115"/>
    <mergeCell ref="A116:I116"/>
    <mergeCell ref="A117:I11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5"/>
  <sheetViews>
    <sheetView topLeftCell="A26" workbookViewId="0">
      <selection activeCell="I112" sqref="I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4.28515625" hidden="1" customWidth="1"/>
    <col min="6" max="6" width="17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167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275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44408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187</v>
      </c>
      <c r="E16" s="88">
        <v>70.7</v>
      </c>
      <c r="F16" s="89">
        <f>SUM(E16*156/100)</f>
        <v>110.292</v>
      </c>
      <c r="G16" s="89">
        <v>261.45</v>
      </c>
      <c r="H16" s="55">
        <f t="shared" ref="H16:H26" si="0">SUM(F16*G16/1000)</f>
        <v>28.835843399999998</v>
      </c>
      <c r="I16" s="10">
        <f>F16/12*G16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188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 t="shared" ref="I17" si="1">F17/12*G17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189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F18/18*2*G18</f>
        <v>5317.7712000000001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199</v>
      </c>
      <c r="E19" s="54">
        <v>40</v>
      </c>
      <c r="F19" s="41">
        <f>SUM(E19/10)</f>
        <v>4</v>
      </c>
      <c r="G19" s="41">
        <v>193.55</v>
      </c>
      <c r="H19" s="55">
        <f t="shared" si="0"/>
        <v>0.7742</v>
      </c>
      <c r="I19" s="10">
        <v>0</v>
      </c>
    </row>
    <row r="20" spans="1:9" ht="15.75" customHeight="1">
      <c r="A20" s="21">
        <v>4</v>
      </c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137">
        <v>324.83999999999997</v>
      </c>
      <c r="H20" s="55">
        <f t="shared" si="0"/>
        <v>6.8216399999999996E-2</v>
      </c>
      <c r="I20" s="10">
        <f>G20*F20/2</f>
        <v>34.108199999999997</v>
      </c>
    </row>
    <row r="21" spans="1:9" ht="15.75" customHeight="1">
      <c r="A21" s="21">
        <v>5</v>
      </c>
      <c r="B21" s="39" t="s">
        <v>110</v>
      </c>
      <c r="C21" s="40" t="s">
        <v>84</v>
      </c>
      <c r="D21" s="39" t="s">
        <v>194</v>
      </c>
      <c r="E21" s="54">
        <v>2.7</v>
      </c>
      <c r="F21" s="41">
        <f>SUM(E21*2/100)</f>
        <v>5.4000000000000006E-2</v>
      </c>
      <c r="G21" s="128">
        <v>322.20999999999998</v>
      </c>
      <c r="H21" s="55">
        <f t="shared" si="0"/>
        <v>1.7399340000000003E-2</v>
      </c>
      <c r="I21" s="10">
        <f>G21*F21/2</f>
        <v>8.6996700000000011</v>
      </c>
    </row>
    <row r="22" spans="1:9" ht="15.75" customHeight="1">
      <c r="A22" s="21">
        <v>6</v>
      </c>
      <c r="B22" s="39" t="s">
        <v>111</v>
      </c>
      <c r="C22" s="40" t="s">
        <v>52</v>
      </c>
      <c r="D22" s="39" t="s">
        <v>198</v>
      </c>
      <c r="E22" s="54">
        <v>357</v>
      </c>
      <c r="F22" s="41">
        <f>SUM(E22/100)</f>
        <v>3.57</v>
      </c>
      <c r="G22" s="128">
        <v>401.44</v>
      </c>
      <c r="H22" s="55">
        <f t="shared" si="0"/>
        <v>1.4331407999999999</v>
      </c>
      <c r="I22" s="10">
        <f>G22*F22</f>
        <v>1433.1407999999999</v>
      </c>
    </row>
    <row r="23" spans="1:9" ht="15.75" customHeight="1">
      <c r="A23" s="21">
        <v>7</v>
      </c>
      <c r="B23" s="39" t="s">
        <v>112</v>
      </c>
      <c r="C23" s="40" t="s">
        <v>52</v>
      </c>
      <c r="D23" s="39" t="s">
        <v>195</v>
      </c>
      <c r="E23" s="56">
        <v>38.64</v>
      </c>
      <c r="F23" s="41">
        <f>SUM(E23/100)</f>
        <v>0.38640000000000002</v>
      </c>
      <c r="G23" s="128">
        <v>66.03</v>
      </c>
      <c r="H23" s="55">
        <f t="shared" si="0"/>
        <v>2.5513992000000003E-2</v>
      </c>
      <c r="I23" s="10">
        <f>G23*F23</f>
        <v>25.513992000000002</v>
      </c>
    </row>
    <row r="24" spans="1:9" ht="15.75" customHeight="1">
      <c r="A24" s="21">
        <v>8</v>
      </c>
      <c r="B24" s="39" t="s">
        <v>113</v>
      </c>
      <c r="C24" s="40" t="s">
        <v>52</v>
      </c>
      <c r="D24" s="39" t="s">
        <v>195</v>
      </c>
      <c r="E24" s="54">
        <v>15</v>
      </c>
      <c r="F24" s="41">
        <f>E24/100</f>
        <v>0.15</v>
      </c>
      <c r="G24" s="128">
        <v>581.02</v>
      </c>
      <c r="H24" s="55">
        <f t="shared" si="0"/>
        <v>8.7152999999999994E-2</v>
      </c>
      <c r="I24" s="10">
        <f>G24*F24</f>
        <v>87.152999999999992</v>
      </c>
    </row>
    <row r="25" spans="1:9" ht="15.75" customHeight="1">
      <c r="A25" s="21">
        <v>9</v>
      </c>
      <c r="B25" s="86" t="s">
        <v>119</v>
      </c>
      <c r="C25" s="87" t="s">
        <v>84</v>
      </c>
      <c r="D25" s="86" t="s">
        <v>194</v>
      </c>
      <c r="E25" s="88">
        <v>14.25</v>
      </c>
      <c r="F25" s="138">
        <f>E25*1/100</f>
        <v>0.14249999999999999</v>
      </c>
      <c r="G25" s="89">
        <v>322.20999999999998</v>
      </c>
      <c r="H25" s="55">
        <v>3.1E-2</v>
      </c>
      <c r="I25" s="10">
        <f>G25*F25</f>
        <v>45.914924999999997</v>
      </c>
    </row>
    <row r="26" spans="1:9" ht="15.75" customHeight="1">
      <c r="A26" s="21">
        <v>10</v>
      </c>
      <c r="B26" s="86" t="s">
        <v>120</v>
      </c>
      <c r="C26" s="87" t="s">
        <v>52</v>
      </c>
      <c r="D26" s="86" t="s">
        <v>194</v>
      </c>
      <c r="E26" s="88">
        <v>6.38</v>
      </c>
      <c r="F26" s="89">
        <f>SUM(E26/100)</f>
        <v>6.3799999999999996E-2</v>
      </c>
      <c r="G26" s="89">
        <v>776.46</v>
      </c>
      <c r="H26" s="55">
        <f t="shared" si="0"/>
        <v>4.9538147999999997E-2</v>
      </c>
      <c r="I26" s="10">
        <f>G26*F26</f>
        <v>49.538148</v>
      </c>
    </row>
    <row r="27" spans="1:9" ht="15.75" hidden="1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10.81</v>
      </c>
      <c r="H27" s="55">
        <f>SUM(F27*G27/1000)</f>
        <v>14.5584756</v>
      </c>
      <c r="I27" s="10">
        <f>F27/12*G27</f>
        <v>1213.2063000000001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15.75" customHeight="1">
      <c r="A30" s="21">
        <v>11</v>
      </c>
      <c r="B30" s="86" t="s">
        <v>92</v>
      </c>
      <c r="C30" s="87" t="s">
        <v>86</v>
      </c>
      <c r="D30" s="86" t="s">
        <v>188</v>
      </c>
      <c r="E30" s="89">
        <v>573.6</v>
      </c>
      <c r="F30" s="89">
        <f>E30*52/1000</f>
        <v>29.827200000000001</v>
      </c>
      <c r="G30" s="89">
        <v>232.4</v>
      </c>
      <c r="H30" s="55">
        <f t="shared" ref="H30:H35" si="2">SUM(F30*G30/1000)</f>
        <v>6.9318412800000004</v>
      </c>
      <c r="I30" s="10">
        <f>F30/6*G30</f>
        <v>1155.3068800000001</v>
      </c>
    </row>
    <row r="31" spans="1:9" ht="31.5" customHeight="1">
      <c r="A31" s="21">
        <v>12</v>
      </c>
      <c r="B31" s="86" t="s">
        <v>159</v>
      </c>
      <c r="C31" s="87" t="s">
        <v>86</v>
      </c>
      <c r="D31" s="86" t="s">
        <v>203</v>
      </c>
      <c r="E31" s="89">
        <v>200</v>
      </c>
      <c r="F31" s="89">
        <f>SUM(E31*72/1000)</f>
        <v>14.4</v>
      </c>
      <c r="G31" s="89">
        <v>385.6</v>
      </c>
      <c r="H31" s="55">
        <f t="shared" si="2"/>
        <v>5.5526400000000002</v>
      </c>
      <c r="I31" s="10">
        <f t="shared" ref="I31:I33" si="3">F31/6*G31</f>
        <v>925.44</v>
      </c>
    </row>
    <row r="32" spans="1:9" ht="15.75" hidden="1" customHeight="1">
      <c r="A32" s="21">
        <v>16</v>
      </c>
      <c r="B32" s="86" t="s">
        <v>27</v>
      </c>
      <c r="C32" s="87" t="s">
        <v>86</v>
      </c>
      <c r="D32" s="86" t="s">
        <v>53</v>
      </c>
      <c r="E32" s="89">
        <v>573.6</v>
      </c>
      <c r="F32" s="89">
        <f>SUM(E32/1000)</f>
        <v>0.5736</v>
      </c>
      <c r="G32" s="89">
        <v>4502.97</v>
      </c>
      <c r="H32" s="55">
        <f t="shared" si="2"/>
        <v>2.5829035920000001</v>
      </c>
      <c r="I32" s="10">
        <f t="shared" si="3"/>
        <v>430.48393200000004</v>
      </c>
    </row>
    <row r="33" spans="1:9" ht="15.75" customHeight="1">
      <c r="A33" s="21">
        <v>13</v>
      </c>
      <c r="B33" s="86" t="s">
        <v>123</v>
      </c>
      <c r="C33" s="87" t="s">
        <v>40</v>
      </c>
      <c r="D33" s="86" t="s">
        <v>192</v>
      </c>
      <c r="E33" s="89">
        <v>1</v>
      </c>
      <c r="F33" s="89">
        <v>1.55</v>
      </c>
      <c r="G33" s="89">
        <v>1941.17</v>
      </c>
      <c r="H33" s="55">
        <f>G33*F33/1000</f>
        <v>3.0088135</v>
      </c>
      <c r="I33" s="10">
        <f t="shared" si="3"/>
        <v>501.46891666666676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4"/>
      <c r="F34" s="41">
        <v>3</v>
      </c>
      <c r="G34" s="41">
        <v>217.61</v>
      </c>
      <c r="H34" s="55">
        <f t="shared" si="2"/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4"/>
      <c r="F35" s="41">
        <v>2</v>
      </c>
      <c r="G35" s="41">
        <v>1292.47</v>
      </c>
      <c r="H35" s="55">
        <f t="shared" si="2"/>
        <v>2.58494</v>
      </c>
      <c r="I35" s="10">
        <v>0</v>
      </c>
    </row>
    <row r="36" spans="1:9" ht="15.75" hidden="1" customHeight="1">
      <c r="A36" s="21"/>
      <c r="B36" s="74" t="s">
        <v>5</v>
      </c>
      <c r="C36" s="40"/>
      <c r="D36" s="39"/>
      <c r="E36" s="54"/>
      <c r="F36" s="41"/>
      <c r="G36" s="41"/>
      <c r="H36" s="55" t="s">
        <v>155</v>
      </c>
      <c r="I36" s="58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4"/>
      <c r="F37" s="41">
        <v>8</v>
      </c>
      <c r="G37" s="41">
        <v>1737.08</v>
      </c>
      <c r="H37" s="55">
        <f t="shared" ref="H37:H43" si="4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100</v>
      </c>
      <c r="E38" s="41">
        <v>200</v>
      </c>
      <c r="F38" s="41">
        <f>SUM(E38*30/1000)</f>
        <v>6</v>
      </c>
      <c r="G38" s="41">
        <v>2391.67</v>
      </c>
      <c r="H38" s="55">
        <f t="shared" si="4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124</v>
      </c>
      <c r="C39" s="40" t="s">
        <v>54</v>
      </c>
      <c r="D39" s="39"/>
      <c r="E39" s="54"/>
      <c r="F39" s="41">
        <v>130</v>
      </c>
      <c r="G39" s="41">
        <v>226.84</v>
      </c>
      <c r="H39" s="55">
        <f t="shared" si="4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85</v>
      </c>
      <c r="E40" s="41">
        <v>60</v>
      </c>
      <c r="F40" s="41">
        <f>SUM(E40*155/1000)</f>
        <v>9.3000000000000007</v>
      </c>
      <c r="G40" s="41">
        <v>398.95</v>
      </c>
      <c r="H40" s="55">
        <f t="shared" si="4"/>
        <v>3.7102349999999999</v>
      </c>
      <c r="I40" s="10">
        <f t="shared" ref="I40:I43" si="5">F40/6*G40</f>
        <v>618.37249999999995</v>
      </c>
    </row>
    <row r="41" spans="1:9" ht="47.25" hidden="1" customHeight="1">
      <c r="A41" s="21">
        <v>9</v>
      </c>
      <c r="B41" s="39" t="s">
        <v>82</v>
      </c>
      <c r="C41" s="40" t="s">
        <v>86</v>
      </c>
      <c r="D41" s="39" t="s">
        <v>125</v>
      </c>
      <c r="E41" s="41">
        <v>40.9</v>
      </c>
      <c r="F41" s="41">
        <f>SUM(E41*35/1000)</f>
        <v>1.4315</v>
      </c>
      <c r="G41" s="41">
        <v>6600.74</v>
      </c>
      <c r="H41" s="55">
        <f t="shared" si="4"/>
        <v>9.4489593099999993</v>
      </c>
      <c r="I41" s="10">
        <f t="shared" si="5"/>
        <v>1574.8265516666668</v>
      </c>
    </row>
    <row r="42" spans="1:9" ht="15.75" hidden="1" customHeight="1">
      <c r="A42" s="21">
        <v>10</v>
      </c>
      <c r="B42" s="39" t="s">
        <v>87</v>
      </c>
      <c r="C42" s="40" t="s">
        <v>86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5">
        <f t="shared" si="4"/>
        <v>1.3165470000000001</v>
      </c>
      <c r="I42" s="10">
        <f t="shared" si="5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4"/>
      <c r="F43" s="41">
        <v>0.9</v>
      </c>
      <c r="G43" s="41">
        <v>907.65</v>
      </c>
      <c r="H43" s="55">
        <f t="shared" si="4"/>
        <v>0.81688499999999997</v>
      </c>
      <c r="I43" s="10">
        <f t="shared" si="5"/>
        <v>136.14749999999998</v>
      </c>
    </row>
    <row r="44" spans="1:9" ht="15.75" hidden="1" customHeight="1">
      <c r="A44" s="148" t="s">
        <v>148</v>
      </c>
      <c r="B44" s="149"/>
      <c r="C44" s="149"/>
      <c r="D44" s="149"/>
      <c r="E44" s="149"/>
      <c r="F44" s="149"/>
      <c r="G44" s="149"/>
      <c r="H44" s="149"/>
      <c r="I44" s="150"/>
    </row>
    <row r="45" spans="1:9" ht="15.75" hidden="1" customHeight="1">
      <c r="A45" s="21"/>
      <c r="B45" s="39" t="s">
        <v>156</v>
      </c>
      <c r="C45" s="40" t="s">
        <v>86</v>
      </c>
      <c r="D45" s="39" t="s">
        <v>42</v>
      </c>
      <c r="E45" s="54">
        <v>1300.5</v>
      </c>
      <c r="F45" s="41">
        <f>SUM(E45/1000)*2</f>
        <v>2.601</v>
      </c>
      <c r="G45" s="10">
        <v>1173.18</v>
      </c>
      <c r="H45" s="55">
        <f t="shared" ref="H45:H55" si="6">SUM(F45*G45/1000)</f>
        <v>3.0514411800000003</v>
      </c>
      <c r="I45" s="10">
        <v>0</v>
      </c>
    </row>
    <row r="46" spans="1:9" ht="15.75" hidden="1" customHeight="1">
      <c r="A46" s="21"/>
      <c r="B46" s="39" t="s">
        <v>35</v>
      </c>
      <c r="C46" s="40" t="s">
        <v>86</v>
      </c>
      <c r="D46" s="39" t="s">
        <v>42</v>
      </c>
      <c r="E46" s="54">
        <v>52</v>
      </c>
      <c r="F46" s="41">
        <f>SUM(E46*2/1000)</f>
        <v>0.104</v>
      </c>
      <c r="G46" s="10">
        <v>659.09</v>
      </c>
      <c r="H46" s="55">
        <f t="shared" si="6"/>
        <v>6.854536E-2</v>
      </c>
      <c r="I46" s="10">
        <v>0</v>
      </c>
    </row>
    <row r="47" spans="1:9" ht="15.75" hidden="1" customHeight="1">
      <c r="A47" s="21"/>
      <c r="B47" s="39" t="s">
        <v>36</v>
      </c>
      <c r="C47" s="40" t="s">
        <v>86</v>
      </c>
      <c r="D47" s="39" t="s">
        <v>42</v>
      </c>
      <c r="E47" s="54">
        <v>1483.1</v>
      </c>
      <c r="F47" s="41">
        <f>SUM(E47*2/1000)</f>
        <v>2.9661999999999997</v>
      </c>
      <c r="G47" s="10">
        <v>1564.24</v>
      </c>
      <c r="H47" s="55">
        <f t="shared" si="6"/>
        <v>4.6398486879999998</v>
      </c>
      <c r="I47" s="10">
        <v>0</v>
      </c>
    </row>
    <row r="48" spans="1:9" ht="15.75" hidden="1" customHeight="1">
      <c r="A48" s="21"/>
      <c r="B48" s="39" t="s">
        <v>37</v>
      </c>
      <c r="C48" s="40" t="s">
        <v>86</v>
      </c>
      <c r="D48" s="39" t="s">
        <v>42</v>
      </c>
      <c r="E48" s="54">
        <v>2320</v>
      </c>
      <c r="F48" s="41">
        <f>SUM(E48*2/1000)</f>
        <v>4.6399999999999997</v>
      </c>
      <c r="G48" s="10">
        <v>1078.3599999999999</v>
      </c>
      <c r="H48" s="55">
        <f t="shared" si="6"/>
        <v>5.0035903999999993</v>
      </c>
      <c r="I48" s="10">
        <v>0</v>
      </c>
    </row>
    <row r="49" spans="1:9" ht="15.75" hidden="1" customHeight="1">
      <c r="A49" s="21"/>
      <c r="B49" s="39" t="s">
        <v>33</v>
      </c>
      <c r="C49" s="40" t="s">
        <v>34</v>
      </c>
      <c r="D49" s="39" t="s">
        <v>42</v>
      </c>
      <c r="E49" s="54">
        <v>91.84</v>
      </c>
      <c r="F49" s="41">
        <f>SUM(E49*2/100)</f>
        <v>1.8368</v>
      </c>
      <c r="G49" s="10">
        <v>82.82</v>
      </c>
      <c r="H49" s="55">
        <f t="shared" si="6"/>
        <v>0.15212377599999999</v>
      </c>
      <c r="I49" s="10">
        <v>0</v>
      </c>
    </row>
    <row r="50" spans="1:9" ht="15.75" hidden="1" customHeight="1">
      <c r="A50" s="21">
        <v>12</v>
      </c>
      <c r="B50" s="39" t="s">
        <v>55</v>
      </c>
      <c r="C50" s="40" t="s">
        <v>86</v>
      </c>
      <c r="D50" s="39" t="s">
        <v>160</v>
      </c>
      <c r="E50" s="54">
        <v>1040.4000000000001</v>
      </c>
      <c r="F50" s="41">
        <f>SUM(E50*5/1000)</f>
        <v>5.202</v>
      </c>
      <c r="G50" s="10">
        <v>1564.24</v>
      </c>
      <c r="H50" s="55">
        <f>SUM(F50*G50/1000)</f>
        <v>8.1371764800000008</v>
      </c>
      <c r="I50" s="10">
        <f>F50/5*G50</f>
        <v>1627.4352960000001</v>
      </c>
    </row>
    <row r="51" spans="1:9" ht="31.5" hidden="1" customHeight="1">
      <c r="A51" s="21">
        <v>10</v>
      </c>
      <c r="B51" s="39" t="s">
        <v>88</v>
      </c>
      <c r="C51" s="40" t="s">
        <v>86</v>
      </c>
      <c r="D51" s="39" t="s">
        <v>42</v>
      </c>
      <c r="E51" s="54">
        <v>1040.4000000000001</v>
      </c>
      <c r="F51" s="41">
        <f>SUM(E51*2/1000)</f>
        <v>2.0808</v>
      </c>
      <c r="G51" s="10">
        <v>1380.31</v>
      </c>
      <c r="H51" s="55">
        <f t="shared" si="6"/>
        <v>2.8721490479999998</v>
      </c>
      <c r="I51" s="10">
        <f>F51/2*G51</f>
        <v>1436.0745239999999</v>
      </c>
    </row>
    <row r="52" spans="1:9" ht="31.5" hidden="1" customHeight="1">
      <c r="A52" s="21">
        <v>11</v>
      </c>
      <c r="B52" s="39" t="s">
        <v>89</v>
      </c>
      <c r="C52" s="40" t="s">
        <v>38</v>
      </c>
      <c r="D52" s="39" t="s">
        <v>42</v>
      </c>
      <c r="E52" s="54">
        <v>20</v>
      </c>
      <c r="F52" s="41">
        <f>SUM(E52*2/100)</f>
        <v>0.4</v>
      </c>
      <c r="G52" s="10">
        <v>3519.56</v>
      </c>
      <c r="H52" s="55">
        <f t="shared" si="6"/>
        <v>1.407824</v>
      </c>
      <c r="I52" s="10">
        <f>F52/2*G52</f>
        <v>703.91200000000003</v>
      </c>
    </row>
    <row r="53" spans="1:9" ht="15.75" hidden="1" customHeight="1">
      <c r="A53" s="21"/>
      <c r="B53" s="39" t="s">
        <v>39</v>
      </c>
      <c r="C53" s="40" t="s">
        <v>40</v>
      </c>
      <c r="D53" s="39" t="s">
        <v>42</v>
      </c>
      <c r="E53" s="54">
        <v>1</v>
      </c>
      <c r="F53" s="41">
        <v>0.02</v>
      </c>
      <c r="G53" s="10">
        <v>6428.82</v>
      </c>
      <c r="H53" s="55">
        <f t="shared" si="6"/>
        <v>0.12857640000000001</v>
      </c>
      <c r="I53" s="10">
        <v>0</v>
      </c>
    </row>
    <row r="54" spans="1:9" ht="15.75" hidden="1" customHeight="1">
      <c r="A54" s="21">
        <v>13</v>
      </c>
      <c r="B54" s="39" t="s">
        <v>98</v>
      </c>
      <c r="C54" s="40" t="s">
        <v>93</v>
      </c>
      <c r="D54" s="39" t="s">
        <v>70</v>
      </c>
      <c r="E54" s="54">
        <v>56</v>
      </c>
      <c r="F54" s="41">
        <f>SUM(E54*3)</f>
        <v>168</v>
      </c>
      <c r="G54" s="10">
        <v>160.51</v>
      </c>
      <c r="H54" s="55">
        <f t="shared" si="6"/>
        <v>26.965679999999999</v>
      </c>
      <c r="I54" s="10">
        <f>E54*G54</f>
        <v>8988.56</v>
      </c>
    </row>
    <row r="55" spans="1:9" ht="15.75" hidden="1" customHeight="1">
      <c r="A55" s="21">
        <v>14</v>
      </c>
      <c r="B55" s="39" t="s">
        <v>41</v>
      </c>
      <c r="C55" s="40" t="s">
        <v>93</v>
      </c>
      <c r="D55" s="39" t="s">
        <v>70</v>
      </c>
      <c r="E55" s="54">
        <v>112</v>
      </c>
      <c r="F55" s="41">
        <f>SUM(E55)*3</f>
        <v>336</v>
      </c>
      <c r="G55" s="10">
        <v>74.709999999999994</v>
      </c>
      <c r="H55" s="55">
        <f t="shared" si="6"/>
        <v>25.102559999999997</v>
      </c>
      <c r="I55" s="10">
        <f>E55*G55</f>
        <v>8367.5199999999986</v>
      </c>
    </row>
    <row r="56" spans="1:9" ht="15.75" customHeight="1">
      <c r="A56" s="148" t="s">
        <v>151</v>
      </c>
      <c r="B56" s="149"/>
      <c r="C56" s="149"/>
      <c r="D56" s="149"/>
      <c r="E56" s="149"/>
      <c r="F56" s="149"/>
      <c r="G56" s="149"/>
      <c r="H56" s="149"/>
      <c r="I56" s="150"/>
    </row>
    <row r="57" spans="1:9" ht="15.75" hidden="1" customHeight="1">
      <c r="A57" s="21"/>
      <c r="B57" s="74" t="s">
        <v>43</v>
      </c>
      <c r="C57" s="40"/>
      <c r="D57" s="39"/>
      <c r="E57" s="54"/>
      <c r="F57" s="41"/>
      <c r="G57" s="41"/>
      <c r="H57" s="55"/>
      <c r="I57" s="58"/>
    </row>
    <row r="58" spans="1:9" ht="31.5" hidden="1" customHeight="1">
      <c r="A58" s="21">
        <v>15</v>
      </c>
      <c r="B58" s="39" t="s">
        <v>101</v>
      </c>
      <c r="C58" s="40" t="s">
        <v>84</v>
      </c>
      <c r="D58" s="39" t="s">
        <v>157</v>
      </c>
      <c r="E58" s="54">
        <v>142.05000000000001</v>
      </c>
      <c r="F58" s="41">
        <f>SUM(E58*6/100)</f>
        <v>8.5230000000000015</v>
      </c>
      <c r="G58" s="10">
        <v>2108.4299999999998</v>
      </c>
      <c r="H58" s="55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4" t="s">
        <v>44</v>
      </c>
      <c r="C59" s="40"/>
      <c r="D59" s="39"/>
      <c r="E59" s="54"/>
      <c r="F59" s="55"/>
      <c r="G59" s="10"/>
      <c r="H59" s="61"/>
      <c r="I59" s="58"/>
    </row>
    <row r="60" spans="1:9" ht="15.75" hidden="1" customHeight="1">
      <c r="A60" s="21"/>
      <c r="B60" s="39" t="s">
        <v>158</v>
      </c>
      <c r="C60" s="40" t="s">
        <v>84</v>
      </c>
      <c r="D60" s="39" t="s">
        <v>53</v>
      </c>
      <c r="E60" s="54">
        <v>1040.4000000000001</v>
      </c>
      <c r="F60" s="55">
        <f>E60/100</f>
        <v>10.404000000000002</v>
      </c>
      <c r="G60" s="10">
        <v>902.66</v>
      </c>
      <c r="H60" s="61">
        <f>G60*F60/1000</f>
        <v>9.3912746400000007</v>
      </c>
      <c r="I60" s="10">
        <v>0</v>
      </c>
    </row>
    <row r="61" spans="1:9" ht="15.75" customHeight="1">
      <c r="A61" s="21">
        <v>14</v>
      </c>
      <c r="B61" s="39" t="s">
        <v>126</v>
      </c>
      <c r="C61" s="40" t="s">
        <v>25</v>
      </c>
      <c r="D61" s="39" t="s">
        <v>194</v>
      </c>
      <c r="E61" s="54">
        <v>240</v>
      </c>
      <c r="F61" s="41">
        <v>2400</v>
      </c>
      <c r="G61" s="49">
        <v>1.4</v>
      </c>
      <c r="H61" s="55">
        <f>F61*G61/1000</f>
        <v>3.36</v>
      </c>
      <c r="I61" s="10">
        <f>F61/12*G61</f>
        <v>280</v>
      </c>
    </row>
    <row r="62" spans="1:9" ht="15.75" customHeight="1">
      <c r="A62" s="21"/>
      <c r="B62" s="75" t="s">
        <v>45</v>
      </c>
      <c r="C62" s="62"/>
      <c r="D62" s="63"/>
      <c r="E62" s="64"/>
      <c r="F62" s="65"/>
      <c r="G62" s="65"/>
      <c r="H62" s="66" t="s">
        <v>155</v>
      </c>
      <c r="I62" s="58"/>
    </row>
    <row r="63" spans="1:9" ht="15.75" hidden="1" customHeight="1">
      <c r="A63" s="21">
        <v>17</v>
      </c>
      <c r="B63" s="11" t="s">
        <v>46</v>
      </c>
      <c r="C63" s="13" t="s">
        <v>40</v>
      </c>
      <c r="D63" s="39" t="s">
        <v>65</v>
      </c>
      <c r="E63" s="15">
        <v>15</v>
      </c>
      <c r="F63" s="41">
        <f>15/100</f>
        <v>0.15</v>
      </c>
      <c r="G63" s="10">
        <v>252.96</v>
      </c>
      <c r="H63" s="67">
        <f t="shared" ref="H63:H78" si="7">SUM(F63*G63/1000)</f>
        <v>3.7944000000000006E-2</v>
      </c>
      <c r="I63" s="10">
        <f>G63*5</f>
        <v>1264.8</v>
      </c>
    </row>
    <row r="64" spans="1:9" ht="21.75" hidden="1" customHeight="1">
      <c r="A64" s="21"/>
      <c r="B64" s="11" t="s">
        <v>47</v>
      </c>
      <c r="C64" s="13" t="s">
        <v>40</v>
      </c>
      <c r="D64" s="39" t="s">
        <v>65</v>
      </c>
      <c r="E64" s="15">
        <v>10</v>
      </c>
      <c r="F64" s="41">
        <f>10/100</f>
        <v>0.1</v>
      </c>
      <c r="G64" s="10">
        <v>86.74</v>
      </c>
      <c r="H64" s="67">
        <f t="shared" si="7"/>
        <v>8.6739999999999994E-3</v>
      </c>
      <c r="I64" s="10">
        <v>0</v>
      </c>
    </row>
    <row r="65" spans="1:9" ht="19.5" hidden="1" customHeight="1">
      <c r="A65" s="21">
        <v>9</v>
      </c>
      <c r="B65" s="112" t="s">
        <v>48</v>
      </c>
      <c r="C65" s="120" t="s">
        <v>94</v>
      </c>
      <c r="D65" s="85"/>
      <c r="E65" s="88">
        <v>17532</v>
      </c>
      <c r="F65" s="102">
        <f>SUM(E65/100)</f>
        <v>175.32</v>
      </c>
      <c r="G65" s="26">
        <v>316.3</v>
      </c>
      <c r="H65" s="67">
        <f t="shared" si="7"/>
        <v>55.453716</v>
      </c>
      <c r="I65" s="10">
        <f>F65*G65</f>
        <v>55453.716</v>
      </c>
    </row>
    <row r="66" spans="1:9" ht="20.25" hidden="1" customHeight="1">
      <c r="A66" s="21">
        <v>10</v>
      </c>
      <c r="B66" s="112" t="s">
        <v>49</v>
      </c>
      <c r="C66" s="108" t="s">
        <v>95</v>
      </c>
      <c r="D66" s="85"/>
      <c r="E66" s="88">
        <v>17532</v>
      </c>
      <c r="F66" s="26">
        <f>SUM(E66/1000)</f>
        <v>17.532</v>
      </c>
      <c r="G66" s="26">
        <v>246.31</v>
      </c>
      <c r="H66" s="67">
        <f t="shared" si="7"/>
        <v>4.3183069200000004</v>
      </c>
      <c r="I66" s="10">
        <f>F66*G66</f>
        <v>4318.30692</v>
      </c>
    </row>
    <row r="67" spans="1:9" ht="23.25" hidden="1" customHeight="1">
      <c r="A67" s="21">
        <v>11</v>
      </c>
      <c r="B67" s="112" t="s">
        <v>50</v>
      </c>
      <c r="C67" s="108" t="s">
        <v>77</v>
      </c>
      <c r="D67" s="85"/>
      <c r="E67" s="88">
        <v>1365</v>
      </c>
      <c r="F67" s="26">
        <f>SUM(E67/100)</f>
        <v>13.65</v>
      </c>
      <c r="G67" s="26">
        <v>3093.06</v>
      </c>
      <c r="H67" s="67">
        <f t="shared" si="7"/>
        <v>42.220269000000002</v>
      </c>
      <c r="I67" s="10">
        <f t="shared" ref="I67:I70" si="8">F67*G67</f>
        <v>42220.269</v>
      </c>
    </row>
    <row r="68" spans="1:9" ht="21" hidden="1" customHeight="1">
      <c r="A68" s="21">
        <v>12</v>
      </c>
      <c r="B68" s="121" t="s">
        <v>71</v>
      </c>
      <c r="C68" s="108" t="s">
        <v>32</v>
      </c>
      <c r="D68" s="85"/>
      <c r="E68" s="88">
        <v>15.6</v>
      </c>
      <c r="F68" s="26">
        <f>SUM(E68)</f>
        <v>15.6</v>
      </c>
      <c r="G68" s="26">
        <v>49.36</v>
      </c>
      <c r="H68" s="67">
        <f t="shared" si="7"/>
        <v>0.77001599999999992</v>
      </c>
      <c r="I68" s="10">
        <f t="shared" si="8"/>
        <v>770.01599999999996</v>
      </c>
    </row>
    <row r="69" spans="1:9" ht="26.25" hidden="1" customHeight="1">
      <c r="A69" s="21">
        <v>13</v>
      </c>
      <c r="B69" s="121" t="s">
        <v>204</v>
      </c>
      <c r="C69" s="108" t="s">
        <v>32</v>
      </c>
      <c r="D69" s="85"/>
      <c r="E69" s="88">
        <v>15.6</v>
      </c>
      <c r="F69" s="26">
        <f>SUM(E69)</f>
        <v>15.6</v>
      </c>
      <c r="G69" s="26">
        <v>56.66</v>
      </c>
      <c r="H69" s="67">
        <f t="shared" si="7"/>
        <v>0.8838959999999999</v>
      </c>
      <c r="I69" s="10">
        <f t="shared" si="8"/>
        <v>883.89599999999996</v>
      </c>
    </row>
    <row r="70" spans="1:9" ht="15.75" hidden="1" customHeight="1">
      <c r="A70" s="21"/>
      <c r="B70" s="85" t="s">
        <v>56</v>
      </c>
      <c r="C70" s="108" t="s">
        <v>57</v>
      </c>
      <c r="D70" s="85" t="s">
        <v>53</v>
      </c>
      <c r="E70" s="14">
        <v>4</v>
      </c>
      <c r="F70" s="89">
        <f>SUM(E70)</f>
        <v>4</v>
      </c>
      <c r="G70" s="26">
        <v>74.37</v>
      </c>
      <c r="H70" s="67">
        <f t="shared" si="7"/>
        <v>0.29748000000000002</v>
      </c>
      <c r="I70" s="10">
        <f t="shared" si="8"/>
        <v>297.48</v>
      </c>
    </row>
    <row r="71" spans="1:9" ht="15.75" customHeight="1">
      <c r="A71" s="21">
        <v>15</v>
      </c>
      <c r="B71" s="85" t="s">
        <v>127</v>
      </c>
      <c r="C71" s="108" t="s">
        <v>57</v>
      </c>
      <c r="D71" s="85" t="s">
        <v>195</v>
      </c>
      <c r="E71" s="14">
        <v>1</v>
      </c>
      <c r="F71" s="90">
        <v>12</v>
      </c>
      <c r="G71" s="26">
        <v>1829</v>
      </c>
      <c r="H71" s="67">
        <f t="shared" si="7"/>
        <v>21.948</v>
      </c>
      <c r="I71" s="10">
        <f>G71</f>
        <v>1829</v>
      </c>
    </row>
    <row r="72" spans="1:9" ht="15.75" customHeight="1">
      <c r="A72" s="21"/>
      <c r="B72" s="119" t="s">
        <v>72</v>
      </c>
      <c r="C72" s="13"/>
      <c r="D72" s="11"/>
      <c r="E72" s="15"/>
      <c r="F72" s="10"/>
      <c r="G72" s="10"/>
      <c r="H72" s="67" t="s">
        <v>155</v>
      </c>
      <c r="I72" s="58"/>
    </row>
    <row r="73" spans="1:9" ht="15.75" hidden="1" customHeight="1">
      <c r="A73" s="21"/>
      <c r="B73" s="11" t="s">
        <v>128</v>
      </c>
      <c r="C73" s="13" t="s">
        <v>30</v>
      </c>
      <c r="D73" s="39" t="s">
        <v>65</v>
      </c>
      <c r="E73" s="15">
        <v>2</v>
      </c>
      <c r="F73" s="10">
        <v>2</v>
      </c>
      <c r="G73" s="10">
        <v>892.5</v>
      </c>
      <c r="H73" s="67">
        <f>G73*F73/1000</f>
        <v>1.7849999999999999</v>
      </c>
      <c r="I73" s="10">
        <v>0</v>
      </c>
    </row>
    <row r="74" spans="1:9" ht="15.75" customHeight="1">
      <c r="A74" s="21">
        <v>16</v>
      </c>
      <c r="B74" s="85" t="s">
        <v>207</v>
      </c>
      <c r="C74" s="108" t="s">
        <v>93</v>
      </c>
      <c r="D74" s="85" t="s">
        <v>195</v>
      </c>
      <c r="E74" s="14">
        <v>1</v>
      </c>
      <c r="F74" s="26">
        <f>E74*12</f>
        <v>12</v>
      </c>
      <c r="G74" s="26">
        <v>420</v>
      </c>
      <c r="H74" s="67">
        <f>G74*F74/1000</f>
        <v>5.04</v>
      </c>
      <c r="I74" s="10">
        <f>G74*1</f>
        <v>420</v>
      </c>
    </row>
    <row r="75" spans="1:9" ht="15.75" hidden="1" customHeight="1">
      <c r="A75" s="21"/>
      <c r="B75" s="11" t="s">
        <v>73</v>
      </c>
      <c r="C75" s="13" t="s">
        <v>75</v>
      </c>
      <c r="D75" s="11"/>
      <c r="E75" s="15">
        <v>2</v>
      </c>
      <c r="F75" s="10">
        <v>0.2</v>
      </c>
      <c r="G75" s="10">
        <v>570.54</v>
      </c>
      <c r="H75" s="67">
        <f t="shared" si="7"/>
        <v>0.114108</v>
      </c>
      <c r="I75" s="10">
        <v>0</v>
      </c>
    </row>
    <row r="76" spans="1:9" ht="15.75" hidden="1" customHeight="1">
      <c r="A76" s="21"/>
      <c r="B76" s="11" t="s">
        <v>74</v>
      </c>
      <c r="C76" s="13" t="s">
        <v>30</v>
      </c>
      <c r="D76" s="11"/>
      <c r="E76" s="15">
        <v>1</v>
      </c>
      <c r="F76" s="49">
        <v>1</v>
      </c>
      <c r="G76" s="10">
        <v>970.21</v>
      </c>
      <c r="H76" s="67">
        <f t="shared" si="7"/>
        <v>0.97021000000000002</v>
      </c>
      <c r="I76" s="10">
        <v>0</v>
      </c>
    </row>
    <row r="77" spans="1:9" ht="15.75" hidden="1" customHeight="1">
      <c r="A77" s="21"/>
      <c r="B77" s="72" t="s">
        <v>76</v>
      </c>
      <c r="C77" s="13"/>
      <c r="D77" s="11"/>
      <c r="E77" s="15"/>
      <c r="F77" s="10"/>
      <c r="G77" s="10" t="s">
        <v>155</v>
      </c>
      <c r="H77" s="67" t="s">
        <v>155</v>
      </c>
      <c r="I77" s="58"/>
    </row>
    <row r="78" spans="1:9" ht="15.75" hidden="1" customHeight="1">
      <c r="A78" s="21"/>
      <c r="B78" s="34" t="s">
        <v>99</v>
      </c>
      <c r="C78" s="13" t="s">
        <v>77</v>
      </c>
      <c r="D78" s="11"/>
      <c r="E78" s="15"/>
      <c r="F78" s="10">
        <v>0.6</v>
      </c>
      <c r="G78" s="10">
        <v>3138.65</v>
      </c>
      <c r="H78" s="67">
        <f t="shared" si="7"/>
        <v>1.8831900000000001</v>
      </c>
      <c r="I78" s="10">
        <v>0</v>
      </c>
    </row>
    <row r="79" spans="1:9" ht="15.75" hidden="1" customHeight="1">
      <c r="A79" s="21"/>
      <c r="B79" s="119" t="s">
        <v>90</v>
      </c>
      <c r="C79" s="13"/>
      <c r="D79" s="11"/>
      <c r="E79" s="50"/>
      <c r="F79" s="10"/>
      <c r="G79" s="10"/>
      <c r="H79" s="67"/>
      <c r="I79" s="10"/>
    </row>
    <row r="80" spans="1:9" ht="15.75" hidden="1" customHeight="1">
      <c r="A80" s="21"/>
      <c r="B80" s="39" t="s">
        <v>96</v>
      </c>
      <c r="C80" s="13"/>
      <c r="D80" s="11"/>
      <c r="E80" s="50"/>
      <c r="F80" s="10">
        <v>1</v>
      </c>
      <c r="G80" s="10">
        <v>21095</v>
      </c>
      <c r="H80" s="67">
        <f>G80*F80/1000</f>
        <v>21.094999999999999</v>
      </c>
      <c r="I80" s="10">
        <v>0</v>
      </c>
    </row>
    <row r="81" spans="1:9" ht="18.75" customHeight="1">
      <c r="A81" s="21"/>
      <c r="B81" s="76" t="s">
        <v>102</v>
      </c>
      <c r="C81" s="72"/>
      <c r="D81" s="23"/>
      <c r="E81" s="24"/>
      <c r="F81" s="71"/>
      <c r="G81" s="71"/>
      <c r="H81" s="69"/>
      <c r="I81" s="57"/>
    </row>
    <row r="82" spans="1:9" ht="24" hidden="1" customHeight="1">
      <c r="A82" s="21"/>
      <c r="B82" s="73" t="s">
        <v>131</v>
      </c>
      <c r="C82" s="13" t="s">
        <v>132</v>
      </c>
      <c r="D82" s="39" t="s">
        <v>65</v>
      </c>
      <c r="E82" s="15">
        <v>10</v>
      </c>
      <c r="F82" s="10">
        <v>10</v>
      </c>
      <c r="G82" s="10">
        <v>271.88</v>
      </c>
      <c r="H82" s="67">
        <f t="shared" ref="H82:H95" si="9">F82*G82/1000</f>
        <v>2.7188000000000003</v>
      </c>
      <c r="I82" s="10">
        <v>0</v>
      </c>
    </row>
    <row r="83" spans="1:9" ht="21" hidden="1" customHeight="1">
      <c r="A83" s="21">
        <v>12</v>
      </c>
      <c r="B83" s="73" t="s">
        <v>103</v>
      </c>
      <c r="C83" s="13" t="s">
        <v>80</v>
      </c>
      <c r="D83" s="39" t="s">
        <v>65</v>
      </c>
      <c r="E83" s="15">
        <v>100</v>
      </c>
      <c r="F83" s="10">
        <v>100</v>
      </c>
      <c r="G83" s="10">
        <v>111.84</v>
      </c>
      <c r="H83" s="67">
        <f t="shared" si="9"/>
        <v>11.183999999999999</v>
      </c>
      <c r="I83" s="10">
        <f>G83*12</f>
        <v>1342.08</v>
      </c>
    </row>
    <row r="84" spans="1:9" ht="30.75" hidden="1" customHeight="1">
      <c r="A84" s="21"/>
      <c r="B84" s="73" t="s">
        <v>133</v>
      </c>
      <c r="C84" s="13" t="s">
        <v>134</v>
      </c>
      <c r="D84" s="39" t="s">
        <v>65</v>
      </c>
      <c r="E84" s="15">
        <v>30</v>
      </c>
      <c r="F84" s="10">
        <v>10</v>
      </c>
      <c r="G84" s="10">
        <v>972.09</v>
      </c>
      <c r="H84" s="67">
        <f t="shared" si="9"/>
        <v>9.7209000000000003</v>
      </c>
      <c r="I84" s="10">
        <v>0</v>
      </c>
    </row>
    <row r="85" spans="1:9" ht="27" hidden="1" customHeight="1">
      <c r="A85" s="21"/>
      <c r="B85" s="73" t="s">
        <v>135</v>
      </c>
      <c r="C85" s="13" t="s">
        <v>52</v>
      </c>
      <c r="D85" s="39" t="s">
        <v>65</v>
      </c>
      <c r="E85" s="15">
        <v>100</v>
      </c>
      <c r="F85" s="10">
        <v>1</v>
      </c>
      <c r="G85" s="10">
        <v>1829.52</v>
      </c>
      <c r="H85" s="67">
        <f t="shared" si="9"/>
        <v>1.82952</v>
      </c>
      <c r="I85" s="10">
        <v>0</v>
      </c>
    </row>
    <row r="86" spans="1:9" ht="30" customHeight="1">
      <c r="A86" s="21">
        <v>17</v>
      </c>
      <c r="B86" s="100" t="s">
        <v>205</v>
      </c>
      <c r="C86" s="101" t="s">
        <v>206</v>
      </c>
      <c r="D86" s="112"/>
      <c r="E86" s="122">
        <v>3455.3</v>
      </c>
      <c r="F86" s="102">
        <f>E86*12</f>
        <v>41463.600000000006</v>
      </c>
      <c r="G86" s="102">
        <v>2.6</v>
      </c>
      <c r="H86" s="67">
        <f t="shared" si="9"/>
        <v>107.80536000000002</v>
      </c>
      <c r="I86" s="10">
        <f>G86*F86/12</f>
        <v>8983.7800000000007</v>
      </c>
    </row>
    <row r="87" spans="1:9" ht="33.75" hidden="1" customHeight="1">
      <c r="A87" s="21"/>
      <c r="B87" s="73" t="s">
        <v>138</v>
      </c>
      <c r="C87" s="13" t="s">
        <v>80</v>
      </c>
      <c r="D87" s="39" t="s">
        <v>65</v>
      </c>
      <c r="E87" s="15">
        <v>15</v>
      </c>
      <c r="F87" s="10">
        <v>15</v>
      </c>
      <c r="G87" s="10">
        <v>1430.02</v>
      </c>
      <c r="H87" s="67">
        <f t="shared" si="9"/>
        <v>21.450299999999999</v>
      </c>
      <c r="I87" s="10">
        <v>0</v>
      </c>
    </row>
    <row r="88" spans="1:9" ht="28.5" hidden="1" customHeight="1">
      <c r="A88" s="21"/>
      <c r="B88" s="73" t="s">
        <v>139</v>
      </c>
      <c r="C88" s="13" t="s">
        <v>80</v>
      </c>
      <c r="D88" s="39" t="s">
        <v>65</v>
      </c>
      <c r="E88" s="15">
        <v>10</v>
      </c>
      <c r="F88" s="10">
        <v>10</v>
      </c>
      <c r="G88" s="10">
        <v>1743.04</v>
      </c>
      <c r="H88" s="67">
        <f t="shared" si="9"/>
        <v>17.430400000000002</v>
      </c>
      <c r="I88" s="10">
        <v>0</v>
      </c>
    </row>
    <row r="89" spans="1:9" ht="20.25" hidden="1" customHeight="1">
      <c r="A89" s="21"/>
      <c r="B89" s="73" t="s">
        <v>140</v>
      </c>
      <c r="C89" s="13" t="s">
        <v>80</v>
      </c>
      <c r="D89" s="39" t="s">
        <v>65</v>
      </c>
      <c r="E89" s="15">
        <v>20</v>
      </c>
      <c r="F89" s="10">
        <v>20</v>
      </c>
      <c r="G89" s="10">
        <v>607.27</v>
      </c>
      <c r="H89" s="67">
        <f t="shared" si="9"/>
        <v>12.1454</v>
      </c>
      <c r="I89" s="10">
        <v>0</v>
      </c>
    </row>
    <row r="90" spans="1:9" ht="27" hidden="1" customHeight="1">
      <c r="A90" s="21"/>
      <c r="B90" s="73" t="s">
        <v>141</v>
      </c>
      <c r="C90" s="13" t="s">
        <v>80</v>
      </c>
      <c r="D90" s="39" t="s">
        <v>65</v>
      </c>
      <c r="E90" s="15">
        <v>30</v>
      </c>
      <c r="F90" s="10">
        <v>30</v>
      </c>
      <c r="G90" s="10">
        <v>711.93</v>
      </c>
      <c r="H90" s="67">
        <f t="shared" si="9"/>
        <v>21.357899999999997</v>
      </c>
      <c r="I90" s="10">
        <v>0</v>
      </c>
    </row>
    <row r="91" spans="1:9" ht="27.75" hidden="1" customHeight="1">
      <c r="A91" s="21"/>
      <c r="B91" s="73" t="s">
        <v>104</v>
      </c>
      <c r="C91" s="13" t="s">
        <v>30</v>
      </c>
      <c r="D91" s="39" t="s">
        <v>65</v>
      </c>
      <c r="E91" s="15">
        <v>10</v>
      </c>
      <c r="F91" s="10">
        <v>10</v>
      </c>
      <c r="G91" s="10">
        <v>455.31</v>
      </c>
      <c r="H91" s="67">
        <f t="shared" si="9"/>
        <v>4.5531000000000006</v>
      </c>
      <c r="I91" s="10">
        <v>0</v>
      </c>
    </row>
    <row r="92" spans="1:9" ht="22.5" hidden="1" customHeight="1">
      <c r="A92" s="21"/>
      <c r="B92" s="73" t="s">
        <v>142</v>
      </c>
      <c r="C92" s="13" t="s">
        <v>80</v>
      </c>
      <c r="D92" s="39" t="s">
        <v>65</v>
      </c>
      <c r="E92" s="15">
        <v>30</v>
      </c>
      <c r="F92" s="10">
        <v>30</v>
      </c>
      <c r="G92" s="10">
        <v>1155.7</v>
      </c>
      <c r="H92" s="67">
        <f t="shared" si="9"/>
        <v>34.670999999999999</v>
      </c>
      <c r="I92" s="10">
        <v>0</v>
      </c>
    </row>
    <row r="93" spans="1:9" ht="21.75" hidden="1" customHeight="1">
      <c r="A93" s="21"/>
      <c r="B93" s="73" t="s">
        <v>143</v>
      </c>
      <c r="C93" s="13" t="s">
        <v>29</v>
      </c>
      <c r="D93" s="11" t="s">
        <v>42</v>
      </c>
      <c r="E93" s="15">
        <v>1040.4000000000001</v>
      </c>
      <c r="F93" s="10">
        <f>E93*2/1000</f>
        <v>2.0808</v>
      </c>
      <c r="G93" s="10">
        <v>1560.98</v>
      </c>
      <c r="H93" s="67">
        <f t="shared" si="9"/>
        <v>3.2480871840000001</v>
      </c>
      <c r="I93" s="10">
        <v>0</v>
      </c>
    </row>
    <row r="94" spans="1:9" ht="18" hidden="1" customHeight="1">
      <c r="A94" s="21"/>
      <c r="B94" s="73" t="s">
        <v>144</v>
      </c>
      <c r="C94" s="21" t="s">
        <v>146</v>
      </c>
      <c r="D94" s="39" t="s">
        <v>65</v>
      </c>
      <c r="E94" s="15">
        <v>100</v>
      </c>
      <c r="F94" s="10">
        <v>1</v>
      </c>
      <c r="G94" s="10">
        <v>12859.93</v>
      </c>
      <c r="H94" s="67">
        <f t="shared" si="9"/>
        <v>12.85993</v>
      </c>
      <c r="I94" s="10">
        <v>0</v>
      </c>
    </row>
    <row r="95" spans="1:9" ht="18" hidden="1" customHeight="1">
      <c r="A95" s="21"/>
      <c r="B95" s="73" t="s">
        <v>145</v>
      </c>
      <c r="C95" s="13" t="s">
        <v>29</v>
      </c>
      <c r="D95" s="11" t="s">
        <v>42</v>
      </c>
      <c r="E95" s="15">
        <v>1040.4000000000001</v>
      </c>
      <c r="F95" s="10">
        <v>2.08</v>
      </c>
      <c r="G95" s="10">
        <v>1453.29</v>
      </c>
      <c r="H95" s="67">
        <f t="shared" si="9"/>
        <v>3.0228432000000001</v>
      </c>
      <c r="I95" s="10">
        <v>0</v>
      </c>
    </row>
    <row r="96" spans="1:9" ht="15.75" customHeight="1">
      <c r="A96" s="151" t="s">
        <v>152</v>
      </c>
      <c r="B96" s="152"/>
      <c r="C96" s="152"/>
      <c r="D96" s="152"/>
      <c r="E96" s="152"/>
      <c r="F96" s="152"/>
      <c r="G96" s="152"/>
      <c r="H96" s="152"/>
      <c r="I96" s="153"/>
    </row>
    <row r="97" spans="1:9" ht="15.75" customHeight="1">
      <c r="A97" s="21">
        <v>18</v>
      </c>
      <c r="B97" s="100" t="s">
        <v>97</v>
      </c>
      <c r="C97" s="108" t="s">
        <v>54</v>
      </c>
      <c r="D97" s="123"/>
      <c r="E97" s="26">
        <v>3455.3</v>
      </c>
      <c r="F97" s="26">
        <v>41463.599999999999</v>
      </c>
      <c r="G97" s="124">
        <v>3.5</v>
      </c>
      <c r="H97" s="67">
        <f>SUM(F97*G97/1000)</f>
        <v>145.12260000000001</v>
      </c>
      <c r="I97" s="10">
        <f>F97/12*G97</f>
        <v>12093.55</v>
      </c>
    </row>
    <row r="98" spans="1:9" ht="31.5" customHeight="1">
      <c r="A98" s="21">
        <v>19</v>
      </c>
      <c r="B98" s="85" t="s">
        <v>208</v>
      </c>
      <c r="C98" s="108" t="s">
        <v>54</v>
      </c>
      <c r="D98" s="37"/>
      <c r="E98" s="88">
        <f>E97</f>
        <v>3455.3</v>
      </c>
      <c r="F98" s="26">
        <f>E98*12</f>
        <v>41463.600000000006</v>
      </c>
      <c r="G98" s="26">
        <v>3.2</v>
      </c>
      <c r="H98" s="67">
        <f>F98*G98/1000</f>
        <v>132.68352000000002</v>
      </c>
      <c r="I98" s="10">
        <f>F98/12*G98</f>
        <v>11056.960000000003</v>
      </c>
    </row>
    <row r="99" spans="1:9" ht="31.5" hidden="1" customHeight="1">
      <c r="A99" s="21">
        <v>19</v>
      </c>
      <c r="B99" s="85" t="s">
        <v>209</v>
      </c>
      <c r="C99" s="108" t="s">
        <v>54</v>
      </c>
      <c r="D99" s="37"/>
      <c r="E99" s="125">
        <v>3455.3</v>
      </c>
      <c r="F99" s="26">
        <f>E99*1</f>
        <v>3455.3</v>
      </c>
      <c r="G99" s="26">
        <v>3.2</v>
      </c>
      <c r="H99" s="67"/>
      <c r="I99" s="10">
        <f>G99*F99</f>
        <v>11056.960000000001</v>
      </c>
    </row>
    <row r="100" spans="1:9" ht="15.75" customHeight="1">
      <c r="A100" s="21"/>
      <c r="B100" s="27" t="s">
        <v>79</v>
      </c>
      <c r="C100" s="72"/>
      <c r="D100" s="70"/>
      <c r="E100" s="71"/>
      <c r="F100" s="71"/>
      <c r="G100" s="71"/>
      <c r="H100" s="69">
        <f>SUM(H98)</f>
        <v>132.68352000000002</v>
      </c>
      <c r="I100" s="71">
        <f>I98+I97+I86+I74+I71+I61+I33+I31+I30+I26+I25+I24+I23+I22+I21+I20+I18+I17+I16</f>
        <v>53058.297881666665</v>
      </c>
    </row>
    <row r="101" spans="1:9" ht="15.75" customHeight="1">
      <c r="A101" s="159" t="s">
        <v>59</v>
      </c>
      <c r="B101" s="160"/>
      <c r="C101" s="160"/>
      <c r="D101" s="160"/>
      <c r="E101" s="160"/>
      <c r="F101" s="160"/>
      <c r="G101" s="160"/>
      <c r="H101" s="160"/>
      <c r="I101" s="161"/>
    </row>
    <row r="102" spans="1:9">
      <c r="A102" s="21"/>
      <c r="B102" s="32" t="s">
        <v>51</v>
      </c>
      <c r="C102" s="28"/>
      <c r="D102" s="35"/>
      <c r="E102" s="28">
        <v>1</v>
      </c>
      <c r="F102" s="28"/>
      <c r="G102" s="28"/>
      <c r="H102" s="28"/>
      <c r="I102" s="24">
        <v>0</v>
      </c>
    </row>
    <row r="103" spans="1:9">
      <c r="A103" s="21"/>
      <c r="B103" s="34" t="s">
        <v>78</v>
      </c>
      <c r="C103" s="12"/>
      <c r="D103" s="12"/>
      <c r="E103" s="29"/>
      <c r="F103" s="29"/>
      <c r="G103" s="30"/>
      <c r="H103" s="30"/>
      <c r="I103" s="14">
        <v>0</v>
      </c>
    </row>
    <row r="104" spans="1:9" ht="15.75" customHeight="1">
      <c r="A104" s="36"/>
      <c r="B104" s="33" t="s">
        <v>172</v>
      </c>
      <c r="C104" s="25"/>
      <c r="D104" s="25"/>
      <c r="E104" s="25"/>
      <c r="F104" s="25"/>
      <c r="G104" s="25"/>
      <c r="H104" s="25"/>
      <c r="I104" s="31">
        <f>I100+I102</f>
        <v>53058.297881666665</v>
      </c>
    </row>
    <row r="105" spans="1:9" ht="15.75">
      <c r="A105" s="154" t="s">
        <v>276</v>
      </c>
      <c r="B105" s="154"/>
      <c r="C105" s="154"/>
      <c r="D105" s="154"/>
      <c r="E105" s="154"/>
      <c r="F105" s="154"/>
      <c r="G105" s="154"/>
      <c r="H105" s="154"/>
      <c r="I105" s="154"/>
    </row>
    <row r="106" spans="1:9" ht="15.75">
      <c r="A106" s="48"/>
      <c r="B106" s="155" t="s">
        <v>277</v>
      </c>
      <c r="C106" s="155"/>
      <c r="D106" s="155"/>
      <c r="E106" s="155"/>
      <c r="F106" s="155"/>
      <c r="G106" s="155"/>
      <c r="H106" s="53"/>
      <c r="I106" s="2"/>
    </row>
    <row r="107" spans="1:9">
      <c r="A107" s="42"/>
      <c r="B107" s="156" t="s">
        <v>6</v>
      </c>
      <c r="C107" s="156"/>
      <c r="D107" s="156"/>
      <c r="E107" s="156"/>
      <c r="F107" s="156"/>
      <c r="G107" s="156"/>
      <c r="H107" s="16"/>
      <c r="I107" s="4"/>
    </row>
    <row r="108" spans="1:9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5.75" customHeight="1">
      <c r="A109" s="157" t="s">
        <v>7</v>
      </c>
      <c r="B109" s="157"/>
      <c r="C109" s="157"/>
      <c r="D109" s="157"/>
      <c r="E109" s="157"/>
      <c r="F109" s="157"/>
      <c r="G109" s="157"/>
      <c r="H109" s="157"/>
      <c r="I109" s="157"/>
    </row>
    <row r="110" spans="1:9" ht="15.75" customHeight="1">
      <c r="A110" s="157" t="s">
        <v>8</v>
      </c>
      <c r="B110" s="157"/>
      <c r="C110" s="157"/>
      <c r="D110" s="157"/>
      <c r="E110" s="157"/>
      <c r="F110" s="157"/>
      <c r="G110" s="157"/>
      <c r="H110" s="157"/>
      <c r="I110" s="157"/>
    </row>
    <row r="111" spans="1:9" ht="15.75" customHeight="1">
      <c r="A111" s="158" t="s">
        <v>60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15.75" customHeight="1">
      <c r="A112" s="8"/>
    </row>
    <row r="113" spans="1:9" ht="15.75" customHeight="1">
      <c r="A113" s="146" t="s">
        <v>9</v>
      </c>
      <c r="B113" s="146"/>
      <c r="C113" s="146"/>
      <c r="D113" s="146"/>
      <c r="E113" s="146"/>
      <c r="F113" s="146"/>
      <c r="G113" s="146"/>
      <c r="H113" s="146"/>
      <c r="I113" s="146"/>
    </row>
    <row r="114" spans="1:9" ht="15.75" customHeight="1">
      <c r="A114" s="3"/>
    </row>
    <row r="115" spans="1:9" ht="15.75" customHeight="1">
      <c r="B115" s="44" t="s">
        <v>10</v>
      </c>
      <c r="C115" s="163" t="s">
        <v>217</v>
      </c>
      <c r="D115" s="163"/>
      <c r="E115" s="163"/>
      <c r="F115" s="51"/>
      <c r="I115" s="46"/>
    </row>
    <row r="116" spans="1:9">
      <c r="A116" s="42"/>
      <c r="C116" s="156" t="s">
        <v>11</v>
      </c>
      <c r="D116" s="156"/>
      <c r="E116" s="156"/>
      <c r="F116" s="16"/>
      <c r="I116" s="47" t="s">
        <v>12</v>
      </c>
    </row>
    <row r="117" spans="1:9" ht="15.75">
      <c r="A117" s="17"/>
      <c r="C117" s="9"/>
      <c r="D117" s="9"/>
      <c r="G117" s="9"/>
      <c r="H117" s="9"/>
    </row>
    <row r="118" spans="1:9" ht="15.75">
      <c r="B118" s="44" t="s">
        <v>13</v>
      </c>
      <c r="C118" s="164"/>
      <c r="D118" s="164"/>
      <c r="E118" s="164"/>
      <c r="F118" s="52"/>
      <c r="I118" s="46"/>
    </row>
    <row r="119" spans="1:9">
      <c r="A119" s="42"/>
      <c r="C119" s="165" t="s">
        <v>11</v>
      </c>
      <c r="D119" s="165"/>
      <c r="E119" s="165"/>
      <c r="F119" s="42"/>
      <c r="I119" s="47" t="s">
        <v>12</v>
      </c>
    </row>
    <row r="120" spans="1:9" ht="15.75">
      <c r="A120" s="3" t="s">
        <v>14</v>
      </c>
    </row>
    <row r="121" spans="1:9">
      <c r="A121" s="166" t="s">
        <v>15</v>
      </c>
      <c r="B121" s="166"/>
      <c r="C121" s="166"/>
      <c r="D121" s="166"/>
      <c r="E121" s="166"/>
      <c r="F121" s="166"/>
      <c r="G121" s="166"/>
      <c r="H121" s="166"/>
      <c r="I121" s="166"/>
    </row>
    <row r="122" spans="1:9" ht="45" customHeight="1">
      <c r="A122" s="162" t="s">
        <v>16</v>
      </c>
      <c r="B122" s="162"/>
      <c r="C122" s="162"/>
      <c r="D122" s="162"/>
      <c r="E122" s="162"/>
      <c r="F122" s="162"/>
      <c r="G122" s="162"/>
      <c r="H122" s="162"/>
      <c r="I122" s="162"/>
    </row>
    <row r="123" spans="1:9" ht="30" customHeight="1">
      <c r="A123" s="162" t="s">
        <v>17</v>
      </c>
      <c r="B123" s="162"/>
      <c r="C123" s="162"/>
      <c r="D123" s="162"/>
      <c r="E123" s="162"/>
      <c r="F123" s="162"/>
      <c r="G123" s="162"/>
      <c r="H123" s="162"/>
      <c r="I123" s="162"/>
    </row>
    <row r="124" spans="1:9" ht="30" customHeight="1">
      <c r="A124" s="162" t="s">
        <v>21</v>
      </c>
      <c r="B124" s="162"/>
      <c r="C124" s="162"/>
      <c r="D124" s="162"/>
      <c r="E124" s="162"/>
      <c r="F124" s="162"/>
      <c r="G124" s="162"/>
      <c r="H124" s="162"/>
      <c r="I124" s="162"/>
    </row>
    <row r="125" spans="1:9" ht="15" customHeight="1">
      <c r="A125" s="162" t="s">
        <v>20</v>
      </c>
      <c r="B125" s="162"/>
      <c r="C125" s="162"/>
      <c r="D125" s="162"/>
      <c r="E125" s="162"/>
      <c r="F125" s="162"/>
      <c r="G125" s="162"/>
      <c r="H125" s="162"/>
      <c r="I125" s="162"/>
    </row>
  </sheetData>
  <mergeCells count="28">
    <mergeCell ref="A123:I123"/>
    <mergeCell ref="A124:I124"/>
    <mergeCell ref="A125:I125"/>
    <mergeCell ref="C115:E115"/>
    <mergeCell ref="C116:E116"/>
    <mergeCell ref="C118:E118"/>
    <mergeCell ref="C119:E119"/>
    <mergeCell ref="A121:I121"/>
    <mergeCell ref="A122:I122"/>
    <mergeCell ref="A113:I113"/>
    <mergeCell ref="A15:I15"/>
    <mergeCell ref="A28:I28"/>
    <mergeCell ref="A44:I44"/>
    <mergeCell ref="A56:I56"/>
    <mergeCell ref="A96:I96"/>
    <mergeCell ref="A105:I105"/>
    <mergeCell ref="B106:G106"/>
    <mergeCell ref="B107:G107"/>
    <mergeCell ref="A109:I109"/>
    <mergeCell ref="A110:I110"/>
    <mergeCell ref="A111:I111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9"/>
  <sheetViews>
    <sheetView topLeftCell="A71" workbookViewId="0">
      <selection activeCell="A117" sqref="A117:I11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168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278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44439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187</v>
      </c>
      <c r="E16" s="88">
        <v>70.7</v>
      </c>
      <c r="F16" s="89">
        <f>SUM(E16*156/100)</f>
        <v>110.292</v>
      </c>
      <c r="G16" s="89">
        <v>261.45</v>
      </c>
      <c r="H16" s="55">
        <f t="shared" ref="H16:H26" si="0">SUM(F16*G16/1000)</f>
        <v>28.835843399999998</v>
      </c>
      <c r="I16" s="10">
        <f>F16/156*11*G16</f>
        <v>2033.2966499999998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188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>F17/104*7*G17</f>
        <v>5175.6642000000002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189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F18/18*2*G18</f>
        <v>5317.7712000000001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108</v>
      </c>
      <c r="E19" s="54">
        <v>40</v>
      </c>
      <c r="F19" s="41">
        <f>SUM(E19/10)</f>
        <v>4</v>
      </c>
      <c r="G19" s="41">
        <v>193.55</v>
      </c>
      <c r="H19" s="55">
        <f t="shared" si="0"/>
        <v>0.7742</v>
      </c>
      <c r="I19" s="10">
        <v>0</v>
      </c>
    </row>
    <row r="20" spans="1:9" ht="15.75" hidden="1" customHeight="1">
      <c r="A20" s="21"/>
      <c r="B20" s="39" t="s">
        <v>109</v>
      </c>
      <c r="C20" s="40" t="s">
        <v>84</v>
      </c>
      <c r="D20" s="39" t="s">
        <v>42</v>
      </c>
      <c r="E20" s="54">
        <v>10.5</v>
      </c>
      <c r="F20" s="41">
        <f>E20*2/100</f>
        <v>0.21</v>
      </c>
      <c r="G20" s="41">
        <v>247.82</v>
      </c>
      <c r="H20" s="55">
        <f t="shared" si="0"/>
        <v>5.2042199999999997E-2</v>
      </c>
      <c r="I20" s="10">
        <v>0</v>
      </c>
    </row>
    <row r="21" spans="1:9" ht="15.75" hidden="1" customHeight="1">
      <c r="A21" s="21"/>
      <c r="B21" s="39" t="s">
        <v>110</v>
      </c>
      <c r="C21" s="40" t="s">
        <v>84</v>
      </c>
      <c r="D21" s="39" t="s">
        <v>42</v>
      </c>
      <c r="E21" s="54">
        <v>2.7</v>
      </c>
      <c r="F21" s="41">
        <f>SUM(E21*2/100)</f>
        <v>5.4000000000000006E-2</v>
      </c>
      <c r="G21" s="41">
        <v>245.81</v>
      </c>
      <c r="H21" s="55">
        <f t="shared" si="0"/>
        <v>1.3273740000000003E-2</v>
      </c>
      <c r="I21" s="10">
        <v>0</v>
      </c>
    </row>
    <row r="22" spans="1:9" ht="15.75" hidden="1" customHeight="1">
      <c r="A22" s="21"/>
      <c r="B22" s="39" t="s">
        <v>111</v>
      </c>
      <c r="C22" s="40" t="s">
        <v>52</v>
      </c>
      <c r="D22" s="39" t="s">
        <v>108</v>
      </c>
      <c r="E22" s="54">
        <v>357</v>
      </c>
      <c r="F22" s="41">
        <f>SUM(E22/100)</f>
        <v>3.57</v>
      </c>
      <c r="G22" s="41">
        <v>306.26</v>
      </c>
      <c r="H22" s="55">
        <f t="shared" si="0"/>
        <v>1.0933481999999999</v>
      </c>
      <c r="I22" s="10">
        <v>0</v>
      </c>
    </row>
    <row r="23" spans="1:9" ht="15.75" hidden="1" customHeight="1">
      <c r="A23" s="21"/>
      <c r="B23" s="39" t="s">
        <v>112</v>
      </c>
      <c r="C23" s="40" t="s">
        <v>52</v>
      </c>
      <c r="D23" s="39" t="s">
        <v>108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0"/>
        <v>1.9462968000000001E-2</v>
      </c>
      <c r="I23" s="10">
        <v>0</v>
      </c>
    </row>
    <row r="24" spans="1:9" ht="15.75" hidden="1" customHeight="1">
      <c r="A24" s="21"/>
      <c r="B24" s="39" t="s">
        <v>113</v>
      </c>
      <c r="C24" s="40" t="s">
        <v>52</v>
      </c>
      <c r="D24" s="39" t="s">
        <v>118</v>
      </c>
      <c r="E24" s="54">
        <v>15</v>
      </c>
      <c r="F24" s="41">
        <f>E24/100</f>
        <v>0.15</v>
      </c>
      <c r="G24" s="41">
        <v>443.27</v>
      </c>
      <c r="H24" s="55">
        <f t="shared" si="0"/>
        <v>6.6490499999999994E-2</v>
      </c>
      <c r="I24" s="10">
        <v>0</v>
      </c>
    </row>
    <row r="25" spans="1:9" ht="15.75" hidden="1" customHeight="1">
      <c r="A25" s="21"/>
      <c r="B25" s="39" t="s">
        <v>119</v>
      </c>
      <c r="C25" s="40" t="s">
        <v>84</v>
      </c>
      <c r="D25" s="39" t="s">
        <v>53</v>
      </c>
      <c r="E25" s="54">
        <v>14.25</v>
      </c>
      <c r="F25" s="41">
        <v>0.1</v>
      </c>
      <c r="G25" s="41">
        <v>245.81</v>
      </c>
      <c r="H25" s="55">
        <v>3.1E-2</v>
      </c>
      <c r="I25" s="10">
        <v>0</v>
      </c>
    </row>
    <row r="26" spans="1:9" ht="15.75" hidden="1" customHeight="1">
      <c r="A26" s="21"/>
      <c r="B26" s="39" t="s">
        <v>120</v>
      </c>
      <c r="C26" s="40" t="s">
        <v>52</v>
      </c>
      <c r="D26" s="39" t="s">
        <v>108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0"/>
        <v>3.7793205999999996E-2</v>
      </c>
      <c r="I26" s="10">
        <v>0</v>
      </c>
    </row>
    <row r="27" spans="1:9" ht="15.75" hidden="1" customHeight="1">
      <c r="A27" s="21">
        <v>4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10.81</v>
      </c>
      <c r="H27" s="55">
        <f>SUM(F27*G27/1000)</f>
        <v>14.5584756</v>
      </c>
      <c r="I27" s="10">
        <f>F27/12*G27</f>
        <v>1213.2063000000001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15.75" customHeight="1">
      <c r="A30" s="21">
        <v>4</v>
      </c>
      <c r="B30" s="86" t="s">
        <v>92</v>
      </c>
      <c r="C30" s="87" t="s">
        <v>86</v>
      </c>
      <c r="D30" s="86" t="s">
        <v>188</v>
      </c>
      <c r="E30" s="89">
        <v>573.6</v>
      </c>
      <c r="F30" s="89">
        <f>E30*52/1000</f>
        <v>29.827200000000001</v>
      </c>
      <c r="G30" s="89">
        <v>232.4</v>
      </c>
      <c r="H30" s="55">
        <f t="shared" ref="H30:H32" si="1">SUM(F30*G30/1000)</f>
        <v>6.9318412800000004</v>
      </c>
      <c r="I30" s="10">
        <f>F30/6*G30</f>
        <v>1155.3068800000001</v>
      </c>
    </row>
    <row r="31" spans="1:9" ht="31.5" customHeight="1">
      <c r="A31" s="21">
        <v>5</v>
      </c>
      <c r="B31" s="86" t="s">
        <v>159</v>
      </c>
      <c r="C31" s="87" t="s">
        <v>86</v>
      </c>
      <c r="D31" s="86" t="s">
        <v>203</v>
      </c>
      <c r="E31" s="89">
        <v>200</v>
      </c>
      <c r="F31" s="89">
        <f>SUM(E31*72/1000)</f>
        <v>14.4</v>
      </c>
      <c r="G31" s="89">
        <v>385.6</v>
      </c>
      <c r="H31" s="55">
        <f t="shared" si="1"/>
        <v>5.5526400000000002</v>
      </c>
      <c r="I31" s="10">
        <f t="shared" ref="I31:I33" si="2">F31/6*G31</f>
        <v>925.44</v>
      </c>
    </row>
    <row r="32" spans="1:9" ht="15.75" hidden="1" customHeight="1">
      <c r="A32" s="21">
        <v>16</v>
      </c>
      <c r="B32" s="86" t="s">
        <v>27</v>
      </c>
      <c r="C32" s="87" t="s">
        <v>86</v>
      </c>
      <c r="D32" s="86" t="s">
        <v>53</v>
      </c>
      <c r="E32" s="89">
        <v>573.6</v>
      </c>
      <c r="F32" s="89">
        <f>SUM(E32/1000)</f>
        <v>0.5736</v>
      </c>
      <c r="G32" s="89">
        <v>4502.97</v>
      </c>
      <c r="H32" s="55">
        <f t="shared" si="1"/>
        <v>2.5829035920000001</v>
      </c>
      <c r="I32" s="10">
        <f t="shared" si="2"/>
        <v>430.48393200000004</v>
      </c>
    </row>
    <row r="33" spans="1:9" ht="15.75" customHeight="1">
      <c r="A33" s="21">
        <v>6</v>
      </c>
      <c r="B33" s="86" t="s">
        <v>123</v>
      </c>
      <c r="C33" s="87" t="s">
        <v>40</v>
      </c>
      <c r="D33" s="86" t="s">
        <v>192</v>
      </c>
      <c r="E33" s="89">
        <v>1</v>
      </c>
      <c r="F33" s="89">
        <v>1.55</v>
      </c>
      <c r="G33" s="89">
        <v>1941.17</v>
      </c>
      <c r="H33" s="55">
        <f>G33*F33/1000</f>
        <v>3.0088135</v>
      </c>
      <c r="I33" s="10">
        <f t="shared" si="2"/>
        <v>501.46891666666676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4"/>
      <c r="F34" s="41">
        <v>3</v>
      </c>
      <c r="G34" s="41">
        <v>217.61</v>
      </c>
      <c r="H34" s="55">
        <f t="shared" ref="H34:H35" si="3">SUM(F34*G34/1000)</f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4"/>
      <c r="F35" s="41">
        <v>2</v>
      </c>
      <c r="G35" s="41">
        <v>1292.47</v>
      </c>
      <c r="H35" s="55">
        <f t="shared" si="3"/>
        <v>2.58494</v>
      </c>
      <c r="I35" s="10">
        <v>0</v>
      </c>
    </row>
    <row r="36" spans="1:9" ht="15.75" hidden="1" customHeight="1">
      <c r="A36" s="21"/>
      <c r="B36" s="74" t="s">
        <v>5</v>
      </c>
      <c r="C36" s="40"/>
      <c r="D36" s="39"/>
      <c r="E36" s="54"/>
      <c r="F36" s="41"/>
      <c r="G36" s="41"/>
      <c r="H36" s="55" t="s">
        <v>155</v>
      </c>
      <c r="I36" s="58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4"/>
      <c r="F37" s="41">
        <v>8</v>
      </c>
      <c r="G37" s="41">
        <v>1737.08</v>
      </c>
      <c r="H37" s="55">
        <f t="shared" ref="H37:H43" si="4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100</v>
      </c>
      <c r="E38" s="41">
        <v>200</v>
      </c>
      <c r="F38" s="41">
        <f>SUM(E38*30/1000)</f>
        <v>6</v>
      </c>
      <c r="G38" s="41">
        <v>2391.67</v>
      </c>
      <c r="H38" s="55">
        <f t="shared" si="4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124</v>
      </c>
      <c r="C39" s="40" t="s">
        <v>54</v>
      </c>
      <c r="D39" s="39"/>
      <c r="E39" s="54"/>
      <c r="F39" s="41">
        <v>130</v>
      </c>
      <c r="G39" s="41">
        <v>226.84</v>
      </c>
      <c r="H39" s="55">
        <f t="shared" si="4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85</v>
      </c>
      <c r="E40" s="41">
        <v>60</v>
      </c>
      <c r="F40" s="41">
        <f>SUM(E40*155/1000)</f>
        <v>9.3000000000000007</v>
      </c>
      <c r="G40" s="41">
        <v>398.95</v>
      </c>
      <c r="H40" s="55">
        <f t="shared" si="4"/>
        <v>3.7102349999999999</v>
      </c>
      <c r="I40" s="10">
        <f t="shared" ref="I40:I43" si="5">F40/6*G40</f>
        <v>618.37249999999995</v>
      </c>
    </row>
    <row r="41" spans="1:9" ht="47.25" hidden="1" customHeight="1">
      <c r="A41" s="21">
        <v>9</v>
      </c>
      <c r="B41" s="39" t="s">
        <v>82</v>
      </c>
      <c r="C41" s="40" t="s">
        <v>86</v>
      </c>
      <c r="D41" s="39" t="s">
        <v>125</v>
      </c>
      <c r="E41" s="41">
        <v>40.9</v>
      </c>
      <c r="F41" s="41">
        <f>SUM(E41*35/1000)</f>
        <v>1.4315</v>
      </c>
      <c r="G41" s="41">
        <v>6600.74</v>
      </c>
      <c r="H41" s="55">
        <f t="shared" si="4"/>
        <v>9.4489593099999993</v>
      </c>
      <c r="I41" s="10">
        <f t="shared" si="5"/>
        <v>1574.8265516666668</v>
      </c>
    </row>
    <row r="42" spans="1:9" ht="15.75" hidden="1" customHeight="1">
      <c r="A42" s="21">
        <v>10</v>
      </c>
      <c r="B42" s="39" t="s">
        <v>87</v>
      </c>
      <c r="C42" s="40" t="s">
        <v>86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5">
        <f t="shared" si="4"/>
        <v>1.3165470000000001</v>
      </c>
      <c r="I42" s="10">
        <f t="shared" si="5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4"/>
      <c r="F43" s="41">
        <v>0.9</v>
      </c>
      <c r="G43" s="41">
        <v>907.65</v>
      </c>
      <c r="H43" s="55">
        <f t="shared" si="4"/>
        <v>0.81688499999999997</v>
      </c>
      <c r="I43" s="10">
        <f t="shared" si="5"/>
        <v>136.14749999999998</v>
      </c>
    </row>
    <row r="44" spans="1:9" ht="15.75" hidden="1" customHeight="1">
      <c r="A44" s="148" t="s">
        <v>148</v>
      </c>
      <c r="B44" s="149"/>
      <c r="C44" s="149"/>
      <c r="D44" s="149"/>
      <c r="E44" s="149"/>
      <c r="F44" s="149"/>
      <c r="G44" s="149"/>
      <c r="H44" s="149"/>
      <c r="I44" s="150"/>
    </row>
    <row r="45" spans="1:9" ht="15.75" hidden="1" customHeight="1">
      <c r="A45" s="21"/>
      <c r="B45" s="39" t="s">
        <v>156</v>
      </c>
      <c r="C45" s="40" t="s">
        <v>86</v>
      </c>
      <c r="D45" s="39" t="s">
        <v>42</v>
      </c>
      <c r="E45" s="54">
        <v>1300.5</v>
      </c>
      <c r="F45" s="41">
        <f>SUM(E45/1000)*2</f>
        <v>2.601</v>
      </c>
      <c r="G45" s="10">
        <v>1173.18</v>
      </c>
      <c r="H45" s="55">
        <f t="shared" ref="H45:H55" si="6">SUM(F45*G45/1000)</f>
        <v>3.0514411800000003</v>
      </c>
      <c r="I45" s="10">
        <v>0</v>
      </c>
    </row>
    <row r="46" spans="1:9" ht="15.75" hidden="1" customHeight="1">
      <c r="A46" s="21"/>
      <c r="B46" s="39" t="s">
        <v>35</v>
      </c>
      <c r="C46" s="40" t="s">
        <v>86</v>
      </c>
      <c r="D46" s="39" t="s">
        <v>42</v>
      </c>
      <c r="E46" s="54">
        <v>52</v>
      </c>
      <c r="F46" s="41">
        <f>SUM(E46*2/1000)</f>
        <v>0.104</v>
      </c>
      <c r="G46" s="10">
        <v>659.09</v>
      </c>
      <c r="H46" s="55">
        <f t="shared" si="6"/>
        <v>6.854536E-2</v>
      </c>
      <c r="I46" s="10">
        <v>0</v>
      </c>
    </row>
    <row r="47" spans="1:9" ht="15.75" hidden="1" customHeight="1">
      <c r="A47" s="21"/>
      <c r="B47" s="39" t="s">
        <v>36</v>
      </c>
      <c r="C47" s="40" t="s">
        <v>86</v>
      </c>
      <c r="D47" s="39" t="s">
        <v>42</v>
      </c>
      <c r="E47" s="54">
        <v>1483.1</v>
      </c>
      <c r="F47" s="41">
        <f>SUM(E47*2/1000)</f>
        <v>2.9661999999999997</v>
      </c>
      <c r="G47" s="10">
        <v>1564.24</v>
      </c>
      <c r="H47" s="55">
        <f t="shared" si="6"/>
        <v>4.6398486879999998</v>
      </c>
      <c r="I47" s="10">
        <v>0</v>
      </c>
    </row>
    <row r="48" spans="1:9" ht="15.75" hidden="1" customHeight="1">
      <c r="A48" s="21"/>
      <c r="B48" s="39" t="s">
        <v>37</v>
      </c>
      <c r="C48" s="40" t="s">
        <v>86</v>
      </c>
      <c r="D48" s="39" t="s">
        <v>42</v>
      </c>
      <c r="E48" s="54">
        <v>2320</v>
      </c>
      <c r="F48" s="41">
        <f>SUM(E48*2/1000)</f>
        <v>4.6399999999999997</v>
      </c>
      <c r="G48" s="10">
        <v>1078.3599999999999</v>
      </c>
      <c r="H48" s="55">
        <f t="shared" si="6"/>
        <v>5.0035903999999993</v>
      </c>
      <c r="I48" s="10">
        <v>0</v>
      </c>
    </row>
    <row r="49" spans="1:9" ht="15.75" hidden="1" customHeight="1">
      <c r="A49" s="21"/>
      <c r="B49" s="39" t="s">
        <v>33</v>
      </c>
      <c r="C49" s="40" t="s">
        <v>34</v>
      </c>
      <c r="D49" s="39" t="s">
        <v>42</v>
      </c>
      <c r="E49" s="54">
        <v>91.84</v>
      </c>
      <c r="F49" s="41">
        <f>SUM(E49*2/100)</f>
        <v>1.8368</v>
      </c>
      <c r="G49" s="10">
        <v>82.82</v>
      </c>
      <c r="H49" s="55">
        <f t="shared" si="6"/>
        <v>0.15212377599999999</v>
      </c>
      <c r="I49" s="10">
        <v>0</v>
      </c>
    </row>
    <row r="50" spans="1:9" ht="15.75" hidden="1" customHeight="1">
      <c r="A50" s="21">
        <v>12</v>
      </c>
      <c r="B50" s="39" t="s">
        <v>55</v>
      </c>
      <c r="C50" s="40" t="s">
        <v>86</v>
      </c>
      <c r="D50" s="39" t="s">
        <v>160</v>
      </c>
      <c r="E50" s="54">
        <v>1040.4000000000001</v>
      </c>
      <c r="F50" s="41">
        <f>SUM(E50*5/1000)</f>
        <v>5.202</v>
      </c>
      <c r="G50" s="10">
        <v>1564.24</v>
      </c>
      <c r="H50" s="55">
        <f>SUM(F50*G50/1000)</f>
        <v>8.1371764800000008</v>
      </c>
      <c r="I50" s="10">
        <f>F50/5*G50</f>
        <v>1627.4352960000001</v>
      </c>
    </row>
    <row r="51" spans="1:9" ht="31.5" hidden="1" customHeight="1">
      <c r="A51" s="21"/>
      <c r="B51" s="39" t="s">
        <v>88</v>
      </c>
      <c r="C51" s="40" t="s">
        <v>86</v>
      </c>
      <c r="D51" s="39" t="s">
        <v>42</v>
      </c>
      <c r="E51" s="54">
        <v>1040.4000000000001</v>
      </c>
      <c r="F51" s="41">
        <f>SUM(E51*2/1000)</f>
        <v>2.0808</v>
      </c>
      <c r="G51" s="10">
        <v>1380.31</v>
      </c>
      <c r="H51" s="55">
        <f t="shared" si="6"/>
        <v>2.8721490479999998</v>
      </c>
      <c r="I51" s="10">
        <v>0</v>
      </c>
    </row>
    <row r="52" spans="1:9" ht="31.5" hidden="1" customHeight="1">
      <c r="A52" s="21"/>
      <c r="B52" s="39" t="s">
        <v>89</v>
      </c>
      <c r="C52" s="40" t="s">
        <v>38</v>
      </c>
      <c r="D52" s="39" t="s">
        <v>42</v>
      </c>
      <c r="E52" s="54">
        <v>20</v>
      </c>
      <c r="F52" s="41">
        <f>SUM(E52*2/100)</f>
        <v>0.4</v>
      </c>
      <c r="G52" s="10">
        <v>3519.56</v>
      </c>
      <c r="H52" s="55">
        <f t="shared" si="6"/>
        <v>1.407824</v>
      </c>
      <c r="I52" s="10">
        <v>0</v>
      </c>
    </row>
    <row r="53" spans="1:9" ht="15.75" hidden="1" customHeight="1">
      <c r="A53" s="21"/>
      <c r="B53" s="39" t="s">
        <v>39</v>
      </c>
      <c r="C53" s="40" t="s">
        <v>40</v>
      </c>
      <c r="D53" s="39" t="s">
        <v>42</v>
      </c>
      <c r="E53" s="54">
        <v>1</v>
      </c>
      <c r="F53" s="41">
        <v>0.02</v>
      </c>
      <c r="G53" s="10">
        <v>6428.82</v>
      </c>
      <c r="H53" s="55">
        <f t="shared" si="6"/>
        <v>0.12857640000000001</v>
      </c>
      <c r="I53" s="10">
        <v>0</v>
      </c>
    </row>
    <row r="54" spans="1:9" ht="15.75" hidden="1" customHeight="1">
      <c r="A54" s="21">
        <v>8</v>
      </c>
      <c r="B54" s="39" t="s">
        <v>98</v>
      </c>
      <c r="C54" s="40" t="s">
        <v>93</v>
      </c>
      <c r="D54" s="114">
        <v>44055</v>
      </c>
      <c r="E54" s="54">
        <v>56</v>
      </c>
      <c r="F54" s="41">
        <f>SUM(E54*3)</f>
        <v>168</v>
      </c>
      <c r="G54" s="126">
        <v>210.4</v>
      </c>
      <c r="H54" s="55">
        <f t="shared" si="6"/>
        <v>35.347200000000001</v>
      </c>
      <c r="I54" s="10">
        <f>E54*G54</f>
        <v>11782.4</v>
      </c>
    </row>
    <row r="55" spans="1:9" ht="15.75" hidden="1" customHeight="1">
      <c r="A55" s="21">
        <v>9</v>
      </c>
      <c r="B55" s="39" t="s">
        <v>41</v>
      </c>
      <c r="C55" s="40" t="s">
        <v>93</v>
      </c>
      <c r="D55" s="114">
        <v>44055</v>
      </c>
      <c r="E55" s="54">
        <v>112</v>
      </c>
      <c r="F55" s="41">
        <f>SUM(E55)*3</f>
        <v>336</v>
      </c>
      <c r="G55" s="126">
        <v>97.93</v>
      </c>
      <c r="H55" s="55">
        <f t="shared" si="6"/>
        <v>32.904480000000007</v>
      </c>
      <c r="I55" s="10">
        <f>E55*G55</f>
        <v>10968.16</v>
      </c>
    </row>
    <row r="56" spans="1:9" ht="15.75" customHeight="1">
      <c r="A56" s="148" t="s">
        <v>151</v>
      </c>
      <c r="B56" s="149"/>
      <c r="C56" s="149"/>
      <c r="D56" s="149"/>
      <c r="E56" s="149"/>
      <c r="F56" s="149"/>
      <c r="G56" s="149"/>
      <c r="H56" s="149"/>
      <c r="I56" s="150"/>
    </row>
    <row r="57" spans="1:9" ht="15.75" hidden="1" customHeight="1">
      <c r="A57" s="21"/>
      <c r="B57" s="74" t="s">
        <v>43</v>
      </c>
      <c r="C57" s="40"/>
      <c r="D57" s="39"/>
      <c r="E57" s="54"/>
      <c r="F57" s="41"/>
      <c r="G57" s="41"/>
      <c r="H57" s="55"/>
      <c r="I57" s="58"/>
    </row>
    <row r="58" spans="1:9" ht="31.5" hidden="1" customHeight="1">
      <c r="A58" s="21">
        <v>15</v>
      </c>
      <c r="B58" s="39" t="s">
        <v>101</v>
      </c>
      <c r="C58" s="40" t="s">
        <v>84</v>
      </c>
      <c r="D58" s="39" t="s">
        <v>157</v>
      </c>
      <c r="E58" s="54">
        <v>142.05000000000001</v>
      </c>
      <c r="F58" s="41">
        <f>SUM(E58*6/100)</f>
        <v>8.5230000000000015</v>
      </c>
      <c r="G58" s="10">
        <v>2108.4299999999998</v>
      </c>
      <c r="H58" s="55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4" t="s">
        <v>44</v>
      </c>
      <c r="C59" s="40"/>
      <c r="D59" s="39"/>
      <c r="E59" s="54"/>
      <c r="F59" s="55"/>
      <c r="G59" s="10"/>
      <c r="H59" s="61"/>
      <c r="I59" s="58"/>
    </row>
    <row r="60" spans="1:9" ht="15.75" hidden="1" customHeight="1">
      <c r="A60" s="21"/>
      <c r="B60" s="39" t="s">
        <v>158</v>
      </c>
      <c r="C60" s="40" t="s">
        <v>84</v>
      </c>
      <c r="D60" s="39" t="s">
        <v>53</v>
      </c>
      <c r="E60" s="54">
        <v>1040.4000000000001</v>
      </c>
      <c r="F60" s="55">
        <f>E60/100</f>
        <v>10.404000000000002</v>
      </c>
      <c r="G60" s="10">
        <v>902.66</v>
      </c>
      <c r="H60" s="61">
        <f>G60*F60/1000</f>
        <v>9.3912746400000007</v>
      </c>
      <c r="I60" s="10">
        <v>0</v>
      </c>
    </row>
    <row r="61" spans="1:9" ht="15.75" customHeight="1">
      <c r="A61" s="21">
        <v>7</v>
      </c>
      <c r="B61" s="39" t="s">
        <v>126</v>
      </c>
      <c r="C61" s="40" t="s">
        <v>25</v>
      </c>
      <c r="D61" s="39" t="s">
        <v>194</v>
      </c>
      <c r="E61" s="54">
        <v>240</v>
      </c>
      <c r="F61" s="41">
        <v>2400</v>
      </c>
      <c r="G61" s="49">
        <v>1.4</v>
      </c>
      <c r="H61" s="55">
        <f>F61*G61/1000</f>
        <v>3.36</v>
      </c>
      <c r="I61" s="10">
        <f>F61/12*G61</f>
        <v>280</v>
      </c>
    </row>
    <row r="62" spans="1:9" ht="15.75" customHeight="1">
      <c r="A62" s="21"/>
      <c r="B62" s="75" t="s">
        <v>45</v>
      </c>
      <c r="C62" s="62"/>
      <c r="D62" s="63"/>
      <c r="E62" s="64"/>
      <c r="F62" s="65"/>
      <c r="G62" s="65"/>
      <c r="H62" s="66" t="s">
        <v>155</v>
      </c>
      <c r="I62" s="58"/>
    </row>
    <row r="63" spans="1:9" ht="15.75" hidden="1" customHeight="1">
      <c r="A63" s="21">
        <v>17</v>
      </c>
      <c r="B63" s="11" t="s">
        <v>46</v>
      </c>
      <c r="C63" s="13" t="s">
        <v>40</v>
      </c>
      <c r="D63" s="39" t="s">
        <v>65</v>
      </c>
      <c r="E63" s="15">
        <v>15</v>
      </c>
      <c r="F63" s="41">
        <f>15/100</f>
        <v>0.15</v>
      </c>
      <c r="G63" s="10">
        <v>252.96</v>
      </c>
      <c r="H63" s="67">
        <f t="shared" ref="H63:H80" si="7">SUM(F63*G63/1000)</f>
        <v>3.7944000000000006E-2</v>
      </c>
      <c r="I63" s="10">
        <f>G63*5</f>
        <v>1264.8</v>
      </c>
    </row>
    <row r="64" spans="1:9" ht="15.75" hidden="1" customHeight="1">
      <c r="A64" s="21"/>
      <c r="B64" s="11" t="s">
        <v>47</v>
      </c>
      <c r="C64" s="13" t="s">
        <v>40</v>
      </c>
      <c r="D64" s="39" t="s">
        <v>65</v>
      </c>
      <c r="E64" s="15">
        <v>10</v>
      </c>
      <c r="F64" s="41">
        <f>10/100</f>
        <v>0.1</v>
      </c>
      <c r="G64" s="10">
        <v>86.74</v>
      </c>
      <c r="H64" s="67">
        <f t="shared" si="7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94</v>
      </c>
      <c r="D65" s="11" t="s">
        <v>53</v>
      </c>
      <c r="E65" s="54">
        <v>17532</v>
      </c>
      <c r="F65" s="10">
        <f>SUM(E65/100)</f>
        <v>175.32</v>
      </c>
      <c r="G65" s="10">
        <v>241.31</v>
      </c>
      <c r="H65" s="67">
        <f t="shared" si="7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95</v>
      </c>
      <c r="D66" s="11"/>
      <c r="E66" s="54">
        <v>17532</v>
      </c>
      <c r="F66" s="10">
        <f>SUM(E66/1000)</f>
        <v>17.532</v>
      </c>
      <c r="G66" s="10">
        <v>187.91</v>
      </c>
      <c r="H66" s="67">
        <f t="shared" si="7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77</v>
      </c>
      <c r="D67" s="11" t="s">
        <v>53</v>
      </c>
      <c r="E67" s="54">
        <v>1365</v>
      </c>
      <c r="F67" s="10">
        <f>SUM(E67/100)</f>
        <v>13.65</v>
      </c>
      <c r="G67" s="10">
        <v>2359.7199999999998</v>
      </c>
      <c r="H67" s="67">
        <f t="shared" si="7"/>
        <v>32.210177999999999</v>
      </c>
      <c r="I67" s="10">
        <f t="shared" ref="I67:I70" si="8">F67*G67</f>
        <v>32210.178</v>
      </c>
    </row>
    <row r="68" spans="1:9" ht="15.75" hidden="1" customHeight="1">
      <c r="A68" s="21"/>
      <c r="B68" s="68" t="s">
        <v>71</v>
      </c>
      <c r="C68" s="13" t="s">
        <v>32</v>
      </c>
      <c r="D68" s="11"/>
      <c r="E68" s="54">
        <v>15.6</v>
      </c>
      <c r="F68" s="10">
        <f>SUM(E68)</f>
        <v>15.6</v>
      </c>
      <c r="G68" s="10">
        <v>45.4</v>
      </c>
      <c r="H68" s="67">
        <f t="shared" si="7"/>
        <v>0.70823999999999998</v>
      </c>
      <c r="I68" s="10">
        <f t="shared" si="8"/>
        <v>708.24</v>
      </c>
    </row>
    <row r="69" spans="1:9" ht="15.75" hidden="1" customHeight="1">
      <c r="A69" s="21"/>
      <c r="B69" s="68" t="s">
        <v>161</v>
      </c>
      <c r="C69" s="13" t="s">
        <v>32</v>
      </c>
      <c r="D69" s="11"/>
      <c r="E69" s="54">
        <v>15.6</v>
      </c>
      <c r="F69" s="10">
        <f>SUM(E69)</f>
        <v>15.6</v>
      </c>
      <c r="G69" s="10">
        <v>42.35</v>
      </c>
      <c r="H69" s="67">
        <f t="shared" si="7"/>
        <v>0.66065999999999991</v>
      </c>
      <c r="I69" s="10">
        <f t="shared" si="8"/>
        <v>660.66</v>
      </c>
    </row>
    <row r="70" spans="1:9" ht="9" hidden="1" customHeight="1">
      <c r="A70" s="21"/>
      <c r="B70" s="11" t="s">
        <v>56</v>
      </c>
      <c r="C70" s="13" t="s">
        <v>57</v>
      </c>
      <c r="D70" s="11" t="s">
        <v>53</v>
      </c>
      <c r="E70" s="15">
        <v>4</v>
      </c>
      <c r="F70" s="41">
        <f>SUM(E70)</f>
        <v>4</v>
      </c>
      <c r="G70" s="10">
        <v>56.74</v>
      </c>
      <c r="H70" s="67">
        <f t="shared" si="7"/>
        <v>0.22696</v>
      </c>
      <c r="I70" s="10">
        <f t="shared" si="8"/>
        <v>226.96</v>
      </c>
    </row>
    <row r="71" spans="1:9" ht="15.75" customHeight="1">
      <c r="A71" s="21">
        <v>8</v>
      </c>
      <c r="B71" s="85" t="s">
        <v>127</v>
      </c>
      <c r="C71" s="108" t="s">
        <v>57</v>
      </c>
      <c r="D71" s="85" t="s">
        <v>195</v>
      </c>
      <c r="E71" s="14">
        <v>1</v>
      </c>
      <c r="F71" s="90">
        <v>12</v>
      </c>
      <c r="G71" s="26">
        <v>1829</v>
      </c>
      <c r="H71" s="67">
        <f t="shared" si="7"/>
        <v>21.948</v>
      </c>
      <c r="I71" s="10">
        <f>G71</f>
        <v>1829</v>
      </c>
    </row>
    <row r="72" spans="1:9" ht="15.75" customHeight="1">
      <c r="A72" s="21"/>
      <c r="B72" s="43" t="s">
        <v>72</v>
      </c>
      <c r="C72" s="13"/>
      <c r="D72" s="11"/>
      <c r="E72" s="15"/>
      <c r="F72" s="10"/>
      <c r="G72" s="10"/>
      <c r="H72" s="67" t="s">
        <v>155</v>
      </c>
      <c r="I72" s="58"/>
    </row>
    <row r="73" spans="1:9" ht="15.75" hidden="1" customHeight="1">
      <c r="A73" s="21"/>
      <c r="B73" s="11" t="s">
        <v>128</v>
      </c>
      <c r="C73" s="13" t="s">
        <v>30</v>
      </c>
      <c r="D73" s="39" t="s">
        <v>65</v>
      </c>
      <c r="E73" s="15">
        <v>2</v>
      </c>
      <c r="F73" s="10">
        <v>2</v>
      </c>
      <c r="G73" s="10">
        <v>892.5</v>
      </c>
      <c r="H73" s="67">
        <f>G73*F73/1000</f>
        <v>1.7849999999999999</v>
      </c>
      <c r="I73" s="10">
        <v>0</v>
      </c>
    </row>
    <row r="74" spans="1:9" ht="15.75" hidden="1" customHeight="1">
      <c r="A74" s="21"/>
      <c r="B74" s="11" t="s">
        <v>114</v>
      </c>
      <c r="C74" s="13" t="s">
        <v>129</v>
      </c>
      <c r="D74" s="11"/>
      <c r="E74" s="15">
        <v>1</v>
      </c>
      <c r="F74" s="10">
        <v>1</v>
      </c>
      <c r="G74" s="10">
        <v>750</v>
      </c>
      <c r="H74" s="67">
        <f>G74*F74/1000</f>
        <v>0.75</v>
      </c>
      <c r="I74" s="10">
        <v>0</v>
      </c>
    </row>
    <row r="75" spans="1:9" ht="15.75" hidden="1" customHeight="1">
      <c r="A75" s="21">
        <v>12</v>
      </c>
      <c r="B75" s="11" t="s">
        <v>73</v>
      </c>
      <c r="C75" s="13" t="s">
        <v>75</v>
      </c>
      <c r="D75" s="11"/>
      <c r="E75" s="15">
        <v>2</v>
      </c>
      <c r="F75" s="10">
        <v>0.2</v>
      </c>
      <c r="G75" s="10">
        <v>570.54</v>
      </c>
      <c r="H75" s="67">
        <f t="shared" si="7"/>
        <v>0.114108</v>
      </c>
      <c r="I75" s="10">
        <f>G75*0.4</f>
        <v>228.21600000000001</v>
      </c>
    </row>
    <row r="76" spans="1:9" ht="15.75" hidden="1" customHeight="1">
      <c r="A76" s="21"/>
      <c r="B76" s="11" t="s">
        <v>74</v>
      </c>
      <c r="C76" s="13" t="s">
        <v>30</v>
      </c>
      <c r="D76" s="11"/>
      <c r="E76" s="15">
        <v>1</v>
      </c>
      <c r="F76" s="49">
        <v>1</v>
      </c>
      <c r="G76" s="10">
        <v>970.21</v>
      </c>
      <c r="H76" s="67">
        <f t="shared" si="7"/>
        <v>0.97021000000000002</v>
      </c>
      <c r="I76" s="10">
        <v>0</v>
      </c>
    </row>
    <row r="77" spans="1:9" ht="15.75" hidden="1" customHeight="1">
      <c r="A77" s="21">
        <v>13</v>
      </c>
      <c r="B77" s="11" t="s">
        <v>130</v>
      </c>
      <c r="C77" s="13" t="s">
        <v>93</v>
      </c>
      <c r="D77" s="11"/>
      <c r="E77" s="15">
        <v>1</v>
      </c>
      <c r="F77" s="41">
        <f>SUM(E77)</f>
        <v>1</v>
      </c>
      <c r="G77" s="10">
        <v>407.79</v>
      </c>
      <c r="H77" s="67">
        <f t="shared" si="7"/>
        <v>0.40779000000000004</v>
      </c>
      <c r="I77" s="10">
        <f>G77*1</f>
        <v>407.79</v>
      </c>
    </row>
    <row r="78" spans="1:9" ht="15.75" customHeight="1">
      <c r="A78" s="21">
        <v>9</v>
      </c>
      <c r="B78" s="85" t="s">
        <v>207</v>
      </c>
      <c r="C78" s="108" t="s">
        <v>93</v>
      </c>
      <c r="D78" s="85" t="s">
        <v>195</v>
      </c>
      <c r="E78" s="14">
        <v>1</v>
      </c>
      <c r="F78" s="26">
        <f>E78*12</f>
        <v>12</v>
      </c>
      <c r="G78" s="26">
        <v>420</v>
      </c>
      <c r="H78" s="67">
        <f>G78*F78/1000</f>
        <v>5.04</v>
      </c>
      <c r="I78" s="10">
        <f>G78*1</f>
        <v>420</v>
      </c>
    </row>
    <row r="79" spans="1:9" ht="16.5" hidden="1" customHeight="1">
      <c r="A79" s="21"/>
      <c r="B79" s="72" t="s">
        <v>76</v>
      </c>
      <c r="C79" s="13"/>
      <c r="D79" s="11"/>
      <c r="E79" s="15"/>
      <c r="F79" s="10"/>
      <c r="G79" s="10" t="s">
        <v>155</v>
      </c>
      <c r="H79" s="67" t="s">
        <v>155</v>
      </c>
      <c r="I79" s="58"/>
    </row>
    <row r="80" spans="1:9" ht="16.5" hidden="1" customHeight="1">
      <c r="A80" s="21">
        <v>12</v>
      </c>
      <c r="B80" s="34" t="s">
        <v>99</v>
      </c>
      <c r="C80" s="13" t="s">
        <v>77</v>
      </c>
      <c r="D80" s="11"/>
      <c r="E80" s="15"/>
      <c r="F80" s="10">
        <v>0.6</v>
      </c>
      <c r="G80" s="10">
        <v>3138.65</v>
      </c>
      <c r="H80" s="67">
        <f t="shared" si="7"/>
        <v>1.8831900000000001</v>
      </c>
      <c r="I80" s="10">
        <f>G80*0.03</f>
        <v>94.159499999999994</v>
      </c>
    </row>
    <row r="81" spans="1:9" ht="15.75" hidden="1" customHeight="1">
      <c r="A81" s="21"/>
      <c r="B81" s="43" t="s">
        <v>90</v>
      </c>
      <c r="C81" s="13"/>
      <c r="D81" s="11"/>
      <c r="E81" s="50"/>
      <c r="F81" s="10"/>
      <c r="G81" s="10"/>
      <c r="H81" s="67"/>
      <c r="I81" s="10"/>
    </row>
    <row r="82" spans="1:9" ht="15.75" hidden="1" customHeight="1">
      <c r="A82" s="21">
        <v>13</v>
      </c>
      <c r="B82" s="39" t="s">
        <v>96</v>
      </c>
      <c r="C82" s="13"/>
      <c r="D82" s="11"/>
      <c r="E82" s="50"/>
      <c r="F82" s="10">
        <v>1</v>
      </c>
      <c r="G82" s="10">
        <v>22696</v>
      </c>
      <c r="H82" s="67">
        <f>G82*F82/1000</f>
        <v>22.696000000000002</v>
      </c>
      <c r="I82" s="10">
        <v>4969</v>
      </c>
    </row>
    <row r="83" spans="1:9" ht="15.75" customHeight="1">
      <c r="A83" s="21"/>
      <c r="B83" s="76" t="s">
        <v>102</v>
      </c>
      <c r="C83" s="72"/>
      <c r="D83" s="23"/>
      <c r="E83" s="24"/>
      <c r="F83" s="71"/>
      <c r="G83" s="71"/>
      <c r="H83" s="69"/>
      <c r="I83" s="57"/>
    </row>
    <row r="84" spans="1:9" ht="18" hidden="1" customHeight="1">
      <c r="A84" s="21"/>
      <c r="B84" s="73" t="s">
        <v>131</v>
      </c>
      <c r="C84" s="13" t="s">
        <v>132</v>
      </c>
      <c r="D84" s="39" t="s">
        <v>65</v>
      </c>
      <c r="E84" s="15">
        <v>10</v>
      </c>
      <c r="F84" s="10">
        <v>10</v>
      </c>
      <c r="G84" s="10">
        <v>271.88</v>
      </c>
      <c r="H84" s="67">
        <f t="shared" ref="H84:H97" si="9">F84*G84/1000</f>
        <v>2.7188000000000003</v>
      </c>
      <c r="I84" s="10">
        <v>0</v>
      </c>
    </row>
    <row r="85" spans="1:9" ht="20.25" hidden="1" customHeight="1">
      <c r="A85" s="21"/>
      <c r="B85" s="73" t="s">
        <v>103</v>
      </c>
      <c r="C85" s="13" t="s">
        <v>80</v>
      </c>
      <c r="D85" s="39" t="s">
        <v>65</v>
      </c>
      <c r="E85" s="15">
        <v>100</v>
      </c>
      <c r="F85" s="10">
        <v>100</v>
      </c>
      <c r="G85" s="10">
        <v>111.84</v>
      </c>
      <c r="H85" s="67">
        <f t="shared" si="9"/>
        <v>11.183999999999999</v>
      </c>
      <c r="I85" s="10">
        <v>0</v>
      </c>
    </row>
    <row r="86" spans="1:9" ht="21.75" hidden="1" customHeight="1">
      <c r="A86" s="21">
        <v>14</v>
      </c>
      <c r="B86" s="73" t="s">
        <v>133</v>
      </c>
      <c r="C86" s="13" t="s">
        <v>134</v>
      </c>
      <c r="D86" s="39" t="s">
        <v>65</v>
      </c>
      <c r="E86" s="15">
        <v>30</v>
      </c>
      <c r="F86" s="10">
        <v>10</v>
      </c>
      <c r="G86" s="10">
        <v>972.09</v>
      </c>
      <c r="H86" s="67">
        <f t="shared" si="9"/>
        <v>9.7209000000000003</v>
      </c>
      <c r="I86" s="10">
        <f>G86*((10+10)/3)</f>
        <v>6480.6</v>
      </c>
    </row>
    <row r="87" spans="1:9" ht="21.75" hidden="1" customHeight="1">
      <c r="A87" s="21"/>
      <c r="B87" s="73" t="s">
        <v>135</v>
      </c>
      <c r="C87" s="13" t="s">
        <v>52</v>
      </c>
      <c r="D87" s="39" t="s">
        <v>65</v>
      </c>
      <c r="E87" s="15">
        <v>100</v>
      </c>
      <c r="F87" s="10">
        <v>1</v>
      </c>
      <c r="G87" s="10">
        <v>1829.52</v>
      </c>
      <c r="H87" s="67">
        <f t="shared" si="9"/>
        <v>1.82952</v>
      </c>
      <c r="I87" s="10">
        <v>0</v>
      </c>
    </row>
    <row r="88" spans="1:9" ht="36.75" customHeight="1">
      <c r="A88" s="21">
        <v>10</v>
      </c>
      <c r="B88" s="100" t="s">
        <v>205</v>
      </c>
      <c r="C88" s="101" t="s">
        <v>206</v>
      </c>
      <c r="D88" s="112"/>
      <c r="E88" s="122">
        <v>3455.3</v>
      </c>
      <c r="F88" s="102">
        <f>E88*12</f>
        <v>41463.600000000006</v>
      </c>
      <c r="G88" s="102">
        <v>2.6</v>
      </c>
      <c r="H88" s="67">
        <f t="shared" si="9"/>
        <v>107.80536000000002</v>
      </c>
      <c r="I88" s="10">
        <f>G88*F88/12</f>
        <v>8983.7800000000007</v>
      </c>
    </row>
    <row r="89" spans="1:9" ht="20.25" hidden="1" customHeight="1">
      <c r="A89" s="21"/>
      <c r="B89" s="73" t="s">
        <v>138</v>
      </c>
      <c r="C89" s="13" t="s">
        <v>80</v>
      </c>
      <c r="D89" s="39" t="s">
        <v>65</v>
      </c>
      <c r="E89" s="15">
        <v>15</v>
      </c>
      <c r="F89" s="10">
        <v>15</v>
      </c>
      <c r="G89" s="10">
        <v>1430.02</v>
      </c>
      <c r="H89" s="67">
        <f t="shared" si="9"/>
        <v>21.450299999999999</v>
      </c>
      <c r="I89" s="10">
        <v>0</v>
      </c>
    </row>
    <row r="90" spans="1:9" ht="20.25" hidden="1" customHeight="1">
      <c r="A90" s="21"/>
      <c r="B90" s="73" t="s">
        <v>139</v>
      </c>
      <c r="C90" s="13" t="s">
        <v>80</v>
      </c>
      <c r="D90" s="39" t="s">
        <v>65</v>
      </c>
      <c r="E90" s="15">
        <v>10</v>
      </c>
      <c r="F90" s="10">
        <v>10</v>
      </c>
      <c r="G90" s="10">
        <v>1743.04</v>
      </c>
      <c r="H90" s="67">
        <f t="shared" si="9"/>
        <v>17.430400000000002</v>
      </c>
      <c r="I90" s="10">
        <v>0</v>
      </c>
    </row>
    <row r="91" spans="1:9" ht="20.25" hidden="1" customHeight="1">
      <c r="A91" s="21"/>
      <c r="B91" s="73" t="s">
        <v>140</v>
      </c>
      <c r="C91" s="13" t="s">
        <v>80</v>
      </c>
      <c r="D91" s="39" t="s">
        <v>65</v>
      </c>
      <c r="E91" s="15">
        <v>20</v>
      </c>
      <c r="F91" s="10">
        <v>20</v>
      </c>
      <c r="G91" s="10">
        <v>607.27</v>
      </c>
      <c r="H91" s="67">
        <f t="shared" si="9"/>
        <v>12.1454</v>
      </c>
      <c r="I91" s="10">
        <v>0</v>
      </c>
    </row>
    <row r="92" spans="1:9" ht="18.75" hidden="1" customHeight="1">
      <c r="A92" s="21"/>
      <c r="B92" s="73" t="s">
        <v>141</v>
      </c>
      <c r="C92" s="13" t="s">
        <v>80</v>
      </c>
      <c r="D92" s="39" t="s">
        <v>65</v>
      </c>
      <c r="E92" s="15">
        <v>30</v>
      </c>
      <c r="F92" s="10">
        <v>30</v>
      </c>
      <c r="G92" s="10">
        <v>711.93</v>
      </c>
      <c r="H92" s="67">
        <f t="shared" si="9"/>
        <v>21.357899999999997</v>
      </c>
      <c r="I92" s="10">
        <v>0</v>
      </c>
    </row>
    <row r="93" spans="1:9" ht="18.75" hidden="1" customHeight="1">
      <c r="A93" s="21"/>
      <c r="B93" s="73" t="s">
        <v>104</v>
      </c>
      <c r="C93" s="13" t="s">
        <v>30</v>
      </c>
      <c r="D93" s="39" t="s">
        <v>65</v>
      </c>
      <c r="E93" s="15">
        <v>10</v>
      </c>
      <c r="F93" s="10">
        <v>10</v>
      </c>
      <c r="G93" s="10">
        <v>455.31</v>
      </c>
      <c r="H93" s="67">
        <f t="shared" si="9"/>
        <v>4.5531000000000006</v>
      </c>
      <c r="I93" s="10">
        <v>0</v>
      </c>
    </row>
    <row r="94" spans="1:9" ht="20.25" hidden="1" customHeight="1">
      <c r="A94" s="21"/>
      <c r="B94" s="73" t="s">
        <v>142</v>
      </c>
      <c r="C94" s="13" t="s">
        <v>80</v>
      </c>
      <c r="D94" s="39" t="s">
        <v>65</v>
      </c>
      <c r="E94" s="15">
        <v>30</v>
      </c>
      <c r="F94" s="10">
        <v>30</v>
      </c>
      <c r="G94" s="10">
        <v>1155.7</v>
      </c>
      <c r="H94" s="67">
        <f t="shared" si="9"/>
        <v>34.670999999999999</v>
      </c>
      <c r="I94" s="10">
        <v>0</v>
      </c>
    </row>
    <row r="95" spans="1:9" ht="18.75" hidden="1" customHeight="1">
      <c r="A95" s="21"/>
      <c r="B95" s="73" t="s">
        <v>143</v>
      </c>
      <c r="C95" s="13" t="s">
        <v>29</v>
      </c>
      <c r="D95" s="11" t="s">
        <v>42</v>
      </c>
      <c r="E95" s="15">
        <v>1040.4000000000001</v>
      </c>
      <c r="F95" s="10">
        <f>E95*2/1000</f>
        <v>2.0808</v>
      </c>
      <c r="G95" s="10">
        <v>1560.98</v>
      </c>
      <c r="H95" s="67">
        <f t="shared" si="9"/>
        <v>3.2480871840000001</v>
      </c>
      <c r="I95" s="10">
        <v>0</v>
      </c>
    </row>
    <row r="96" spans="1:9" ht="15.75" hidden="1" customHeight="1">
      <c r="A96" s="21"/>
      <c r="B96" s="73" t="s">
        <v>144</v>
      </c>
      <c r="C96" s="21" t="s">
        <v>146</v>
      </c>
      <c r="D96" s="39" t="s">
        <v>65</v>
      </c>
      <c r="E96" s="15">
        <v>100</v>
      </c>
      <c r="F96" s="10">
        <v>1</v>
      </c>
      <c r="G96" s="10">
        <v>12859.93</v>
      </c>
      <c r="H96" s="67">
        <f t="shared" si="9"/>
        <v>12.85993</v>
      </c>
      <c r="I96" s="10">
        <v>0</v>
      </c>
    </row>
    <row r="97" spans="1:9" ht="15.75" hidden="1" customHeight="1">
      <c r="A97" s="21"/>
      <c r="B97" s="73" t="s">
        <v>145</v>
      </c>
      <c r="C97" s="13" t="s">
        <v>29</v>
      </c>
      <c r="D97" s="11" t="s">
        <v>42</v>
      </c>
      <c r="E97" s="15">
        <v>1040.4000000000001</v>
      </c>
      <c r="F97" s="10">
        <v>2.08</v>
      </c>
      <c r="G97" s="10">
        <v>1453.29</v>
      </c>
      <c r="H97" s="67">
        <f t="shared" si="9"/>
        <v>3.0228432000000001</v>
      </c>
      <c r="I97" s="10">
        <v>0</v>
      </c>
    </row>
    <row r="98" spans="1:9" ht="15.75" customHeight="1">
      <c r="A98" s="151" t="s">
        <v>152</v>
      </c>
      <c r="B98" s="152"/>
      <c r="C98" s="152"/>
      <c r="D98" s="152"/>
      <c r="E98" s="152"/>
      <c r="F98" s="152"/>
      <c r="G98" s="152"/>
      <c r="H98" s="152"/>
      <c r="I98" s="153"/>
    </row>
    <row r="99" spans="1:9" ht="15.75" customHeight="1">
      <c r="A99" s="21">
        <v>11</v>
      </c>
      <c r="B99" s="100" t="s">
        <v>97</v>
      </c>
      <c r="C99" s="108" t="s">
        <v>54</v>
      </c>
      <c r="D99" s="123"/>
      <c r="E99" s="26">
        <v>3455.3</v>
      </c>
      <c r="F99" s="26">
        <v>41463.599999999999</v>
      </c>
      <c r="G99" s="26">
        <v>3.5</v>
      </c>
      <c r="H99" s="67">
        <f>SUM(F99*G99/1000)</f>
        <v>145.12260000000001</v>
      </c>
      <c r="I99" s="10">
        <f>F99/12*G99</f>
        <v>12093.55</v>
      </c>
    </row>
    <row r="100" spans="1:9" ht="31.5" customHeight="1">
      <c r="A100" s="21">
        <v>12</v>
      </c>
      <c r="B100" s="85" t="s">
        <v>208</v>
      </c>
      <c r="C100" s="108" t="s">
        <v>54</v>
      </c>
      <c r="D100" s="37"/>
      <c r="E100" s="88">
        <f>E99</f>
        <v>3455.3</v>
      </c>
      <c r="F100" s="26">
        <f>E100*12</f>
        <v>41463.600000000006</v>
      </c>
      <c r="G100" s="26">
        <v>3.2</v>
      </c>
      <c r="H100" s="67">
        <f>F100*G100/1000</f>
        <v>132.68352000000002</v>
      </c>
      <c r="I100" s="10">
        <f>F100/12*G100</f>
        <v>11056.960000000003</v>
      </c>
    </row>
    <row r="101" spans="1:9" ht="15.75" customHeight="1">
      <c r="A101" s="21"/>
      <c r="B101" s="27" t="s">
        <v>79</v>
      </c>
      <c r="C101" s="72"/>
      <c r="D101" s="70"/>
      <c r="E101" s="71"/>
      <c r="F101" s="71"/>
      <c r="G101" s="71"/>
      <c r="H101" s="69">
        <f>SUM(H100)</f>
        <v>132.68352000000002</v>
      </c>
      <c r="I101" s="71">
        <f>I100+I99+I88+I78+I71+I61+I33+I31+I30+I18+I17+I16</f>
        <v>49772.237846666663</v>
      </c>
    </row>
    <row r="102" spans="1:9" ht="15.75" customHeight="1">
      <c r="A102" s="159" t="s">
        <v>59</v>
      </c>
      <c r="B102" s="160"/>
      <c r="C102" s="160"/>
      <c r="D102" s="160"/>
      <c r="E102" s="160"/>
      <c r="F102" s="160"/>
      <c r="G102" s="160"/>
      <c r="H102" s="160"/>
      <c r="I102" s="161"/>
    </row>
    <row r="103" spans="1:9" ht="31.5" customHeight="1">
      <c r="A103" s="21">
        <v>13</v>
      </c>
      <c r="B103" s="38" t="s">
        <v>184</v>
      </c>
      <c r="C103" s="84" t="s">
        <v>38</v>
      </c>
      <c r="D103" s="37" t="s">
        <v>189</v>
      </c>
      <c r="E103" s="26"/>
      <c r="F103" s="26">
        <v>0.03</v>
      </c>
      <c r="G103" s="26">
        <v>4233.72</v>
      </c>
      <c r="H103" s="83"/>
      <c r="I103" s="10">
        <v>0</v>
      </c>
    </row>
    <row r="104" spans="1:9" ht="33" customHeight="1">
      <c r="A104" s="21">
        <v>14</v>
      </c>
      <c r="B104" s="38" t="s">
        <v>279</v>
      </c>
      <c r="C104" s="84" t="s">
        <v>280</v>
      </c>
      <c r="D104" s="37"/>
      <c r="E104" s="26"/>
      <c r="F104" s="26">
        <v>1</v>
      </c>
      <c r="G104" s="26">
        <v>64.06</v>
      </c>
      <c r="H104" s="83"/>
      <c r="I104" s="10">
        <f>G104*1</f>
        <v>64.06</v>
      </c>
    </row>
    <row r="105" spans="1:9" ht="19.5" customHeight="1">
      <c r="A105" s="21">
        <v>15</v>
      </c>
      <c r="B105" s="38" t="s">
        <v>221</v>
      </c>
      <c r="C105" s="84" t="s">
        <v>40</v>
      </c>
      <c r="D105" s="37" t="s">
        <v>194</v>
      </c>
      <c r="E105" s="26"/>
      <c r="F105" s="26">
        <v>0.03</v>
      </c>
      <c r="G105" s="26">
        <v>28224.75</v>
      </c>
      <c r="H105" s="83"/>
      <c r="I105" s="10">
        <v>0</v>
      </c>
    </row>
    <row r="106" spans="1:9">
      <c r="A106" s="21"/>
      <c r="B106" s="32" t="s">
        <v>51</v>
      </c>
      <c r="C106" s="28"/>
      <c r="D106" s="35"/>
      <c r="E106" s="28">
        <v>1</v>
      </c>
      <c r="F106" s="28"/>
      <c r="G106" s="28"/>
      <c r="H106" s="28"/>
      <c r="I106" s="24">
        <f>SUM(I103:I104)</f>
        <v>64.06</v>
      </c>
    </row>
    <row r="107" spans="1:9">
      <c r="A107" s="21"/>
      <c r="B107" s="34" t="s">
        <v>78</v>
      </c>
      <c r="C107" s="12"/>
      <c r="D107" s="12"/>
      <c r="E107" s="29"/>
      <c r="F107" s="29"/>
      <c r="G107" s="30"/>
      <c r="H107" s="30"/>
      <c r="I107" s="14">
        <v>0</v>
      </c>
    </row>
    <row r="108" spans="1:9" ht="15.75" customHeight="1">
      <c r="A108" s="36"/>
      <c r="B108" s="33" t="s">
        <v>172</v>
      </c>
      <c r="C108" s="25"/>
      <c r="D108" s="25"/>
      <c r="E108" s="25"/>
      <c r="F108" s="25"/>
      <c r="G108" s="25"/>
      <c r="H108" s="25"/>
      <c r="I108" s="31">
        <f>I101+I106</f>
        <v>49836.297846666661</v>
      </c>
    </row>
    <row r="109" spans="1:9" ht="15.75">
      <c r="A109" s="154" t="s">
        <v>281</v>
      </c>
      <c r="B109" s="154"/>
      <c r="C109" s="154"/>
      <c r="D109" s="154"/>
      <c r="E109" s="154"/>
      <c r="F109" s="154"/>
      <c r="G109" s="154"/>
      <c r="H109" s="154"/>
      <c r="I109" s="154"/>
    </row>
    <row r="110" spans="1:9" ht="15.75">
      <c r="A110" s="48"/>
      <c r="B110" s="155" t="s">
        <v>282</v>
      </c>
      <c r="C110" s="155"/>
      <c r="D110" s="155"/>
      <c r="E110" s="155"/>
      <c r="F110" s="155"/>
      <c r="G110" s="155"/>
      <c r="H110" s="53"/>
      <c r="I110" s="2"/>
    </row>
    <row r="111" spans="1:9">
      <c r="A111" s="42"/>
      <c r="B111" s="156" t="s">
        <v>6</v>
      </c>
      <c r="C111" s="156"/>
      <c r="D111" s="156"/>
      <c r="E111" s="156"/>
      <c r="F111" s="156"/>
      <c r="G111" s="156"/>
      <c r="H111" s="16"/>
      <c r="I111" s="4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5.75" customHeight="1">
      <c r="A113" s="157" t="s">
        <v>7</v>
      </c>
      <c r="B113" s="157"/>
      <c r="C113" s="157"/>
      <c r="D113" s="157"/>
      <c r="E113" s="157"/>
      <c r="F113" s="157"/>
      <c r="G113" s="157"/>
      <c r="H113" s="157"/>
      <c r="I113" s="157"/>
    </row>
    <row r="114" spans="1:9" ht="15.75" customHeight="1">
      <c r="A114" s="157" t="s">
        <v>8</v>
      </c>
      <c r="B114" s="157"/>
      <c r="C114" s="157"/>
      <c r="D114" s="157"/>
      <c r="E114" s="157"/>
      <c r="F114" s="157"/>
      <c r="G114" s="157"/>
      <c r="H114" s="157"/>
      <c r="I114" s="157"/>
    </row>
    <row r="115" spans="1:9" ht="15.75" customHeight="1">
      <c r="A115" s="158" t="s">
        <v>60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7.5" customHeight="1">
      <c r="A116" s="8"/>
    </row>
    <row r="117" spans="1:9" ht="15.75" customHeight="1">
      <c r="A117" s="146" t="s">
        <v>9</v>
      </c>
      <c r="B117" s="146"/>
      <c r="C117" s="146"/>
      <c r="D117" s="146"/>
      <c r="E117" s="146"/>
      <c r="F117" s="146"/>
      <c r="G117" s="146"/>
      <c r="H117" s="146"/>
      <c r="I117" s="146"/>
    </row>
    <row r="118" spans="1:9" ht="15.75" customHeight="1">
      <c r="A118" s="3"/>
    </row>
    <row r="119" spans="1:9" ht="15.75" customHeight="1">
      <c r="B119" s="44" t="s">
        <v>10</v>
      </c>
      <c r="C119" s="163" t="s">
        <v>217</v>
      </c>
      <c r="D119" s="163"/>
      <c r="E119" s="163"/>
      <c r="F119" s="51"/>
      <c r="I119" s="46"/>
    </row>
    <row r="120" spans="1:9">
      <c r="A120" s="42"/>
      <c r="C120" s="156" t="s">
        <v>11</v>
      </c>
      <c r="D120" s="156"/>
      <c r="E120" s="156"/>
      <c r="F120" s="16"/>
      <c r="I120" s="47" t="s">
        <v>12</v>
      </c>
    </row>
    <row r="121" spans="1:9" ht="15.75">
      <c r="A121" s="17"/>
      <c r="C121" s="9"/>
      <c r="D121" s="9"/>
      <c r="G121" s="9"/>
      <c r="H121" s="9"/>
    </row>
    <row r="122" spans="1:9" ht="15.75">
      <c r="B122" s="44" t="s">
        <v>13</v>
      </c>
      <c r="C122" s="164"/>
      <c r="D122" s="164"/>
      <c r="E122" s="164"/>
      <c r="F122" s="52"/>
      <c r="I122" s="46"/>
    </row>
    <row r="123" spans="1:9">
      <c r="A123" s="42"/>
      <c r="C123" s="165" t="s">
        <v>11</v>
      </c>
      <c r="D123" s="165"/>
      <c r="E123" s="165"/>
      <c r="F123" s="42"/>
      <c r="I123" s="47" t="s">
        <v>12</v>
      </c>
    </row>
    <row r="124" spans="1:9" ht="15.75">
      <c r="A124" s="3" t="s">
        <v>14</v>
      </c>
    </row>
    <row r="125" spans="1:9">
      <c r="A125" s="166" t="s">
        <v>15</v>
      </c>
      <c r="B125" s="166"/>
      <c r="C125" s="166"/>
      <c r="D125" s="166"/>
      <c r="E125" s="166"/>
      <c r="F125" s="166"/>
      <c r="G125" s="166"/>
      <c r="H125" s="166"/>
      <c r="I125" s="166"/>
    </row>
    <row r="126" spans="1:9" ht="45" customHeight="1">
      <c r="A126" s="162" t="s">
        <v>16</v>
      </c>
      <c r="B126" s="162"/>
      <c r="C126" s="162"/>
      <c r="D126" s="162"/>
      <c r="E126" s="162"/>
      <c r="F126" s="162"/>
      <c r="G126" s="162"/>
      <c r="H126" s="162"/>
      <c r="I126" s="162"/>
    </row>
    <row r="127" spans="1:9" ht="30" customHeight="1">
      <c r="A127" s="162" t="s">
        <v>17</v>
      </c>
      <c r="B127" s="162"/>
      <c r="C127" s="162"/>
      <c r="D127" s="162"/>
      <c r="E127" s="162"/>
      <c r="F127" s="162"/>
      <c r="G127" s="162"/>
      <c r="H127" s="162"/>
      <c r="I127" s="162"/>
    </row>
    <row r="128" spans="1:9" ht="30" customHeight="1">
      <c r="A128" s="162" t="s">
        <v>21</v>
      </c>
      <c r="B128" s="162"/>
      <c r="C128" s="162"/>
      <c r="D128" s="162"/>
      <c r="E128" s="162"/>
      <c r="F128" s="162"/>
      <c r="G128" s="162"/>
      <c r="H128" s="162"/>
      <c r="I128" s="162"/>
    </row>
    <row r="129" spans="1:9" ht="15" customHeight="1">
      <c r="A129" s="162" t="s">
        <v>20</v>
      </c>
      <c r="B129" s="162"/>
      <c r="C129" s="162"/>
      <c r="D129" s="162"/>
      <c r="E129" s="162"/>
      <c r="F129" s="162"/>
      <c r="G129" s="162"/>
      <c r="H129" s="162"/>
      <c r="I129" s="162"/>
    </row>
  </sheetData>
  <mergeCells count="28">
    <mergeCell ref="A127:I127"/>
    <mergeCell ref="A128:I128"/>
    <mergeCell ref="A129:I129"/>
    <mergeCell ref="C119:E119"/>
    <mergeCell ref="C120:E120"/>
    <mergeCell ref="C122:E122"/>
    <mergeCell ref="C123:E123"/>
    <mergeCell ref="A125:I125"/>
    <mergeCell ref="A126:I126"/>
    <mergeCell ref="A117:I117"/>
    <mergeCell ref="A15:I15"/>
    <mergeCell ref="A28:I28"/>
    <mergeCell ref="A44:I44"/>
    <mergeCell ref="A56:I56"/>
    <mergeCell ref="A98:I98"/>
    <mergeCell ref="A109:I109"/>
    <mergeCell ref="B110:G110"/>
    <mergeCell ref="B111:G111"/>
    <mergeCell ref="A113:I113"/>
    <mergeCell ref="A114:I114"/>
    <mergeCell ref="A115:I115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8"/>
  <sheetViews>
    <sheetView topLeftCell="A86" zoomScaleNormal="100" workbookViewId="0">
      <selection activeCell="G107" sqref="G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71093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179</v>
      </c>
      <c r="I1" s="18"/>
    </row>
    <row r="2" spans="1:9" ht="15.75">
      <c r="A2" s="20" t="s">
        <v>61</v>
      </c>
    </row>
    <row r="3" spans="1:9" ht="15.75">
      <c r="A3" s="141" t="s">
        <v>169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42" t="s">
        <v>147</v>
      </c>
      <c r="B4" s="142"/>
      <c r="C4" s="142"/>
      <c r="D4" s="142"/>
      <c r="E4" s="142"/>
      <c r="F4" s="142"/>
      <c r="G4" s="142"/>
      <c r="H4" s="142"/>
      <c r="I4" s="142"/>
    </row>
    <row r="5" spans="1:9" ht="15.75">
      <c r="A5" s="141" t="s">
        <v>283</v>
      </c>
      <c r="B5" s="143"/>
      <c r="C5" s="143"/>
      <c r="D5" s="143"/>
      <c r="E5" s="143"/>
      <c r="F5" s="143"/>
      <c r="G5" s="143"/>
      <c r="H5" s="143"/>
      <c r="I5" s="143"/>
    </row>
    <row r="6" spans="1:9" ht="15.75">
      <c r="A6" s="1"/>
      <c r="B6" s="45"/>
      <c r="C6" s="45"/>
      <c r="D6" s="45"/>
      <c r="E6" s="45"/>
      <c r="F6" s="45"/>
      <c r="G6" s="45"/>
      <c r="H6" s="45"/>
      <c r="I6" s="22">
        <v>44469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44" t="s">
        <v>213</v>
      </c>
      <c r="B8" s="144"/>
      <c r="C8" s="144"/>
      <c r="D8" s="144"/>
      <c r="E8" s="144"/>
      <c r="F8" s="144"/>
      <c r="G8" s="144"/>
      <c r="H8" s="144"/>
      <c r="I8" s="144"/>
    </row>
    <row r="9" spans="1:9" ht="15.75">
      <c r="A9" s="3"/>
    </row>
    <row r="10" spans="1:9" ht="47.25" customHeight="1">
      <c r="A10" s="145" t="s">
        <v>171</v>
      </c>
      <c r="B10" s="145"/>
      <c r="C10" s="145"/>
      <c r="D10" s="145"/>
      <c r="E10" s="145"/>
      <c r="F10" s="145"/>
      <c r="G10" s="145"/>
      <c r="H10" s="145"/>
      <c r="I10" s="14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40" t="s">
        <v>58</v>
      </c>
      <c r="B14" s="140"/>
      <c r="C14" s="140"/>
      <c r="D14" s="140"/>
      <c r="E14" s="140"/>
      <c r="F14" s="140"/>
      <c r="G14" s="140"/>
      <c r="H14" s="140"/>
      <c r="I14" s="140"/>
    </row>
    <row r="15" spans="1:9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</row>
    <row r="16" spans="1:9" ht="15.75" customHeight="1">
      <c r="A16" s="21">
        <v>1</v>
      </c>
      <c r="B16" s="86" t="s">
        <v>105</v>
      </c>
      <c r="C16" s="87" t="s">
        <v>84</v>
      </c>
      <c r="D16" s="86" t="s">
        <v>187</v>
      </c>
      <c r="E16" s="88">
        <v>70.7</v>
      </c>
      <c r="F16" s="89">
        <f>SUM(E16*156/100)</f>
        <v>110.292</v>
      </c>
      <c r="G16" s="89">
        <v>261.45</v>
      </c>
      <c r="H16" s="55">
        <f t="shared" ref="H16:H18" si="0">SUM(F16*G16/1000)</f>
        <v>28.835843399999998</v>
      </c>
      <c r="I16" s="10">
        <f>F16/12*G16</f>
        <v>2402.98695</v>
      </c>
    </row>
    <row r="17" spans="1:9" ht="15.75" customHeight="1">
      <c r="A17" s="21">
        <v>2</v>
      </c>
      <c r="B17" s="86" t="s">
        <v>116</v>
      </c>
      <c r="C17" s="87" t="s">
        <v>84</v>
      </c>
      <c r="D17" s="86" t="s">
        <v>188</v>
      </c>
      <c r="E17" s="88">
        <v>282.8</v>
      </c>
      <c r="F17" s="89">
        <f>SUM(E17*104/100)</f>
        <v>294.11200000000002</v>
      </c>
      <c r="G17" s="89">
        <v>261.45</v>
      </c>
      <c r="H17" s="55">
        <f t="shared" si="0"/>
        <v>76.895582399999995</v>
      </c>
      <c r="I17" s="10">
        <f t="shared" ref="I17" si="1">F17/12*G17</f>
        <v>6407.9651999999996</v>
      </c>
    </row>
    <row r="18" spans="1:9" ht="15.75" customHeight="1">
      <c r="A18" s="21">
        <v>3</v>
      </c>
      <c r="B18" s="86" t="s">
        <v>117</v>
      </c>
      <c r="C18" s="87" t="s">
        <v>84</v>
      </c>
      <c r="D18" s="86" t="s">
        <v>189</v>
      </c>
      <c r="E18" s="88">
        <f>SUM(E16+E17)</f>
        <v>353.5</v>
      </c>
      <c r="F18" s="89">
        <f>SUM(E18*18/100)</f>
        <v>63.63</v>
      </c>
      <c r="G18" s="89">
        <v>752.16</v>
      </c>
      <c r="H18" s="55">
        <f t="shared" si="0"/>
        <v>47.859940799999997</v>
      </c>
      <c r="I18" s="10">
        <f>F18/18*2*G18</f>
        <v>5317.7712000000001</v>
      </c>
    </row>
    <row r="19" spans="1:9" ht="15.75" hidden="1" customHeight="1">
      <c r="A19" s="21"/>
      <c r="B19" s="39" t="s">
        <v>106</v>
      </c>
      <c r="C19" s="40" t="s">
        <v>107</v>
      </c>
      <c r="D19" s="39" t="s">
        <v>108</v>
      </c>
      <c r="E19" s="54">
        <v>40</v>
      </c>
      <c r="F19" s="41">
        <f>SUM(E19/10)</f>
        <v>4</v>
      </c>
      <c r="G19" s="41">
        <v>193.55</v>
      </c>
      <c r="H19" s="55">
        <f t="shared" ref="H19:H26" si="2">SUM(F19*G19/1000)</f>
        <v>0.7742</v>
      </c>
      <c r="I19" s="10">
        <v>0</v>
      </c>
    </row>
    <row r="20" spans="1:9" ht="15.75" customHeight="1">
      <c r="A20" s="21">
        <v>4</v>
      </c>
      <c r="B20" s="39" t="s">
        <v>109</v>
      </c>
      <c r="C20" s="40" t="s">
        <v>84</v>
      </c>
      <c r="D20" s="39" t="s">
        <v>194</v>
      </c>
      <c r="E20" s="54">
        <v>10.5</v>
      </c>
      <c r="F20" s="41">
        <f>E20*2/100</f>
        <v>0.21</v>
      </c>
      <c r="G20" s="41">
        <v>324.83999999999997</v>
      </c>
      <c r="H20" s="55">
        <f t="shared" si="2"/>
        <v>6.8216399999999996E-2</v>
      </c>
      <c r="I20" s="10">
        <f>G20*F20/2</f>
        <v>34.108199999999997</v>
      </c>
    </row>
    <row r="21" spans="1:9" ht="15.75" customHeight="1">
      <c r="A21" s="21">
        <v>5</v>
      </c>
      <c r="B21" s="39" t="s">
        <v>110</v>
      </c>
      <c r="C21" s="40" t="s">
        <v>84</v>
      </c>
      <c r="D21" s="39" t="s">
        <v>194</v>
      </c>
      <c r="E21" s="88">
        <v>2.7</v>
      </c>
      <c r="F21" s="89">
        <f>SUM(E21*2/100)</f>
        <v>5.4000000000000006E-2</v>
      </c>
      <c r="G21" s="89">
        <v>322.20999999999998</v>
      </c>
      <c r="H21" s="55">
        <f t="shared" si="2"/>
        <v>1.7399340000000003E-2</v>
      </c>
      <c r="I21" s="10">
        <f>G21*F21/2</f>
        <v>8.6996700000000011</v>
      </c>
    </row>
    <row r="22" spans="1:9" ht="15.75" hidden="1" customHeight="1">
      <c r="A22" s="21"/>
      <c r="B22" s="39" t="s">
        <v>111</v>
      </c>
      <c r="C22" s="40" t="s">
        <v>52</v>
      </c>
      <c r="D22" s="39" t="s">
        <v>108</v>
      </c>
      <c r="E22" s="54">
        <v>357</v>
      </c>
      <c r="F22" s="41">
        <f>SUM(E22/100)</f>
        <v>3.57</v>
      </c>
      <c r="G22" s="41">
        <v>306.26</v>
      </c>
      <c r="H22" s="55">
        <f t="shared" si="2"/>
        <v>1.0933481999999999</v>
      </c>
      <c r="I22" s="10">
        <v>0</v>
      </c>
    </row>
    <row r="23" spans="1:9" ht="15.75" hidden="1" customHeight="1">
      <c r="A23" s="21"/>
      <c r="B23" s="39" t="s">
        <v>112</v>
      </c>
      <c r="C23" s="40" t="s">
        <v>52</v>
      </c>
      <c r="D23" s="39" t="s">
        <v>108</v>
      </c>
      <c r="E23" s="56">
        <v>38.64</v>
      </c>
      <c r="F23" s="41">
        <f>SUM(E23/100)</f>
        <v>0.38640000000000002</v>
      </c>
      <c r="G23" s="41">
        <v>50.37</v>
      </c>
      <c r="H23" s="55">
        <f t="shared" si="2"/>
        <v>1.9462968000000001E-2</v>
      </c>
      <c r="I23" s="10">
        <v>0</v>
      </c>
    </row>
    <row r="24" spans="1:9" ht="15.75" hidden="1" customHeight="1">
      <c r="A24" s="21"/>
      <c r="B24" s="39" t="s">
        <v>113</v>
      </c>
      <c r="C24" s="40" t="s">
        <v>52</v>
      </c>
      <c r="D24" s="39" t="s">
        <v>118</v>
      </c>
      <c r="E24" s="54">
        <v>15</v>
      </c>
      <c r="F24" s="41">
        <f>E24/100</f>
        <v>0.15</v>
      </c>
      <c r="G24" s="41">
        <v>443.27</v>
      </c>
      <c r="H24" s="55">
        <f t="shared" si="2"/>
        <v>6.6490499999999994E-2</v>
      </c>
      <c r="I24" s="10">
        <v>0</v>
      </c>
    </row>
    <row r="25" spans="1:9" ht="15.75" hidden="1" customHeight="1">
      <c r="A25" s="21"/>
      <c r="B25" s="39" t="s">
        <v>119</v>
      </c>
      <c r="C25" s="40" t="s">
        <v>84</v>
      </c>
      <c r="D25" s="39" t="s">
        <v>53</v>
      </c>
      <c r="E25" s="54">
        <v>14.25</v>
      </c>
      <c r="F25" s="41">
        <v>0.1</v>
      </c>
      <c r="G25" s="41">
        <v>245.81</v>
      </c>
      <c r="H25" s="55">
        <v>3.1E-2</v>
      </c>
      <c r="I25" s="10">
        <v>0</v>
      </c>
    </row>
    <row r="26" spans="1:9" ht="15.75" hidden="1" customHeight="1">
      <c r="A26" s="21"/>
      <c r="B26" s="39" t="s">
        <v>120</v>
      </c>
      <c r="C26" s="40" t="s">
        <v>52</v>
      </c>
      <c r="D26" s="39" t="s">
        <v>108</v>
      </c>
      <c r="E26" s="54">
        <v>6.38</v>
      </c>
      <c r="F26" s="41">
        <f>SUM(E26/100)</f>
        <v>6.3799999999999996E-2</v>
      </c>
      <c r="G26" s="41">
        <v>592.37</v>
      </c>
      <c r="H26" s="55">
        <f t="shared" si="2"/>
        <v>3.7793205999999996E-2</v>
      </c>
      <c r="I26" s="10">
        <v>0</v>
      </c>
    </row>
    <row r="27" spans="1:9" ht="15.75" hidden="1" customHeight="1">
      <c r="A27" s="21">
        <v>6</v>
      </c>
      <c r="B27" s="86" t="s">
        <v>186</v>
      </c>
      <c r="C27" s="87" t="s">
        <v>25</v>
      </c>
      <c r="D27" s="86" t="s">
        <v>190</v>
      </c>
      <c r="E27" s="113">
        <v>5.22</v>
      </c>
      <c r="F27" s="89">
        <f>E27*258</f>
        <v>1346.76</v>
      </c>
      <c r="G27" s="89">
        <v>10.81</v>
      </c>
      <c r="H27" s="55">
        <f>SUM(F27*G27/1000)</f>
        <v>14.5584756</v>
      </c>
      <c r="I27" s="10">
        <f>F27/12*G27</f>
        <v>1213.2063000000001</v>
      </c>
    </row>
    <row r="28" spans="1:9" ht="15.75" customHeight="1">
      <c r="A28" s="147" t="s">
        <v>83</v>
      </c>
      <c r="B28" s="147"/>
      <c r="C28" s="147"/>
      <c r="D28" s="147"/>
      <c r="E28" s="147"/>
      <c r="F28" s="147"/>
      <c r="G28" s="147"/>
      <c r="H28" s="147"/>
      <c r="I28" s="147"/>
    </row>
    <row r="29" spans="1:9" ht="15.75" customHeight="1">
      <c r="A29" s="21"/>
      <c r="B29" s="74" t="s">
        <v>28</v>
      </c>
      <c r="C29" s="40"/>
      <c r="D29" s="39"/>
      <c r="E29" s="54"/>
      <c r="F29" s="41"/>
      <c r="G29" s="41"/>
      <c r="H29" s="55"/>
      <c r="I29" s="58"/>
    </row>
    <row r="30" spans="1:9" ht="15.75" customHeight="1">
      <c r="A30" s="21">
        <v>6</v>
      </c>
      <c r="B30" s="86" t="s">
        <v>92</v>
      </c>
      <c r="C30" s="87" t="s">
        <v>86</v>
      </c>
      <c r="D30" s="86" t="s">
        <v>188</v>
      </c>
      <c r="E30" s="89">
        <v>573.6</v>
      </c>
      <c r="F30" s="89">
        <f>E30*52/1000</f>
        <v>29.827200000000001</v>
      </c>
      <c r="G30" s="89">
        <v>232.4</v>
      </c>
      <c r="H30" s="55">
        <f t="shared" ref="H30:H32" si="3">SUM(F30*G30/1000)</f>
        <v>6.9318412800000004</v>
      </c>
      <c r="I30" s="10">
        <f>F30/6*G30</f>
        <v>1155.3068800000001</v>
      </c>
    </row>
    <row r="31" spans="1:9" ht="31.5" customHeight="1">
      <c r="A31" s="21">
        <v>7</v>
      </c>
      <c r="B31" s="86" t="s">
        <v>159</v>
      </c>
      <c r="C31" s="87" t="s">
        <v>86</v>
      </c>
      <c r="D31" s="86" t="s">
        <v>203</v>
      </c>
      <c r="E31" s="89">
        <v>200</v>
      </c>
      <c r="F31" s="89">
        <f>SUM(E31*72/1000)</f>
        <v>14.4</v>
      </c>
      <c r="G31" s="89">
        <v>385.6</v>
      </c>
      <c r="H31" s="55">
        <f t="shared" si="3"/>
        <v>5.5526400000000002</v>
      </c>
      <c r="I31" s="10">
        <f t="shared" ref="I31:I33" si="4">F31/6*G31</f>
        <v>925.44</v>
      </c>
    </row>
    <row r="32" spans="1:9" ht="15.75" hidden="1" customHeight="1">
      <c r="A32" s="21">
        <v>16</v>
      </c>
      <c r="B32" s="86" t="s">
        <v>27</v>
      </c>
      <c r="C32" s="87" t="s">
        <v>86</v>
      </c>
      <c r="D32" s="86" t="s">
        <v>53</v>
      </c>
      <c r="E32" s="89">
        <v>573.6</v>
      </c>
      <c r="F32" s="89">
        <f>SUM(E32/1000)</f>
        <v>0.5736</v>
      </c>
      <c r="G32" s="89">
        <v>4502.97</v>
      </c>
      <c r="H32" s="55">
        <f t="shared" si="3"/>
        <v>2.5829035920000001</v>
      </c>
      <c r="I32" s="10">
        <f t="shared" si="4"/>
        <v>430.48393200000004</v>
      </c>
    </row>
    <row r="33" spans="1:9" ht="15.75" customHeight="1">
      <c r="A33" s="21">
        <v>8</v>
      </c>
      <c r="B33" s="86" t="s">
        <v>123</v>
      </c>
      <c r="C33" s="87" t="s">
        <v>40</v>
      </c>
      <c r="D33" s="86" t="s">
        <v>192</v>
      </c>
      <c r="E33" s="89">
        <v>1</v>
      </c>
      <c r="F33" s="89">
        <v>1.55</v>
      </c>
      <c r="G33" s="89">
        <v>1941.17</v>
      </c>
      <c r="H33" s="55">
        <f>G33*F33/1000</f>
        <v>3.0088135</v>
      </c>
      <c r="I33" s="10">
        <f t="shared" si="4"/>
        <v>501.46891666666676</v>
      </c>
    </row>
    <row r="34" spans="1:9" ht="15.75" hidden="1" customHeight="1">
      <c r="A34" s="21"/>
      <c r="B34" s="39" t="s">
        <v>63</v>
      </c>
      <c r="C34" s="40" t="s">
        <v>32</v>
      </c>
      <c r="D34" s="39" t="s">
        <v>65</v>
      </c>
      <c r="E34" s="54"/>
      <c r="F34" s="41">
        <v>3</v>
      </c>
      <c r="G34" s="41">
        <v>217.61</v>
      </c>
      <c r="H34" s="55">
        <f t="shared" ref="H34:H35" si="5">SUM(F34*G34/1000)</f>
        <v>0.65283000000000002</v>
      </c>
      <c r="I34" s="10">
        <v>0</v>
      </c>
    </row>
    <row r="35" spans="1:9" ht="15.75" hidden="1" customHeight="1">
      <c r="A35" s="21"/>
      <c r="B35" s="39" t="s">
        <v>64</v>
      </c>
      <c r="C35" s="40" t="s">
        <v>31</v>
      </c>
      <c r="D35" s="39" t="s">
        <v>65</v>
      </c>
      <c r="E35" s="54"/>
      <c r="F35" s="41">
        <v>2</v>
      </c>
      <c r="G35" s="41">
        <v>1292.47</v>
      </c>
      <c r="H35" s="55">
        <f t="shared" si="5"/>
        <v>2.58494</v>
      </c>
      <c r="I35" s="10">
        <v>0</v>
      </c>
    </row>
    <row r="36" spans="1:9" ht="15.75" hidden="1" customHeight="1">
      <c r="A36" s="21"/>
      <c r="B36" s="74" t="s">
        <v>5</v>
      </c>
      <c r="C36" s="40"/>
      <c r="D36" s="39"/>
      <c r="E36" s="54"/>
      <c r="F36" s="41"/>
      <c r="G36" s="41"/>
      <c r="H36" s="55" t="s">
        <v>155</v>
      </c>
      <c r="I36" s="58"/>
    </row>
    <row r="37" spans="1:9" ht="15.75" hidden="1" customHeight="1">
      <c r="A37" s="21">
        <v>6</v>
      </c>
      <c r="B37" s="39" t="s">
        <v>26</v>
      </c>
      <c r="C37" s="40" t="s">
        <v>31</v>
      </c>
      <c r="D37" s="39"/>
      <c r="E37" s="54"/>
      <c r="F37" s="41">
        <v>8</v>
      </c>
      <c r="G37" s="41">
        <v>1737.08</v>
      </c>
      <c r="H37" s="55">
        <f t="shared" ref="H37:H43" si="6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39" t="s">
        <v>66</v>
      </c>
      <c r="C38" s="40" t="s">
        <v>29</v>
      </c>
      <c r="D38" s="39" t="s">
        <v>100</v>
      </c>
      <c r="E38" s="41">
        <v>200</v>
      </c>
      <c r="F38" s="41">
        <f>SUM(E38*30/1000)</f>
        <v>6</v>
      </c>
      <c r="G38" s="41">
        <v>2391.67</v>
      </c>
      <c r="H38" s="55">
        <f t="shared" si="6"/>
        <v>14.350020000000001</v>
      </c>
      <c r="I38" s="10">
        <f>F38/6*G38</f>
        <v>2391.67</v>
      </c>
    </row>
    <row r="39" spans="1:9" ht="15.75" hidden="1" customHeight="1">
      <c r="A39" s="21"/>
      <c r="B39" s="39" t="s">
        <v>124</v>
      </c>
      <c r="C39" s="40" t="s">
        <v>54</v>
      </c>
      <c r="D39" s="39"/>
      <c r="E39" s="54"/>
      <c r="F39" s="41">
        <v>130</v>
      </c>
      <c r="G39" s="41">
        <v>226.84</v>
      </c>
      <c r="H39" s="55">
        <f t="shared" si="6"/>
        <v>29.4892</v>
      </c>
      <c r="I39" s="10">
        <v>0</v>
      </c>
    </row>
    <row r="40" spans="1:9" ht="15.75" hidden="1" customHeight="1">
      <c r="A40" s="21">
        <v>8</v>
      </c>
      <c r="B40" s="39" t="s">
        <v>67</v>
      </c>
      <c r="C40" s="40" t="s">
        <v>29</v>
      </c>
      <c r="D40" s="39" t="s">
        <v>85</v>
      </c>
      <c r="E40" s="41">
        <v>60</v>
      </c>
      <c r="F40" s="41">
        <f>SUM(E40*155/1000)</f>
        <v>9.3000000000000007</v>
      </c>
      <c r="G40" s="41">
        <v>398.95</v>
      </c>
      <c r="H40" s="55">
        <f t="shared" si="6"/>
        <v>3.7102349999999999</v>
      </c>
      <c r="I40" s="10">
        <f t="shared" ref="I40:I43" si="7">F40/6*G40</f>
        <v>618.37249999999995</v>
      </c>
    </row>
    <row r="41" spans="1:9" ht="47.25" hidden="1" customHeight="1">
      <c r="A41" s="21">
        <v>9</v>
      </c>
      <c r="B41" s="39" t="s">
        <v>82</v>
      </c>
      <c r="C41" s="40" t="s">
        <v>86</v>
      </c>
      <c r="D41" s="39" t="s">
        <v>125</v>
      </c>
      <c r="E41" s="41">
        <v>40.9</v>
      </c>
      <c r="F41" s="41">
        <f>SUM(E41*35/1000)</f>
        <v>1.4315</v>
      </c>
      <c r="G41" s="41">
        <v>6600.74</v>
      </c>
      <c r="H41" s="55">
        <f t="shared" si="6"/>
        <v>9.4489593099999993</v>
      </c>
      <c r="I41" s="10">
        <f t="shared" si="7"/>
        <v>1574.8265516666668</v>
      </c>
    </row>
    <row r="42" spans="1:9" ht="15.75" hidden="1" customHeight="1">
      <c r="A42" s="21">
        <v>10</v>
      </c>
      <c r="B42" s="39" t="s">
        <v>87</v>
      </c>
      <c r="C42" s="40" t="s">
        <v>86</v>
      </c>
      <c r="D42" s="39" t="s">
        <v>68</v>
      </c>
      <c r="E42" s="41">
        <v>60</v>
      </c>
      <c r="F42" s="41">
        <f>SUM(E42*45/1000)</f>
        <v>2.7</v>
      </c>
      <c r="G42" s="41">
        <v>487.61</v>
      </c>
      <c r="H42" s="55">
        <f t="shared" si="6"/>
        <v>1.3165470000000001</v>
      </c>
      <c r="I42" s="10">
        <f t="shared" si="7"/>
        <v>219.42450000000002</v>
      </c>
    </row>
    <row r="43" spans="1:9" ht="15.75" hidden="1" customHeight="1">
      <c r="A43" s="21">
        <v>11</v>
      </c>
      <c r="B43" s="39" t="s">
        <v>69</v>
      </c>
      <c r="C43" s="40" t="s">
        <v>32</v>
      </c>
      <c r="D43" s="39"/>
      <c r="E43" s="54"/>
      <c r="F43" s="41">
        <v>0.9</v>
      </c>
      <c r="G43" s="41">
        <v>907.65</v>
      </c>
      <c r="H43" s="55">
        <f t="shared" si="6"/>
        <v>0.81688499999999997</v>
      </c>
      <c r="I43" s="10">
        <f t="shared" si="7"/>
        <v>136.14749999999998</v>
      </c>
    </row>
    <row r="44" spans="1:9" ht="15.75" customHeight="1">
      <c r="A44" s="148" t="s">
        <v>148</v>
      </c>
      <c r="B44" s="149"/>
      <c r="C44" s="149"/>
      <c r="D44" s="149"/>
      <c r="E44" s="149"/>
      <c r="F44" s="149"/>
      <c r="G44" s="149"/>
      <c r="H44" s="149"/>
      <c r="I44" s="150"/>
    </row>
    <row r="45" spans="1:9" ht="15.75" customHeight="1">
      <c r="A45" s="21">
        <v>9</v>
      </c>
      <c r="B45" s="39" t="s">
        <v>156</v>
      </c>
      <c r="C45" s="40" t="s">
        <v>86</v>
      </c>
      <c r="D45" s="39" t="s">
        <v>194</v>
      </c>
      <c r="E45" s="54">
        <v>1300.5</v>
      </c>
      <c r="F45" s="41">
        <f>SUM(E45/1000)*2</f>
        <v>2.601</v>
      </c>
      <c r="G45" s="115">
        <v>1173.18</v>
      </c>
      <c r="H45" s="55">
        <f t="shared" ref="H45:H55" si="8">SUM(F45*G45/1000)</f>
        <v>3.0514411800000003</v>
      </c>
      <c r="I45" s="10">
        <f>F45/2*G45</f>
        <v>1525.7205900000001</v>
      </c>
    </row>
    <row r="46" spans="1:9" ht="15.75" customHeight="1">
      <c r="A46" s="21">
        <v>10</v>
      </c>
      <c r="B46" s="39" t="s">
        <v>35</v>
      </c>
      <c r="C46" s="40" t="s">
        <v>86</v>
      </c>
      <c r="D46" s="39" t="s">
        <v>194</v>
      </c>
      <c r="E46" s="54">
        <v>52</v>
      </c>
      <c r="F46" s="41">
        <f>SUM(E46*2/1000)</f>
        <v>0.104</v>
      </c>
      <c r="G46" s="115">
        <v>863.92</v>
      </c>
      <c r="H46" s="55">
        <f t="shared" si="8"/>
        <v>8.9847679999999999E-2</v>
      </c>
      <c r="I46" s="10">
        <f t="shared" ref="I46:I49" si="9">F46/2*G46</f>
        <v>44.923839999999998</v>
      </c>
    </row>
    <row r="47" spans="1:9" ht="15.75" customHeight="1">
      <c r="A47" s="21">
        <v>11</v>
      </c>
      <c r="B47" s="39" t="s">
        <v>36</v>
      </c>
      <c r="C47" s="40" t="s">
        <v>86</v>
      </c>
      <c r="D47" s="39" t="s">
        <v>194</v>
      </c>
      <c r="E47" s="54">
        <v>1483.1</v>
      </c>
      <c r="F47" s="41">
        <f>SUM(E47*2/1000)</f>
        <v>2.9661999999999997</v>
      </c>
      <c r="G47" s="115">
        <v>863.92</v>
      </c>
      <c r="H47" s="55">
        <f t="shared" si="8"/>
        <v>2.5625595039999998</v>
      </c>
      <c r="I47" s="10">
        <f t="shared" si="9"/>
        <v>1281.2797519999999</v>
      </c>
    </row>
    <row r="48" spans="1:9" ht="15.75" customHeight="1">
      <c r="A48" s="21">
        <v>12</v>
      </c>
      <c r="B48" s="39" t="s">
        <v>37</v>
      </c>
      <c r="C48" s="40" t="s">
        <v>86</v>
      </c>
      <c r="D48" s="39" t="s">
        <v>194</v>
      </c>
      <c r="E48" s="54">
        <v>2320</v>
      </c>
      <c r="F48" s="41">
        <f>SUM(E48*2/1000)</f>
        <v>4.6399999999999997</v>
      </c>
      <c r="G48" s="115">
        <v>904.65</v>
      </c>
      <c r="H48" s="55">
        <f t="shared" si="8"/>
        <v>4.1975759999999998</v>
      </c>
      <c r="I48" s="10">
        <f t="shared" si="9"/>
        <v>2098.788</v>
      </c>
    </row>
    <row r="49" spans="1:9" ht="15.75" customHeight="1">
      <c r="A49" s="21">
        <v>13</v>
      </c>
      <c r="B49" s="39" t="s">
        <v>33</v>
      </c>
      <c r="C49" s="40" t="s">
        <v>34</v>
      </c>
      <c r="D49" s="39" t="s">
        <v>194</v>
      </c>
      <c r="E49" s="54">
        <v>91.84</v>
      </c>
      <c r="F49" s="41">
        <f>SUM(E49*2/100)</f>
        <v>1.8368</v>
      </c>
      <c r="G49" s="115">
        <v>108.55</v>
      </c>
      <c r="H49" s="55">
        <f t="shared" si="8"/>
        <v>0.19938464</v>
      </c>
      <c r="I49" s="10">
        <f t="shared" si="9"/>
        <v>99.692319999999995</v>
      </c>
    </row>
    <row r="50" spans="1:9" ht="15.75" customHeight="1">
      <c r="A50" s="21">
        <v>14</v>
      </c>
      <c r="B50" s="39" t="s">
        <v>55</v>
      </c>
      <c r="C50" s="40" t="s">
        <v>86</v>
      </c>
      <c r="D50" s="39" t="s">
        <v>194</v>
      </c>
      <c r="E50" s="54">
        <v>1040.4000000000001</v>
      </c>
      <c r="F50" s="41">
        <f>SUM(E50*5/1000)</f>
        <v>5.202</v>
      </c>
      <c r="G50" s="115">
        <v>1809.27</v>
      </c>
      <c r="H50" s="55">
        <f>SUM(F50*G50/1000)</f>
        <v>9.4118225399999993</v>
      </c>
      <c r="I50" s="10">
        <f>F50/5*G50</f>
        <v>1882.3645079999999</v>
      </c>
    </row>
    <row r="51" spans="1:9" ht="31.5" customHeight="1">
      <c r="A51" s="21">
        <v>15</v>
      </c>
      <c r="B51" s="39" t="s">
        <v>88</v>
      </c>
      <c r="C51" s="40" t="s">
        <v>86</v>
      </c>
      <c r="D51" s="39" t="s">
        <v>194</v>
      </c>
      <c r="E51" s="54">
        <v>1040.4000000000001</v>
      </c>
      <c r="F51" s="41">
        <f>SUM(E51*2/1000)</f>
        <v>2.0808</v>
      </c>
      <c r="G51" s="115">
        <v>1809.27</v>
      </c>
      <c r="H51" s="55">
        <f t="shared" si="8"/>
        <v>3.764729016</v>
      </c>
      <c r="I51" s="10">
        <f>G51*F51/2</f>
        <v>1882.3645079999999</v>
      </c>
    </row>
    <row r="52" spans="1:9" ht="31.5" customHeight="1">
      <c r="A52" s="21">
        <v>16</v>
      </c>
      <c r="B52" s="39" t="s">
        <v>89</v>
      </c>
      <c r="C52" s="40" t="s">
        <v>38</v>
      </c>
      <c r="D52" s="39" t="s">
        <v>194</v>
      </c>
      <c r="E52" s="54">
        <v>20</v>
      </c>
      <c r="F52" s="41">
        <f>SUM(E52*2/100)</f>
        <v>0.4</v>
      </c>
      <c r="G52" s="115">
        <v>4070.89</v>
      </c>
      <c r="H52" s="55">
        <f t="shared" si="8"/>
        <v>1.6283559999999999</v>
      </c>
      <c r="I52" s="10">
        <f>G52*F52/2</f>
        <v>814.178</v>
      </c>
    </row>
    <row r="53" spans="1:9" ht="15.75" customHeight="1">
      <c r="A53" s="21">
        <v>17</v>
      </c>
      <c r="B53" s="39" t="s">
        <v>39</v>
      </c>
      <c r="C53" s="40" t="s">
        <v>40</v>
      </c>
      <c r="D53" s="39" t="s">
        <v>194</v>
      </c>
      <c r="E53" s="54">
        <v>1</v>
      </c>
      <c r="F53" s="41">
        <v>0.02</v>
      </c>
      <c r="G53" s="115">
        <v>8426.7199999999993</v>
      </c>
      <c r="H53" s="55">
        <f t="shared" si="8"/>
        <v>0.16853439999999997</v>
      </c>
      <c r="I53" s="10">
        <f>G53*F53/2</f>
        <v>84.267199999999988</v>
      </c>
    </row>
    <row r="54" spans="1:9" ht="15.75" hidden="1" customHeight="1">
      <c r="A54" s="21">
        <v>18</v>
      </c>
      <c r="B54" s="39" t="s">
        <v>98</v>
      </c>
      <c r="C54" s="40" t="s">
        <v>93</v>
      </c>
      <c r="D54" s="39" t="s">
        <v>70</v>
      </c>
      <c r="E54" s="54">
        <v>56</v>
      </c>
      <c r="F54" s="41">
        <f>SUM(E54*3)</f>
        <v>168</v>
      </c>
      <c r="G54" s="126">
        <v>210.4</v>
      </c>
      <c r="H54" s="55">
        <f t="shared" si="8"/>
        <v>35.347200000000001</v>
      </c>
      <c r="I54" s="10">
        <f>E54*G54</f>
        <v>11782.4</v>
      </c>
    </row>
    <row r="55" spans="1:9" ht="15.75" hidden="1" customHeight="1">
      <c r="A55" s="21">
        <v>19</v>
      </c>
      <c r="B55" s="39" t="s">
        <v>41</v>
      </c>
      <c r="C55" s="40" t="s">
        <v>93</v>
      </c>
      <c r="D55" s="39" t="s">
        <v>70</v>
      </c>
      <c r="E55" s="54">
        <v>112</v>
      </c>
      <c r="F55" s="41">
        <f>SUM(E55)*3</f>
        <v>336</v>
      </c>
      <c r="G55" s="126">
        <v>97.93</v>
      </c>
      <c r="H55" s="55">
        <f t="shared" si="8"/>
        <v>32.904480000000007</v>
      </c>
      <c r="I55" s="10">
        <f>E55*G55</f>
        <v>10968.16</v>
      </c>
    </row>
    <row r="56" spans="1:9" ht="15.75" customHeight="1">
      <c r="A56" s="148" t="s">
        <v>149</v>
      </c>
      <c r="B56" s="149"/>
      <c r="C56" s="149"/>
      <c r="D56" s="149"/>
      <c r="E56" s="149"/>
      <c r="F56" s="149"/>
      <c r="G56" s="149"/>
      <c r="H56" s="149"/>
      <c r="I56" s="150"/>
    </row>
    <row r="57" spans="1:9" ht="15.75" hidden="1" customHeight="1">
      <c r="A57" s="21"/>
      <c r="B57" s="74" t="s">
        <v>43</v>
      </c>
      <c r="C57" s="40"/>
      <c r="D57" s="39"/>
      <c r="E57" s="54"/>
      <c r="F57" s="41"/>
      <c r="G57" s="41"/>
      <c r="H57" s="55"/>
      <c r="I57" s="58"/>
    </row>
    <row r="58" spans="1:9" ht="31.5" hidden="1" customHeight="1">
      <c r="A58" s="21">
        <v>15</v>
      </c>
      <c r="B58" s="39" t="s">
        <v>101</v>
      </c>
      <c r="C58" s="40" t="s">
        <v>84</v>
      </c>
      <c r="D58" s="39" t="s">
        <v>157</v>
      </c>
      <c r="E58" s="54">
        <v>142.05000000000001</v>
      </c>
      <c r="F58" s="41">
        <f>SUM(E58*6/100)</f>
        <v>8.5230000000000015</v>
      </c>
      <c r="G58" s="10">
        <v>2108.4299999999998</v>
      </c>
      <c r="H58" s="55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4" t="s">
        <v>44</v>
      </c>
      <c r="C59" s="40"/>
      <c r="D59" s="39"/>
      <c r="E59" s="54"/>
      <c r="F59" s="55"/>
      <c r="G59" s="10"/>
      <c r="H59" s="61"/>
      <c r="I59" s="58"/>
    </row>
    <row r="60" spans="1:9" ht="15.75" hidden="1" customHeight="1">
      <c r="A60" s="21"/>
      <c r="B60" s="39" t="s">
        <v>158</v>
      </c>
      <c r="C60" s="40" t="s">
        <v>84</v>
      </c>
      <c r="D60" s="39" t="s">
        <v>53</v>
      </c>
      <c r="E60" s="54">
        <v>1040.4000000000001</v>
      </c>
      <c r="F60" s="55">
        <f>E60/100</f>
        <v>10.404000000000002</v>
      </c>
      <c r="G60" s="10">
        <v>902.66</v>
      </c>
      <c r="H60" s="61">
        <f>G60*F60/1000</f>
        <v>9.3912746400000007</v>
      </c>
      <c r="I60" s="10">
        <v>0</v>
      </c>
    </row>
    <row r="61" spans="1:9" ht="15.75" customHeight="1">
      <c r="A61" s="21">
        <v>18</v>
      </c>
      <c r="B61" s="39" t="s">
        <v>126</v>
      </c>
      <c r="C61" s="40" t="s">
        <v>25</v>
      </c>
      <c r="D61" s="39" t="s">
        <v>194</v>
      </c>
      <c r="E61" s="54">
        <v>240</v>
      </c>
      <c r="F61" s="41">
        <v>2400</v>
      </c>
      <c r="G61" s="49">
        <v>1.4</v>
      </c>
      <c r="H61" s="55">
        <f>F61*G61/1000</f>
        <v>3.36</v>
      </c>
      <c r="I61" s="10">
        <f>F61/12*G61</f>
        <v>280</v>
      </c>
    </row>
    <row r="62" spans="1:9" ht="15.75" customHeight="1">
      <c r="A62" s="21"/>
      <c r="B62" s="75" t="s">
        <v>45</v>
      </c>
      <c r="C62" s="62"/>
      <c r="D62" s="63"/>
      <c r="E62" s="64"/>
      <c r="F62" s="65"/>
      <c r="G62" s="65"/>
      <c r="H62" s="66" t="s">
        <v>155</v>
      </c>
      <c r="I62" s="58"/>
    </row>
    <row r="63" spans="1:9" ht="15.75" hidden="1" customHeight="1">
      <c r="A63" s="21">
        <v>20</v>
      </c>
      <c r="B63" s="11" t="s">
        <v>46</v>
      </c>
      <c r="C63" s="13" t="s">
        <v>40</v>
      </c>
      <c r="D63" s="39" t="s">
        <v>194</v>
      </c>
      <c r="E63" s="15">
        <v>15</v>
      </c>
      <c r="F63" s="41">
        <f>15/100</f>
        <v>0.15</v>
      </c>
      <c r="G63" s="115">
        <v>331.57</v>
      </c>
      <c r="H63" s="67">
        <f t="shared" ref="H63:H82" si="10">SUM(F63*G63/1000)</f>
        <v>4.9735499999999995E-2</v>
      </c>
      <c r="I63" s="10">
        <f>G63*1</f>
        <v>331.57</v>
      </c>
    </row>
    <row r="64" spans="1:9" ht="15.75" customHeight="1">
      <c r="A64" s="21">
        <v>19</v>
      </c>
      <c r="B64" s="11" t="s">
        <v>47</v>
      </c>
      <c r="C64" s="13" t="s">
        <v>40</v>
      </c>
      <c r="D64" s="39" t="s">
        <v>189</v>
      </c>
      <c r="E64" s="15">
        <v>10</v>
      </c>
      <c r="F64" s="41">
        <f>10/100</f>
        <v>0.1</v>
      </c>
      <c r="G64" s="115">
        <v>113.69</v>
      </c>
      <c r="H64" s="67">
        <f t="shared" si="10"/>
        <v>1.1369000000000001E-2</v>
      </c>
      <c r="I64" s="10">
        <f>G64*2</f>
        <v>227.38</v>
      </c>
    </row>
    <row r="65" spans="1:9" ht="15.75" hidden="1" customHeight="1">
      <c r="A65" s="21"/>
      <c r="B65" s="11" t="s">
        <v>48</v>
      </c>
      <c r="C65" s="13" t="s">
        <v>94</v>
      </c>
      <c r="D65" s="11" t="s">
        <v>53</v>
      </c>
      <c r="E65" s="54">
        <v>17532</v>
      </c>
      <c r="F65" s="10">
        <f>SUM(E65/100)</f>
        <v>175.32</v>
      </c>
      <c r="G65" s="10">
        <v>241.31</v>
      </c>
      <c r="H65" s="67">
        <f t="shared" si="10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95</v>
      </c>
      <c r="D66" s="11"/>
      <c r="E66" s="54">
        <v>17532</v>
      </c>
      <c r="F66" s="10">
        <f>SUM(E66/1000)</f>
        <v>17.532</v>
      </c>
      <c r="G66" s="10">
        <v>187.91</v>
      </c>
      <c r="H66" s="67">
        <f t="shared" si="10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77</v>
      </c>
      <c r="D67" s="11" t="s">
        <v>53</v>
      </c>
      <c r="E67" s="54">
        <v>1365</v>
      </c>
      <c r="F67" s="10">
        <f>SUM(E67/100)</f>
        <v>13.65</v>
      </c>
      <c r="G67" s="10">
        <v>2359.7199999999998</v>
      </c>
      <c r="H67" s="67">
        <f t="shared" si="10"/>
        <v>32.210177999999999</v>
      </c>
      <c r="I67" s="10">
        <f t="shared" ref="I67:I70" si="11">F67*G67</f>
        <v>32210.178</v>
      </c>
    </row>
    <row r="68" spans="1:9" ht="15.75" hidden="1" customHeight="1">
      <c r="A68" s="21"/>
      <c r="B68" s="68" t="s">
        <v>71</v>
      </c>
      <c r="C68" s="13" t="s">
        <v>32</v>
      </c>
      <c r="D68" s="11"/>
      <c r="E68" s="54">
        <v>15.6</v>
      </c>
      <c r="F68" s="10">
        <f>SUM(E68)</f>
        <v>15.6</v>
      </c>
      <c r="G68" s="10">
        <v>45.4</v>
      </c>
      <c r="H68" s="67">
        <f t="shared" si="10"/>
        <v>0.70823999999999998</v>
      </c>
      <c r="I68" s="10">
        <f t="shared" si="11"/>
        <v>708.24</v>
      </c>
    </row>
    <row r="69" spans="1:9" ht="15.75" hidden="1" customHeight="1">
      <c r="A69" s="21"/>
      <c r="B69" s="68" t="s">
        <v>161</v>
      </c>
      <c r="C69" s="13" t="s">
        <v>32</v>
      </c>
      <c r="D69" s="11"/>
      <c r="E69" s="54">
        <v>15.6</v>
      </c>
      <c r="F69" s="10">
        <f>SUM(E69)</f>
        <v>15.6</v>
      </c>
      <c r="G69" s="10">
        <v>42.35</v>
      </c>
      <c r="H69" s="67">
        <f t="shared" si="10"/>
        <v>0.66065999999999991</v>
      </c>
      <c r="I69" s="10">
        <f t="shared" si="11"/>
        <v>660.66</v>
      </c>
    </row>
    <row r="70" spans="1:9" ht="15.75" customHeight="1">
      <c r="A70" s="21">
        <v>20</v>
      </c>
      <c r="B70" s="11" t="s">
        <v>56</v>
      </c>
      <c r="C70" s="13" t="s">
        <v>57</v>
      </c>
      <c r="D70" s="11" t="s">
        <v>195</v>
      </c>
      <c r="E70" s="15">
        <v>4</v>
      </c>
      <c r="F70" s="41">
        <f>SUM(E70)</f>
        <v>4</v>
      </c>
      <c r="G70" s="115">
        <v>74.37</v>
      </c>
      <c r="H70" s="67">
        <f t="shared" si="10"/>
        <v>0.29748000000000002</v>
      </c>
      <c r="I70" s="10">
        <f t="shared" si="11"/>
        <v>297.48</v>
      </c>
    </row>
    <row r="71" spans="1:9" ht="15.75" customHeight="1">
      <c r="A71" s="21">
        <v>21</v>
      </c>
      <c r="B71" s="85" t="s">
        <v>127</v>
      </c>
      <c r="C71" s="108" t="s">
        <v>57</v>
      </c>
      <c r="D71" s="85" t="s">
        <v>195</v>
      </c>
      <c r="E71" s="14">
        <v>1</v>
      </c>
      <c r="F71" s="90">
        <v>12</v>
      </c>
      <c r="G71" s="26">
        <v>1829</v>
      </c>
      <c r="H71" s="67">
        <f t="shared" si="10"/>
        <v>21.948</v>
      </c>
      <c r="I71" s="10">
        <f>G71</f>
        <v>1829</v>
      </c>
    </row>
    <row r="72" spans="1:9" ht="15.75" customHeight="1">
      <c r="A72" s="21"/>
      <c r="B72" s="76" t="s">
        <v>102</v>
      </c>
      <c r="C72" s="108"/>
      <c r="D72" s="85"/>
      <c r="E72" s="14"/>
      <c r="F72" s="90"/>
      <c r="G72" s="26"/>
      <c r="H72" s="67"/>
      <c r="I72" s="10"/>
    </row>
    <row r="73" spans="1:9" ht="30" customHeight="1">
      <c r="A73" s="21">
        <v>22</v>
      </c>
      <c r="B73" s="100" t="s">
        <v>205</v>
      </c>
      <c r="C73" s="101" t="s">
        <v>206</v>
      </c>
      <c r="D73" s="112"/>
      <c r="E73" s="122">
        <v>3455.3</v>
      </c>
      <c r="F73" s="102">
        <f>E73*12</f>
        <v>41463.600000000006</v>
      </c>
      <c r="G73" s="102">
        <v>2.6</v>
      </c>
      <c r="H73" s="67">
        <f t="shared" ref="H73" si="12">F73*G73/1000</f>
        <v>107.80536000000002</v>
      </c>
      <c r="I73" s="10">
        <f>G73*F73/12</f>
        <v>8983.7800000000007</v>
      </c>
    </row>
    <row r="74" spans="1:9" ht="14.25" customHeight="1">
      <c r="A74" s="21"/>
      <c r="B74" s="43" t="s">
        <v>72</v>
      </c>
      <c r="C74" s="13"/>
      <c r="D74" s="11"/>
      <c r="E74" s="15"/>
      <c r="F74" s="10"/>
      <c r="G74" s="10"/>
      <c r="H74" s="67" t="s">
        <v>155</v>
      </c>
      <c r="I74" s="58"/>
    </row>
    <row r="75" spans="1:9" ht="21" hidden="1" customHeight="1">
      <c r="A75" s="21"/>
      <c r="B75" s="11" t="s">
        <v>128</v>
      </c>
      <c r="C75" s="13" t="s">
        <v>30</v>
      </c>
      <c r="D75" s="39" t="s">
        <v>65</v>
      </c>
      <c r="E75" s="15">
        <v>2</v>
      </c>
      <c r="F75" s="10">
        <v>2</v>
      </c>
      <c r="G75" s="10">
        <v>892.5</v>
      </c>
      <c r="H75" s="67">
        <f>G75*F75/1000</f>
        <v>1.7849999999999999</v>
      </c>
      <c r="I75" s="10">
        <v>0</v>
      </c>
    </row>
    <row r="76" spans="1:9" ht="21.75" hidden="1" customHeight="1">
      <c r="A76" s="21"/>
      <c r="B76" s="11" t="s">
        <v>114</v>
      </c>
      <c r="C76" s="13" t="s">
        <v>129</v>
      </c>
      <c r="D76" s="11"/>
      <c r="E76" s="15">
        <v>1</v>
      </c>
      <c r="F76" s="10">
        <v>1</v>
      </c>
      <c r="G76" s="10">
        <v>750</v>
      </c>
      <c r="H76" s="67">
        <f>G76*F76/1000</f>
        <v>0.75</v>
      </c>
      <c r="I76" s="10">
        <v>0</v>
      </c>
    </row>
    <row r="77" spans="1:9" ht="18" hidden="1" customHeight="1">
      <c r="A77" s="21">
        <v>24</v>
      </c>
      <c r="B77" s="11" t="s">
        <v>73</v>
      </c>
      <c r="C77" s="13" t="s">
        <v>75</v>
      </c>
      <c r="D77" s="11"/>
      <c r="E77" s="15">
        <v>2</v>
      </c>
      <c r="F77" s="10">
        <v>0.2</v>
      </c>
      <c r="G77" s="10">
        <v>570.54</v>
      </c>
      <c r="H77" s="67">
        <f t="shared" si="10"/>
        <v>0.114108</v>
      </c>
      <c r="I77" s="10">
        <f>G77*0.2</f>
        <v>114.108</v>
      </c>
    </row>
    <row r="78" spans="1:9" ht="22.5" hidden="1" customHeight="1">
      <c r="A78" s="21"/>
      <c r="B78" s="11" t="s">
        <v>74</v>
      </c>
      <c r="C78" s="13" t="s">
        <v>30</v>
      </c>
      <c r="D78" s="11"/>
      <c r="E78" s="15">
        <v>1</v>
      </c>
      <c r="F78" s="49">
        <v>1</v>
      </c>
      <c r="G78" s="10">
        <v>970.21</v>
      </c>
      <c r="H78" s="67">
        <f t="shared" si="10"/>
        <v>0.97021000000000002</v>
      </c>
      <c r="I78" s="10">
        <v>0</v>
      </c>
    </row>
    <row r="79" spans="1:9" ht="16.5" hidden="1" customHeight="1">
      <c r="A79" s="21">
        <v>25</v>
      </c>
      <c r="B79" s="11" t="s">
        <v>130</v>
      </c>
      <c r="C79" s="13" t="s">
        <v>93</v>
      </c>
      <c r="D79" s="11"/>
      <c r="E79" s="15">
        <v>1</v>
      </c>
      <c r="F79" s="41">
        <f>SUM(E79)</f>
        <v>1</v>
      </c>
      <c r="G79" s="10">
        <v>407.79</v>
      </c>
      <c r="H79" s="67">
        <f t="shared" si="10"/>
        <v>0.40779000000000004</v>
      </c>
      <c r="I79" s="10">
        <f>G79*1</f>
        <v>407.79</v>
      </c>
    </row>
    <row r="80" spans="1:9" ht="16.5" customHeight="1">
      <c r="A80" s="21">
        <v>23</v>
      </c>
      <c r="B80" s="85" t="s">
        <v>207</v>
      </c>
      <c r="C80" s="108" t="s">
        <v>93</v>
      </c>
      <c r="D80" s="85" t="s">
        <v>195</v>
      </c>
      <c r="E80" s="14">
        <v>1</v>
      </c>
      <c r="F80" s="26">
        <f>E80*12</f>
        <v>12</v>
      </c>
      <c r="G80" s="26">
        <v>420</v>
      </c>
      <c r="H80" s="67">
        <f>G80*F80/1000</f>
        <v>5.04</v>
      </c>
      <c r="I80" s="10">
        <f>G80*1</f>
        <v>420</v>
      </c>
    </row>
    <row r="81" spans="1:9" ht="18" hidden="1" customHeight="1">
      <c r="A81" s="21"/>
      <c r="B81" s="72" t="s">
        <v>76</v>
      </c>
      <c r="C81" s="13"/>
      <c r="D81" s="11"/>
      <c r="E81" s="15"/>
      <c r="F81" s="10"/>
      <c r="G81" s="10" t="s">
        <v>155</v>
      </c>
      <c r="H81" s="67" t="s">
        <v>155</v>
      </c>
      <c r="I81" s="58"/>
    </row>
    <row r="82" spans="1:9" ht="18.75" hidden="1" customHeight="1">
      <c r="A82" s="21"/>
      <c r="B82" s="34" t="s">
        <v>99</v>
      </c>
      <c r="C82" s="13" t="s">
        <v>77</v>
      </c>
      <c r="D82" s="11"/>
      <c r="E82" s="15"/>
      <c r="F82" s="10">
        <v>0.6</v>
      </c>
      <c r="G82" s="10">
        <v>3138.65</v>
      </c>
      <c r="H82" s="67">
        <f t="shared" si="10"/>
        <v>1.8831900000000001</v>
      </c>
      <c r="I82" s="10">
        <v>0</v>
      </c>
    </row>
    <row r="83" spans="1:9" ht="15.75" customHeight="1">
      <c r="A83" s="151" t="s">
        <v>150</v>
      </c>
      <c r="B83" s="152"/>
      <c r="C83" s="152"/>
      <c r="D83" s="152"/>
      <c r="E83" s="152"/>
      <c r="F83" s="152"/>
      <c r="G83" s="152"/>
      <c r="H83" s="152"/>
      <c r="I83" s="153"/>
    </row>
    <row r="84" spans="1:9" ht="15.75" customHeight="1">
      <c r="A84" s="21">
        <v>24</v>
      </c>
      <c r="B84" s="100" t="s">
        <v>97</v>
      </c>
      <c r="C84" s="108" t="s">
        <v>54</v>
      </c>
      <c r="D84" s="123"/>
      <c r="E84" s="26">
        <v>3455.3</v>
      </c>
      <c r="F84" s="26">
        <v>41463.599999999999</v>
      </c>
      <c r="G84" s="26">
        <v>3.5</v>
      </c>
      <c r="H84" s="67">
        <f>SUM(F84*G84/1000)</f>
        <v>145.12260000000001</v>
      </c>
      <c r="I84" s="10">
        <f>F84/12*G84</f>
        <v>12093.55</v>
      </c>
    </row>
    <row r="85" spans="1:9" ht="31.5" customHeight="1">
      <c r="A85" s="21">
        <v>25</v>
      </c>
      <c r="B85" s="85" t="s">
        <v>208</v>
      </c>
      <c r="C85" s="108" t="s">
        <v>54</v>
      </c>
      <c r="D85" s="37"/>
      <c r="E85" s="88">
        <f>E84</f>
        <v>3455.3</v>
      </c>
      <c r="F85" s="26">
        <f>E85*12</f>
        <v>41463.600000000006</v>
      </c>
      <c r="G85" s="26">
        <v>3.2</v>
      </c>
      <c r="H85" s="67">
        <f>F85*G85/1000</f>
        <v>132.68352000000002</v>
      </c>
      <c r="I85" s="10">
        <f>F85/12*G85</f>
        <v>11056.960000000003</v>
      </c>
    </row>
    <row r="86" spans="1:9" ht="15.75" customHeight="1">
      <c r="A86" s="21"/>
      <c r="B86" s="27" t="s">
        <v>79</v>
      </c>
      <c r="C86" s="72"/>
      <c r="D86" s="70"/>
      <c r="E86" s="71"/>
      <c r="F86" s="71"/>
      <c r="G86" s="71"/>
      <c r="H86" s="69">
        <f>SUM(H85)</f>
        <v>132.68352000000002</v>
      </c>
      <c r="I86" s="71">
        <f>I85+I84+I80+I73+I71+I70+I64+I61+I53+I52+I51+I50+I49+I48+I47+I46+I45+I33+I31+I30+I21+I20+I18+I17+I16</f>
        <v>61655.475734666674</v>
      </c>
    </row>
    <row r="87" spans="1:9" ht="15.75" customHeight="1">
      <c r="A87" s="159" t="s">
        <v>59</v>
      </c>
      <c r="B87" s="160"/>
      <c r="C87" s="160"/>
      <c r="D87" s="160"/>
      <c r="E87" s="160"/>
      <c r="F87" s="160"/>
      <c r="G87" s="160"/>
      <c r="H87" s="160"/>
      <c r="I87" s="161"/>
    </row>
    <row r="88" spans="1:9" ht="15.75" customHeight="1">
      <c r="A88" s="21">
        <v>26</v>
      </c>
      <c r="B88" s="38" t="s">
        <v>284</v>
      </c>
      <c r="C88" s="139" t="s">
        <v>240</v>
      </c>
      <c r="D88" s="37"/>
      <c r="E88" s="26"/>
      <c r="F88" s="26">
        <v>0.08</v>
      </c>
      <c r="G88" s="26">
        <v>4113.16</v>
      </c>
      <c r="H88" s="83"/>
      <c r="I88" s="10">
        <f>G88*0.08</f>
        <v>329.05279999999999</v>
      </c>
    </row>
    <row r="89" spans="1:9" ht="17.25" customHeight="1">
      <c r="A89" s="21">
        <v>27</v>
      </c>
      <c r="B89" s="38" t="s">
        <v>103</v>
      </c>
      <c r="C89" s="84" t="s">
        <v>201</v>
      </c>
      <c r="D89" s="37" t="s">
        <v>257</v>
      </c>
      <c r="E89" s="26"/>
      <c r="F89" s="26">
        <v>36</v>
      </c>
      <c r="G89" s="26">
        <v>295.36</v>
      </c>
      <c r="H89" s="83"/>
      <c r="I89" s="10">
        <v>0</v>
      </c>
    </row>
    <row r="90" spans="1:9" ht="17.25" customHeight="1">
      <c r="A90" s="21">
        <v>28</v>
      </c>
      <c r="B90" s="38" t="s">
        <v>182</v>
      </c>
      <c r="C90" s="84" t="s">
        <v>183</v>
      </c>
      <c r="D90" s="37"/>
      <c r="E90" s="26"/>
      <c r="F90" s="26">
        <v>5</v>
      </c>
      <c r="G90" s="26">
        <v>236.08</v>
      </c>
      <c r="H90" s="83"/>
      <c r="I90" s="10">
        <f>G90*2</f>
        <v>472.16</v>
      </c>
    </row>
    <row r="91" spans="1:9" ht="34.5" customHeight="1">
      <c r="A91" s="21">
        <v>29</v>
      </c>
      <c r="B91" s="127" t="s">
        <v>136</v>
      </c>
      <c r="C91" s="107" t="s">
        <v>137</v>
      </c>
      <c r="D91" s="37"/>
      <c r="E91" s="26"/>
      <c r="F91" s="26">
        <v>1</v>
      </c>
      <c r="G91" s="26">
        <v>1948.52</v>
      </c>
      <c r="H91" s="83"/>
      <c r="I91" s="10">
        <f>G91*0.2</f>
        <v>389.70400000000001</v>
      </c>
    </row>
    <row r="92" spans="1:9" ht="17.25" customHeight="1">
      <c r="A92" s="21">
        <v>30</v>
      </c>
      <c r="B92" s="38" t="s">
        <v>180</v>
      </c>
      <c r="C92" s="84" t="s">
        <v>181</v>
      </c>
      <c r="D92" s="37"/>
      <c r="E92" s="26"/>
      <c r="F92" s="26">
        <v>5</v>
      </c>
      <c r="G92" s="26">
        <v>960.81</v>
      </c>
      <c r="H92" s="83"/>
      <c r="I92" s="10">
        <f>G92*1</f>
        <v>960.81</v>
      </c>
    </row>
    <row r="93" spans="1:9" ht="20.25" customHeight="1">
      <c r="A93" s="21">
        <v>31</v>
      </c>
      <c r="B93" s="38" t="s">
        <v>285</v>
      </c>
      <c r="C93" s="84" t="s">
        <v>93</v>
      </c>
      <c r="D93" s="37"/>
      <c r="E93" s="26"/>
      <c r="F93" s="26">
        <v>1</v>
      </c>
      <c r="G93" s="26">
        <v>224.48</v>
      </c>
      <c r="H93" s="83"/>
      <c r="I93" s="10">
        <f>G93*1</f>
        <v>224.48</v>
      </c>
    </row>
    <row r="94" spans="1:9" ht="21" customHeight="1">
      <c r="A94" s="21">
        <v>32</v>
      </c>
      <c r="B94" s="38" t="s">
        <v>286</v>
      </c>
      <c r="C94" s="84" t="s">
        <v>93</v>
      </c>
      <c r="D94" s="37"/>
      <c r="E94" s="26"/>
      <c r="F94" s="26">
        <v>2</v>
      </c>
      <c r="G94" s="26">
        <v>224.48</v>
      </c>
      <c r="H94" s="83"/>
      <c r="I94" s="10">
        <f>G94*2</f>
        <v>448.96</v>
      </c>
    </row>
    <row r="95" spans="1:9">
      <c r="A95" s="21"/>
      <c r="B95" s="32" t="s">
        <v>51</v>
      </c>
      <c r="C95" s="28"/>
      <c r="D95" s="35"/>
      <c r="E95" s="28">
        <v>1</v>
      </c>
      <c r="F95" s="28"/>
      <c r="G95" s="28"/>
      <c r="H95" s="28"/>
      <c r="I95" s="24">
        <f>SUM(I88:I94)</f>
        <v>2825.1668</v>
      </c>
    </row>
    <row r="96" spans="1:9">
      <c r="A96" s="21"/>
      <c r="B96" s="34" t="s">
        <v>78</v>
      </c>
      <c r="C96" s="12"/>
      <c r="D96" s="12"/>
      <c r="E96" s="29"/>
      <c r="F96" s="29"/>
      <c r="G96" s="30"/>
      <c r="H96" s="30"/>
      <c r="I96" s="14">
        <v>0</v>
      </c>
    </row>
    <row r="97" spans="1:9" ht="15.75" customHeight="1">
      <c r="A97" s="36"/>
      <c r="B97" s="33" t="s">
        <v>172</v>
      </c>
      <c r="C97" s="25"/>
      <c r="D97" s="25"/>
      <c r="E97" s="25"/>
      <c r="F97" s="25"/>
      <c r="G97" s="25"/>
      <c r="H97" s="25"/>
      <c r="I97" s="31">
        <f>I86+I95</f>
        <v>64480.642534666673</v>
      </c>
    </row>
    <row r="98" spans="1:9" ht="15.75">
      <c r="A98" s="154" t="s">
        <v>287</v>
      </c>
      <c r="B98" s="154"/>
      <c r="C98" s="154"/>
      <c r="D98" s="154"/>
      <c r="E98" s="154"/>
      <c r="F98" s="154"/>
      <c r="G98" s="154"/>
      <c r="H98" s="154"/>
      <c r="I98" s="154"/>
    </row>
    <row r="99" spans="1:9" ht="15.75">
      <c r="A99" s="48"/>
      <c r="B99" s="155" t="s">
        <v>288</v>
      </c>
      <c r="C99" s="155"/>
      <c r="D99" s="155"/>
      <c r="E99" s="155"/>
      <c r="F99" s="155"/>
      <c r="G99" s="155"/>
      <c r="H99" s="53"/>
      <c r="I99" s="2"/>
    </row>
    <row r="100" spans="1:9">
      <c r="A100" s="42"/>
      <c r="B100" s="156" t="s">
        <v>6</v>
      </c>
      <c r="C100" s="156"/>
      <c r="D100" s="156"/>
      <c r="E100" s="156"/>
      <c r="F100" s="156"/>
      <c r="G100" s="156"/>
      <c r="H100" s="16"/>
      <c r="I100" s="4"/>
    </row>
    <row r="101" spans="1:9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5.75" customHeight="1">
      <c r="A102" s="157" t="s">
        <v>7</v>
      </c>
      <c r="B102" s="157"/>
      <c r="C102" s="157"/>
      <c r="D102" s="157"/>
      <c r="E102" s="157"/>
      <c r="F102" s="157"/>
      <c r="G102" s="157"/>
      <c r="H102" s="157"/>
      <c r="I102" s="157"/>
    </row>
    <row r="103" spans="1:9" ht="15.75" customHeight="1">
      <c r="A103" s="157" t="s">
        <v>8</v>
      </c>
      <c r="B103" s="157"/>
      <c r="C103" s="157"/>
      <c r="D103" s="157"/>
      <c r="E103" s="157"/>
      <c r="F103" s="157"/>
      <c r="G103" s="157"/>
      <c r="H103" s="157"/>
      <c r="I103" s="157"/>
    </row>
    <row r="104" spans="1:9" ht="15.75" customHeight="1">
      <c r="A104" s="158" t="s">
        <v>60</v>
      </c>
      <c r="B104" s="158"/>
      <c r="C104" s="158"/>
      <c r="D104" s="158"/>
      <c r="E104" s="158"/>
      <c r="F104" s="158"/>
      <c r="G104" s="158"/>
      <c r="H104" s="158"/>
      <c r="I104" s="158"/>
    </row>
    <row r="105" spans="1:9" ht="15.75" customHeight="1">
      <c r="A105" s="8"/>
    </row>
    <row r="106" spans="1:9" ht="15.75" customHeight="1">
      <c r="A106" s="146" t="s">
        <v>9</v>
      </c>
      <c r="B106" s="146"/>
      <c r="C106" s="146"/>
      <c r="D106" s="146"/>
      <c r="E106" s="146"/>
      <c r="F106" s="146"/>
      <c r="G106" s="146"/>
      <c r="H106" s="146"/>
      <c r="I106" s="146"/>
    </row>
    <row r="107" spans="1:9" ht="15.75" customHeight="1">
      <c r="A107" s="3"/>
    </row>
    <row r="108" spans="1:9" ht="15.75" customHeight="1">
      <c r="B108" s="44" t="s">
        <v>10</v>
      </c>
      <c r="C108" s="163" t="s">
        <v>217</v>
      </c>
      <c r="D108" s="163"/>
      <c r="E108" s="163"/>
      <c r="F108" s="51"/>
      <c r="I108" s="46"/>
    </row>
    <row r="109" spans="1:9">
      <c r="A109" s="42"/>
      <c r="C109" s="156" t="s">
        <v>11</v>
      </c>
      <c r="D109" s="156"/>
      <c r="E109" s="156"/>
      <c r="F109" s="16"/>
      <c r="I109" s="47" t="s">
        <v>12</v>
      </c>
    </row>
    <row r="110" spans="1:9" ht="15.75">
      <c r="A110" s="17"/>
      <c r="C110" s="9"/>
      <c r="D110" s="9"/>
      <c r="G110" s="9"/>
      <c r="H110" s="9"/>
    </row>
    <row r="111" spans="1:9" ht="15.75">
      <c r="B111" s="44" t="s">
        <v>13</v>
      </c>
      <c r="C111" s="164"/>
      <c r="D111" s="164"/>
      <c r="E111" s="164"/>
      <c r="F111" s="52"/>
      <c r="I111" s="46"/>
    </row>
    <row r="112" spans="1:9">
      <c r="A112" s="42"/>
      <c r="C112" s="165" t="s">
        <v>11</v>
      </c>
      <c r="D112" s="165"/>
      <c r="E112" s="165"/>
      <c r="F112" s="42"/>
      <c r="I112" s="47" t="s">
        <v>12</v>
      </c>
    </row>
    <row r="113" spans="1:9" ht="15.75">
      <c r="A113" s="3" t="s">
        <v>14</v>
      </c>
    </row>
    <row r="114" spans="1:9">
      <c r="A114" s="166" t="s">
        <v>15</v>
      </c>
      <c r="B114" s="166"/>
      <c r="C114" s="166"/>
      <c r="D114" s="166"/>
      <c r="E114" s="166"/>
      <c r="F114" s="166"/>
      <c r="G114" s="166"/>
      <c r="H114" s="166"/>
      <c r="I114" s="166"/>
    </row>
    <row r="115" spans="1:9" ht="45" customHeight="1">
      <c r="A115" s="162" t="s">
        <v>16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30" customHeight="1">
      <c r="A116" s="162" t="s">
        <v>17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30" customHeight="1">
      <c r="A117" s="162" t="s">
        <v>21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15" customHeight="1">
      <c r="A118" s="162" t="s">
        <v>20</v>
      </c>
      <c r="B118" s="162"/>
      <c r="C118" s="162"/>
      <c r="D118" s="162"/>
      <c r="E118" s="162"/>
      <c r="F118" s="162"/>
      <c r="G118" s="162"/>
      <c r="H118" s="162"/>
      <c r="I118" s="162"/>
    </row>
  </sheetData>
  <mergeCells count="28">
    <mergeCell ref="A116:I116"/>
    <mergeCell ref="A117:I117"/>
    <mergeCell ref="A118:I118"/>
    <mergeCell ref="C108:E108"/>
    <mergeCell ref="C109:E109"/>
    <mergeCell ref="C111:E111"/>
    <mergeCell ref="C112:E112"/>
    <mergeCell ref="A114:I114"/>
    <mergeCell ref="A115:I115"/>
    <mergeCell ref="A106:I106"/>
    <mergeCell ref="A15:I15"/>
    <mergeCell ref="A28:I28"/>
    <mergeCell ref="A44:I44"/>
    <mergeCell ref="A56:I56"/>
    <mergeCell ref="A83:I83"/>
    <mergeCell ref="A98:I98"/>
    <mergeCell ref="B99:G99"/>
    <mergeCell ref="B100:G100"/>
    <mergeCell ref="A102:I102"/>
    <mergeCell ref="A103:I103"/>
    <mergeCell ref="A104:I104"/>
    <mergeCell ref="A87:I87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  <rowBreaks count="1" manualBreakCount="1">
    <brk id="10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2022-02-07T05:59:46Z</cp:lastPrinted>
  <dcterms:created xsi:type="dcterms:W3CDTF">2016-03-25T08:33:47Z</dcterms:created>
  <dcterms:modified xsi:type="dcterms:W3CDTF">2022-02-07T06:00:21Z</dcterms:modified>
</cp:coreProperties>
</file>