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40" windowWidth="15480" windowHeight="11280" activeTab="11"/>
  </bookViews>
  <sheets>
    <sheet name="01.18" sheetId="8" r:id="rId1"/>
    <sheet name="02.18" sheetId="9" r:id="rId2"/>
    <sheet name="03.18" sheetId="10" r:id="rId3"/>
    <sheet name="04.18" sheetId="11" r:id="rId4"/>
    <sheet name="05.18" sheetId="12" r:id="rId5"/>
    <sheet name="06.18" sheetId="13" r:id="rId6"/>
    <sheet name="07.18" sheetId="14" r:id="rId7"/>
    <sheet name="08.18" sheetId="15" r:id="rId8"/>
    <sheet name="09.18" sheetId="16" r:id="rId9"/>
    <sheet name="10.18" sheetId="17" r:id="rId10"/>
    <sheet name="11.18" sheetId="18" r:id="rId11"/>
    <sheet name="12.18" sheetId="19" r:id="rId12"/>
  </sheets>
  <definedNames>
    <definedName name="_xlnm._FilterDatabase" localSheetId="0" hidden="1">'01.18'!$I$12:$I$65</definedName>
    <definedName name="_xlnm._FilterDatabase" localSheetId="1" hidden="1">'02.18'!$I$12:$I$65</definedName>
    <definedName name="_xlnm._FilterDatabase" localSheetId="2" hidden="1">'03.18'!$I$12:$I$65</definedName>
    <definedName name="_xlnm._FilterDatabase" localSheetId="3" hidden="1">'04.18'!$I$12:$I$65</definedName>
    <definedName name="_xlnm._FilterDatabase" localSheetId="4" hidden="1">'05.18'!$I$12:$I$65</definedName>
    <definedName name="_xlnm._FilterDatabase" localSheetId="5" hidden="1">'06.18'!$I$12:$I$65</definedName>
    <definedName name="_xlnm._FilterDatabase" localSheetId="6" hidden="1">'07.18'!$I$12:$I$65</definedName>
    <definedName name="_xlnm._FilterDatabase" localSheetId="7" hidden="1">'08.18'!$I$12:$I$65</definedName>
    <definedName name="_xlnm._FilterDatabase" localSheetId="8" hidden="1">'09.18'!$I$12:$I$65</definedName>
    <definedName name="_xlnm._FilterDatabase" localSheetId="9" hidden="1">'10.18'!$I$12:$I$65</definedName>
    <definedName name="_xlnm._FilterDatabase" localSheetId="10" hidden="1">'11.18'!$I$12:$I$65</definedName>
    <definedName name="_xlnm._FilterDatabase" localSheetId="11" hidden="1">'12.18'!$I$12:$I$65</definedName>
    <definedName name="_xlnm.Print_Area" localSheetId="0">'01.18'!$A$1:$I$114</definedName>
    <definedName name="_xlnm.Print_Area" localSheetId="1">'02.18'!$A$1:$I$113</definedName>
    <definedName name="_xlnm.Print_Area" localSheetId="2">'03.18'!$A$1:$I$116</definedName>
    <definedName name="_xlnm.Print_Area" localSheetId="3">'04.18'!$A$1:$I$120</definedName>
    <definedName name="_xlnm.Print_Area" localSheetId="4">'05.18'!$A$1:$I$113</definedName>
    <definedName name="_xlnm.Print_Area" localSheetId="5">'06.18'!$A$1:$I$115</definedName>
    <definedName name="_xlnm.Print_Area" localSheetId="6">'07.18'!$A$1:$I$113</definedName>
    <definedName name="_xlnm.Print_Area" localSheetId="7">'08.18'!$A$1:$I$115</definedName>
    <definedName name="_xlnm.Print_Area" localSheetId="8">'09.18'!$A$1:$I$116</definedName>
    <definedName name="_xlnm.Print_Area" localSheetId="9">'10.18'!$A$1:$I$116</definedName>
    <definedName name="_xlnm.Print_Area" localSheetId="10">'11.18'!$A$1:$I$114</definedName>
    <definedName name="_xlnm.Print_Area" localSheetId="11">'12.18'!$A$1:$I$118</definedName>
  </definedNames>
  <calcPr calcId="124519"/>
</workbook>
</file>

<file path=xl/calcChain.xml><?xml version="1.0" encoding="utf-8"?>
<calcChain xmlns="http://schemas.openxmlformats.org/spreadsheetml/2006/main">
  <c r="I95" i="19"/>
  <c r="I87"/>
  <c r="I94"/>
  <c r="I93"/>
  <c r="I92"/>
  <c r="I91"/>
  <c r="I90"/>
  <c r="I89"/>
  <c r="H89"/>
  <c r="I44"/>
  <c r="I91" i="18" l="1"/>
  <c r="I90"/>
  <c r="I89" l="1"/>
  <c r="H89"/>
  <c r="I44"/>
  <c r="I43"/>
  <c r="I87" i="17" l="1"/>
  <c r="I93"/>
  <c r="I92"/>
  <c r="I91"/>
  <c r="I90"/>
  <c r="I89"/>
  <c r="H89"/>
  <c r="I80"/>
  <c r="I92" i="15"/>
  <c r="I91"/>
  <c r="I93" i="16"/>
  <c r="I92"/>
  <c r="I91"/>
  <c r="I90"/>
  <c r="I89"/>
  <c r="H89"/>
  <c r="I87" i="15"/>
  <c r="I90"/>
  <c r="I89"/>
  <c r="H89"/>
  <c r="I87" i="10"/>
  <c r="I87" i="9"/>
  <c r="I87" i="8"/>
  <c r="I89" i="14" l="1"/>
  <c r="H89"/>
  <c r="I94" i="13"/>
  <c r="I92"/>
  <c r="I91"/>
  <c r="I90"/>
  <c r="I89"/>
  <c r="H89"/>
  <c r="I86" i="12"/>
  <c r="I88" i="11"/>
  <c r="I86" i="10"/>
  <c r="I87" i="12" l="1"/>
  <c r="I89"/>
  <c r="H89"/>
  <c r="I19"/>
  <c r="I97" i="11"/>
  <c r="I60"/>
  <c r="I89"/>
  <c r="I54"/>
  <c r="I59" l="1"/>
  <c r="I91" i="10"/>
  <c r="I90"/>
  <c r="I95" i="11"/>
  <c r="I96"/>
  <c r="G96"/>
  <c r="I94"/>
  <c r="I93"/>
  <c r="I92"/>
  <c r="I91"/>
  <c r="I84"/>
  <c r="I44"/>
  <c r="I92" i="10"/>
  <c r="H92"/>
  <c r="I89"/>
  <c r="H89"/>
  <c r="I93" l="1"/>
  <c r="I44"/>
  <c r="I43"/>
  <c r="I44" i="9"/>
  <c r="I43"/>
  <c r="I44" i="8"/>
  <c r="I43"/>
  <c r="I89" i="9" l="1"/>
  <c r="H89"/>
  <c r="I90" i="8"/>
  <c r="H90"/>
  <c r="I89"/>
  <c r="H89"/>
  <c r="I60" i="19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44"/>
  <c r="E43"/>
  <c r="F43" s="1"/>
  <c r="I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85" i="18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H26"/>
  <c r="F26"/>
  <c r="I26" s="1"/>
  <c r="I25"/>
  <c r="H25"/>
  <c r="I24"/>
  <c r="H24"/>
  <c r="F23"/>
  <c r="H23" s="1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18" i="19" l="1"/>
  <c r="H18"/>
  <c r="I42"/>
  <c r="H42"/>
  <c r="I52"/>
  <c r="H52"/>
  <c r="I70"/>
  <c r="H70"/>
  <c r="H43"/>
  <c r="I67"/>
  <c r="H67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1"/>
  <c r="H72"/>
  <c r="I84"/>
  <c r="H85"/>
  <c r="H22" i="18"/>
  <c r="H28"/>
  <c r="H85"/>
  <c r="H72"/>
  <c r="H32"/>
  <c r="H34"/>
  <c r="H43"/>
  <c r="I67"/>
  <c r="H67"/>
  <c r="I18"/>
  <c r="H18"/>
  <c r="I42"/>
  <c r="H42"/>
  <c r="I52"/>
  <c r="H52"/>
  <c r="I70"/>
  <c r="H70"/>
  <c r="I40"/>
  <c r="H41"/>
  <c r="I46"/>
  <c r="H47"/>
  <c r="I48"/>
  <c r="H49"/>
  <c r="I50"/>
  <c r="H51"/>
  <c r="I53"/>
  <c r="H59"/>
  <c r="H66"/>
  <c r="I68"/>
  <c r="H69"/>
  <c r="I71"/>
  <c r="I84"/>
  <c r="I16"/>
  <c r="I19"/>
  <c r="I21"/>
  <c r="I23"/>
  <c r="I27"/>
  <c r="I31"/>
  <c r="I33"/>
  <c r="I97" i="19" l="1"/>
  <c r="I87" i="18"/>
  <c r="I93"/>
  <c r="H85" i="17" l="1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85" i="16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H69" s="1"/>
  <c r="F68"/>
  <c r="I68" s="1"/>
  <c r="E67"/>
  <c r="F67" s="1"/>
  <c r="H67" s="1"/>
  <c r="F66"/>
  <c r="H66" s="1"/>
  <c r="H65"/>
  <c r="F64"/>
  <c r="H64" s="1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E52"/>
  <c r="F52" s="1"/>
  <c r="F51"/>
  <c r="H51" s="1"/>
  <c r="F50"/>
  <c r="I50" s="1"/>
  <c r="F49"/>
  <c r="H49" s="1"/>
  <c r="F48"/>
  <c r="I48" s="1"/>
  <c r="F47"/>
  <c r="H47" s="1"/>
  <c r="F46"/>
  <c r="I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85" i="15"/>
  <c r="F85"/>
  <c r="I85" s="1"/>
  <c r="F84"/>
  <c r="I84" s="1"/>
  <c r="I82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7" i="14"/>
  <c r="I90"/>
  <c r="H85"/>
  <c r="F85"/>
  <c r="I85" s="1"/>
  <c r="F84"/>
  <c r="I84" s="1"/>
  <c r="I82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H62"/>
  <c r="F62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H40"/>
  <c r="F40"/>
  <c r="I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43" i="17" l="1"/>
  <c r="H43"/>
  <c r="I67"/>
  <c r="H67"/>
  <c r="I18"/>
  <c r="H18"/>
  <c r="I42"/>
  <c r="H42"/>
  <c r="I52"/>
  <c r="H52"/>
  <c r="I70"/>
  <c r="H70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1"/>
  <c r="H72"/>
  <c r="I84"/>
  <c r="H17" i="16"/>
  <c r="I71"/>
  <c r="H43"/>
  <c r="I43"/>
  <c r="H18"/>
  <c r="I18"/>
  <c r="H42"/>
  <c r="I42"/>
  <c r="H52"/>
  <c r="I52"/>
  <c r="H70"/>
  <c r="I70"/>
  <c r="H16"/>
  <c r="H19"/>
  <c r="I20"/>
  <c r="H21"/>
  <c r="I22"/>
  <c r="H23"/>
  <c r="I26"/>
  <c r="H27"/>
  <c r="I28"/>
  <c r="H31"/>
  <c r="I32"/>
  <c r="H33"/>
  <c r="I34"/>
  <c r="H40"/>
  <c r="I41"/>
  <c r="H46"/>
  <c r="I47"/>
  <c r="H48"/>
  <c r="I49"/>
  <c r="H50"/>
  <c r="I51"/>
  <c r="H53"/>
  <c r="I59"/>
  <c r="I66"/>
  <c r="I67"/>
  <c r="H68"/>
  <c r="I69"/>
  <c r="H72"/>
  <c r="I84"/>
  <c r="H85"/>
  <c r="I18" i="15"/>
  <c r="H18"/>
  <c r="I42"/>
  <c r="H42"/>
  <c r="I52"/>
  <c r="H52"/>
  <c r="I70"/>
  <c r="H70"/>
  <c r="I43"/>
  <c r="H43"/>
  <c r="I67"/>
  <c r="H67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2"/>
  <c r="H84"/>
  <c r="I18" i="14"/>
  <c r="H18"/>
  <c r="I43"/>
  <c r="H43"/>
  <c r="I70"/>
  <c r="H70"/>
  <c r="I42"/>
  <c r="H42"/>
  <c r="I52"/>
  <c r="H52"/>
  <c r="I67"/>
  <c r="H67"/>
  <c r="I16"/>
  <c r="H17"/>
  <c r="I19"/>
  <c r="H20"/>
  <c r="I21"/>
  <c r="H22"/>
  <c r="I23"/>
  <c r="H26"/>
  <c r="I27"/>
  <c r="H28"/>
  <c r="I31"/>
  <c r="H32"/>
  <c r="I33"/>
  <c r="H34"/>
  <c r="H41"/>
  <c r="I46"/>
  <c r="H47"/>
  <c r="I48"/>
  <c r="H49"/>
  <c r="I50"/>
  <c r="H51"/>
  <c r="I53"/>
  <c r="H59"/>
  <c r="H66"/>
  <c r="I68"/>
  <c r="H69"/>
  <c r="I72"/>
  <c r="H84"/>
  <c r="I95" i="17" l="1"/>
  <c r="I87" i="16"/>
  <c r="I95" s="1"/>
  <c r="I94" i="15"/>
  <c r="I92" i="14"/>
  <c r="I87" i="13" l="1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H69" s="1"/>
  <c r="F68"/>
  <c r="I68" s="1"/>
  <c r="E67"/>
  <c r="F67" s="1"/>
  <c r="H67" s="1"/>
  <c r="F66"/>
  <c r="H66" s="1"/>
  <c r="H65"/>
  <c r="F64"/>
  <c r="H64" s="1"/>
  <c r="H62"/>
  <c r="F62"/>
  <c r="I60"/>
  <c r="H60"/>
  <c r="F59"/>
  <c r="H59" s="1"/>
  <c r="I56"/>
  <c r="F56"/>
  <c r="H56" s="1"/>
  <c r="I55"/>
  <c r="F55"/>
  <c r="H55" s="1"/>
  <c r="I54"/>
  <c r="H54"/>
  <c r="F53"/>
  <c r="I53" s="1"/>
  <c r="E52"/>
  <c r="F52" s="1"/>
  <c r="F51"/>
  <c r="H51" s="1"/>
  <c r="F50"/>
  <c r="I50" s="1"/>
  <c r="F49"/>
  <c r="H49" s="1"/>
  <c r="F48"/>
  <c r="I48" s="1"/>
  <c r="F47"/>
  <c r="H47" s="1"/>
  <c r="F46"/>
  <c r="I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54" i="12"/>
  <c r="I90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F62"/>
  <c r="H62" s="1"/>
  <c r="I60"/>
  <c r="H60"/>
  <c r="F59"/>
  <c r="I59" s="1"/>
  <c r="I56"/>
  <c r="F56"/>
  <c r="H56" s="1"/>
  <c r="I55"/>
  <c r="F55"/>
  <c r="H55" s="1"/>
  <c r="H54"/>
  <c r="F53"/>
  <c r="H53" s="1"/>
  <c r="E52"/>
  <c r="F52" s="1"/>
  <c r="H52" s="1"/>
  <c r="F51"/>
  <c r="H51" s="1"/>
  <c r="F50"/>
  <c r="H50" s="1"/>
  <c r="F49"/>
  <c r="H49" s="1"/>
  <c r="F48"/>
  <c r="H48" s="1"/>
  <c r="F47"/>
  <c r="H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I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H94" i="11"/>
  <c r="H93"/>
  <c r="H92"/>
  <c r="H91"/>
  <c r="F87"/>
  <c r="I87" s="1"/>
  <c r="F86"/>
  <c r="H86" s="1"/>
  <c r="I82"/>
  <c r="H82"/>
  <c r="H80"/>
  <c r="I78"/>
  <c r="F78"/>
  <c r="H78" s="1"/>
  <c r="H77"/>
  <c r="F76"/>
  <c r="H76" s="1"/>
  <c r="H75"/>
  <c r="H74"/>
  <c r="F74"/>
  <c r="F72"/>
  <c r="I72" s="1"/>
  <c r="F71"/>
  <c r="H71" s="1"/>
  <c r="F70"/>
  <c r="H70" s="1"/>
  <c r="E70"/>
  <c r="H69"/>
  <c r="F69"/>
  <c r="H68"/>
  <c r="F68"/>
  <c r="E67"/>
  <c r="F67" s="1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E52"/>
  <c r="F52" s="1"/>
  <c r="F51"/>
  <c r="I51" s="1"/>
  <c r="F50"/>
  <c r="H50" s="1"/>
  <c r="F49"/>
  <c r="H49" s="1"/>
  <c r="F48"/>
  <c r="H48" s="1"/>
  <c r="F47"/>
  <c r="H47" s="1"/>
  <c r="F46"/>
  <c r="H46" s="1"/>
  <c r="H44"/>
  <c r="E43"/>
  <c r="F43" s="1"/>
  <c r="I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5" i="10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E52"/>
  <c r="F52" s="1"/>
  <c r="H52" s="1"/>
  <c r="F51"/>
  <c r="I51" s="1"/>
  <c r="F50"/>
  <c r="H50" s="1"/>
  <c r="F49"/>
  <c r="H49" s="1"/>
  <c r="F48"/>
  <c r="H48" s="1"/>
  <c r="F47"/>
  <c r="H47" s="1"/>
  <c r="F46"/>
  <c r="H46" s="1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0" i="9"/>
  <c r="I82"/>
  <c r="F85"/>
  <c r="I85" s="1"/>
  <c r="F84"/>
  <c r="H84" s="1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H70" s="1"/>
  <c r="H69"/>
  <c r="F69"/>
  <c r="H68"/>
  <c r="F68"/>
  <c r="E67"/>
  <c r="F67" s="1"/>
  <c r="H67" s="1"/>
  <c r="F66"/>
  <c r="H66" s="1"/>
  <c r="H65"/>
  <c r="F64"/>
  <c r="H64" s="1"/>
  <c r="H62"/>
  <c r="F62"/>
  <c r="H60"/>
  <c r="F59"/>
  <c r="I59" s="1"/>
  <c r="I56"/>
  <c r="F56"/>
  <c r="H56" s="1"/>
  <c r="I55"/>
  <c r="F55"/>
  <c r="H55" s="1"/>
  <c r="H54"/>
  <c r="F53"/>
  <c r="H53" s="1"/>
  <c r="E52"/>
  <c r="F52" s="1"/>
  <c r="H52" s="1"/>
  <c r="F51"/>
  <c r="H51" s="1"/>
  <c r="F50"/>
  <c r="H50" s="1"/>
  <c r="F49"/>
  <c r="H49" s="1"/>
  <c r="F48"/>
  <c r="H48" s="1"/>
  <c r="F47"/>
  <c r="H47" s="1"/>
  <c r="F46"/>
  <c r="H46" s="1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I21" s="1"/>
  <c r="F20"/>
  <c r="I20" s="1"/>
  <c r="H19"/>
  <c r="F19"/>
  <c r="I19" s="1"/>
  <c r="E18"/>
  <c r="F18" s="1"/>
  <c r="F17"/>
  <c r="I17" s="1"/>
  <c r="F16"/>
  <c r="H16" s="1"/>
  <c r="I91" i="8"/>
  <c r="F85"/>
  <c r="H85" s="1"/>
  <c r="F84"/>
  <c r="H84" s="1"/>
  <c r="H82"/>
  <c r="H80"/>
  <c r="I78"/>
  <c r="F78"/>
  <c r="H78" s="1"/>
  <c r="H77"/>
  <c r="F76"/>
  <c r="H76" s="1"/>
  <c r="H75"/>
  <c r="F74"/>
  <c r="H74" s="1"/>
  <c r="F72"/>
  <c r="H72" s="1"/>
  <c r="I72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H52" i="11" l="1"/>
  <c r="I52"/>
  <c r="H53"/>
  <c r="I53"/>
  <c r="H21" i="9"/>
  <c r="H43" i="13"/>
  <c r="I43"/>
  <c r="H18"/>
  <c r="I18"/>
  <c r="H42"/>
  <c r="I42"/>
  <c r="H52"/>
  <c r="I52"/>
  <c r="H70"/>
  <c r="I70"/>
  <c r="H16"/>
  <c r="I17"/>
  <c r="H19"/>
  <c r="I20"/>
  <c r="H21"/>
  <c r="I22"/>
  <c r="H23"/>
  <c r="I26"/>
  <c r="H27"/>
  <c r="I28"/>
  <c r="H31"/>
  <c r="I32"/>
  <c r="H33"/>
  <c r="I34"/>
  <c r="H40"/>
  <c r="I41"/>
  <c r="H46"/>
  <c r="I47"/>
  <c r="H48"/>
  <c r="I49"/>
  <c r="H50"/>
  <c r="I51"/>
  <c r="H53"/>
  <c r="I59"/>
  <c r="I66"/>
  <c r="I67"/>
  <c r="H68"/>
  <c r="I69"/>
  <c r="H72"/>
  <c r="I84"/>
  <c r="H85"/>
  <c r="I50" i="12"/>
  <c r="I48"/>
  <c r="I46"/>
  <c r="I66"/>
  <c r="I69"/>
  <c r="I67"/>
  <c r="I49"/>
  <c r="I47"/>
  <c r="I52"/>
  <c r="I53"/>
  <c r="I70"/>
  <c r="I68"/>
  <c r="H27"/>
  <c r="I18"/>
  <c r="H18"/>
  <c r="I43"/>
  <c r="H43"/>
  <c r="I42"/>
  <c r="H42"/>
  <c r="I16"/>
  <c r="H20"/>
  <c r="I21"/>
  <c r="H22"/>
  <c r="I23"/>
  <c r="H26"/>
  <c r="H28"/>
  <c r="I31"/>
  <c r="H32"/>
  <c r="I33"/>
  <c r="H34"/>
  <c r="I40"/>
  <c r="H41"/>
  <c r="I51"/>
  <c r="H59"/>
  <c r="H72"/>
  <c r="I84"/>
  <c r="H85"/>
  <c r="H18" i="11"/>
  <c r="I18"/>
  <c r="H42"/>
  <c r="I42"/>
  <c r="H43"/>
  <c r="H16"/>
  <c r="I17"/>
  <c r="H19"/>
  <c r="I20"/>
  <c r="H21"/>
  <c r="I22"/>
  <c r="H23"/>
  <c r="I26"/>
  <c r="H27"/>
  <c r="I28"/>
  <c r="H31"/>
  <c r="I32"/>
  <c r="H33"/>
  <c r="I34"/>
  <c r="H40"/>
  <c r="I41"/>
  <c r="H51"/>
  <c r="H72"/>
  <c r="I86"/>
  <c r="H87"/>
  <c r="H43" i="10"/>
  <c r="H18"/>
  <c r="I18"/>
  <c r="H42"/>
  <c r="I42"/>
  <c r="H16"/>
  <c r="I17"/>
  <c r="H19"/>
  <c r="I20"/>
  <c r="H21"/>
  <c r="I22"/>
  <c r="H23"/>
  <c r="I26"/>
  <c r="H27"/>
  <c r="I28"/>
  <c r="H31"/>
  <c r="I32"/>
  <c r="H33"/>
  <c r="I34"/>
  <c r="H40"/>
  <c r="I41"/>
  <c r="H51"/>
  <c r="I59"/>
  <c r="H72"/>
  <c r="I84"/>
  <c r="H85"/>
  <c r="H43" i="9"/>
  <c r="I18"/>
  <c r="H18"/>
  <c r="I42"/>
  <c r="H42"/>
  <c r="I16"/>
  <c r="H17"/>
  <c r="H20"/>
  <c r="H22"/>
  <c r="I23"/>
  <c r="H26"/>
  <c r="I27"/>
  <c r="H28"/>
  <c r="I31"/>
  <c r="H32"/>
  <c r="I33"/>
  <c r="H34"/>
  <c r="I40"/>
  <c r="H41"/>
  <c r="I51"/>
  <c r="H59"/>
  <c r="I72"/>
  <c r="I84"/>
  <c r="H85"/>
  <c r="I85" i="8"/>
  <c r="I84"/>
  <c r="I99" i="11" l="1"/>
  <c r="I92" i="9"/>
  <c r="I92" i="12"/>
  <c r="I95" i="10"/>
  <c r="F62" i="8" l="1"/>
  <c r="H60"/>
  <c r="F59"/>
  <c r="H59" s="1"/>
  <c r="I56"/>
  <c r="F56"/>
  <c r="I55"/>
  <c r="F55"/>
  <c r="H54"/>
  <c r="H53" s="1"/>
  <c r="F53"/>
  <c r="F52"/>
  <c r="E52"/>
  <c r="H55" l="1"/>
  <c r="H56"/>
  <c r="H52"/>
  <c r="I59"/>
  <c r="H62"/>
  <c r="F51"/>
  <c r="H50" s="1"/>
  <c r="F50"/>
  <c r="F49"/>
  <c r="H48" s="1"/>
  <c r="F48"/>
  <c r="F47"/>
  <c r="H46" s="1"/>
  <c r="F46"/>
  <c r="H44"/>
  <c r="E43"/>
  <c r="E42"/>
  <c r="H41"/>
  <c r="F41"/>
  <c r="H40"/>
  <c r="F40"/>
  <c r="I39"/>
  <c r="H39"/>
  <c r="H37"/>
  <c r="H36"/>
  <c r="H35"/>
  <c r="F35"/>
  <c r="I35" s="1"/>
  <c r="E35"/>
  <c r="F34"/>
  <c r="I34" s="1"/>
  <c r="H34" s="1"/>
  <c r="I33"/>
  <c r="H33" s="1"/>
  <c r="F33"/>
  <c r="I32"/>
  <c r="H32" s="1"/>
  <c r="F32"/>
  <c r="I31"/>
  <c r="H31" s="1"/>
  <c r="F31"/>
  <c r="I28"/>
  <c r="H28" s="1"/>
  <c r="F28"/>
  <c r="I27"/>
  <c r="H27" s="1"/>
  <c r="F27"/>
  <c r="F26"/>
  <c r="I26" s="1"/>
  <c r="I25"/>
  <c r="H25"/>
  <c r="I24"/>
  <c r="H24"/>
  <c r="F23"/>
  <c r="I23" s="1"/>
  <c r="F22"/>
  <c r="H22" s="1"/>
  <c r="H21"/>
  <c r="F21"/>
  <c r="I21" s="1"/>
  <c r="F20"/>
  <c r="H20" s="1"/>
  <c r="H23" l="1"/>
  <c r="I20"/>
  <c r="I22"/>
  <c r="H26"/>
  <c r="I40"/>
  <c r="I41"/>
  <c r="H47"/>
  <c r="H49"/>
  <c r="I51"/>
  <c r="H51" s="1"/>
  <c r="F19"/>
  <c r="I19" s="1"/>
  <c r="H19" l="1"/>
  <c r="E18"/>
  <c r="F17"/>
  <c r="H17" s="1"/>
  <c r="F16"/>
  <c r="H16" s="1"/>
  <c r="I16" l="1"/>
  <c r="I17"/>
  <c r="F18"/>
  <c r="I18"/>
  <c r="F42"/>
  <c r="I42"/>
  <c r="F43"/>
  <c r="H18"/>
  <c r="H42"/>
  <c r="H43"/>
  <c r="I93" l="1"/>
</calcChain>
</file>

<file path=xl/sharedStrings.xml><?xml version="1.0" encoding="utf-8"?>
<sst xmlns="http://schemas.openxmlformats.org/spreadsheetml/2006/main" count="2706" uniqueCount="235">
  <si>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</si>
  <si>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</si>
  <si>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</si>
  <si>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</si>
  <si>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</si>
  <si>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</si>
  <si>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</si>
  <si>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</si>
  <si>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</si>
  <si>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</si>
  <si>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</si>
  <si>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</si>
  <si>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</si>
  <si>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</si>
  <si>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</si>
  <si>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</si>
  <si>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</si>
  <si>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</si>
  <si>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</si>
  <si>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</si>
  <si>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</si>
  <si>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</si>
  <si>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</si>
  <si>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</si>
  <si>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</si>
  <si>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</si>
  <si>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</si>
  <si>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</si>
  <si>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</si>
  <si>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</si>
  <si>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</si>
  <si>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</si>
  <si>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</si>
  <si>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</si>
  <si>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</si>
  <si>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</si>
  <si>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</si>
  <si>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</si>
  <si>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</si>
  <si>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</si>
  <si>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</si>
  <si>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</si>
  <si>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</si>
  <si>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</si>
  <si>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</si>
  <si>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</si>
  <si>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</si>
  <si>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</si>
  <si>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</si>
  <si>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</si>
  <si>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</si>
  <si>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</si>
  <si>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</si>
  <si>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</si>
  <si>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</si>
  <si>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</si>
  <si>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</si>
  <si>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</si>
  <si>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</si>
  <si>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</si>
  <si>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</si>
  <si>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</si>
  <si>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</si>
  <si>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</si>
  <si>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</si>
  <si>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</si>
  <si>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</si>
  <si>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</si>
  <si>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</si>
  <si>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</si>
  <si>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</si>
  <si>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</si>
  <si>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</si>
  <si>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</si>
  <si>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</si>
  <si>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</si>
  <si>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</si>
  <si>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</si>
  <si>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</si>
  <si>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</si>
  <si>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</si>
  <si>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</si>
  <si>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</si>
  <si>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</si>
  <si>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</si>
  <si>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</si>
  <si>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</si>
  <si>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генеральный директор Куканов Ю.Л.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</si>
  <si>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</si>
  <si>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</si>
  <si>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</si>
  <si>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</si>
  <si>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</si>
  <si>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</si>
  <si>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</si>
  <si>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</si>
  <si>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</si>
  <si>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</si>
  <si>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</si>
  <si>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</si>
  <si>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</si>
  <si>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</si>
  <si>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</si>
  <si>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</si>
  <si>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</si>
  <si>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</si>
  <si>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</si>
  <si>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</si>
  <si>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</si>
  <si>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</si>
  <si>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</si>
  <si>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</si>
  <si>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</si>
  <si>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</si>
  <si>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</si>
  <si>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</si>
  <si>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</si>
  <si>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</si>
  <si>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</si>
  <si>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</si>
  <si>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</si>
  <si>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</si>
  <si>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</si>
  <si>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</si>
  <si>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</si>
  <si>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</si>
  <si>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</si>
  <si>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</si>
  <si>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</si>
  <si>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ул.Нефтяников пгт.Ярега
</t>
  </si>
  <si>
    <t>Влажная протирка шкафов для щитов и слаботочн.устройств</t>
  </si>
  <si>
    <t>руб/м2 в мес.</t>
  </si>
  <si>
    <t>Возмещение затрат управляющей компании по косметическому ремонту подъездов</t>
  </si>
  <si>
    <t>руб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</si>
  <si>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</si>
  <si>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д.7</t>
    </r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</si>
  <si>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</si>
  <si>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</si>
  <si>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</si>
  <si>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</si>
  <si>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</si>
  <si>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156 раз в год</t>
  </si>
  <si>
    <t>104 раза в год</t>
  </si>
  <si>
    <t xml:space="preserve">24 раза в год </t>
  </si>
  <si>
    <t>2 раз в год</t>
  </si>
  <si>
    <t>Проверка дымоходов</t>
  </si>
  <si>
    <t>5 раз в год</t>
  </si>
  <si>
    <t>водосток</t>
  </si>
  <si>
    <t>Спуск воды после промывки СО в канализацию</t>
  </si>
  <si>
    <t>10 шт.</t>
  </si>
  <si>
    <t>ежемесячно</t>
  </si>
  <si>
    <t>АКТ №2</t>
  </si>
  <si>
    <t>1 шт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</si>
  <si>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</si>
  <si>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</si>
  <si>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</si>
  <si>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</si>
  <si>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</si>
  <si>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</si>
  <si>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</si>
  <si>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</si>
  <si>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</si>
  <si>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</si>
  <si>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</si>
  <si>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</si>
  <si>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за период с 01.01.2018 г. по 31.01.2018 г.</t>
  </si>
  <si>
    <t>Дератизация</t>
  </si>
  <si>
    <t>м2</t>
  </si>
  <si>
    <t>Устройство стяжек цементных толщиной 20 мм</t>
  </si>
  <si>
    <t>за период с 01.02.2018 г. по 28.02.2018 г.</t>
  </si>
  <si>
    <t>за период с 01.03.2018 г. по 31.03.2018 г.</t>
  </si>
  <si>
    <t>Смена арматуры - вентилей и клапанов обратных муфтовых диаметром до 20 мм</t>
  </si>
  <si>
    <t>за период с 01.04.2018 г. по 30.04.2018 г.</t>
  </si>
  <si>
    <t>Ремонт силового предохранительного шкафа( со стоимостью материала)</t>
  </si>
  <si>
    <t>Подключение и отключение сварочного аппарата</t>
  </si>
  <si>
    <t>Внеплановый осмотр вводных электрических щитков</t>
  </si>
  <si>
    <t>100шт</t>
  </si>
  <si>
    <t>Очистка крыш от слежавшегося снега со сбрасыванием сосулек</t>
  </si>
  <si>
    <t>Устройство козырьков</t>
  </si>
  <si>
    <t>1м2 горизонтальной проекции</t>
  </si>
  <si>
    <t>Смена дверных приборов - петли</t>
  </si>
  <si>
    <t>10 шт</t>
  </si>
  <si>
    <t>за период с 01.05.2018 г. по 31.05.2018 г.</t>
  </si>
  <si>
    <t>2. Всего за период с 01.04.2017 по 30.04.2017 выполнено работ (оказано услуг) на общую сумму: 52971,97 руб.</t>
  </si>
  <si>
    <t>(пятьдесят два рубля девятьсот семьдесят один рубль 97 копеек)</t>
  </si>
  <si>
    <t>2. Всего за период с 01.05.2018 по 31.05.2018 выполнено работ (оказано услуг) на общую сумму: 93964,79 руб.</t>
  </si>
  <si>
    <t>(девяносто три тысячи девятьсот шестьдесят четыре рубля 79 копеек)</t>
  </si>
  <si>
    <t>за период с 01.06.2018 г. по 30.06.2018 г.</t>
  </si>
  <si>
    <t>Заделка подвальных окон фанерой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</si>
  <si>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</si>
  <si>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</si>
  <si>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01.06.2018 по 30.06.2018 выполнено работ (оказано услуг) на общую сумму: 45409,85 руб.</t>
  </si>
  <si>
    <t>(сорок пять тысяч четыреста девять рублей 85 копеек)</t>
  </si>
  <si>
    <t>за период с 01.07.2018 г. по 31.07.2018 г.</t>
  </si>
  <si>
    <t>2. Всего за период с 01.07.2018 по 31.07.2018 выполнено работ (оказано услуг) на общую сумму: 35884,83 руб.</t>
  </si>
  <si>
    <t>(тридцать пять тысяч восемьсот восемьдесят четыре рубля 83 копейки)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</si>
  <si>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</si>
  <si>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</si>
  <si>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2. Всего за период с 01.01.2018 по 31.01.2018 выполнено работ (оказано услуг) на общую сумму: 52431,78 руб.</t>
  </si>
  <si>
    <t>(пятьдесят две тысячи четыреста тридцать один рубль 78 копеек )</t>
  </si>
  <si>
    <t>2. Всего за период с 01.02.2018 по 28.02.2018 выполнено работ (оказано услуг) на общую сумму: 41685,91 руб.</t>
  </si>
  <si>
    <t>(сорок одна тысяча шестьсот восемьдесят пять рублей 91 копейка)</t>
  </si>
  <si>
    <t>2. Всего за период с 01.03.2018 по 31.03.2018 выполнено работ (оказано услуг) на общую сумму: 39833,61 руб.</t>
  </si>
  <si>
    <t>(тридцать девять тысяч восемьсот тридцать три рубля 61 копейка)</t>
  </si>
  <si>
    <t>за период с 01.08.2018 г. по 31.08.2018 г.</t>
  </si>
  <si>
    <t>за период с 01.09.2018 г. по 30.09.2018 г.</t>
  </si>
  <si>
    <t>Оштукатуривание цоколя</t>
  </si>
  <si>
    <t>10 м2</t>
  </si>
  <si>
    <t>Работа автопогрузчика</t>
  </si>
  <si>
    <t>маш/час</t>
  </si>
  <si>
    <t>Ремонт отмостки отдельными частями</t>
  </si>
  <si>
    <t xml:space="preserve">1 м </t>
  </si>
  <si>
    <t>2. Всего за период с 01.09.2018 по 30.09.2018 выполнено работ (оказано услуг) на общую сумму: 49289,08 руб.</t>
  </si>
  <si>
    <t>(сорок девять тысяч двести восемьдесят девять рублей 08 копеек)</t>
  </si>
  <si>
    <t>Смена прокладок на полотенцесушителе</t>
  </si>
  <si>
    <t>2. Всего за период с 01.08.2018 по 31.08.2018 выполнено работ (оказано услуг) на общую сумму: 36247,43 руб.</t>
  </si>
  <si>
    <t>(тридцать шесть тысяч двести сорок семь рублей 43 копейки)</t>
  </si>
  <si>
    <t>за период с 01.10.2018 г. по 31.10.2018 г.</t>
  </si>
  <si>
    <t>Внеплановая проверка вентканалов</t>
  </si>
  <si>
    <t>Ремонт входной площадки</t>
  </si>
  <si>
    <t>2. Всего за период с 01.10.2018 по 31.10.2018 выполнено работ (оказано услуг) на общую сумму: 50771,18 руб.</t>
  </si>
  <si>
    <t>(пятьдесят тысяч семьсот семьдесят один рубль 18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</si>
  <si>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</si>
  <si>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</si>
  <si>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2. Всего за период с 01.11.2018 по 30.11.2018 выполнено работ (оказано услуг) на общую сумму: 30149,39 руб.</t>
  </si>
  <si>
    <t>(тридцать тысяч сто сорок девять рублей 39 копеек)</t>
  </si>
  <si>
    <t>за период с 01.12.2018 г. по 31.12.2018 г.</t>
  </si>
  <si>
    <t>Внеплановый осмотр водопроводов, канализации, отопления в квартирах</t>
  </si>
  <si>
    <t>100 кв.</t>
  </si>
  <si>
    <t>Смена внутренних трубопроводов на полипропиленовые трубы PN 20 Dу 20</t>
  </si>
  <si>
    <t>м</t>
  </si>
  <si>
    <t>Муфта разъемная 20*1/2 НР</t>
  </si>
  <si>
    <t>Колено 20*90</t>
  </si>
  <si>
    <t>2. Всего за период с 01.12.2018 по 31.12.2018 выполнено работ (оказано услуг) на общую сумму: 36960,30 руб.</t>
  </si>
  <si>
    <t>(тридцать шесть тысяч девятьсот шестьдесят рублей 30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</si>
</sst>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2" fontId="11" fillId="0" borderId="3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opLeftCell="A63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134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165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8"/>
      <c r="G6" s="57"/>
      <c r="H6" s="68"/>
      <c r="I6" s="30">
        <v>43131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15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customHeight="1">
      <c r="A51" s="41">
        <v>12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v>0</v>
      </c>
      <c r="J54" s="23"/>
      <c r="L54" s="19"/>
      <c r="M54" s="20"/>
      <c r="N54" s="21"/>
    </row>
    <row r="55" spans="1:14" ht="15.75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53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15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62" t="s">
        <v>43</v>
      </c>
      <c r="C61" s="62"/>
      <c r="D61" s="62"/>
      <c r="E61" s="62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62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15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5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5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5"/>
        <v>1.0614100000000002</v>
      </c>
      <c r="I77" s="13">
        <v>0</v>
      </c>
    </row>
    <row r="78" spans="1:22" ht="15.75" customHeight="1">
      <c r="A78" s="29">
        <v>16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6">SUM(F80*G80/1000)</f>
        <v>4.4637839999999995</v>
      </c>
      <c r="I80" s="13">
        <v>0</v>
      </c>
    </row>
    <row r="81" spans="1:9" ht="15.75" hidden="1" customHeight="1">
      <c r="A81" s="53"/>
      <c r="B81" s="62" t="s">
        <v>122</v>
      </c>
      <c r="C81" s="62"/>
      <c r="D81" s="62"/>
      <c r="E81" s="62"/>
      <c r="F81" s="69"/>
      <c r="G81" s="62"/>
      <c r="H81" s="69"/>
      <c r="I81" s="18"/>
    </row>
    <row r="82" spans="1:9" ht="15.75" hidden="1" customHeight="1">
      <c r="A82" s="29">
        <v>36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v>0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17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18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19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53"/>
      <c r="B87" s="40" t="s">
        <v>79</v>
      </c>
      <c r="C87" s="41"/>
      <c r="D87" s="15"/>
      <c r="E87" s="15"/>
      <c r="F87" s="15"/>
      <c r="G87" s="18"/>
      <c r="H87" s="18"/>
      <c r="I87" s="31">
        <f>I86+I85+I84+I78+I72+I56+I55+I51+I44+I43+I42+I41+I40+I39+I28+I27+I18+I17+I16</f>
        <v>51381.506754666661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29">
        <v>20</v>
      </c>
      <c r="B89" s="98" t="s">
        <v>166</v>
      </c>
      <c r="C89" s="16" t="s">
        <v>167</v>
      </c>
      <c r="D89" s="98"/>
      <c r="E89" s="18"/>
      <c r="F89" s="13">
        <v>24</v>
      </c>
      <c r="G89" s="13">
        <v>1.2</v>
      </c>
      <c r="H89" s="13">
        <f>F89*G89/1000</f>
        <v>2.8799999999999996E-2</v>
      </c>
      <c r="I89" s="13">
        <f>G89*12</f>
        <v>14.399999999999999</v>
      </c>
    </row>
    <row r="90" spans="1:9" ht="15.75" customHeight="1">
      <c r="A90" s="29">
        <v>21</v>
      </c>
      <c r="B90" s="109" t="s">
        <v>168</v>
      </c>
      <c r="C90" s="106" t="s">
        <v>54</v>
      </c>
      <c r="D90" s="98"/>
      <c r="E90" s="18"/>
      <c r="F90" s="13">
        <v>2.2000000000000002</v>
      </c>
      <c r="G90" s="13">
        <v>470.85</v>
      </c>
      <c r="H90" s="13">
        <f>F90*G90/1000</f>
        <v>1.0358700000000001</v>
      </c>
      <c r="I90" s="13">
        <f>G90*2.2</f>
        <v>1035.8700000000001</v>
      </c>
    </row>
    <row r="91" spans="1:9" ht="15.75" customHeight="1">
      <c r="A91" s="29"/>
      <c r="B91" s="46" t="s">
        <v>51</v>
      </c>
      <c r="C91" s="42"/>
      <c r="D91" s="54"/>
      <c r="E91" s="42">
        <v>1</v>
      </c>
      <c r="F91" s="42"/>
      <c r="G91" s="42"/>
      <c r="H91" s="42"/>
      <c r="I91" s="31">
        <f>SUM(I89:I90)</f>
        <v>1050.2700000000002</v>
      </c>
    </row>
    <row r="92" spans="1:9" ht="15.75" customHeight="1">
      <c r="A92" s="29"/>
      <c r="B92" s="52" t="s">
        <v>78</v>
      </c>
      <c r="C92" s="15"/>
      <c r="D92" s="15"/>
      <c r="E92" s="43"/>
      <c r="F92" s="43"/>
      <c r="G92" s="44"/>
      <c r="H92" s="44"/>
      <c r="I92" s="17">
        <v>0</v>
      </c>
    </row>
    <row r="93" spans="1:9" ht="15.75" customHeight="1">
      <c r="A93" s="55"/>
      <c r="B93" s="47" t="s">
        <v>140</v>
      </c>
      <c r="C93" s="34"/>
      <c r="D93" s="34"/>
      <c r="E93" s="34"/>
      <c r="F93" s="34"/>
      <c r="G93" s="34"/>
      <c r="H93" s="34"/>
      <c r="I93" s="45">
        <f>I87+I91</f>
        <v>52431.776754666658</v>
      </c>
    </row>
    <row r="94" spans="1:9" ht="15.75">
      <c r="A94" s="135" t="s">
        <v>198</v>
      </c>
      <c r="B94" s="135"/>
      <c r="C94" s="135"/>
      <c r="D94" s="135"/>
      <c r="E94" s="135"/>
      <c r="F94" s="135"/>
      <c r="G94" s="135"/>
      <c r="H94" s="135"/>
      <c r="I94" s="135"/>
    </row>
    <row r="95" spans="1:9" ht="15.75">
      <c r="A95" s="61"/>
      <c r="B95" s="151" t="s">
        <v>199</v>
      </c>
      <c r="C95" s="151"/>
      <c r="D95" s="151"/>
      <c r="E95" s="151"/>
      <c r="F95" s="151"/>
      <c r="G95" s="151"/>
      <c r="H95" s="80"/>
      <c r="I95" s="3"/>
    </row>
    <row r="96" spans="1:9">
      <c r="A96" s="56"/>
      <c r="B96" s="147" t="s">
        <v>6</v>
      </c>
      <c r="C96" s="147"/>
      <c r="D96" s="147"/>
      <c r="E96" s="147"/>
      <c r="F96" s="147"/>
      <c r="G96" s="147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55" t="s">
        <v>7</v>
      </c>
      <c r="B98" s="155"/>
      <c r="C98" s="155"/>
      <c r="D98" s="155"/>
      <c r="E98" s="155"/>
      <c r="F98" s="155"/>
      <c r="G98" s="155"/>
      <c r="H98" s="155"/>
      <c r="I98" s="155"/>
    </row>
    <row r="99" spans="1:9" ht="15.75">
      <c r="A99" s="155" t="s">
        <v>8</v>
      </c>
      <c r="B99" s="155"/>
      <c r="C99" s="155"/>
      <c r="D99" s="155"/>
      <c r="E99" s="155"/>
      <c r="F99" s="155"/>
      <c r="G99" s="155"/>
      <c r="H99" s="155"/>
      <c r="I99" s="155"/>
    </row>
    <row r="100" spans="1:9" ht="15.75">
      <c r="A100" s="152" t="s">
        <v>60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>
      <c r="A101" s="11"/>
    </row>
    <row r="102" spans="1:9" ht="15.75">
      <c r="A102" s="153" t="s">
        <v>9</v>
      </c>
      <c r="B102" s="153"/>
      <c r="C102" s="153"/>
      <c r="D102" s="153"/>
      <c r="E102" s="153"/>
      <c r="F102" s="153"/>
      <c r="G102" s="153"/>
      <c r="H102" s="153"/>
      <c r="I102" s="153"/>
    </row>
    <row r="103" spans="1:9" ht="15.75">
      <c r="A103" s="4"/>
    </row>
    <row r="104" spans="1:9" ht="15.75">
      <c r="B104" s="59" t="s">
        <v>10</v>
      </c>
      <c r="C104" s="154" t="s">
        <v>87</v>
      </c>
      <c r="D104" s="154"/>
      <c r="E104" s="154"/>
      <c r="F104" s="78"/>
      <c r="I104" s="60"/>
    </row>
    <row r="105" spans="1:9">
      <c r="A105" s="56"/>
      <c r="C105" s="147" t="s">
        <v>11</v>
      </c>
      <c r="D105" s="147"/>
      <c r="E105" s="147"/>
      <c r="F105" s="24"/>
      <c r="I105" s="58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59" t="s">
        <v>13</v>
      </c>
      <c r="C107" s="149"/>
      <c r="D107" s="149"/>
      <c r="E107" s="149"/>
      <c r="F107" s="79"/>
      <c r="I107" s="60"/>
    </row>
    <row r="108" spans="1:9">
      <c r="A108" s="56"/>
      <c r="C108" s="136" t="s">
        <v>11</v>
      </c>
      <c r="D108" s="136"/>
      <c r="E108" s="136"/>
      <c r="F108" s="67"/>
      <c r="I108" s="58" t="s">
        <v>12</v>
      </c>
    </row>
    <row r="109" spans="1:9" ht="15.75">
      <c r="A109" s="4" t="s">
        <v>14</v>
      </c>
    </row>
    <row r="110" spans="1:9">
      <c r="A110" s="150" t="s">
        <v>15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45" customHeight="1">
      <c r="A111" s="148" t="s">
        <v>16</v>
      </c>
      <c r="B111" s="148"/>
      <c r="C111" s="148"/>
      <c r="D111" s="148"/>
      <c r="E111" s="148"/>
      <c r="F111" s="148"/>
      <c r="G111" s="148"/>
      <c r="H111" s="148"/>
      <c r="I111" s="148"/>
    </row>
    <row r="112" spans="1:9" ht="30" customHeight="1">
      <c r="A112" s="148" t="s">
        <v>17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30" customHeight="1">
      <c r="A113" s="148" t="s">
        <v>21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15.75">
      <c r="A114" s="148" t="s">
        <v>20</v>
      </c>
      <c r="B114" s="148"/>
      <c r="C114" s="148"/>
      <c r="D114" s="148"/>
      <c r="E114" s="148"/>
      <c r="F114" s="148"/>
      <c r="G114" s="148"/>
      <c r="H114" s="148"/>
      <c r="I114" s="148"/>
    </row>
  </sheetData>
  <autoFilter ref="I12:I65"/>
  <mergeCells count="29">
    <mergeCell ref="B95:G95"/>
    <mergeCell ref="B96:G96"/>
    <mergeCell ref="A100:I100"/>
    <mergeCell ref="A102:I102"/>
    <mergeCell ref="C104:E104"/>
    <mergeCell ref="A98:I98"/>
    <mergeCell ref="A99:I99"/>
    <mergeCell ref="C105:E105"/>
    <mergeCell ref="A113:I113"/>
    <mergeCell ref="A114:I114"/>
    <mergeCell ref="C107:E107"/>
    <mergeCell ref="C108:E108"/>
    <mergeCell ref="A110:I110"/>
    <mergeCell ref="A111:I111"/>
    <mergeCell ref="A112:I112"/>
    <mergeCell ref="A83:I83"/>
    <mergeCell ref="A88:I88"/>
    <mergeCell ref="A94:I94"/>
    <mergeCell ref="R70:U70"/>
    <mergeCell ref="A3:I3"/>
    <mergeCell ref="A4:I4"/>
    <mergeCell ref="A8:I8"/>
    <mergeCell ref="A10:I10"/>
    <mergeCell ref="A5:I5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55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162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217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43404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12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customHeight="1">
      <c r="A52" s="41">
        <v>10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customHeight="1">
      <c r="A53" s="41">
        <v>11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customHeight="1">
      <c r="A54" s="41">
        <v>12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18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15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8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8.75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6.5" customHeight="1">
      <c r="A80" s="29">
        <v>16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f>G80*0.03</f>
        <v>103.01039999999999</v>
      </c>
    </row>
    <row r="81" spans="1:9" ht="21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6.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17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18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19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I86+I85+I84+I80+I72+I56+I55+I54+I53+I52+I35+I34+I32+I31+I28+I27+I18+I17+I16</f>
        <v>48431.33854511111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8.75" customHeight="1">
      <c r="A89" s="29">
        <v>20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5" customHeight="1">
      <c r="A90" s="29">
        <v>21</v>
      </c>
      <c r="B90" s="128" t="s">
        <v>208</v>
      </c>
      <c r="C90" s="66" t="s">
        <v>209</v>
      </c>
      <c r="D90" s="65"/>
      <c r="E90" s="36"/>
      <c r="F90" s="36"/>
      <c r="G90" s="36">
        <v>1765</v>
      </c>
      <c r="H90" s="103"/>
      <c r="I90" s="118">
        <f>G90*1</f>
        <v>1765</v>
      </c>
    </row>
    <row r="91" spans="1:9" ht="17.25" customHeight="1">
      <c r="A91" s="29">
        <v>22</v>
      </c>
      <c r="B91" s="128" t="s">
        <v>218</v>
      </c>
      <c r="C91" s="66" t="s">
        <v>116</v>
      </c>
      <c r="D91" s="65"/>
      <c r="E91" s="36"/>
      <c r="F91" s="36"/>
      <c r="G91" s="36">
        <v>89.59</v>
      </c>
      <c r="H91" s="103"/>
      <c r="I91" s="118">
        <f>G91*1</f>
        <v>89.59</v>
      </c>
    </row>
    <row r="92" spans="1:9" ht="15.75" customHeight="1">
      <c r="A92" s="29">
        <v>23</v>
      </c>
      <c r="B92" s="110" t="s">
        <v>219</v>
      </c>
      <c r="C92" s="66" t="s">
        <v>54</v>
      </c>
      <c r="D92" s="65"/>
      <c r="E92" s="36"/>
      <c r="F92" s="36"/>
      <c r="G92" s="36">
        <v>470.85</v>
      </c>
      <c r="H92" s="103"/>
      <c r="I92" s="118">
        <f>G92*1</f>
        <v>470.85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SUM(I89:I92)</f>
        <v>2339.84</v>
      </c>
    </row>
    <row r="94" spans="1:9" ht="15.75" customHeight="1">
      <c r="A94" s="29"/>
      <c r="B94" s="52" t="s">
        <v>78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140</v>
      </c>
      <c r="C95" s="34"/>
      <c r="D95" s="34"/>
      <c r="E95" s="34"/>
      <c r="F95" s="34"/>
      <c r="G95" s="34"/>
      <c r="H95" s="34"/>
      <c r="I95" s="45">
        <f>I87+I93</f>
        <v>50771.178545111106</v>
      </c>
    </row>
    <row r="96" spans="1:9" ht="15.75">
      <c r="A96" s="135" t="s">
        <v>220</v>
      </c>
      <c r="B96" s="135"/>
      <c r="C96" s="135"/>
      <c r="D96" s="135"/>
      <c r="E96" s="135"/>
      <c r="F96" s="135"/>
      <c r="G96" s="135"/>
      <c r="H96" s="135"/>
      <c r="I96" s="135"/>
    </row>
    <row r="97" spans="1:9" ht="15.75">
      <c r="A97" s="61"/>
      <c r="B97" s="151" t="s">
        <v>221</v>
      </c>
      <c r="C97" s="151"/>
      <c r="D97" s="151"/>
      <c r="E97" s="151"/>
      <c r="F97" s="151"/>
      <c r="G97" s="151"/>
      <c r="H97" s="80"/>
      <c r="I97" s="3"/>
    </row>
    <row r="98" spans="1:9">
      <c r="A98" s="71"/>
      <c r="B98" s="147" t="s">
        <v>6</v>
      </c>
      <c r="C98" s="147"/>
      <c r="D98" s="147"/>
      <c r="E98" s="147"/>
      <c r="F98" s="147"/>
      <c r="G98" s="147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55" t="s">
        <v>7</v>
      </c>
      <c r="B100" s="155"/>
      <c r="C100" s="155"/>
      <c r="D100" s="155"/>
      <c r="E100" s="155"/>
      <c r="F100" s="155"/>
      <c r="G100" s="155"/>
      <c r="H100" s="155"/>
      <c r="I100" s="155"/>
    </row>
    <row r="101" spans="1:9" ht="15.75">
      <c r="A101" s="155" t="s">
        <v>8</v>
      </c>
      <c r="B101" s="155"/>
      <c r="C101" s="155"/>
      <c r="D101" s="155"/>
      <c r="E101" s="155"/>
      <c r="F101" s="155"/>
      <c r="G101" s="155"/>
      <c r="H101" s="155"/>
      <c r="I101" s="155"/>
    </row>
    <row r="102" spans="1:9" ht="15.75">
      <c r="A102" s="152" t="s">
        <v>60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>
      <c r="A103" s="11"/>
    </row>
    <row r="104" spans="1:9" ht="15.75">
      <c r="A104" s="153" t="s">
        <v>9</v>
      </c>
      <c r="B104" s="153"/>
      <c r="C104" s="153"/>
      <c r="D104" s="153"/>
      <c r="E104" s="153"/>
      <c r="F104" s="153"/>
      <c r="G104" s="153"/>
      <c r="H104" s="153"/>
      <c r="I104" s="153"/>
    </row>
    <row r="105" spans="1:9" ht="15.75">
      <c r="A105" s="4"/>
    </row>
    <row r="106" spans="1:9" ht="15.75">
      <c r="B106" s="70" t="s">
        <v>10</v>
      </c>
      <c r="C106" s="154" t="s">
        <v>87</v>
      </c>
      <c r="D106" s="154"/>
      <c r="E106" s="154"/>
      <c r="F106" s="78"/>
      <c r="I106" s="73"/>
    </row>
    <row r="107" spans="1:9">
      <c r="A107" s="71"/>
      <c r="C107" s="147" t="s">
        <v>11</v>
      </c>
      <c r="D107" s="147"/>
      <c r="E107" s="147"/>
      <c r="F107" s="24"/>
      <c r="I107" s="72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0" t="s">
        <v>13</v>
      </c>
      <c r="C109" s="149"/>
      <c r="D109" s="149"/>
      <c r="E109" s="149"/>
      <c r="F109" s="79"/>
      <c r="I109" s="73"/>
    </row>
    <row r="110" spans="1:9">
      <c r="A110" s="71"/>
      <c r="C110" s="136" t="s">
        <v>11</v>
      </c>
      <c r="D110" s="136"/>
      <c r="E110" s="136"/>
      <c r="F110" s="71"/>
      <c r="I110" s="72" t="s">
        <v>12</v>
      </c>
    </row>
    <row r="111" spans="1:9" ht="15.75">
      <c r="A111" s="4" t="s">
        <v>14</v>
      </c>
    </row>
    <row r="112" spans="1:9">
      <c r="A112" s="150" t="s">
        <v>15</v>
      </c>
      <c r="B112" s="150"/>
      <c r="C112" s="150"/>
      <c r="D112" s="150"/>
      <c r="E112" s="150"/>
      <c r="F112" s="150"/>
      <c r="G112" s="150"/>
      <c r="H112" s="150"/>
      <c r="I112" s="150"/>
    </row>
    <row r="113" spans="1:9" ht="45" customHeight="1">
      <c r="A113" s="148" t="s">
        <v>16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30" customHeight="1">
      <c r="A114" s="148" t="s">
        <v>17</v>
      </c>
      <c r="B114" s="148"/>
      <c r="C114" s="148"/>
      <c r="D114" s="148"/>
      <c r="E114" s="148"/>
      <c r="F114" s="148"/>
      <c r="G114" s="148"/>
      <c r="H114" s="148"/>
      <c r="I114" s="148"/>
    </row>
    <row r="115" spans="1:9" ht="30" customHeight="1">
      <c r="A115" s="148" t="s">
        <v>21</v>
      </c>
      <c r="B115" s="148"/>
      <c r="C115" s="148"/>
      <c r="D115" s="148"/>
      <c r="E115" s="148"/>
      <c r="F115" s="148"/>
      <c r="G115" s="148"/>
      <c r="H115" s="148"/>
      <c r="I115" s="148"/>
    </row>
    <row r="116" spans="1:9" ht="15.75">
      <c r="A116" s="148" t="s">
        <v>20</v>
      </c>
      <c r="B116" s="148"/>
      <c r="C116" s="148"/>
      <c r="D116" s="148"/>
      <c r="E116" s="148"/>
      <c r="F116" s="148"/>
      <c r="G116" s="148"/>
      <c r="H116" s="148"/>
      <c r="I116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63" workbookViewId="0">
      <selection activeCell="B89" sqref="B89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163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222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112"/>
      <c r="C6" s="112"/>
      <c r="D6" s="112"/>
      <c r="E6" s="112"/>
      <c r="F6" s="112"/>
      <c r="G6" s="112"/>
      <c r="H6" s="112"/>
      <c r="I6" s="30">
        <v>43434</v>
      </c>
      <c r="J6" s="2"/>
      <c r="K6" s="2"/>
      <c r="L6" s="2"/>
      <c r="M6" s="2"/>
    </row>
    <row r="7" spans="1:13" ht="15.75" customHeight="1">
      <c r="B7" s="116"/>
      <c r="C7" s="116"/>
      <c r="D7" s="11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hidden="1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5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6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7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8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9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customHeight="1">
      <c r="A44" s="33">
        <v>10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hidden="1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12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154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114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113" t="s">
        <v>43</v>
      </c>
      <c r="C61" s="113"/>
      <c r="D61" s="113"/>
      <c r="E61" s="113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13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18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11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114"/>
      <c r="B81" s="113" t="s">
        <v>122</v>
      </c>
      <c r="C81" s="113"/>
      <c r="D81" s="113"/>
      <c r="E81" s="113"/>
      <c r="F81" s="113"/>
      <c r="G81" s="113"/>
      <c r="H81" s="113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155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12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13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14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114"/>
      <c r="B87" s="40" t="s">
        <v>79</v>
      </c>
      <c r="C87" s="41"/>
      <c r="D87" s="15"/>
      <c r="E87" s="15"/>
      <c r="F87" s="15"/>
      <c r="G87" s="18"/>
      <c r="H87" s="18"/>
      <c r="I87" s="31">
        <f>I86+I85+I84+I72+I44+I43+I42+I41+I40+I39+I27+I18+I17+I16</f>
        <v>30101.213706666658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107">
        <v>15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30.75" customHeight="1">
      <c r="A90" s="107">
        <v>16</v>
      </c>
      <c r="B90" s="128" t="s">
        <v>223</v>
      </c>
      <c r="C90" s="66" t="s">
        <v>28</v>
      </c>
      <c r="D90" s="52"/>
      <c r="E90" s="13"/>
      <c r="F90" s="13"/>
      <c r="G90" s="36">
        <v>18798.34</v>
      </c>
      <c r="H90" s="99"/>
      <c r="I90" s="108">
        <f>G90*0.599*3/1000</f>
        <v>33.780616979999998</v>
      </c>
    </row>
    <row r="91" spans="1:9" ht="15.75" customHeight="1">
      <c r="A91" s="29"/>
      <c r="B91" s="46" t="s">
        <v>51</v>
      </c>
      <c r="C91" s="42"/>
      <c r="D91" s="54"/>
      <c r="E91" s="42">
        <v>1</v>
      </c>
      <c r="F91" s="42"/>
      <c r="G91" s="42"/>
      <c r="H91" s="42"/>
      <c r="I91" s="31">
        <f>SUM(I89:I90)</f>
        <v>48.180616979999996</v>
      </c>
    </row>
    <row r="92" spans="1:9" ht="15.75" customHeight="1">
      <c r="A92" s="29"/>
      <c r="B92" s="52" t="s">
        <v>78</v>
      </c>
      <c r="C92" s="15"/>
      <c r="D92" s="15"/>
      <c r="E92" s="43"/>
      <c r="F92" s="43"/>
      <c r="G92" s="44"/>
      <c r="H92" s="44"/>
      <c r="I92" s="17">
        <v>0</v>
      </c>
    </row>
    <row r="93" spans="1:9" ht="15.75" customHeight="1">
      <c r="A93" s="55"/>
      <c r="B93" s="47" t="s">
        <v>140</v>
      </c>
      <c r="C93" s="34"/>
      <c r="D93" s="34"/>
      <c r="E93" s="34"/>
      <c r="F93" s="34"/>
      <c r="G93" s="34"/>
      <c r="H93" s="34"/>
      <c r="I93" s="45">
        <f>I87+I91</f>
        <v>30149.394323646658</v>
      </c>
    </row>
    <row r="94" spans="1:9" ht="15.75">
      <c r="A94" s="135" t="s">
        <v>224</v>
      </c>
      <c r="B94" s="135"/>
      <c r="C94" s="135"/>
      <c r="D94" s="135"/>
      <c r="E94" s="135"/>
      <c r="F94" s="135"/>
      <c r="G94" s="135"/>
      <c r="H94" s="135"/>
      <c r="I94" s="135"/>
    </row>
    <row r="95" spans="1:9" ht="15.75">
      <c r="A95" s="61"/>
      <c r="B95" s="151" t="s">
        <v>225</v>
      </c>
      <c r="C95" s="151"/>
      <c r="D95" s="151"/>
      <c r="E95" s="151"/>
      <c r="F95" s="151"/>
      <c r="G95" s="151"/>
      <c r="H95" s="80"/>
      <c r="I95" s="3"/>
    </row>
    <row r="96" spans="1:9">
      <c r="A96" s="111"/>
      <c r="B96" s="147" t="s">
        <v>6</v>
      </c>
      <c r="C96" s="147"/>
      <c r="D96" s="147"/>
      <c r="E96" s="147"/>
      <c r="F96" s="147"/>
      <c r="G96" s="147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55" t="s">
        <v>7</v>
      </c>
      <c r="B98" s="155"/>
      <c r="C98" s="155"/>
      <c r="D98" s="155"/>
      <c r="E98" s="155"/>
      <c r="F98" s="155"/>
      <c r="G98" s="155"/>
      <c r="H98" s="155"/>
      <c r="I98" s="155"/>
    </row>
    <row r="99" spans="1:9" ht="15.75">
      <c r="A99" s="155" t="s">
        <v>8</v>
      </c>
      <c r="B99" s="155"/>
      <c r="C99" s="155"/>
      <c r="D99" s="155"/>
      <c r="E99" s="155"/>
      <c r="F99" s="155"/>
      <c r="G99" s="155"/>
      <c r="H99" s="155"/>
      <c r="I99" s="155"/>
    </row>
    <row r="100" spans="1:9" ht="15.75">
      <c r="A100" s="152" t="s">
        <v>60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>
      <c r="A101" s="11"/>
    </row>
    <row r="102" spans="1:9" ht="15.75">
      <c r="A102" s="153" t="s">
        <v>9</v>
      </c>
      <c r="B102" s="153"/>
      <c r="C102" s="153"/>
      <c r="D102" s="153"/>
      <c r="E102" s="153"/>
      <c r="F102" s="153"/>
      <c r="G102" s="153"/>
      <c r="H102" s="153"/>
      <c r="I102" s="153"/>
    </row>
    <row r="103" spans="1:9" ht="15.75">
      <c r="A103" s="4"/>
    </row>
    <row r="104" spans="1:9" ht="15.75">
      <c r="B104" s="116" t="s">
        <v>10</v>
      </c>
      <c r="C104" s="154" t="s">
        <v>87</v>
      </c>
      <c r="D104" s="154"/>
      <c r="E104" s="154"/>
      <c r="F104" s="78"/>
      <c r="I104" s="115"/>
    </row>
    <row r="105" spans="1:9">
      <c r="A105" s="111"/>
      <c r="C105" s="147" t="s">
        <v>11</v>
      </c>
      <c r="D105" s="147"/>
      <c r="E105" s="147"/>
      <c r="F105" s="24"/>
      <c r="I105" s="117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16" t="s">
        <v>13</v>
      </c>
      <c r="C107" s="149"/>
      <c r="D107" s="149"/>
      <c r="E107" s="149"/>
      <c r="F107" s="79"/>
      <c r="I107" s="115"/>
    </row>
    <row r="108" spans="1:9">
      <c r="A108" s="111"/>
      <c r="C108" s="136" t="s">
        <v>11</v>
      </c>
      <c r="D108" s="136"/>
      <c r="E108" s="136"/>
      <c r="F108" s="111"/>
      <c r="I108" s="117" t="s">
        <v>12</v>
      </c>
    </row>
    <row r="109" spans="1:9" ht="15.75">
      <c r="A109" s="4" t="s">
        <v>14</v>
      </c>
    </row>
    <row r="110" spans="1:9">
      <c r="A110" s="150" t="s">
        <v>15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45" customHeight="1">
      <c r="A111" s="148" t="s">
        <v>16</v>
      </c>
      <c r="B111" s="148"/>
      <c r="C111" s="148"/>
      <c r="D111" s="148"/>
      <c r="E111" s="148"/>
      <c r="F111" s="148"/>
      <c r="G111" s="148"/>
      <c r="H111" s="148"/>
      <c r="I111" s="148"/>
    </row>
    <row r="112" spans="1:9" ht="30" customHeight="1">
      <c r="A112" s="148" t="s">
        <v>17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30" customHeight="1">
      <c r="A113" s="148" t="s">
        <v>21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15.75">
      <c r="A114" s="148" t="s">
        <v>20</v>
      </c>
      <c r="B114" s="148"/>
      <c r="C114" s="148"/>
      <c r="D114" s="148"/>
      <c r="E114" s="148"/>
      <c r="F114" s="148"/>
      <c r="G114" s="148"/>
      <c r="H114" s="148"/>
      <c r="I114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164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226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112"/>
      <c r="C6" s="112"/>
      <c r="D6" s="112"/>
      <c r="E6" s="112"/>
      <c r="F6" s="112"/>
      <c r="G6" s="112"/>
      <c r="H6" s="112"/>
      <c r="I6" s="30">
        <v>43465</v>
      </c>
      <c r="J6" s="2"/>
      <c r="K6" s="2"/>
      <c r="L6" s="2"/>
      <c r="M6" s="2"/>
    </row>
    <row r="7" spans="1:13" ht="15.75" customHeight="1">
      <c r="B7" s="116"/>
      <c r="C7" s="116"/>
      <c r="D7" s="11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hidden="1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5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6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7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8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9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F43/7.5*1.5*G43</f>
        <v>103.06254</v>
      </c>
      <c r="J43" s="23"/>
      <c r="L43" s="19"/>
      <c r="M43" s="20"/>
      <c r="N43" s="21"/>
    </row>
    <row r="44" spans="1:14" ht="15.75" customHeight="1">
      <c r="A44" s="33">
        <v>10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F44/7.5*1.5*G44</f>
        <v>99.297000000000011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12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11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customHeight="1">
      <c r="A58" s="114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G60*1.5</f>
        <v>2251.5</v>
      </c>
      <c r="J60" s="23"/>
      <c r="L60" s="19"/>
      <c r="M60" s="20"/>
      <c r="N60" s="21"/>
    </row>
    <row r="61" spans="1:14" ht="15.75" hidden="1" customHeight="1">
      <c r="A61" s="41"/>
      <c r="B61" s="113" t="s">
        <v>43</v>
      </c>
      <c r="C61" s="113"/>
      <c r="D61" s="113"/>
      <c r="E61" s="113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13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18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14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114"/>
      <c r="B81" s="113" t="s">
        <v>122</v>
      </c>
      <c r="C81" s="113"/>
      <c r="D81" s="113"/>
      <c r="E81" s="113"/>
      <c r="F81" s="113"/>
      <c r="G81" s="113"/>
      <c r="H81" s="113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15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16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17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114"/>
      <c r="B87" s="40" t="s">
        <v>79</v>
      </c>
      <c r="C87" s="41"/>
      <c r="D87" s="15"/>
      <c r="E87" s="15"/>
      <c r="F87" s="15"/>
      <c r="G87" s="18"/>
      <c r="H87" s="18"/>
      <c r="I87" s="31">
        <f>I86+I85+I84+I72+I60+I59+I51+I44+I43+I42+I41+I40+I39+I27+I18+I17+I16</f>
        <v>35855.709434666656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29">
        <v>18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31.5" customHeight="1">
      <c r="A90" s="29">
        <v>19</v>
      </c>
      <c r="B90" s="128" t="s">
        <v>223</v>
      </c>
      <c r="C90" s="66" t="s">
        <v>28</v>
      </c>
      <c r="D90" s="52"/>
      <c r="E90" s="13"/>
      <c r="F90" s="13"/>
      <c r="G90" s="36">
        <v>18798.34</v>
      </c>
      <c r="H90" s="99"/>
      <c r="I90" s="108">
        <f>G90*0.599*6/1000</f>
        <v>67.561233959999996</v>
      </c>
    </row>
    <row r="91" spans="1:9" ht="29.25" customHeight="1">
      <c r="A91" s="29">
        <v>20</v>
      </c>
      <c r="B91" s="128" t="s">
        <v>227</v>
      </c>
      <c r="C91" s="66" t="s">
        <v>228</v>
      </c>
      <c r="D91" s="42"/>
      <c r="E91" s="42"/>
      <c r="F91" s="42"/>
      <c r="G91" s="36">
        <v>24829.08</v>
      </c>
      <c r="H91" s="42"/>
      <c r="I91" s="118">
        <f>G91*0.01</f>
        <v>248.29080000000002</v>
      </c>
    </row>
    <row r="92" spans="1:9" ht="15.75" customHeight="1">
      <c r="A92" s="29">
        <v>21</v>
      </c>
      <c r="B92" s="128" t="s">
        <v>229</v>
      </c>
      <c r="C92" s="66" t="s">
        <v>230</v>
      </c>
      <c r="D92" s="42"/>
      <c r="E92" s="42"/>
      <c r="F92" s="42"/>
      <c r="G92" s="36">
        <v>1146</v>
      </c>
      <c r="H92" s="42"/>
      <c r="I92" s="156">
        <f>G92*0.5</f>
        <v>573</v>
      </c>
    </row>
    <row r="93" spans="1:9" ht="15.75" customHeight="1">
      <c r="A93" s="29">
        <v>22</v>
      </c>
      <c r="B93" s="128" t="s">
        <v>231</v>
      </c>
      <c r="C93" s="66" t="s">
        <v>116</v>
      </c>
      <c r="D93" s="42"/>
      <c r="E93" s="42"/>
      <c r="F93" s="42"/>
      <c r="G93" s="36">
        <v>95.25</v>
      </c>
      <c r="H93" s="42"/>
      <c r="I93" s="42">
        <f>G93*2</f>
        <v>190.5</v>
      </c>
    </row>
    <row r="94" spans="1:9" ht="15.75" customHeight="1">
      <c r="A94" s="29">
        <v>23</v>
      </c>
      <c r="B94" s="128" t="s">
        <v>232</v>
      </c>
      <c r="C94" s="66" t="s">
        <v>116</v>
      </c>
      <c r="D94" s="42"/>
      <c r="E94" s="42"/>
      <c r="F94" s="42"/>
      <c r="G94" s="36">
        <v>5.42</v>
      </c>
      <c r="H94" s="42"/>
      <c r="I94" s="42">
        <f>G94*2</f>
        <v>10.84</v>
      </c>
    </row>
    <row r="95" spans="1:9" ht="15.75" customHeight="1">
      <c r="A95" s="29"/>
      <c r="B95" s="46" t="s">
        <v>51</v>
      </c>
      <c r="C95" s="42"/>
      <c r="D95" s="54"/>
      <c r="E95" s="42">
        <v>1</v>
      </c>
      <c r="F95" s="42"/>
      <c r="G95" s="42"/>
      <c r="H95" s="42"/>
      <c r="I95" s="31">
        <f>SUM(I89:I94)</f>
        <v>1104.59203396</v>
      </c>
    </row>
    <row r="96" spans="1:9" ht="15.75" customHeight="1">
      <c r="A96" s="29"/>
      <c r="B96" s="52" t="s">
        <v>78</v>
      </c>
      <c r="C96" s="15"/>
      <c r="D96" s="15"/>
      <c r="E96" s="43"/>
      <c r="F96" s="43"/>
      <c r="G96" s="44"/>
      <c r="H96" s="44"/>
      <c r="I96" s="17">
        <v>0</v>
      </c>
    </row>
    <row r="97" spans="1:9" ht="15.75" customHeight="1">
      <c r="A97" s="55"/>
      <c r="B97" s="47" t="s">
        <v>140</v>
      </c>
      <c r="C97" s="34"/>
      <c r="D97" s="34"/>
      <c r="E97" s="34"/>
      <c r="F97" s="34"/>
      <c r="G97" s="34"/>
      <c r="H97" s="34"/>
      <c r="I97" s="45">
        <f>I87+I95</f>
        <v>36960.301468626654</v>
      </c>
    </row>
    <row r="98" spans="1:9" ht="15.75">
      <c r="A98" s="135" t="s">
        <v>233</v>
      </c>
      <c r="B98" s="135"/>
      <c r="C98" s="135"/>
      <c r="D98" s="135"/>
      <c r="E98" s="135"/>
      <c r="F98" s="135"/>
      <c r="G98" s="135"/>
      <c r="H98" s="135"/>
      <c r="I98" s="135"/>
    </row>
    <row r="99" spans="1:9" ht="15.75">
      <c r="A99" s="61"/>
      <c r="B99" s="151" t="s">
        <v>234</v>
      </c>
      <c r="C99" s="151"/>
      <c r="D99" s="151"/>
      <c r="E99" s="151"/>
      <c r="F99" s="151"/>
      <c r="G99" s="151"/>
      <c r="H99" s="80"/>
      <c r="I99" s="3"/>
    </row>
    <row r="100" spans="1:9">
      <c r="A100" s="111"/>
      <c r="B100" s="147" t="s">
        <v>6</v>
      </c>
      <c r="C100" s="147"/>
      <c r="D100" s="147"/>
      <c r="E100" s="147"/>
      <c r="F100" s="147"/>
      <c r="G100" s="147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55" t="s">
        <v>7</v>
      </c>
      <c r="B102" s="155"/>
      <c r="C102" s="155"/>
      <c r="D102" s="155"/>
      <c r="E102" s="155"/>
      <c r="F102" s="155"/>
      <c r="G102" s="155"/>
      <c r="H102" s="155"/>
      <c r="I102" s="155"/>
    </row>
    <row r="103" spans="1:9" ht="15.75">
      <c r="A103" s="155" t="s">
        <v>8</v>
      </c>
      <c r="B103" s="155"/>
      <c r="C103" s="155"/>
      <c r="D103" s="155"/>
      <c r="E103" s="155"/>
      <c r="F103" s="155"/>
      <c r="G103" s="155"/>
      <c r="H103" s="155"/>
      <c r="I103" s="155"/>
    </row>
    <row r="104" spans="1:9" ht="15.75">
      <c r="A104" s="152" t="s">
        <v>60</v>
      </c>
      <c r="B104" s="152"/>
      <c r="C104" s="152"/>
      <c r="D104" s="152"/>
      <c r="E104" s="152"/>
      <c r="F104" s="152"/>
      <c r="G104" s="152"/>
      <c r="H104" s="152"/>
      <c r="I104" s="152"/>
    </row>
    <row r="105" spans="1:9" ht="15.75">
      <c r="A105" s="11"/>
    </row>
    <row r="106" spans="1:9" ht="15.75">
      <c r="A106" s="153" t="s">
        <v>9</v>
      </c>
      <c r="B106" s="153"/>
      <c r="C106" s="153"/>
      <c r="D106" s="153"/>
      <c r="E106" s="153"/>
      <c r="F106" s="153"/>
      <c r="G106" s="153"/>
      <c r="H106" s="153"/>
      <c r="I106" s="153"/>
    </row>
    <row r="107" spans="1:9" ht="15.75">
      <c r="A107" s="4"/>
    </row>
    <row r="108" spans="1:9" ht="15.75">
      <c r="B108" s="116" t="s">
        <v>10</v>
      </c>
      <c r="C108" s="154" t="s">
        <v>87</v>
      </c>
      <c r="D108" s="154"/>
      <c r="E108" s="154"/>
      <c r="F108" s="78"/>
      <c r="I108" s="115"/>
    </row>
    <row r="109" spans="1:9">
      <c r="A109" s="111"/>
      <c r="C109" s="147" t="s">
        <v>11</v>
      </c>
      <c r="D109" s="147"/>
      <c r="E109" s="147"/>
      <c r="F109" s="24"/>
      <c r="I109" s="117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116" t="s">
        <v>13</v>
      </c>
      <c r="C111" s="149"/>
      <c r="D111" s="149"/>
      <c r="E111" s="149"/>
      <c r="F111" s="79"/>
      <c r="I111" s="115"/>
    </row>
    <row r="112" spans="1:9">
      <c r="A112" s="111"/>
      <c r="C112" s="136" t="s">
        <v>11</v>
      </c>
      <c r="D112" s="136"/>
      <c r="E112" s="136"/>
      <c r="F112" s="111"/>
      <c r="I112" s="117" t="s">
        <v>12</v>
      </c>
    </row>
    <row r="113" spans="1:9" ht="15.75">
      <c r="A113" s="4" t="s">
        <v>14</v>
      </c>
    </row>
    <row r="114" spans="1:9">
      <c r="A114" s="150" t="s">
        <v>15</v>
      </c>
      <c r="B114" s="150"/>
      <c r="C114" s="150"/>
      <c r="D114" s="150"/>
      <c r="E114" s="150"/>
      <c r="F114" s="150"/>
      <c r="G114" s="150"/>
      <c r="H114" s="150"/>
      <c r="I114" s="150"/>
    </row>
    <row r="115" spans="1:9" ht="45" customHeight="1">
      <c r="A115" s="148" t="s">
        <v>16</v>
      </c>
      <c r="B115" s="148"/>
      <c r="C115" s="148"/>
      <c r="D115" s="148"/>
      <c r="E115" s="148"/>
      <c r="F115" s="148"/>
      <c r="G115" s="148"/>
      <c r="H115" s="148"/>
      <c r="I115" s="148"/>
    </row>
    <row r="116" spans="1:9" ht="30" customHeight="1">
      <c r="A116" s="148" t="s">
        <v>17</v>
      </c>
      <c r="B116" s="148"/>
      <c r="C116" s="148"/>
      <c r="D116" s="148"/>
      <c r="E116" s="148"/>
      <c r="F116" s="148"/>
      <c r="G116" s="148"/>
      <c r="H116" s="148"/>
      <c r="I116" s="148"/>
    </row>
    <row r="117" spans="1:9" ht="30" customHeight="1">
      <c r="A117" s="148" t="s">
        <v>21</v>
      </c>
      <c r="B117" s="148"/>
      <c r="C117" s="148"/>
      <c r="D117" s="148"/>
      <c r="E117" s="148"/>
      <c r="F117" s="148"/>
      <c r="G117" s="148"/>
      <c r="H117" s="148"/>
      <c r="I117" s="148"/>
    </row>
    <row r="118" spans="1:9" ht="15.75">
      <c r="A118" s="148" t="s">
        <v>20</v>
      </c>
      <c r="B118" s="148"/>
      <c r="C118" s="148"/>
      <c r="D118" s="148"/>
      <c r="E118" s="148"/>
      <c r="F118" s="148"/>
      <c r="G118" s="148"/>
      <c r="H118" s="148"/>
      <c r="I118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3:I83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topLeftCell="A51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151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169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43159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15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customHeight="1">
      <c r="A51" s="41">
        <v>12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v>0</v>
      </c>
      <c r="J54" s="23"/>
      <c r="L54" s="19"/>
      <c r="M54" s="20"/>
      <c r="N54" s="21"/>
    </row>
    <row r="55" spans="1:14" ht="15.75" hidden="1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13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13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5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5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6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14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15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16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I86+I85+I84+I72+I51+I44+I43+I42+I41+I40+I39+I28+I27+I18+I17+I16</f>
        <v>41671.506754666661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29">
        <v>17</v>
      </c>
      <c r="B89" s="98" t="s">
        <v>166</v>
      </c>
      <c r="C89" s="16" t="s">
        <v>167</v>
      </c>
      <c r="D89" s="98"/>
      <c r="E89" s="18"/>
      <c r="F89" s="13">
        <v>24</v>
      </c>
      <c r="G89" s="13">
        <v>1.2</v>
      </c>
      <c r="H89" s="13">
        <f>F89*G89/1000</f>
        <v>2.8799999999999996E-2</v>
      </c>
      <c r="I89" s="13">
        <f>G89*12</f>
        <v>14.399999999999999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14.399999999999999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140</v>
      </c>
      <c r="C92" s="34"/>
      <c r="D92" s="34"/>
      <c r="E92" s="34"/>
      <c r="F92" s="34"/>
      <c r="G92" s="34"/>
      <c r="H92" s="34"/>
      <c r="I92" s="45">
        <f>I87+I90</f>
        <v>41685.906754666663</v>
      </c>
    </row>
    <row r="93" spans="1:9" ht="15.75">
      <c r="A93" s="135" t="s">
        <v>200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>
      <c r="A94" s="61"/>
      <c r="B94" s="151" t="s">
        <v>201</v>
      </c>
      <c r="C94" s="151"/>
      <c r="D94" s="151"/>
      <c r="E94" s="151"/>
      <c r="F94" s="151"/>
      <c r="G94" s="151"/>
      <c r="H94" s="80"/>
      <c r="I94" s="3"/>
    </row>
    <row r="95" spans="1:9">
      <c r="A95" s="71"/>
      <c r="B95" s="147" t="s">
        <v>6</v>
      </c>
      <c r="C95" s="147"/>
      <c r="D95" s="147"/>
      <c r="E95" s="147"/>
      <c r="F95" s="147"/>
      <c r="G95" s="147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5" t="s">
        <v>7</v>
      </c>
      <c r="B97" s="155"/>
      <c r="C97" s="155"/>
      <c r="D97" s="155"/>
      <c r="E97" s="155"/>
      <c r="F97" s="155"/>
      <c r="G97" s="155"/>
      <c r="H97" s="155"/>
      <c r="I97" s="155"/>
    </row>
    <row r="98" spans="1:9" ht="15.75">
      <c r="A98" s="155" t="s">
        <v>8</v>
      </c>
      <c r="B98" s="155"/>
      <c r="C98" s="155"/>
      <c r="D98" s="155"/>
      <c r="E98" s="155"/>
      <c r="F98" s="155"/>
      <c r="G98" s="155"/>
      <c r="H98" s="155"/>
      <c r="I98" s="155"/>
    </row>
    <row r="99" spans="1:9" ht="15.75">
      <c r="A99" s="152" t="s">
        <v>60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>
      <c r="A100" s="11"/>
    </row>
    <row r="101" spans="1:9" ht="15.75">
      <c r="A101" s="153" t="s">
        <v>9</v>
      </c>
      <c r="B101" s="153"/>
      <c r="C101" s="153"/>
      <c r="D101" s="153"/>
      <c r="E101" s="153"/>
      <c r="F101" s="153"/>
      <c r="G101" s="153"/>
      <c r="H101" s="153"/>
      <c r="I101" s="153"/>
    </row>
    <row r="102" spans="1:9" ht="15.75">
      <c r="A102" s="4"/>
    </row>
    <row r="103" spans="1:9" ht="15.75">
      <c r="B103" s="70" t="s">
        <v>10</v>
      </c>
      <c r="C103" s="154" t="s">
        <v>87</v>
      </c>
      <c r="D103" s="154"/>
      <c r="E103" s="154"/>
      <c r="F103" s="78"/>
      <c r="I103" s="73"/>
    </row>
    <row r="104" spans="1:9">
      <c r="A104" s="71"/>
      <c r="C104" s="147" t="s">
        <v>11</v>
      </c>
      <c r="D104" s="147"/>
      <c r="E104" s="147"/>
      <c r="F104" s="24"/>
      <c r="I104" s="7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0" t="s">
        <v>13</v>
      </c>
      <c r="C106" s="149"/>
      <c r="D106" s="149"/>
      <c r="E106" s="149"/>
      <c r="F106" s="79"/>
      <c r="I106" s="73"/>
    </row>
    <row r="107" spans="1:9">
      <c r="A107" s="71"/>
      <c r="C107" s="136" t="s">
        <v>11</v>
      </c>
      <c r="D107" s="136"/>
      <c r="E107" s="136"/>
      <c r="F107" s="71"/>
      <c r="I107" s="72" t="s">
        <v>12</v>
      </c>
    </row>
    <row r="108" spans="1:9" ht="15.75">
      <c r="A108" s="4" t="s">
        <v>14</v>
      </c>
    </row>
    <row r="109" spans="1:9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48" t="s">
        <v>16</v>
      </c>
      <c r="B110" s="148"/>
      <c r="C110" s="148"/>
      <c r="D110" s="148"/>
      <c r="E110" s="148"/>
      <c r="F110" s="148"/>
      <c r="G110" s="148"/>
      <c r="H110" s="148"/>
      <c r="I110" s="148"/>
    </row>
    <row r="111" spans="1:9" ht="30" customHeight="1">
      <c r="A111" s="148" t="s">
        <v>17</v>
      </c>
      <c r="B111" s="148"/>
      <c r="C111" s="148"/>
      <c r="D111" s="148"/>
      <c r="E111" s="148"/>
      <c r="F111" s="148"/>
      <c r="G111" s="148"/>
      <c r="H111" s="148"/>
      <c r="I111" s="148"/>
    </row>
    <row r="112" spans="1:9" ht="30" customHeight="1">
      <c r="A112" s="148" t="s">
        <v>21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15.75">
      <c r="A113" s="148" t="s">
        <v>20</v>
      </c>
      <c r="B113" s="148"/>
      <c r="C113" s="148"/>
      <c r="D113" s="148"/>
      <c r="E113" s="148"/>
      <c r="F113" s="148"/>
      <c r="G113" s="148"/>
      <c r="H113" s="148"/>
      <c r="I113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topLeftCell="A44" workbookViewId="0">
      <selection activeCell="B97" sqref="B97:G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153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170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43190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(F43/7.5*1.5)*G43</f>
        <v>103.06254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(F44/7.5*1.5)*G44</f>
        <v>99.297000000000011</v>
      </c>
      <c r="J44" s="23"/>
      <c r="L44" s="19"/>
      <c r="M44" s="20"/>
      <c r="N44" s="21"/>
    </row>
    <row r="45" spans="1:14" ht="15.75" hidden="1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15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hidden="1" customHeight="1">
      <c r="A51" s="41">
        <v>12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v>0</v>
      </c>
      <c r="J54" s="23"/>
      <c r="L54" s="19"/>
      <c r="M54" s="20"/>
      <c r="N54" s="21"/>
    </row>
    <row r="55" spans="1:14" ht="15.75" hidden="1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154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5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5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6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155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13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15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f>59113/12</f>
        <v>4926.083333333333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I86+I85+I84+I72+I44+I43+I42+I41+I40+I39+I28+I27+I18+I17+I16</f>
        <v>38591.748219999987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42">
        <v>16</v>
      </c>
      <c r="B89" s="98" t="s">
        <v>166</v>
      </c>
      <c r="C89" s="16" t="s">
        <v>167</v>
      </c>
      <c r="D89" s="98"/>
      <c r="E89" s="18"/>
      <c r="F89" s="13">
        <v>24</v>
      </c>
      <c r="G89" s="13">
        <v>1.2</v>
      </c>
      <c r="H89" s="13">
        <f>F89*G89/1000</f>
        <v>2.8799999999999996E-2</v>
      </c>
      <c r="I89" s="13">
        <f>G89*12</f>
        <v>14.399999999999999</v>
      </c>
    </row>
    <row r="90" spans="1:9" ht="15.75" customHeight="1">
      <c r="A90" s="42">
        <v>17</v>
      </c>
      <c r="B90" s="110" t="s">
        <v>180</v>
      </c>
      <c r="C90" s="126" t="s">
        <v>181</v>
      </c>
      <c r="D90" s="98"/>
      <c r="E90" s="18"/>
      <c r="F90" s="13"/>
      <c r="G90" s="36">
        <v>4165.3999999999996</v>
      </c>
      <c r="H90" s="99"/>
      <c r="I90" s="13">
        <f>G90*0.1</f>
        <v>416.53999999999996</v>
      </c>
    </row>
    <row r="91" spans="1:9" ht="15.75" customHeight="1">
      <c r="A91" s="42">
        <v>18</v>
      </c>
      <c r="B91" s="105" t="s">
        <v>174</v>
      </c>
      <c r="C91" s="106" t="s">
        <v>116</v>
      </c>
      <c r="D91" s="98"/>
      <c r="E91" s="18"/>
      <c r="F91" s="13"/>
      <c r="G91" s="36">
        <v>197.48</v>
      </c>
      <c r="H91" s="99"/>
      <c r="I91" s="13">
        <f>G91*1</f>
        <v>197.48</v>
      </c>
    </row>
    <row r="92" spans="1:9" ht="31.5" customHeight="1">
      <c r="A92" s="29">
        <v>19</v>
      </c>
      <c r="B92" s="105" t="s">
        <v>171</v>
      </c>
      <c r="C92" s="106" t="s">
        <v>152</v>
      </c>
      <c r="D92" s="65"/>
      <c r="E92" s="36"/>
      <c r="F92" s="36">
        <v>1</v>
      </c>
      <c r="G92" s="36">
        <v>613.44000000000005</v>
      </c>
      <c r="H92" s="103">
        <f>G92*F92/1000</f>
        <v>0.6134400000000001</v>
      </c>
      <c r="I92" s="18">
        <f>G92</f>
        <v>613.44000000000005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SUM(I89:I92)</f>
        <v>1241.8600000000001</v>
      </c>
    </row>
    <row r="94" spans="1:9" ht="15.75" customHeight="1">
      <c r="A94" s="29"/>
      <c r="B94" s="52" t="s">
        <v>78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140</v>
      </c>
      <c r="C95" s="34"/>
      <c r="D95" s="34"/>
      <c r="E95" s="34"/>
      <c r="F95" s="34"/>
      <c r="G95" s="34"/>
      <c r="H95" s="34"/>
      <c r="I95" s="45">
        <f>I87+I93</f>
        <v>39833.608219999987</v>
      </c>
    </row>
    <row r="96" spans="1:9" ht="15.75">
      <c r="A96" s="135" t="s">
        <v>202</v>
      </c>
      <c r="B96" s="135"/>
      <c r="C96" s="135"/>
      <c r="D96" s="135"/>
      <c r="E96" s="135"/>
      <c r="F96" s="135"/>
      <c r="G96" s="135"/>
      <c r="H96" s="135"/>
      <c r="I96" s="135"/>
    </row>
    <row r="97" spans="1:9" ht="15.75">
      <c r="A97" s="61"/>
      <c r="B97" s="151" t="s">
        <v>203</v>
      </c>
      <c r="C97" s="151"/>
      <c r="D97" s="151"/>
      <c r="E97" s="151"/>
      <c r="F97" s="151"/>
      <c r="G97" s="151"/>
      <c r="H97" s="80"/>
      <c r="I97" s="3"/>
    </row>
    <row r="98" spans="1:9">
      <c r="A98" s="71"/>
      <c r="B98" s="147" t="s">
        <v>6</v>
      </c>
      <c r="C98" s="147"/>
      <c r="D98" s="147"/>
      <c r="E98" s="147"/>
      <c r="F98" s="147"/>
      <c r="G98" s="147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55" t="s">
        <v>7</v>
      </c>
      <c r="B100" s="155"/>
      <c r="C100" s="155"/>
      <c r="D100" s="155"/>
      <c r="E100" s="155"/>
      <c r="F100" s="155"/>
      <c r="G100" s="155"/>
      <c r="H100" s="155"/>
      <c r="I100" s="155"/>
    </row>
    <row r="101" spans="1:9" ht="15.75">
      <c r="A101" s="155" t="s">
        <v>8</v>
      </c>
      <c r="B101" s="155"/>
      <c r="C101" s="155"/>
      <c r="D101" s="155"/>
      <c r="E101" s="155"/>
      <c r="F101" s="155"/>
      <c r="G101" s="155"/>
      <c r="H101" s="155"/>
      <c r="I101" s="155"/>
    </row>
    <row r="102" spans="1:9" ht="15.75">
      <c r="A102" s="152" t="s">
        <v>60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>
      <c r="A103" s="11"/>
    </row>
    <row r="104" spans="1:9" ht="15.75">
      <c r="A104" s="153" t="s">
        <v>9</v>
      </c>
      <c r="B104" s="153"/>
      <c r="C104" s="153"/>
      <c r="D104" s="153"/>
      <c r="E104" s="153"/>
      <c r="F104" s="153"/>
      <c r="G104" s="153"/>
      <c r="H104" s="153"/>
      <c r="I104" s="153"/>
    </row>
    <row r="105" spans="1:9" ht="15.75">
      <c r="A105" s="4"/>
    </row>
    <row r="106" spans="1:9" ht="15.75">
      <c r="B106" s="70" t="s">
        <v>10</v>
      </c>
      <c r="C106" s="154" t="s">
        <v>87</v>
      </c>
      <c r="D106" s="154"/>
      <c r="E106" s="154"/>
      <c r="F106" s="78"/>
      <c r="I106" s="73"/>
    </row>
    <row r="107" spans="1:9">
      <c r="A107" s="71"/>
      <c r="C107" s="147" t="s">
        <v>11</v>
      </c>
      <c r="D107" s="147"/>
      <c r="E107" s="147"/>
      <c r="F107" s="24"/>
      <c r="I107" s="72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0" t="s">
        <v>13</v>
      </c>
      <c r="C109" s="149"/>
      <c r="D109" s="149"/>
      <c r="E109" s="149"/>
      <c r="F109" s="79"/>
      <c r="I109" s="73"/>
    </row>
    <row r="110" spans="1:9">
      <c r="A110" s="71"/>
      <c r="C110" s="136" t="s">
        <v>11</v>
      </c>
      <c r="D110" s="136"/>
      <c r="E110" s="136"/>
      <c r="F110" s="71"/>
      <c r="I110" s="72" t="s">
        <v>12</v>
      </c>
    </row>
    <row r="111" spans="1:9" ht="15.75">
      <c r="A111" s="4" t="s">
        <v>14</v>
      </c>
    </row>
    <row r="112" spans="1:9">
      <c r="A112" s="150" t="s">
        <v>15</v>
      </c>
      <c r="B112" s="150"/>
      <c r="C112" s="150"/>
      <c r="D112" s="150"/>
      <c r="E112" s="150"/>
      <c r="F112" s="150"/>
      <c r="G112" s="150"/>
      <c r="H112" s="150"/>
      <c r="I112" s="150"/>
    </row>
    <row r="113" spans="1:9" ht="45" customHeight="1">
      <c r="A113" s="148" t="s">
        <v>16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30" customHeight="1">
      <c r="A114" s="148" t="s">
        <v>17</v>
      </c>
      <c r="B114" s="148"/>
      <c r="C114" s="148"/>
      <c r="D114" s="148"/>
      <c r="E114" s="148"/>
      <c r="F114" s="148"/>
      <c r="G114" s="148"/>
      <c r="H114" s="148"/>
      <c r="I114" s="148"/>
    </row>
    <row r="115" spans="1:9" ht="30" customHeight="1">
      <c r="A115" s="148" t="s">
        <v>21</v>
      </c>
      <c r="B115" s="148"/>
      <c r="C115" s="148"/>
      <c r="D115" s="148"/>
      <c r="E115" s="148"/>
      <c r="F115" s="148"/>
      <c r="G115" s="148"/>
      <c r="H115" s="148"/>
      <c r="I115" s="148"/>
    </row>
    <row r="116" spans="1:9" ht="15.75">
      <c r="A116" s="148" t="s">
        <v>20</v>
      </c>
      <c r="B116" s="148"/>
      <c r="C116" s="148"/>
      <c r="D116" s="148"/>
      <c r="E116" s="148"/>
      <c r="F116" s="148"/>
      <c r="G116" s="148"/>
      <c r="H116" s="148"/>
      <c r="I116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topLeftCell="A63" workbookViewId="0">
      <selection activeCell="B101" sqref="B101: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156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172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43220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2" si="2">F39/6*G39</f>
        <v>633.45666666666659</v>
      </c>
      <c r="J39" s="23"/>
    </row>
    <row r="40" spans="1:14" ht="15.75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>F43/7.5*1.5*G43</f>
        <v>103.06254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>F44/7.5*1.5*G44</f>
        <v>99.297000000000011</v>
      </c>
      <c r="J44" s="23"/>
      <c r="L44" s="19"/>
      <c r="M44" s="20"/>
      <c r="N44" s="21"/>
    </row>
    <row r="45" spans="1:14" ht="21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30" hidden="1" customHeight="1">
      <c r="A46" s="41">
        <v>15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33" hidden="1" customHeight="1">
      <c r="A47" s="41"/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34.5" hidden="1" customHeight="1">
      <c r="A48" s="41">
        <v>16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37.5" hidden="1" customHeight="1">
      <c r="A49" s="41">
        <v>17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36" hidden="1" customHeight="1">
      <c r="A50" s="41">
        <v>18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36.75" hidden="1" customHeight="1">
      <c r="A51" s="41">
        <v>12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6.75" customHeight="1">
      <c r="A52" s="41">
        <v>12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3" customHeight="1">
      <c r="A53" s="41">
        <v>13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>F53/2*G53</f>
        <v>346.536</v>
      </c>
      <c r="J53" s="23"/>
      <c r="L53" s="19"/>
      <c r="M53" s="20"/>
      <c r="N53" s="21"/>
    </row>
    <row r="54" spans="1:14" ht="24.75" customHeight="1">
      <c r="A54" s="41">
        <v>14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>F54/2*G54</f>
        <v>70.331299999999999</v>
      </c>
      <c r="J54" s="23"/>
      <c r="L54" s="19"/>
      <c r="M54" s="20"/>
      <c r="N54" s="21"/>
    </row>
    <row r="55" spans="1:14" ht="26.25" hidden="1" customHeight="1">
      <c r="A55" s="41">
        <v>13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20.25" hidden="1" customHeight="1">
      <c r="A56" s="41">
        <v>14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154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15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G59*0.651</f>
        <v>1501.6096199999999</v>
      </c>
      <c r="J59" s="23"/>
      <c r="L59" s="19"/>
      <c r="M59" s="20"/>
      <c r="N59" s="21"/>
    </row>
    <row r="60" spans="1:14" ht="15.75" customHeight="1">
      <c r="A60" s="41">
        <v>16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</f>
        <v>1501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17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5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5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6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119">
        <v>15</v>
      </c>
      <c r="B82" s="92" t="s">
        <v>89</v>
      </c>
      <c r="C82" s="120"/>
      <c r="D82" s="121"/>
      <c r="E82" s="102"/>
      <c r="F82" s="122">
        <v>1</v>
      </c>
      <c r="G82" s="122">
        <v>13707.8</v>
      </c>
      <c r="H82" s="123">
        <f>G82*F82/1000</f>
        <v>13.707799999999999</v>
      </c>
      <c r="I82" s="122">
        <f>G82</f>
        <v>13707.8</v>
      </c>
    </row>
    <row r="83" spans="1:9" ht="15.75" customHeight="1">
      <c r="A83" s="29"/>
      <c r="B83" s="124" t="s">
        <v>72</v>
      </c>
      <c r="C83" s="16"/>
      <c r="D83" s="98"/>
      <c r="E83" s="18"/>
      <c r="F83" s="13"/>
      <c r="G83" s="13"/>
      <c r="H83" s="13"/>
      <c r="I83" s="13"/>
    </row>
    <row r="84" spans="1:9" ht="15.75" customHeight="1">
      <c r="A84" s="29">
        <v>18</v>
      </c>
      <c r="B84" s="37" t="s">
        <v>86</v>
      </c>
      <c r="C84" s="38" t="s">
        <v>29</v>
      </c>
      <c r="D84" s="37" t="s">
        <v>66</v>
      </c>
      <c r="E84" s="18"/>
      <c r="F84" s="13"/>
      <c r="G84" s="125">
        <v>446.12</v>
      </c>
      <c r="H84" s="13"/>
      <c r="I84" s="13">
        <f>G84*1</f>
        <v>446.12</v>
      </c>
    </row>
    <row r="85" spans="1:9" ht="15.75" customHeight="1">
      <c r="A85" s="129" t="s">
        <v>155</v>
      </c>
      <c r="B85" s="130"/>
      <c r="C85" s="130"/>
      <c r="D85" s="130"/>
      <c r="E85" s="130"/>
      <c r="F85" s="130"/>
      <c r="G85" s="130"/>
      <c r="H85" s="130"/>
      <c r="I85" s="131"/>
    </row>
    <row r="86" spans="1:9" ht="15.75" customHeight="1">
      <c r="A86" s="29">
        <v>19</v>
      </c>
      <c r="B86" s="82" t="s">
        <v>128</v>
      </c>
      <c r="C86" s="16" t="s">
        <v>54</v>
      </c>
      <c r="D86" s="104" t="s">
        <v>150</v>
      </c>
      <c r="E86" s="13">
        <v>1839.1</v>
      </c>
      <c r="F86" s="13">
        <f>SUM(E86*12)</f>
        <v>22069.199999999997</v>
      </c>
      <c r="G86" s="13">
        <v>2.95</v>
      </c>
      <c r="H86" s="99">
        <f>SUM(F86*G86/1000)</f>
        <v>65.104139999999987</v>
      </c>
      <c r="I86" s="13">
        <f>F86/12*G86</f>
        <v>5425.3449999999993</v>
      </c>
    </row>
    <row r="87" spans="1:9" ht="31.5" customHeight="1">
      <c r="A87" s="29">
        <v>20</v>
      </c>
      <c r="B87" s="98" t="s">
        <v>77</v>
      </c>
      <c r="C87" s="16"/>
      <c r="D87" s="104" t="s">
        <v>150</v>
      </c>
      <c r="E87" s="84">
        <v>1839.1</v>
      </c>
      <c r="F87" s="13">
        <f>E87*12</f>
        <v>22069.199999999997</v>
      </c>
      <c r="G87" s="13">
        <v>3.05</v>
      </c>
      <c r="H87" s="99">
        <f>F87*G87/1000</f>
        <v>67.311059999999983</v>
      </c>
      <c r="I87" s="13">
        <f>F87/12*G87</f>
        <v>5609.2549999999983</v>
      </c>
    </row>
    <row r="88" spans="1:9" ht="31.5" customHeight="1">
      <c r="A88" s="29">
        <v>21</v>
      </c>
      <c r="B88" s="98" t="s">
        <v>132</v>
      </c>
      <c r="C88" s="16" t="s">
        <v>133</v>
      </c>
      <c r="D88" s="104" t="s">
        <v>150</v>
      </c>
      <c r="E88" s="102"/>
      <c r="F88" s="13"/>
      <c r="G88" s="13"/>
      <c r="H88" s="99">
        <v>59.113</v>
      </c>
      <c r="I88" s="13">
        <f>59113/12</f>
        <v>4926.083333333333</v>
      </c>
    </row>
    <row r="89" spans="1:9" ht="15.75" customHeight="1">
      <c r="A89" s="81"/>
      <c r="B89" s="40" t="s">
        <v>79</v>
      </c>
      <c r="C89" s="41"/>
      <c r="D89" s="15"/>
      <c r="E89" s="15"/>
      <c r="F89" s="15"/>
      <c r="G89" s="18"/>
      <c r="H89" s="18"/>
      <c r="I89" s="31">
        <f>I88+I87+I86+I84+I72+I60+I59+I54+I53+I52+I44+I43+I42+I41+I40+I39+I28+I27+I18+I17+I16</f>
        <v>45234.496485999989</v>
      </c>
    </row>
    <row r="90" spans="1:9" ht="15.75" customHeight="1">
      <c r="A90" s="132" t="s">
        <v>59</v>
      </c>
      <c r="B90" s="133"/>
      <c r="C90" s="133"/>
      <c r="D90" s="133"/>
      <c r="E90" s="133"/>
      <c r="F90" s="133"/>
      <c r="G90" s="133"/>
      <c r="H90" s="133"/>
      <c r="I90" s="134"/>
    </row>
    <row r="91" spans="1:9" ht="15.75" customHeight="1">
      <c r="A91" s="107">
        <v>22</v>
      </c>
      <c r="B91" s="37" t="s">
        <v>166</v>
      </c>
      <c r="C91" s="38" t="s">
        <v>167</v>
      </c>
      <c r="D91" s="52"/>
      <c r="E91" s="13"/>
      <c r="F91" s="13">
        <v>2</v>
      </c>
      <c r="G91" s="36">
        <v>1.2</v>
      </c>
      <c r="H91" s="99">
        <f t="shared" ref="H91:H94" si="7">G91*F91/1000</f>
        <v>2.3999999999999998E-3</v>
      </c>
      <c r="I91" s="108">
        <f>G91*12</f>
        <v>14.399999999999999</v>
      </c>
    </row>
    <row r="92" spans="1:9" ht="33" customHeight="1">
      <c r="A92" s="107">
        <v>23</v>
      </c>
      <c r="B92" s="105" t="s">
        <v>173</v>
      </c>
      <c r="C92" s="106" t="s">
        <v>116</v>
      </c>
      <c r="D92" s="52"/>
      <c r="E92" s="13"/>
      <c r="F92" s="13">
        <v>2</v>
      </c>
      <c r="G92" s="36">
        <v>5123.5</v>
      </c>
      <c r="H92" s="99">
        <f t="shared" si="7"/>
        <v>10.247</v>
      </c>
      <c r="I92" s="108">
        <f>G92*1</f>
        <v>5123.5</v>
      </c>
    </row>
    <row r="93" spans="1:9" ht="18.75" customHeight="1">
      <c r="A93" s="107">
        <v>24</v>
      </c>
      <c r="B93" s="105" t="s">
        <v>174</v>
      </c>
      <c r="C93" s="106" t="s">
        <v>116</v>
      </c>
      <c r="D93" s="52"/>
      <c r="E93" s="13"/>
      <c r="F93" s="13">
        <v>1</v>
      </c>
      <c r="G93" s="36">
        <v>197.48</v>
      </c>
      <c r="H93" s="99">
        <f t="shared" si="7"/>
        <v>0.19747999999999999</v>
      </c>
      <c r="I93" s="108">
        <f>G93*1</f>
        <v>197.48</v>
      </c>
    </row>
    <row r="94" spans="1:9" ht="18.75" hidden="1" customHeight="1">
      <c r="A94" s="107">
        <v>23</v>
      </c>
      <c r="B94" s="105" t="s">
        <v>175</v>
      </c>
      <c r="C94" s="106" t="s">
        <v>176</v>
      </c>
      <c r="D94" s="65"/>
      <c r="E94" s="36"/>
      <c r="F94" s="36">
        <v>4</v>
      </c>
      <c r="G94" s="36">
        <v>7033.13</v>
      </c>
      <c r="H94" s="103">
        <f t="shared" si="7"/>
        <v>28.13252</v>
      </c>
      <c r="I94" s="108">
        <f>G94*0.01</f>
        <v>70.331299999999999</v>
      </c>
    </row>
    <row r="95" spans="1:9" ht="31.5" hidden="1" customHeight="1">
      <c r="A95" s="107">
        <v>24</v>
      </c>
      <c r="B95" s="105" t="s">
        <v>177</v>
      </c>
      <c r="C95" s="106" t="s">
        <v>92</v>
      </c>
      <c r="D95" s="65"/>
      <c r="E95" s="36"/>
      <c r="F95" s="36"/>
      <c r="G95" s="36">
        <v>2306.62</v>
      </c>
      <c r="H95" s="103"/>
      <c r="I95" s="108">
        <f>G95*0.651</f>
        <v>1501.6096199999999</v>
      </c>
    </row>
    <row r="96" spans="1:9" ht="29.25" customHeight="1">
      <c r="A96" s="107">
        <v>25</v>
      </c>
      <c r="B96" s="105" t="s">
        <v>178</v>
      </c>
      <c r="C96" s="106" t="s">
        <v>179</v>
      </c>
      <c r="D96" s="65"/>
      <c r="E96" s="36"/>
      <c r="F96" s="36"/>
      <c r="G96" s="36">
        <f>2600.47-198.38</f>
        <v>2402.0899999999997</v>
      </c>
      <c r="H96" s="103"/>
      <c r="I96" s="108">
        <f>G96*1</f>
        <v>2402.0899999999997</v>
      </c>
    </row>
    <row r="97" spans="1:9" ht="15.75" customHeight="1">
      <c r="A97" s="29"/>
      <c r="B97" s="46" t="s">
        <v>51</v>
      </c>
      <c r="C97" s="42"/>
      <c r="D97" s="54"/>
      <c r="E97" s="42">
        <v>1</v>
      </c>
      <c r="F97" s="42"/>
      <c r="G97" s="42"/>
      <c r="H97" s="42"/>
      <c r="I97" s="31">
        <f>I96+I93+I92+I91</f>
        <v>7737.4699999999993</v>
      </c>
    </row>
    <row r="98" spans="1:9" ht="15.75" customHeight="1">
      <c r="A98" s="29"/>
      <c r="B98" s="52" t="s">
        <v>78</v>
      </c>
      <c r="C98" s="15"/>
      <c r="D98" s="15"/>
      <c r="E98" s="43"/>
      <c r="F98" s="43"/>
      <c r="G98" s="44"/>
      <c r="H98" s="44"/>
      <c r="I98" s="17">
        <v>0</v>
      </c>
    </row>
    <row r="99" spans="1:9" ht="15.75" customHeight="1">
      <c r="A99" s="55"/>
      <c r="B99" s="47" t="s">
        <v>140</v>
      </c>
      <c r="C99" s="34"/>
      <c r="D99" s="34"/>
      <c r="E99" s="34"/>
      <c r="F99" s="34"/>
      <c r="G99" s="34"/>
      <c r="H99" s="34"/>
      <c r="I99" s="45">
        <f>I89+I97</f>
        <v>52971.96648599999</v>
      </c>
    </row>
    <row r="100" spans="1:9" ht="15.75">
      <c r="A100" s="135" t="s">
        <v>183</v>
      </c>
      <c r="B100" s="135"/>
      <c r="C100" s="135"/>
      <c r="D100" s="135"/>
      <c r="E100" s="135"/>
      <c r="F100" s="135"/>
      <c r="G100" s="135"/>
      <c r="H100" s="135"/>
      <c r="I100" s="135"/>
    </row>
    <row r="101" spans="1:9" ht="15.75">
      <c r="A101" s="61"/>
      <c r="B101" s="151" t="s">
        <v>184</v>
      </c>
      <c r="C101" s="151"/>
      <c r="D101" s="151"/>
      <c r="E101" s="151"/>
      <c r="F101" s="151"/>
      <c r="G101" s="151"/>
      <c r="H101" s="80"/>
      <c r="I101" s="3"/>
    </row>
    <row r="102" spans="1:9">
      <c r="A102" s="71"/>
      <c r="B102" s="147" t="s">
        <v>6</v>
      </c>
      <c r="C102" s="147"/>
      <c r="D102" s="147"/>
      <c r="E102" s="147"/>
      <c r="F102" s="147"/>
      <c r="G102" s="147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55" t="s">
        <v>7</v>
      </c>
      <c r="B104" s="155"/>
      <c r="C104" s="155"/>
      <c r="D104" s="155"/>
      <c r="E104" s="155"/>
      <c r="F104" s="155"/>
      <c r="G104" s="155"/>
      <c r="H104" s="155"/>
      <c r="I104" s="155"/>
    </row>
    <row r="105" spans="1:9" ht="15.75">
      <c r="A105" s="155" t="s">
        <v>8</v>
      </c>
      <c r="B105" s="155"/>
      <c r="C105" s="155"/>
      <c r="D105" s="155"/>
      <c r="E105" s="155"/>
      <c r="F105" s="155"/>
      <c r="G105" s="155"/>
      <c r="H105" s="155"/>
      <c r="I105" s="155"/>
    </row>
    <row r="106" spans="1:9" ht="15.75">
      <c r="A106" s="152" t="s">
        <v>60</v>
      </c>
      <c r="B106" s="152"/>
      <c r="C106" s="152"/>
      <c r="D106" s="152"/>
      <c r="E106" s="152"/>
      <c r="F106" s="152"/>
      <c r="G106" s="152"/>
      <c r="H106" s="152"/>
      <c r="I106" s="152"/>
    </row>
    <row r="107" spans="1:9" ht="15.75">
      <c r="A107" s="11"/>
    </row>
    <row r="108" spans="1:9" ht="15.75">
      <c r="A108" s="153" t="s">
        <v>9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15.75">
      <c r="A109" s="4"/>
    </row>
    <row r="110" spans="1:9" ht="15.75">
      <c r="B110" s="70" t="s">
        <v>10</v>
      </c>
      <c r="C110" s="154" t="s">
        <v>87</v>
      </c>
      <c r="D110" s="154"/>
      <c r="E110" s="154"/>
      <c r="F110" s="78"/>
      <c r="I110" s="73"/>
    </row>
    <row r="111" spans="1:9">
      <c r="A111" s="71"/>
      <c r="C111" s="147" t="s">
        <v>11</v>
      </c>
      <c r="D111" s="147"/>
      <c r="E111" s="147"/>
      <c r="F111" s="24"/>
      <c r="I111" s="72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70" t="s">
        <v>13</v>
      </c>
      <c r="C113" s="149"/>
      <c r="D113" s="149"/>
      <c r="E113" s="149"/>
      <c r="F113" s="79"/>
      <c r="I113" s="73"/>
    </row>
    <row r="114" spans="1:9">
      <c r="A114" s="71"/>
      <c r="C114" s="136" t="s">
        <v>11</v>
      </c>
      <c r="D114" s="136"/>
      <c r="E114" s="136"/>
      <c r="F114" s="71"/>
      <c r="I114" s="72" t="s">
        <v>12</v>
      </c>
    </row>
    <row r="115" spans="1:9" ht="15.75">
      <c r="A115" s="4" t="s">
        <v>14</v>
      </c>
    </row>
    <row r="116" spans="1:9">
      <c r="A116" s="150" t="s">
        <v>15</v>
      </c>
      <c r="B116" s="150"/>
      <c r="C116" s="150"/>
      <c r="D116" s="150"/>
      <c r="E116" s="150"/>
      <c r="F116" s="150"/>
      <c r="G116" s="150"/>
      <c r="H116" s="150"/>
      <c r="I116" s="150"/>
    </row>
    <row r="117" spans="1:9" ht="45" customHeight="1">
      <c r="A117" s="148" t="s">
        <v>16</v>
      </c>
      <c r="B117" s="148"/>
      <c r="C117" s="148"/>
      <c r="D117" s="148"/>
      <c r="E117" s="148"/>
      <c r="F117" s="148"/>
      <c r="G117" s="148"/>
      <c r="H117" s="148"/>
      <c r="I117" s="148"/>
    </row>
    <row r="118" spans="1:9" ht="30" customHeight="1">
      <c r="A118" s="148" t="s">
        <v>17</v>
      </c>
      <c r="B118" s="148"/>
      <c r="C118" s="148"/>
      <c r="D118" s="148"/>
      <c r="E118" s="148"/>
      <c r="F118" s="148"/>
      <c r="G118" s="148"/>
      <c r="H118" s="148"/>
      <c r="I118" s="148"/>
    </row>
    <row r="119" spans="1:9" ht="30" customHeight="1">
      <c r="A119" s="148" t="s">
        <v>21</v>
      </c>
      <c r="B119" s="148"/>
      <c r="C119" s="148"/>
      <c r="D119" s="148"/>
      <c r="E119" s="148"/>
      <c r="F119" s="148"/>
      <c r="G119" s="148"/>
      <c r="H119" s="148"/>
      <c r="I119" s="148"/>
    </row>
    <row r="120" spans="1:9" ht="15.75">
      <c r="A120" s="148" t="s">
        <v>20</v>
      </c>
      <c r="B120" s="148"/>
      <c r="C120" s="148"/>
      <c r="D120" s="148"/>
      <c r="E120" s="148"/>
      <c r="F120" s="148"/>
      <c r="G120" s="148"/>
      <c r="H120" s="148"/>
      <c r="I120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4:E114"/>
    <mergeCell ref="A90:I90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5:I85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topLeftCell="A63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157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182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43251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F19*G19</f>
        <v>323.9622</v>
      </c>
      <c r="J19" s="22"/>
      <c r="K19" s="8"/>
      <c r="L19" s="8"/>
      <c r="M19" s="8"/>
    </row>
    <row r="20" spans="1:13" ht="15.75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31.5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12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13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14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15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17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18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customHeight="1">
      <c r="A46" s="41">
        <v>19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customHeight="1">
      <c r="A47" s="41">
        <v>20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customHeight="1">
      <c r="A48" s="41">
        <v>21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customHeight="1">
      <c r="A49" s="41">
        <v>22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customHeight="1">
      <c r="A50" s="41">
        <v>23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24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28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29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customHeight="1">
      <c r="A66" s="29">
        <v>25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customHeight="1">
      <c r="A67" s="29">
        <v>26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customHeight="1">
      <c r="A68" s="29">
        <v>27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29">
        <v>28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29">
        <v>29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30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31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32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33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f>59113/12</f>
        <v>4926.083333333333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I86+I85+I84+I72+I70+I69+I68+I67+I66+I51+I50+I49+I48+I47+I46+I35+I34+I33+I32+I31+I28+I27+I26+I25+I24+I23+I22+I21+I20+I19+I18+I17+I16</f>
        <v>93950.388762944436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107">
        <v>34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14.399999999999999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140</v>
      </c>
      <c r="C92" s="34"/>
      <c r="D92" s="34"/>
      <c r="E92" s="34"/>
      <c r="F92" s="34"/>
      <c r="G92" s="34"/>
      <c r="H92" s="34"/>
      <c r="I92" s="45">
        <f>I87+I90</f>
        <v>93964.78876294443</v>
      </c>
    </row>
    <row r="93" spans="1:9" ht="15.75">
      <c r="A93" s="135" t="s">
        <v>185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>
      <c r="A94" s="61"/>
      <c r="B94" s="151" t="s">
        <v>186</v>
      </c>
      <c r="C94" s="151"/>
      <c r="D94" s="151"/>
      <c r="E94" s="151"/>
      <c r="F94" s="151"/>
      <c r="G94" s="151"/>
      <c r="H94" s="80"/>
      <c r="I94" s="3"/>
    </row>
    <row r="95" spans="1:9">
      <c r="A95" s="71"/>
      <c r="B95" s="147" t="s">
        <v>6</v>
      </c>
      <c r="C95" s="147"/>
      <c r="D95" s="147"/>
      <c r="E95" s="147"/>
      <c r="F95" s="147"/>
      <c r="G95" s="147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5" t="s">
        <v>7</v>
      </c>
      <c r="B97" s="155"/>
      <c r="C97" s="155"/>
      <c r="D97" s="155"/>
      <c r="E97" s="155"/>
      <c r="F97" s="155"/>
      <c r="G97" s="155"/>
      <c r="H97" s="155"/>
      <c r="I97" s="155"/>
    </row>
    <row r="98" spans="1:9" ht="15.75">
      <c r="A98" s="155" t="s">
        <v>8</v>
      </c>
      <c r="B98" s="155"/>
      <c r="C98" s="155"/>
      <c r="D98" s="155"/>
      <c r="E98" s="155"/>
      <c r="F98" s="155"/>
      <c r="G98" s="155"/>
      <c r="H98" s="155"/>
      <c r="I98" s="155"/>
    </row>
    <row r="99" spans="1:9" ht="15.75">
      <c r="A99" s="152" t="s">
        <v>60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>
      <c r="A100" s="11"/>
    </row>
    <row r="101" spans="1:9" ht="15.75">
      <c r="A101" s="153" t="s">
        <v>9</v>
      </c>
      <c r="B101" s="153"/>
      <c r="C101" s="153"/>
      <c r="D101" s="153"/>
      <c r="E101" s="153"/>
      <c r="F101" s="153"/>
      <c r="G101" s="153"/>
      <c r="H101" s="153"/>
      <c r="I101" s="153"/>
    </row>
    <row r="102" spans="1:9" ht="15.75">
      <c r="A102" s="4"/>
    </row>
    <row r="103" spans="1:9" ht="15.75">
      <c r="B103" s="70" t="s">
        <v>10</v>
      </c>
      <c r="C103" s="154" t="s">
        <v>87</v>
      </c>
      <c r="D103" s="154"/>
      <c r="E103" s="154"/>
      <c r="F103" s="78"/>
      <c r="I103" s="73"/>
    </row>
    <row r="104" spans="1:9">
      <c r="A104" s="71"/>
      <c r="C104" s="147" t="s">
        <v>11</v>
      </c>
      <c r="D104" s="147"/>
      <c r="E104" s="147"/>
      <c r="F104" s="24"/>
      <c r="I104" s="7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0" t="s">
        <v>13</v>
      </c>
      <c r="C106" s="149"/>
      <c r="D106" s="149"/>
      <c r="E106" s="149"/>
      <c r="F106" s="79"/>
      <c r="I106" s="73"/>
    </row>
    <row r="107" spans="1:9">
      <c r="A107" s="71"/>
      <c r="C107" s="136" t="s">
        <v>11</v>
      </c>
      <c r="D107" s="136"/>
      <c r="E107" s="136"/>
      <c r="F107" s="71"/>
      <c r="I107" s="72" t="s">
        <v>12</v>
      </c>
    </row>
    <row r="108" spans="1:9" ht="15.75">
      <c r="A108" s="4" t="s">
        <v>14</v>
      </c>
    </row>
    <row r="109" spans="1:9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48" t="s">
        <v>16</v>
      </c>
      <c r="B110" s="148"/>
      <c r="C110" s="148"/>
      <c r="D110" s="148"/>
      <c r="E110" s="148"/>
      <c r="F110" s="148"/>
      <c r="G110" s="148"/>
      <c r="H110" s="148"/>
      <c r="I110" s="148"/>
    </row>
    <row r="111" spans="1:9" ht="30" customHeight="1">
      <c r="A111" s="148" t="s">
        <v>17</v>
      </c>
      <c r="B111" s="148"/>
      <c r="C111" s="148"/>
      <c r="D111" s="148"/>
      <c r="E111" s="148"/>
      <c r="F111" s="148"/>
      <c r="G111" s="148"/>
      <c r="H111" s="148"/>
      <c r="I111" s="148"/>
    </row>
    <row r="112" spans="1:9" ht="30" customHeight="1">
      <c r="A112" s="148" t="s">
        <v>21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15.75">
      <c r="A113" s="148" t="s">
        <v>20</v>
      </c>
      <c r="B113" s="148"/>
      <c r="C113" s="148"/>
      <c r="D113" s="148"/>
      <c r="E113" s="148"/>
      <c r="F113" s="148"/>
      <c r="G113" s="148"/>
      <c r="H113" s="148"/>
      <c r="I113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5"/>
  <sheetViews>
    <sheetView topLeftCell="A72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82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158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187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43281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136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19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customHeight="1">
      <c r="A55" s="41">
        <v>10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11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13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15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SUM(I16+I17+I18+I27+I28+I31+I32+I34+I35+I55+I56+I72+I84+I85+I86)</f>
        <v>45134.309499111107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8.75" customHeight="1">
      <c r="A89" s="107">
        <v>16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8" customHeight="1">
      <c r="A90" s="107">
        <v>17</v>
      </c>
      <c r="B90" s="127" t="s">
        <v>188</v>
      </c>
      <c r="C90" s="41" t="s">
        <v>88</v>
      </c>
      <c r="D90" s="52"/>
      <c r="E90" s="13"/>
      <c r="F90" s="13"/>
      <c r="G90" s="36">
        <v>3413.41</v>
      </c>
      <c r="H90" s="99"/>
      <c r="I90" s="108">
        <f>G90*0.06</f>
        <v>204.80459999999999</v>
      </c>
    </row>
    <row r="91" spans="1:9" ht="31.5" customHeight="1">
      <c r="A91" s="107">
        <v>18</v>
      </c>
      <c r="B91" s="128" t="s">
        <v>189</v>
      </c>
      <c r="C91" s="66" t="s">
        <v>190</v>
      </c>
      <c r="D91" s="52"/>
      <c r="E91" s="13"/>
      <c r="F91" s="13"/>
      <c r="G91" s="36">
        <v>56.34</v>
      </c>
      <c r="H91" s="99"/>
      <c r="I91" s="108">
        <f>G91*1</f>
        <v>56.34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SUM(I89:I91)</f>
        <v>275.5446</v>
      </c>
    </row>
    <row r="93" spans="1:9" ht="15.75" customHeight="1">
      <c r="A93" s="29"/>
      <c r="B93" s="52" t="s">
        <v>78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140</v>
      </c>
      <c r="C94" s="34"/>
      <c r="D94" s="34"/>
      <c r="E94" s="34"/>
      <c r="F94" s="34"/>
      <c r="G94" s="34"/>
      <c r="H94" s="34"/>
      <c r="I94" s="45">
        <f>I87+I92</f>
        <v>45409.854099111108</v>
      </c>
    </row>
    <row r="95" spans="1:9" ht="15.75">
      <c r="A95" s="135" t="s">
        <v>191</v>
      </c>
      <c r="B95" s="135"/>
      <c r="C95" s="135"/>
      <c r="D95" s="135"/>
      <c r="E95" s="135"/>
      <c r="F95" s="135"/>
      <c r="G95" s="135"/>
      <c r="H95" s="135"/>
      <c r="I95" s="135"/>
    </row>
    <row r="96" spans="1:9" ht="15.75">
      <c r="A96" s="61"/>
      <c r="B96" s="151" t="s">
        <v>192</v>
      </c>
      <c r="C96" s="151"/>
      <c r="D96" s="151"/>
      <c r="E96" s="151"/>
      <c r="F96" s="151"/>
      <c r="G96" s="151"/>
      <c r="H96" s="80"/>
      <c r="I96" s="3"/>
    </row>
    <row r="97" spans="1:9">
      <c r="A97" s="71"/>
      <c r="B97" s="147" t="s">
        <v>6</v>
      </c>
      <c r="C97" s="147"/>
      <c r="D97" s="147"/>
      <c r="E97" s="147"/>
      <c r="F97" s="147"/>
      <c r="G97" s="147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55" t="s">
        <v>7</v>
      </c>
      <c r="B99" s="155"/>
      <c r="C99" s="155"/>
      <c r="D99" s="155"/>
      <c r="E99" s="155"/>
      <c r="F99" s="155"/>
      <c r="G99" s="155"/>
      <c r="H99" s="155"/>
      <c r="I99" s="155"/>
    </row>
    <row r="100" spans="1:9" ht="15.75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9" ht="15.75">
      <c r="A101" s="152" t="s">
        <v>60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>
      <c r="A102" s="11"/>
    </row>
    <row r="103" spans="1:9" ht="15.75">
      <c r="A103" s="153" t="s">
        <v>9</v>
      </c>
      <c r="B103" s="153"/>
      <c r="C103" s="153"/>
      <c r="D103" s="153"/>
      <c r="E103" s="153"/>
      <c r="F103" s="153"/>
      <c r="G103" s="153"/>
      <c r="H103" s="153"/>
      <c r="I103" s="153"/>
    </row>
    <row r="104" spans="1:9" ht="15.75">
      <c r="A104" s="4"/>
    </row>
    <row r="105" spans="1:9" ht="15.75">
      <c r="B105" s="70" t="s">
        <v>10</v>
      </c>
      <c r="C105" s="154" t="s">
        <v>87</v>
      </c>
      <c r="D105" s="154"/>
      <c r="E105" s="154"/>
      <c r="F105" s="78"/>
      <c r="I105" s="73"/>
    </row>
    <row r="106" spans="1:9">
      <c r="A106" s="71"/>
      <c r="C106" s="147" t="s">
        <v>11</v>
      </c>
      <c r="D106" s="147"/>
      <c r="E106" s="147"/>
      <c r="F106" s="24"/>
      <c r="I106" s="72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0" t="s">
        <v>13</v>
      </c>
      <c r="C108" s="149"/>
      <c r="D108" s="149"/>
      <c r="E108" s="149"/>
      <c r="F108" s="79"/>
      <c r="I108" s="73"/>
    </row>
    <row r="109" spans="1:9">
      <c r="A109" s="71"/>
      <c r="C109" s="136" t="s">
        <v>11</v>
      </c>
      <c r="D109" s="136"/>
      <c r="E109" s="136"/>
      <c r="F109" s="71"/>
      <c r="I109" s="72" t="s">
        <v>12</v>
      </c>
    </row>
    <row r="110" spans="1:9" ht="15.75">
      <c r="A110" s="4" t="s">
        <v>14</v>
      </c>
    </row>
    <row r="111" spans="1:9">
      <c r="A111" s="150" t="s">
        <v>15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45" customHeight="1">
      <c r="A112" s="148" t="s">
        <v>16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30" customHeight="1">
      <c r="A113" s="148" t="s">
        <v>17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30" customHeight="1">
      <c r="A114" s="148" t="s">
        <v>21</v>
      </c>
      <c r="B114" s="148"/>
      <c r="C114" s="148"/>
      <c r="D114" s="148"/>
      <c r="E114" s="148"/>
      <c r="F114" s="148"/>
      <c r="G114" s="148"/>
      <c r="H114" s="148"/>
      <c r="I114" s="148"/>
    </row>
    <row r="115" spans="1:9" ht="15.75">
      <c r="A115" s="148" t="s">
        <v>20</v>
      </c>
      <c r="B115" s="148"/>
      <c r="C115" s="148"/>
      <c r="D115" s="148"/>
      <c r="E115" s="148"/>
      <c r="F115" s="148"/>
      <c r="G115" s="148"/>
      <c r="H115" s="148"/>
      <c r="I115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topLeftCell="A34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159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193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43312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19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154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10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155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11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12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13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SUM(I16+I17+I18+I27+I28+I31+I32+I34+I35+I72+I84+I85+I86)</f>
        <v>35870.429499111109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107">
        <v>14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14.399999999999999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140</v>
      </c>
      <c r="C92" s="34"/>
      <c r="D92" s="34"/>
      <c r="E92" s="34"/>
      <c r="F92" s="34"/>
      <c r="G92" s="34"/>
      <c r="H92" s="34"/>
      <c r="I92" s="45">
        <f>I87+I90</f>
        <v>35884.829499111111</v>
      </c>
    </row>
    <row r="93" spans="1:9" ht="15.75">
      <c r="A93" s="135" t="s">
        <v>194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>
      <c r="A94" s="61"/>
      <c r="B94" s="151" t="s">
        <v>195</v>
      </c>
      <c r="C94" s="151"/>
      <c r="D94" s="151"/>
      <c r="E94" s="151"/>
      <c r="F94" s="151"/>
      <c r="G94" s="151"/>
      <c r="H94" s="80"/>
      <c r="I94" s="3"/>
    </row>
    <row r="95" spans="1:9">
      <c r="A95" s="71"/>
      <c r="B95" s="147" t="s">
        <v>6</v>
      </c>
      <c r="C95" s="147"/>
      <c r="D95" s="147"/>
      <c r="E95" s="147"/>
      <c r="F95" s="147"/>
      <c r="G95" s="147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5" t="s">
        <v>7</v>
      </c>
      <c r="B97" s="155"/>
      <c r="C97" s="155"/>
      <c r="D97" s="155"/>
      <c r="E97" s="155"/>
      <c r="F97" s="155"/>
      <c r="G97" s="155"/>
      <c r="H97" s="155"/>
      <c r="I97" s="155"/>
    </row>
    <row r="98" spans="1:9" ht="15.75">
      <c r="A98" s="155" t="s">
        <v>8</v>
      </c>
      <c r="B98" s="155"/>
      <c r="C98" s="155"/>
      <c r="D98" s="155"/>
      <c r="E98" s="155"/>
      <c r="F98" s="155"/>
      <c r="G98" s="155"/>
      <c r="H98" s="155"/>
      <c r="I98" s="155"/>
    </row>
    <row r="99" spans="1:9" ht="15.75">
      <c r="A99" s="152" t="s">
        <v>60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>
      <c r="A100" s="11"/>
    </row>
    <row r="101" spans="1:9" ht="15.75">
      <c r="A101" s="153" t="s">
        <v>9</v>
      </c>
      <c r="B101" s="153"/>
      <c r="C101" s="153"/>
      <c r="D101" s="153"/>
      <c r="E101" s="153"/>
      <c r="F101" s="153"/>
      <c r="G101" s="153"/>
      <c r="H101" s="153"/>
      <c r="I101" s="153"/>
    </row>
    <row r="102" spans="1:9" ht="15.75">
      <c r="A102" s="4"/>
    </row>
    <row r="103" spans="1:9" ht="15.75">
      <c r="B103" s="70" t="s">
        <v>10</v>
      </c>
      <c r="C103" s="154" t="s">
        <v>87</v>
      </c>
      <c r="D103" s="154"/>
      <c r="E103" s="154"/>
      <c r="F103" s="78"/>
      <c r="I103" s="73"/>
    </row>
    <row r="104" spans="1:9">
      <c r="A104" s="71"/>
      <c r="C104" s="147" t="s">
        <v>11</v>
      </c>
      <c r="D104" s="147"/>
      <c r="E104" s="147"/>
      <c r="F104" s="24"/>
      <c r="I104" s="7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0" t="s">
        <v>13</v>
      </c>
      <c r="C106" s="149"/>
      <c r="D106" s="149"/>
      <c r="E106" s="149"/>
      <c r="F106" s="79"/>
      <c r="I106" s="73"/>
    </row>
    <row r="107" spans="1:9">
      <c r="A107" s="71"/>
      <c r="C107" s="136" t="s">
        <v>11</v>
      </c>
      <c r="D107" s="136"/>
      <c r="E107" s="136"/>
      <c r="F107" s="71"/>
      <c r="I107" s="72" t="s">
        <v>12</v>
      </c>
    </row>
    <row r="108" spans="1:9" ht="15.75">
      <c r="A108" s="4" t="s">
        <v>14</v>
      </c>
    </row>
    <row r="109" spans="1:9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48" t="s">
        <v>16</v>
      </c>
      <c r="B110" s="148"/>
      <c r="C110" s="148"/>
      <c r="D110" s="148"/>
      <c r="E110" s="148"/>
      <c r="F110" s="148"/>
      <c r="G110" s="148"/>
      <c r="H110" s="148"/>
      <c r="I110" s="148"/>
    </row>
    <row r="111" spans="1:9" ht="30" customHeight="1">
      <c r="A111" s="148" t="s">
        <v>17</v>
      </c>
      <c r="B111" s="148"/>
      <c r="C111" s="148"/>
      <c r="D111" s="148"/>
      <c r="E111" s="148"/>
      <c r="F111" s="148"/>
      <c r="G111" s="148"/>
      <c r="H111" s="148"/>
      <c r="I111" s="148"/>
    </row>
    <row r="112" spans="1:9" ht="30" customHeight="1">
      <c r="A112" s="148" t="s">
        <v>21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15.75">
      <c r="A113" s="148" t="s">
        <v>20</v>
      </c>
      <c r="B113" s="148"/>
      <c r="C113" s="148"/>
      <c r="D113" s="148"/>
      <c r="E113" s="148"/>
      <c r="F113" s="148"/>
      <c r="G113" s="148"/>
      <c r="H113" s="148"/>
      <c r="I113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34" workbookViewId="0">
      <selection activeCell="I97" sqref="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160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204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43343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hidden="1" customHeight="1">
      <c r="A46" s="41">
        <v>19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154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hidden="1" customHeight="1">
      <c r="A71" s="29">
        <v>13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10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155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11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12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13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I86+I85+I84+I72+I35+I34+I32+I31+I28+I27+I18+I17+I16</f>
        <v>35870.429499111109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7.25" customHeight="1">
      <c r="A89" s="107">
        <v>14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5" customHeight="1">
      <c r="A90" s="107">
        <v>15</v>
      </c>
      <c r="B90" s="105" t="s">
        <v>174</v>
      </c>
      <c r="C90" s="106" t="s">
        <v>116</v>
      </c>
      <c r="D90" s="65"/>
      <c r="E90" s="36"/>
      <c r="F90" s="36"/>
      <c r="G90" s="36">
        <v>197.48</v>
      </c>
      <c r="H90" s="103"/>
      <c r="I90" s="108">
        <f>G90*1</f>
        <v>197.48</v>
      </c>
    </row>
    <row r="91" spans="1:9" ht="15" customHeight="1">
      <c r="A91" s="107">
        <v>16</v>
      </c>
      <c r="B91" s="128" t="s">
        <v>214</v>
      </c>
      <c r="C91" s="66" t="s">
        <v>152</v>
      </c>
      <c r="D91" s="65"/>
      <c r="E91" s="36"/>
      <c r="F91" s="36"/>
      <c r="G91" s="36">
        <v>165.12</v>
      </c>
      <c r="H91" s="103"/>
      <c r="I91" s="108">
        <f>G91*1</f>
        <v>165.12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SUM(I89:I91)</f>
        <v>377</v>
      </c>
    </row>
    <row r="93" spans="1:9" ht="15.75" customHeight="1">
      <c r="A93" s="29"/>
      <c r="B93" s="52" t="s">
        <v>78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140</v>
      </c>
      <c r="C94" s="34"/>
      <c r="D94" s="34"/>
      <c r="E94" s="34"/>
      <c r="F94" s="34"/>
      <c r="G94" s="34"/>
      <c r="H94" s="34"/>
      <c r="I94" s="45">
        <f>I87+I92</f>
        <v>36247.429499111109</v>
      </c>
    </row>
    <row r="95" spans="1:9" ht="15.75">
      <c r="A95" s="135" t="s">
        <v>215</v>
      </c>
      <c r="B95" s="135"/>
      <c r="C95" s="135"/>
      <c r="D95" s="135"/>
      <c r="E95" s="135"/>
      <c r="F95" s="135"/>
      <c r="G95" s="135"/>
      <c r="H95" s="135"/>
      <c r="I95" s="135"/>
    </row>
    <row r="96" spans="1:9" ht="15.75">
      <c r="A96" s="61"/>
      <c r="B96" s="151" t="s">
        <v>216</v>
      </c>
      <c r="C96" s="151"/>
      <c r="D96" s="151"/>
      <c r="E96" s="151"/>
      <c r="F96" s="151"/>
      <c r="G96" s="151"/>
      <c r="H96" s="80"/>
      <c r="I96" s="3"/>
    </row>
    <row r="97" spans="1:9">
      <c r="A97" s="71"/>
      <c r="B97" s="147" t="s">
        <v>6</v>
      </c>
      <c r="C97" s="147"/>
      <c r="D97" s="147"/>
      <c r="E97" s="147"/>
      <c r="F97" s="147"/>
      <c r="G97" s="147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55" t="s">
        <v>7</v>
      </c>
      <c r="B99" s="155"/>
      <c r="C99" s="155"/>
      <c r="D99" s="155"/>
      <c r="E99" s="155"/>
      <c r="F99" s="155"/>
      <c r="G99" s="155"/>
      <c r="H99" s="155"/>
      <c r="I99" s="155"/>
    </row>
    <row r="100" spans="1:9" ht="15.75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9" ht="15.75">
      <c r="A101" s="152" t="s">
        <v>60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>
      <c r="A102" s="11"/>
    </row>
    <row r="103" spans="1:9" ht="15.75">
      <c r="A103" s="153" t="s">
        <v>9</v>
      </c>
      <c r="B103" s="153"/>
      <c r="C103" s="153"/>
      <c r="D103" s="153"/>
      <c r="E103" s="153"/>
      <c r="F103" s="153"/>
      <c r="G103" s="153"/>
      <c r="H103" s="153"/>
      <c r="I103" s="153"/>
    </row>
    <row r="104" spans="1:9" ht="15.75">
      <c r="A104" s="4"/>
    </row>
    <row r="105" spans="1:9" ht="15.75">
      <c r="B105" s="70" t="s">
        <v>10</v>
      </c>
      <c r="C105" s="154" t="s">
        <v>87</v>
      </c>
      <c r="D105" s="154"/>
      <c r="E105" s="154"/>
      <c r="F105" s="78"/>
      <c r="I105" s="73"/>
    </row>
    <row r="106" spans="1:9">
      <c r="A106" s="71"/>
      <c r="C106" s="147" t="s">
        <v>11</v>
      </c>
      <c r="D106" s="147"/>
      <c r="E106" s="147"/>
      <c r="F106" s="24"/>
      <c r="I106" s="72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0" t="s">
        <v>13</v>
      </c>
      <c r="C108" s="149"/>
      <c r="D108" s="149"/>
      <c r="E108" s="149"/>
      <c r="F108" s="79"/>
      <c r="I108" s="73"/>
    </row>
    <row r="109" spans="1:9">
      <c r="A109" s="71"/>
      <c r="C109" s="136" t="s">
        <v>11</v>
      </c>
      <c r="D109" s="136"/>
      <c r="E109" s="136"/>
      <c r="F109" s="71"/>
      <c r="I109" s="72" t="s">
        <v>12</v>
      </c>
    </row>
    <row r="110" spans="1:9" ht="15.75">
      <c r="A110" s="4" t="s">
        <v>14</v>
      </c>
    </row>
    <row r="111" spans="1:9">
      <c r="A111" s="150" t="s">
        <v>15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45" customHeight="1">
      <c r="A112" s="148" t="s">
        <v>16</v>
      </c>
      <c r="B112" s="148"/>
      <c r="C112" s="148"/>
      <c r="D112" s="148"/>
      <c r="E112" s="148"/>
      <c r="F112" s="148"/>
      <c r="G112" s="148"/>
      <c r="H112" s="148"/>
      <c r="I112" s="148"/>
    </row>
    <row r="113" spans="1:9" ht="30" customHeight="1">
      <c r="A113" s="148" t="s">
        <v>17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30" customHeight="1">
      <c r="A114" s="148" t="s">
        <v>21</v>
      </c>
      <c r="B114" s="148"/>
      <c r="C114" s="148"/>
      <c r="D114" s="148"/>
      <c r="E114" s="148"/>
      <c r="F114" s="148"/>
      <c r="G114" s="148"/>
      <c r="H114" s="148"/>
      <c r="I114" s="148"/>
    </row>
    <row r="115" spans="1:9" ht="15.75">
      <c r="A115" s="148" t="s">
        <v>20</v>
      </c>
      <c r="B115" s="148"/>
      <c r="C115" s="148"/>
      <c r="D115" s="148"/>
      <c r="E115" s="148"/>
      <c r="F115" s="148"/>
      <c r="G115" s="148"/>
      <c r="H115" s="148"/>
      <c r="I115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topLeftCell="A48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7" t="s">
        <v>161</v>
      </c>
      <c r="B3" s="137"/>
      <c r="C3" s="137"/>
      <c r="D3" s="137"/>
      <c r="E3" s="137"/>
      <c r="F3" s="137"/>
      <c r="G3" s="137"/>
      <c r="H3" s="137"/>
      <c r="I3" s="137"/>
      <c r="J3" s="3"/>
      <c r="K3" s="3"/>
      <c r="L3" s="3"/>
    </row>
    <row r="4" spans="1:13" ht="31.5" customHeight="1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3" ht="15.75" customHeight="1">
      <c r="A5" s="137" t="s">
        <v>205</v>
      </c>
      <c r="B5" s="141"/>
      <c r="C5" s="141"/>
      <c r="D5" s="141"/>
      <c r="E5" s="141"/>
      <c r="F5" s="141"/>
      <c r="G5" s="141"/>
      <c r="H5" s="141"/>
      <c r="I5" s="14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0">
        <v>43373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9" t="s">
        <v>197</v>
      </c>
      <c r="B8" s="139"/>
      <c r="C8" s="139"/>
      <c r="D8" s="139"/>
      <c r="E8" s="139"/>
      <c r="F8" s="139"/>
      <c r="G8" s="139"/>
      <c r="H8" s="139"/>
      <c r="I8" s="1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0" t="s">
        <v>135</v>
      </c>
      <c r="B10" s="140"/>
      <c r="C10" s="140"/>
      <c r="D10" s="140"/>
      <c r="E10" s="140"/>
      <c r="F10" s="140"/>
      <c r="G10" s="140"/>
      <c r="H10" s="140"/>
      <c r="I10" s="14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2" t="s">
        <v>58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29">
        <v>1</v>
      </c>
      <c r="B16" s="82" t="s">
        <v>83</v>
      </c>
      <c r="C16" s="83" t="s">
        <v>92</v>
      </c>
      <c r="D16" s="82" t="s">
        <v>141</v>
      </c>
      <c r="E16" s="84">
        <v>54.2</v>
      </c>
      <c r="F16" s="85">
        <f>SUM(E16*156/100)</f>
        <v>84.552000000000007</v>
      </c>
      <c r="G16" s="85">
        <v>218.21</v>
      </c>
      <c r="H16" s="86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90</v>
      </c>
      <c r="C17" s="83" t="s">
        <v>92</v>
      </c>
      <c r="D17" s="82" t="s">
        <v>142</v>
      </c>
      <c r="E17" s="84">
        <v>108.5</v>
      </c>
      <c r="F17" s="85">
        <f>SUM(E17*104/100)</f>
        <v>112.84</v>
      </c>
      <c r="G17" s="85">
        <v>218.21</v>
      </c>
      <c r="H17" s="86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91</v>
      </c>
      <c r="C18" s="83" t="s">
        <v>92</v>
      </c>
      <c r="D18" s="82" t="s">
        <v>143</v>
      </c>
      <c r="E18" s="84">
        <f>SUM(E16+E17)</f>
        <v>162.69999999999999</v>
      </c>
      <c r="F18" s="85">
        <f>SUM(E18*24/100)</f>
        <v>39.047999999999995</v>
      </c>
      <c r="G18" s="85">
        <v>627.77</v>
      </c>
      <c r="H18" s="86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93</v>
      </c>
      <c r="C19" s="83" t="s">
        <v>88</v>
      </c>
      <c r="D19" s="82" t="s">
        <v>94</v>
      </c>
      <c r="E19" s="84">
        <v>15.3</v>
      </c>
      <c r="F19" s="85">
        <f>SUM(E19/10)</f>
        <v>1.53</v>
      </c>
      <c r="G19" s="85">
        <v>211.74</v>
      </c>
      <c r="H19" s="86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4</v>
      </c>
      <c r="B20" s="82" t="s">
        <v>96</v>
      </c>
      <c r="C20" s="83" t="s">
        <v>92</v>
      </c>
      <c r="D20" s="82" t="s">
        <v>41</v>
      </c>
      <c r="E20" s="84">
        <v>19.62</v>
      </c>
      <c r="F20" s="85">
        <f>SUM(E20*2/100)</f>
        <v>0.39240000000000003</v>
      </c>
      <c r="G20" s="85">
        <v>271.12</v>
      </c>
      <c r="H20" s="86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5</v>
      </c>
      <c r="B21" s="82" t="s">
        <v>97</v>
      </c>
      <c r="C21" s="83" t="s">
        <v>92</v>
      </c>
      <c r="D21" s="82" t="s">
        <v>41</v>
      </c>
      <c r="E21" s="84">
        <v>8.68</v>
      </c>
      <c r="F21" s="85">
        <f>SUM(E21*2/100)</f>
        <v>0.1736</v>
      </c>
      <c r="G21" s="85">
        <v>268.92</v>
      </c>
      <c r="H21" s="86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98</v>
      </c>
      <c r="C22" s="83" t="s">
        <v>52</v>
      </c>
      <c r="D22" s="82" t="s">
        <v>94</v>
      </c>
      <c r="E22" s="84">
        <v>215</v>
      </c>
      <c r="F22" s="85">
        <f>SUM(E22/100)</f>
        <v>2.15</v>
      </c>
      <c r="G22" s="85">
        <v>335.05</v>
      </c>
      <c r="H22" s="86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99</v>
      </c>
      <c r="C23" s="83" t="s">
        <v>52</v>
      </c>
      <c r="D23" s="82" t="s">
        <v>94</v>
      </c>
      <c r="E23" s="87">
        <v>17.64</v>
      </c>
      <c r="F23" s="85">
        <f>SUM(E23/100)</f>
        <v>0.1764</v>
      </c>
      <c r="G23" s="85">
        <v>55.1</v>
      </c>
      <c r="H23" s="86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95</v>
      </c>
      <c r="C24" s="83" t="s">
        <v>52</v>
      </c>
      <c r="D24" s="82" t="s">
        <v>94</v>
      </c>
      <c r="E24" s="18">
        <v>4.5</v>
      </c>
      <c r="F24" s="88">
        <v>0.05</v>
      </c>
      <c r="G24" s="85">
        <v>484.94</v>
      </c>
      <c r="H24" s="86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130</v>
      </c>
      <c r="C25" s="83" t="s">
        <v>52</v>
      </c>
      <c r="D25" s="82" t="s">
        <v>94</v>
      </c>
      <c r="E25" s="87">
        <v>9.4499999999999993</v>
      </c>
      <c r="F25" s="85">
        <v>0.09</v>
      </c>
      <c r="G25" s="85">
        <v>268.92</v>
      </c>
      <c r="H25" s="86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100</v>
      </c>
      <c r="C26" s="83" t="s">
        <v>52</v>
      </c>
      <c r="D26" s="82" t="s">
        <v>94</v>
      </c>
      <c r="E26" s="84">
        <v>14.4</v>
      </c>
      <c r="F26" s="85">
        <f>SUM(E26/100)</f>
        <v>0.14400000000000002</v>
      </c>
      <c r="G26" s="85">
        <v>648.04999999999995</v>
      </c>
      <c r="H26" s="86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6</v>
      </c>
      <c r="B27" s="82" t="s">
        <v>63</v>
      </c>
      <c r="C27" s="83" t="s">
        <v>31</v>
      </c>
      <c r="D27" s="82"/>
      <c r="E27" s="84">
        <v>0.1</v>
      </c>
      <c r="F27" s="85">
        <f>SUM(E27*365)</f>
        <v>36.5</v>
      </c>
      <c r="G27" s="85">
        <v>182.96</v>
      </c>
      <c r="H27" s="86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7</v>
      </c>
      <c r="B28" s="89" t="s">
        <v>23</v>
      </c>
      <c r="C28" s="83" t="s">
        <v>24</v>
      </c>
      <c r="D28" s="82"/>
      <c r="E28" s="84">
        <v>1839.1</v>
      </c>
      <c r="F28" s="85">
        <f>SUM(E28*12)</f>
        <v>22069.199999999997</v>
      </c>
      <c r="G28" s="85">
        <v>4.58</v>
      </c>
      <c r="H28" s="86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43" t="s">
        <v>81</v>
      </c>
      <c r="B29" s="143"/>
      <c r="C29" s="143"/>
      <c r="D29" s="143"/>
      <c r="E29" s="143"/>
      <c r="F29" s="143"/>
      <c r="G29" s="143"/>
      <c r="H29" s="143"/>
      <c r="I29" s="143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8</v>
      </c>
      <c r="B31" s="32" t="s">
        <v>101</v>
      </c>
      <c r="C31" s="83" t="s">
        <v>102</v>
      </c>
      <c r="D31" s="82" t="s">
        <v>103</v>
      </c>
      <c r="E31" s="85">
        <v>58</v>
      </c>
      <c r="F31" s="85">
        <f>SUM(E31*52/1000)</f>
        <v>3.016</v>
      </c>
      <c r="G31" s="85">
        <v>193.97</v>
      </c>
      <c r="H31" s="86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9</v>
      </c>
      <c r="B32" s="32" t="s">
        <v>104</v>
      </c>
      <c r="C32" s="83" t="s">
        <v>102</v>
      </c>
      <c r="D32" s="82" t="s">
        <v>105</v>
      </c>
      <c r="E32" s="85">
        <v>48.3</v>
      </c>
      <c r="F32" s="85">
        <f>SUM(E32*78/1000)</f>
        <v>3.7673999999999994</v>
      </c>
      <c r="G32" s="85">
        <v>321.82</v>
      </c>
      <c r="H32" s="86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3" t="s">
        <v>102</v>
      </c>
      <c r="D33" s="82" t="s">
        <v>53</v>
      </c>
      <c r="E33" s="85">
        <v>58</v>
      </c>
      <c r="F33" s="85">
        <f>SUM(E33/1000)</f>
        <v>5.8000000000000003E-2</v>
      </c>
      <c r="G33" s="85">
        <v>3758.28</v>
      </c>
      <c r="H33" s="86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10</v>
      </c>
      <c r="B34" s="32" t="s">
        <v>106</v>
      </c>
      <c r="C34" s="83" t="s">
        <v>39</v>
      </c>
      <c r="D34" s="82" t="s">
        <v>62</v>
      </c>
      <c r="E34" s="85">
        <v>1</v>
      </c>
      <c r="F34" s="85">
        <f>E34*155/100</f>
        <v>1.55</v>
      </c>
      <c r="G34" s="85">
        <v>1620.15</v>
      </c>
      <c r="H34" s="86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11</v>
      </c>
      <c r="B35" s="32" t="s">
        <v>107</v>
      </c>
      <c r="C35" s="83" t="s">
        <v>29</v>
      </c>
      <c r="D35" s="82" t="s">
        <v>62</v>
      </c>
      <c r="E35" s="90">
        <f>1/3</f>
        <v>0.33333333333333331</v>
      </c>
      <c r="F35" s="85">
        <f>155/3</f>
        <v>51.666666666666664</v>
      </c>
      <c r="G35" s="85">
        <v>70.540000000000006</v>
      </c>
      <c r="H35" s="86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2" t="s">
        <v>64</v>
      </c>
      <c r="C36" s="83" t="s">
        <v>31</v>
      </c>
      <c r="D36" s="82" t="s">
        <v>66</v>
      </c>
      <c r="E36" s="84"/>
      <c r="F36" s="85">
        <v>1</v>
      </c>
      <c r="G36" s="85">
        <v>238.07</v>
      </c>
      <c r="H36" s="86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2" t="s">
        <v>65</v>
      </c>
      <c r="C37" s="83" t="s">
        <v>30</v>
      </c>
      <c r="D37" s="82" t="s">
        <v>66</v>
      </c>
      <c r="E37" s="84"/>
      <c r="F37" s="85">
        <v>1</v>
      </c>
      <c r="G37" s="85">
        <v>1413.96</v>
      </c>
      <c r="H37" s="86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2" t="s">
        <v>25</v>
      </c>
      <c r="C39" s="83" t="s">
        <v>30</v>
      </c>
      <c r="D39" s="82"/>
      <c r="E39" s="84"/>
      <c r="F39" s="85">
        <v>2</v>
      </c>
      <c r="G39" s="85">
        <v>1900.37</v>
      </c>
      <c r="H39" s="86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2" t="s">
        <v>67</v>
      </c>
      <c r="C40" s="83" t="s">
        <v>28</v>
      </c>
      <c r="D40" s="82" t="s">
        <v>108</v>
      </c>
      <c r="E40" s="85">
        <v>48.3</v>
      </c>
      <c r="F40" s="85">
        <f>SUM(E40*30/1000)</f>
        <v>1.4490000000000001</v>
      </c>
      <c r="G40" s="85">
        <v>2616.4899999999998</v>
      </c>
      <c r="H40" s="86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2" t="s">
        <v>68</v>
      </c>
      <c r="C41" s="83" t="s">
        <v>28</v>
      </c>
      <c r="D41" s="82" t="s">
        <v>109</v>
      </c>
      <c r="E41" s="85">
        <v>48.3</v>
      </c>
      <c r="F41" s="85">
        <f>SUM(E41*155/1000)</f>
        <v>7.4865000000000004</v>
      </c>
      <c r="G41" s="85">
        <v>436.45</v>
      </c>
      <c r="H41" s="86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2" t="s">
        <v>80</v>
      </c>
      <c r="C42" s="83" t="s">
        <v>102</v>
      </c>
      <c r="D42" s="82" t="s">
        <v>110</v>
      </c>
      <c r="E42" s="85">
        <f>E40</f>
        <v>48.3</v>
      </c>
      <c r="F42" s="85">
        <f>SUM(E42*35/1000)</f>
        <v>1.6904999999999999</v>
      </c>
      <c r="G42" s="85">
        <v>7221.21</v>
      </c>
      <c r="H42" s="86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2" t="s">
        <v>111</v>
      </c>
      <c r="C43" s="83" t="s">
        <v>102</v>
      </c>
      <c r="D43" s="82" t="s">
        <v>112</v>
      </c>
      <c r="E43" s="85">
        <f>E40</f>
        <v>48.3</v>
      </c>
      <c r="F43" s="85">
        <f>SUM(E43*20/1000)</f>
        <v>0.96599999999999997</v>
      </c>
      <c r="G43" s="85">
        <v>533.45000000000005</v>
      </c>
      <c r="H43" s="86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69</v>
      </c>
      <c r="C44" s="83" t="s">
        <v>31</v>
      </c>
      <c r="D44" s="82"/>
      <c r="E44" s="84"/>
      <c r="F44" s="85">
        <v>0.5</v>
      </c>
      <c r="G44" s="85">
        <v>992.97</v>
      </c>
      <c r="H44" s="86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44" t="s">
        <v>137</v>
      </c>
      <c r="B45" s="145"/>
      <c r="C45" s="145"/>
      <c r="D45" s="145"/>
      <c r="E45" s="145"/>
      <c r="F45" s="145"/>
      <c r="G45" s="145"/>
      <c r="H45" s="145"/>
      <c r="I45" s="146"/>
      <c r="J45" s="23"/>
      <c r="L45" s="19"/>
      <c r="M45" s="20"/>
      <c r="N45" s="21"/>
    </row>
    <row r="46" spans="1:14" ht="15.75" customHeight="1">
      <c r="A46" s="41">
        <v>12</v>
      </c>
      <c r="B46" s="82" t="s">
        <v>113</v>
      </c>
      <c r="C46" s="83" t="s">
        <v>102</v>
      </c>
      <c r="D46" s="82" t="s">
        <v>41</v>
      </c>
      <c r="E46" s="84">
        <v>1044.7</v>
      </c>
      <c r="F46" s="85">
        <f>SUM(E46*2/1000)</f>
        <v>2.0893999999999999</v>
      </c>
      <c r="G46" s="13">
        <v>1283.46</v>
      </c>
      <c r="H46" s="86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customHeight="1">
      <c r="A47" s="41">
        <v>13</v>
      </c>
      <c r="B47" s="82" t="s">
        <v>34</v>
      </c>
      <c r="C47" s="83" t="s">
        <v>102</v>
      </c>
      <c r="D47" s="82" t="s">
        <v>41</v>
      </c>
      <c r="E47" s="84">
        <v>19.8</v>
      </c>
      <c r="F47" s="85">
        <f>SUM(E47*2/1000)</f>
        <v>3.9600000000000003E-2</v>
      </c>
      <c r="G47" s="13">
        <v>4192.6400000000003</v>
      </c>
      <c r="H47" s="86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customHeight="1">
      <c r="A48" s="41">
        <v>14</v>
      </c>
      <c r="B48" s="82" t="s">
        <v>35</v>
      </c>
      <c r="C48" s="83" t="s">
        <v>102</v>
      </c>
      <c r="D48" s="82" t="s">
        <v>41</v>
      </c>
      <c r="E48" s="84">
        <v>660.84</v>
      </c>
      <c r="F48" s="85">
        <f>SUM(E48*2/1000)</f>
        <v>1.32168</v>
      </c>
      <c r="G48" s="13">
        <v>1711.28</v>
      </c>
      <c r="H48" s="86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customHeight="1">
      <c r="A49" s="41">
        <v>15</v>
      </c>
      <c r="B49" s="82" t="s">
        <v>36</v>
      </c>
      <c r="C49" s="83" t="s">
        <v>102</v>
      </c>
      <c r="D49" s="82" t="s">
        <v>41</v>
      </c>
      <c r="E49" s="84">
        <v>1156.21</v>
      </c>
      <c r="F49" s="85">
        <f>SUM(E49*2/1000)</f>
        <v>2.3124199999999999</v>
      </c>
      <c r="G49" s="13">
        <v>1179.73</v>
      </c>
      <c r="H49" s="86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customHeight="1">
      <c r="A50" s="41">
        <v>16</v>
      </c>
      <c r="B50" s="82" t="s">
        <v>32</v>
      </c>
      <c r="C50" s="83" t="s">
        <v>33</v>
      </c>
      <c r="D50" s="82" t="s">
        <v>144</v>
      </c>
      <c r="E50" s="84">
        <v>17.2</v>
      </c>
      <c r="F50" s="85">
        <f>SUM(E50*2/100)</f>
        <v>0.34399999999999997</v>
      </c>
      <c r="G50" s="13">
        <v>90.61</v>
      </c>
      <c r="H50" s="86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17</v>
      </c>
      <c r="B51" s="82" t="s">
        <v>55</v>
      </c>
      <c r="C51" s="83" t="s">
        <v>102</v>
      </c>
      <c r="D51" s="82" t="s">
        <v>146</v>
      </c>
      <c r="E51" s="84">
        <v>1839.1</v>
      </c>
      <c r="F51" s="85">
        <f>SUM(E51*5/1000)</f>
        <v>9.1954999999999991</v>
      </c>
      <c r="G51" s="13">
        <v>1711.28</v>
      </c>
      <c r="H51" s="86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2" t="s">
        <v>114</v>
      </c>
      <c r="C52" s="83" t="s">
        <v>102</v>
      </c>
      <c r="D52" s="82" t="s">
        <v>41</v>
      </c>
      <c r="E52" s="84">
        <f>E51</f>
        <v>1839.1</v>
      </c>
      <c r="F52" s="85">
        <f>SUM(E52*2/1000)</f>
        <v>3.6781999999999999</v>
      </c>
      <c r="G52" s="13">
        <v>1510.06</v>
      </c>
      <c r="H52" s="86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2" t="s">
        <v>115</v>
      </c>
      <c r="C53" s="83" t="s">
        <v>37</v>
      </c>
      <c r="D53" s="82" t="s">
        <v>41</v>
      </c>
      <c r="E53" s="84">
        <v>9</v>
      </c>
      <c r="F53" s="85">
        <f>SUM(E53*2/100)</f>
        <v>0.18</v>
      </c>
      <c r="G53" s="13">
        <v>3850.4</v>
      </c>
      <c r="H53" s="86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7033.13</v>
      </c>
      <c r="H54" s="86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2" t="s">
        <v>145</v>
      </c>
      <c r="C55" s="83" t="s">
        <v>29</v>
      </c>
      <c r="D55" s="82" t="s">
        <v>70</v>
      </c>
      <c r="E55" s="84">
        <v>36</v>
      </c>
      <c r="F55" s="85">
        <f>E55*3</f>
        <v>108</v>
      </c>
      <c r="G55" s="13">
        <v>175.6</v>
      </c>
      <c r="H55" s="86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2" t="s">
        <v>40</v>
      </c>
      <c r="C56" s="83" t="s">
        <v>29</v>
      </c>
      <c r="D56" s="82" t="s">
        <v>70</v>
      </c>
      <c r="E56" s="84">
        <v>36</v>
      </c>
      <c r="F56" s="85">
        <f>E56*3</f>
        <v>108</v>
      </c>
      <c r="G56" s="13">
        <v>81.73</v>
      </c>
      <c r="H56" s="86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44" t="s">
        <v>138</v>
      </c>
      <c r="B57" s="145"/>
      <c r="C57" s="145"/>
      <c r="D57" s="145"/>
      <c r="E57" s="145"/>
      <c r="F57" s="145"/>
      <c r="G57" s="145"/>
      <c r="H57" s="145"/>
      <c r="I57" s="146"/>
      <c r="J57" s="23"/>
      <c r="L57" s="19"/>
      <c r="M57" s="20"/>
      <c r="N57" s="21"/>
    </row>
    <row r="58" spans="1:14" ht="15.75" hidden="1" customHeight="1">
      <c r="A58" s="81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2" t="s">
        <v>117</v>
      </c>
      <c r="C59" s="83" t="s">
        <v>147</v>
      </c>
      <c r="D59" s="82" t="s">
        <v>71</v>
      </c>
      <c r="E59" s="84">
        <v>12.5</v>
      </c>
      <c r="F59" s="85">
        <f>E59*6/100</f>
        <v>0.75</v>
      </c>
      <c r="G59" s="91">
        <v>2306.62</v>
      </c>
      <c r="H59" s="86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2" t="s">
        <v>84</v>
      </c>
      <c r="C60" s="93" t="s">
        <v>118</v>
      </c>
      <c r="D60" s="37" t="s">
        <v>66</v>
      </c>
      <c r="E60" s="94"/>
      <c r="F60" s="95">
        <v>2</v>
      </c>
      <c r="G60" s="96">
        <v>1501</v>
      </c>
      <c r="H60" s="86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5" t="s">
        <v>43</v>
      </c>
      <c r="C61" s="75"/>
      <c r="D61" s="75"/>
      <c r="E61" s="75"/>
      <c r="F61" s="76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2" t="s">
        <v>44</v>
      </c>
      <c r="C62" s="93" t="s">
        <v>52</v>
      </c>
      <c r="D62" s="92" t="s">
        <v>53</v>
      </c>
      <c r="E62" s="94">
        <v>164</v>
      </c>
      <c r="F62" s="95">
        <f>E62/100</f>
        <v>1.64</v>
      </c>
      <c r="G62" s="96">
        <v>987.51</v>
      </c>
      <c r="H62" s="97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5" t="s">
        <v>45</v>
      </c>
      <c r="C63" s="16"/>
      <c r="D63" s="37"/>
      <c r="E63" s="15"/>
      <c r="F63" s="77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8" t="s">
        <v>46</v>
      </c>
      <c r="C64" s="16" t="s">
        <v>116</v>
      </c>
      <c r="D64" s="98" t="s">
        <v>66</v>
      </c>
      <c r="E64" s="18">
        <v>1</v>
      </c>
      <c r="F64" s="85">
        <f>E64</f>
        <v>1</v>
      </c>
      <c r="G64" s="13">
        <v>276.74</v>
      </c>
      <c r="H64" s="99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8" t="s">
        <v>47</v>
      </c>
      <c r="C65" s="16" t="s">
        <v>116</v>
      </c>
      <c r="D65" s="98" t="s">
        <v>66</v>
      </c>
      <c r="E65" s="18">
        <v>3</v>
      </c>
      <c r="F65" s="85">
        <v>3</v>
      </c>
      <c r="G65" s="13">
        <v>94.89</v>
      </c>
      <c r="H65" s="99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8" t="s">
        <v>48</v>
      </c>
      <c r="C66" s="16" t="s">
        <v>119</v>
      </c>
      <c r="D66" s="98" t="s">
        <v>53</v>
      </c>
      <c r="E66" s="84">
        <v>7265</v>
      </c>
      <c r="F66" s="13">
        <f>SUM(E66/100)</f>
        <v>72.650000000000006</v>
      </c>
      <c r="G66" s="13">
        <v>263.99</v>
      </c>
      <c r="H66" s="99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8" t="s">
        <v>49</v>
      </c>
      <c r="C67" s="16" t="s">
        <v>120</v>
      </c>
      <c r="D67" s="98" t="s">
        <v>53</v>
      </c>
      <c r="E67" s="84">
        <f>E66</f>
        <v>7265</v>
      </c>
      <c r="F67" s="13">
        <f>SUM(E67/1000)</f>
        <v>7.2649999999999997</v>
      </c>
      <c r="G67" s="13">
        <v>205.57</v>
      </c>
      <c r="H67" s="99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8" t="s">
        <v>50</v>
      </c>
      <c r="C68" s="16" t="s">
        <v>76</v>
      </c>
      <c r="D68" s="98" t="s">
        <v>53</v>
      </c>
      <c r="E68" s="84">
        <v>1090</v>
      </c>
      <c r="F68" s="13">
        <f>SUM(E68/100)</f>
        <v>10.9</v>
      </c>
      <c r="G68" s="13">
        <v>2581.5300000000002</v>
      </c>
      <c r="H68" s="99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0" t="s">
        <v>121</v>
      </c>
      <c r="C69" s="16" t="s">
        <v>31</v>
      </c>
      <c r="D69" s="98"/>
      <c r="E69" s="84">
        <v>7.6</v>
      </c>
      <c r="F69" s="13">
        <f>SUM(E69)</f>
        <v>7.6</v>
      </c>
      <c r="G69" s="13">
        <v>47.45</v>
      </c>
      <c r="H69" s="99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0" t="s">
        <v>148</v>
      </c>
      <c r="C70" s="16" t="s">
        <v>31</v>
      </c>
      <c r="D70" s="98"/>
      <c r="E70" s="84">
        <f>E69</f>
        <v>7.6</v>
      </c>
      <c r="F70" s="13">
        <f>SUM(E70)</f>
        <v>7.6</v>
      </c>
      <c r="G70" s="13">
        <v>44.27</v>
      </c>
      <c r="H70" s="99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6"/>
      <c r="S70" s="136"/>
      <c r="T70" s="136"/>
      <c r="U70" s="136"/>
    </row>
    <row r="71" spans="1:22" ht="15.75" customHeight="1">
      <c r="A71" s="29">
        <v>18</v>
      </c>
      <c r="B71" s="98" t="s">
        <v>56</v>
      </c>
      <c r="C71" s="16" t="s">
        <v>57</v>
      </c>
      <c r="D71" s="98" t="s">
        <v>53</v>
      </c>
      <c r="E71" s="18">
        <v>2</v>
      </c>
      <c r="F71" s="85">
        <f>SUM(E71)</f>
        <v>2</v>
      </c>
      <c r="G71" s="13">
        <v>62.07</v>
      </c>
      <c r="H71" s="99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19</v>
      </c>
      <c r="B72" s="98" t="s">
        <v>85</v>
      </c>
      <c r="C72" s="41" t="s">
        <v>131</v>
      </c>
      <c r="D72" s="37" t="s">
        <v>66</v>
      </c>
      <c r="E72" s="17">
        <v>1839.1</v>
      </c>
      <c r="F72" s="101">
        <f>SUM(E72*12)</f>
        <v>22069.199999999997</v>
      </c>
      <c r="G72" s="13">
        <v>2.16</v>
      </c>
      <c r="H72" s="99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8" t="s">
        <v>123</v>
      </c>
      <c r="C74" s="16" t="s">
        <v>124</v>
      </c>
      <c r="D74" s="98" t="s">
        <v>66</v>
      </c>
      <c r="E74" s="18">
        <v>1</v>
      </c>
      <c r="F74" s="13">
        <f>E74</f>
        <v>1</v>
      </c>
      <c r="G74" s="13">
        <v>976.4</v>
      </c>
      <c r="H74" s="99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8" t="s">
        <v>125</v>
      </c>
      <c r="C75" s="16" t="s">
        <v>126</v>
      </c>
      <c r="D75" s="98"/>
      <c r="E75" s="18">
        <v>1</v>
      </c>
      <c r="F75" s="13">
        <v>1</v>
      </c>
      <c r="G75" s="13">
        <v>650</v>
      </c>
      <c r="H75" s="99">
        <f t="shared" si="8"/>
        <v>0.65</v>
      </c>
      <c r="I75" s="13">
        <v>0</v>
      </c>
    </row>
    <row r="76" spans="1:22" ht="15.75" hidden="1" customHeight="1">
      <c r="A76" s="29"/>
      <c r="B76" s="98" t="s">
        <v>73</v>
      </c>
      <c r="C76" s="16" t="s">
        <v>149</v>
      </c>
      <c r="D76" s="98" t="s">
        <v>66</v>
      </c>
      <c r="E76" s="18">
        <v>3</v>
      </c>
      <c r="F76" s="13">
        <f>E76/10</f>
        <v>0.3</v>
      </c>
      <c r="G76" s="13">
        <v>624.16999999999996</v>
      </c>
      <c r="H76" s="99">
        <f t="shared" si="8"/>
        <v>0.18725099999999997</v>
      </c>
      <c r="I76" s="13">
        <v>0</v>
      </c>
    </row>
    <row r="77" spans="1:22" ht="15.75" hidden="1" customHeight="1">
      <c r="A77" s="29"/>
      <c r="B77" s="98" t="s">
        <v>74</v>
      </c>
      <c r="C77" s="16" t="s">
        <v>29</v>
      </c>
      <c r="D77" s="98" t="s">
        <v>66</v>
      </c>
      <c r="E77" s="18">
        <v>1</v>
      </c>
      <c r="F77" s="13">
        <v>1</v>
      </c>
      <c r="G77" s="13">
        <v>1061.4100000000001</v>
      </c>
      <c r="H77" s="99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8" t="s">
        <v>86</v>
      </c>
      <c r="C78" s="16" t="s">
        <v>29</v>
      </c>
      <c r="D78" s="98" t="s">
        <v>66</v>
      </c>
      <c r="E78" s="18">
        <v>1</v>
      </c>
      <c r="F78" s="85">
        <f>SUM(E78)</f>
        <v>1</v>
      </c>
      <c r="G78" s="13">
        <v>446.12</v>
      </c>
      <c r="H78" s="99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127</v>
      </c>
      <c r="C80" s="16" t="s">
        <v>76</v>
      </c>
      <c r="D80" s="98"/>
      <c r="E80" s="18"/>
      <c r="F80" s="13">
        <v>1.3</v>
      </c>
      <c r="G80" s="13">
        <v>3433.68</v>
      </c>
      <c r="H80" s="99">
        <f t="shared" ref="H80" si="9">SUM(F80*G80/1000)</f>
        <v>4.4637839999999995</v>
      </c>
      <c r="I80" s="13">
        <v>0</v>
      </c>
    </row>
    <row r="81" spans="1:9" ht="15.75" hidden="1" customHeight="1">
      <c r="A81" s="81"/>
      <c r="B81" s="75" t="s">
        <v>122</v>
      </c>
      <c r="C81" s="75"/>
      <c r="D81" s="75"/>
      <c r="E81" s="75"/>
      <c r="F81" s="75"/>
      <c r="G81" s="75"/>
      <c r="H81" s="75"/>
      <c r="I81" s="18"/>
    </row>
    <row r="82" spans="1:9" ht="15.75" hidden="1" customHeight="1">
      <c r="A82" s="29">
        <v>15</v>
      </c>
      <c r="B82" s="82" t="s">
        <v>89</v>
      </c>
      <c r="C82" s="16"/>
      <c r="D82" s="98"/>
      <c r="E82" s="102"/>
      <c r="F82" s="13">
        <v>1</v>
      </c>
      <c r="G82" s="13">
        <v>13707.8</v>
      </c>
      <c r="H82" s="99">
        <f>G82*F82/1000</f>
        <v>13.707799999999999</v>
      </c>
      <c r="I82" s="13">
        <f>G82</f>
        <v>13707.8</v>
      </c>
    </row>
    <row r="83" spans="1:9" ht="15.75" customHeight="1">
      <c r="A83" s="129" t="s">
        <v>139</v>
      </c>
      <c r="B83" s="130"/>
      <c r="C83" s="130"/>
      <c r="D83" s="130"/>
      <c r="E83" s="130"/>
      <c r="F83" s="130"/>
      <c r="G83" s="130"/>
      <c r="H83" s="130"/>
      <c r="I83" s="131"/>
    </row>
    <row r="84" spans="1:9" ht="15.75" customHeight="1">
      <c r="A84" s="29">
        <v>20</v>
      </c>
      <c r="B84" s="82" t="s">
        <v>128</v>
      </c>
      <c r="C84" s="16" t="s">
        <v>54</v>
      </c>
      <c r="D84" s="104" t="s">
        <v>150</v>
      </c>
      <c r="E84" s="13">
        <v>1839.1</v>
      </c>
      <c r="F84" s="13">
        <f>SUM(E84*12)</f>
        <v>22069.199999999997</v>
      </c>
      <c r="G84" s="13">
        <v>2.95</v>
      </c>
      <c r="H84" s="99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21</v>
      </c>
      <c r="B85" s="98" t="s">
        <v>77</v>
      </c>
      <c r="C85" s="16"/>
      <c r="D85" s="104" t="s">
        <v>150</v>
      </c>
      <c r="E85" s="84">
        <v>1839.1</v>
      </c>
      <c r="F85" s="13">
        <f>E85*12</f>
        <v>22069.199999999997</v>
      </c>
      <c r="G85" s="13">
        <v>3.05</v>
      </c>
      <c r="H85" s="99">
        <f>F85*G85/1000</f>
        <v>67.311059999999983</v>
      </c>
      <c r="I85" s="13">
        <f>F85/12*G85</f>
        <v>5609.2549999999983</v>
      </c>
    </row>
    <row r="86" spans="1:9" ht="31.5" customHeight="1">
      <c r="A86" s="29">
        <v>22</v>
      </c>
      <c r="B86" s="98" t="s">
        <v>132</v>
      </c>
      <c r="C86" s="16" t="s">
        <v>133</v>
      </c>
      <c r="D86" s="104" t="s">
        <v>150</v>
      </c>
      <c r="E86" s="102"/>
      <c r="F86" s="13"/>
      <c r="G86" s="13"/>
      <c r="H86" s="99">
        <v>59.113</v>
      </c>
      <c r="I86" s="13">
        <v>4926.08</v>
      </c>
    </row>
    <row r="87" spans="1:9" ht="15.75" customHeight="1">
      <c r="A87" s="81"/>
      <c r="B87" s="40" t="s">
        <v>79</v>
      </c>
      <c r="C87" s="41"/>
      <c r="D87" s="15"/>
      <c r="E87" s="15"/>
      <c r="F87" s="15"/>
      <c r="G87" s="18"/>
      <c r="H87" s="18"/>
      <c r="I87" s="31">
        <f>SUM(I16+I17+I18+I20+I21+I27+I28+I31+I32+I34+I35+I46+I47+I48+I49+I50+I51+I71+I72+I84+I85+I86)</f>
        <v>43152.648299611108</v>
      </c>
    </row>
    <row r="88" spans="1:9" ht="15.75" customHeight="1">
      <c r="A88" s="132" t="s">
        <v>59</v>
      </c>
      <c r="B88" s="133"/>
      <c r="C88" s="133"/>
      <c r="D88" s="133"/>
      <c r="E88" s="133"/>
      <c r="F88" s="133"/>
      <c r="G88" s="133"/>
      <c r="H88" s="133"/>
      <c r="I88" s="134"/>
    </row>
    <row r="89" spans="1:9" ht="15.75" customHeight="1">
      <c r="A89" s="42">
        <v>23</v>
      </c>
      <c r="B89" s="37" t="s">
        <v>166</v>
      </c>
      <c r="C89" s="38" t="s">
        <v>167</v>
      </c>
      <c r="D89" s="52"/>
      <c r="E89" s="13"/>
      <c r="F89" s="13">
        <v>2</v>
      </c>
      <c r="G89" s="36">
        <v>1.2</v>
      </c>
      <c r="H89" s="99">
        <f t="shared" ref="H89" si="10">G89*F89/1000</f>
        <v>2.3999999999999998E-3</v>
      </c>
      <c r="I89" s="108">
        <f>G89*12</f>
        <v>14.399999999999999</v>
      </c>
    </row>
    <row r="90" spans="1:9" ht="15.75" customHeight="1">
      <c r="A90" s="42">
        <v>24</v>
      </c>
      <c r="B90" s="128" t="s">
        <v>206</v>
      </c>
      <c r="C90" s="66" t="s">
        <v>207</v>
      </c>
      <c r="D90" s="42"/>
      <c r="E90" s="42"/>
      <c r="F90" s="42"/>
      <c r="G90" s="125">
        <v>9940.24</v>
      </c>
      <c r="H90" s="42"/>
      <c r="I90" s="42">
        <f>G90*0.2</f>
        <v>1988.048</v>
      </c>
    </row>
    <row r="91" spans="1:9" ht="15.75" customHeight="1">
      <c r="A91" s="42">
        <v>25</v>
      </c>
      <c r="B91" s="128" t="s">
        <v>208</v>
      </c>
      <c r="C91" s="66" t="s">
        <v>209</v>
      </c>
      <c r="D91" s="42"/>
      <c r="E91" s="42"/>
      <c r="F91" s="42"/>
      <c r="G91" s="125">
        <v>1765</v>
      </c>
      <c r="H91" s="42"/>
      <c r="I91" s="42">
        <f>G91*1</f>
        <v>1765</v>
      </c>
    </row>
    <row r="92" spans="1:9" ht="15.75" customHeight="1">
      <c r="A92" s="42">
        <v>26</v>
      </c>
      <c r="B92" s="128" t="s">
        <v>210</v>
      </c>
      <c r="C92" s="66" t="s">
        <v>211</v>
      </c>
      <c r="D92" s="42"/>
      <c r="E92" s="42"/>
      <c r="F92" s="42"/>
      <c r="G92" s="125">
        <v>131.61000000000001</v>
      </c>
      <c r="H92" s="42"/>
      <c r="I92" s="42">
        <f>G92*18</f>
        <v>2368.9800000000005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SUM(I89:I92)</f>
        <v>6136.4280000000008</v>
      </c>
    </row>
    <row r="94" spans="1:9" ht="15.75" customHeight="1">
      <c r="A94" s="29"/>
      <c r="B94" s="52" t="s">
        <v>78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140</v>
      </c>
      <c r="C95" s="34"/>
      <c r="D95" s="34"/>
      <c r="E95" s="34"/>
      <c r="F95" s="34"/>
      <c r="G95" s="34"/>
      <c r="H95" s="34"/>
      <c r="I95" s="45">
        <f>I87+I93</f>
        <v>49289.076299611108</v>
      </c>
    </row>
    <row r="96" spans="1:9" ht="15.75">
      <c r="A96" s="135" t="s">
        <v>212</v>
      </c>
      <c r="B96" s="135"/>
      <c r="C96" s="135"/>
      <c r="D96" s="135"/>
      <c r="E96" s="135"/>
      <c r="F96" s="135"/>
      <c r="G96" s="135"/>
      <c r="H96" s="135"/>
      <c r="I96" s="135"/>
    </row>
    <row r="97" spans="1:9" ht="15.75">
      <c r="A97" s="61"/>
      <c r="B97" s="151" t="s">
        <v>213</v>
      </c>
      <c r="C97" s="151"/>
      <c r="D97" s="151"/>
      <c r="E97" s="151"/>
      <c r="F97" s="151"/>
      <c r="G97" s="151"/>
      <c r="H97" s="80"/>
      <c r="I97" s="3"/>
    </row>
    <row r="98" spans="1:9">
      <c r="A98" s="71"/>
      <c r="B98" s="147" t="s">
        <v>6</v>
      </c>
      <c r="C98" s="147"/>
      <c r="D98" s="147"/>
      <c r="E98" s="147"/>
      <c r="F98" s="147"/>
      <c r="G98" s="147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55" t="s">
        <v>7</v>
      </c>
      <c r="B100" s="155"/>
      <c r="C100" s="155"/>
      <c r="D100" s="155"/>
      <c r="E100" s="155"/>
      <c r="F100" s="155"/>
      <c r="G100" s="155"/>
      <c r="H100" s="155"/>
      <c r="I100" s="155"/>
    </row>
    <row r="101" spans="1:9" ht="15.75">
      <c r="A101" s="155" t="s">
        <v>8</v>
      </c>
      <c r="B101" s="155"/>
      <c r="C101" s="155"/>
      <c r="D101" s="155"/>
      <c r="E101" s="155"/>
      <c r="F101" s="155"/>
      <c r="G101" s="155"/>
      <c r="H101" s="155"/>
      <c r="I101" s="155"/>
    </row>
    <row r="102" spans="1:9" ht="15.75">
      <c r="A102" s="152" t="s">
        <v>60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>
      <c r="A103" s="11"/>
    </row>
    <row r="104" spans="1:9" ht="15.75">
      <c r="A104" s="153" t="s">
        <v>9</v>
      </c>
      <c r="B104" s="153"/>
      <c r="C104" s="153"/>
      <c r="D104" s="153"/>
      <c r="E104" s="153"/>
      <c r="F104" s="153"/>
      <c r="G104" s="153"/>
      <c r="H104" s="153"/>
      <c r="I104" s="153"/>
    </row>
    <row r="105" spans="1:9" ht="15.75">
      <c r="A105" s="4"/>
    </row>
    <row r="106" spans="1:9" ht="15.75">
      <c r="B106" s="70" t="s">
        <v>10</v>
      </c>
      <c r="C106" s="154" t="s">
        <v>87</v>
      </c>
      <c r="D106" s="154"/>
      <c r="E106" s="154"/>
      <c r="F106" s="78"/>
      <c r="I106" s="73"/>
    </row>
    <row r="107" spans="1:9">
      <c r="A107" s="71"/>
      <c r="C107" s="147" t="s">
        <v>11</v>
      </c>
      <c r="D107" s="147"/>
      <c r="E107" s="147"/>
      <c r="F107" s="24"/>
      <c r="I107" s="72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0" t="s">
        <v>13</v>
      </c>
      <c r="C109" s="149"/>
      <c r="D109" s="149"/>
      <c r="E109" s="149"/>
      <c r="F109" s="79"/>
      <c r="I109" s="73"/>
    </row>
    <row r="110" spans="1:9">
      <c r="A110" s="71"/>
      <c r="C110" s="136" t="s">
        <v>11</v>
      </c>
      <c r="D110" s="136"/>
      <c r="E110" s="136"/>
      <c r="F110" s="71"/>
      <c r="I110" s="72" t="s">
        <v>12</v>
      </c>
    </row>
    <row r="111" spans="1:9" ht="15.75">
      <c r="A111" s="4" t="s">
        <v>14</v>
      </c>
    </row>
    <row r="112" spans="1:9">
      <c r="A112" s="150" t="s">
        <v>15</v>
      </c>
      <c r="B112" s="150"/>
      <c r="C112" s="150"/>
      <c r="D112" s="150"/>
      <c r="E112" s="150"/>
      <c r="F112" s="150"/>
      <c r="G112" s="150"/>
      <c r="H112" s="150"/>
      <c r="I112" s="150"/>
    </row>
    <row r="113" spans="1:9" ht="45" customHeight="1">
      <c r="A113" s="148" t="s">
        <v>16</v>
      </c>
      <c r="B113" s="148"/>
      <c r="C113" s="148"/>
      <c r="D113" s="148"/>
      <c r="E113" s="148"/>
      <c r="F113" s="148"/>
      <c r="G113" s="148"/>
      <c r="H113" s="148"/>
      <c r="I113" s="148"/>
    </row>
    <row r="114" spans="1:9" ht="30" customHeight="1">
      <c r="A114" s="148" t="s">
        <v>17</v>
      </c>
      <c r="B114" s="148"/>
      <c r="C114" s="148"/>
      <c r="D114" s="148"/>
      <c r="E114" s="148"/>
      <c r="F114" s="148"/>
      <c r="G114" s="148"/>
      <c r="H114" s="148"/>
      <c r="I114" s="148"/>
    </row>
    <row r="115" spans="1:9" ht="30" customHeight="1">
      <c r="A115" s="148" t="s">
        <v>21</v>
      </c>
      <c r="B115" s="148"/>
      <c r="C115" s="148"/>
      <c r="D115" s="148"/>
      <c r="E115" s="148"/>
      <c r="F115" s="148"/>
      <c r="G115" s="148"/>
      <c r="H115" s="148"/>
      <c r="I115" s="148"/>
    </row>
    <row r="116" spans="1:9" ht="15.75">
      <c r="A116" s="148" t="s">
        <v>20</v>
      </c>
      <c r="B116" s="148"/>
      <c r="C116" s="148"/>
      <c r="D116" s="148"/>
      <c r="E116" s="148"/>
      <c r="F116" s="148"/>
      <c r="G116" s="148"/>
      <c r="H116" s="148"/>
      <c r="I116" s="148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2017-12-14T06:30:55Z</cp:lastPrinted>
  <dcterms:created xsi:type="dcterms:W3CDTF">2016-03-25T08:33:47Z</dcterms:created>
  <dcterms:modified xsi:type="dcterms:W3CDTF">2019-01-14T12:07:30Z</dcterms:modified>
</cp:coreProperties>
</file>