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60" windowWidth="15480" windowHeight="8130" activeTab="11"/>
  </bookViews>
  <sheets>
    <sheet name="01.21" sheetId="17" r:id="rId1"/>
    <sheet name="02.21" sheetId="27" r:id="rId2"/>
    <sheet name="03.21" sheetId="28" r:id="rId3"/>
    <sheet name="04.21" sheetId="29" r:id="rId4"/>
    <sheet name="05.21" sheetId="30" r:id="rId5"/>
    <sheet name="06.21" sheetId="31" r:id="rId6"/>
    <sheet name="07.21" sheetId="32" r:id="rId7"/>
    <sheet name="08.21" sheetId="33" r:id="rId8"/>
    <sheet name="09.21" sheetId="34" r:id="rId9"/>
    <sheet name="10.21" sheetId="35" r:id="rId10"/>
    <sheet name="11.21" sheetId="36" r:id="rId11"/>
    <sheet name="12.21" sheetId="37" r:id="rId12"/>
  </sheets>
  <definedNames>
    <definedName name="_xlnm._FilterDatabase" localSheetId="0" hidden="1">'01.21'!$I$14:$I$63</definedName>
    <definedName name="_xlnm._FilterDatabase" localSheetId="1" hidden="1">'02.21'!$I$14:$I$63</definedName>
    <definedName name="_xlnm._FilterDatabase" localSheetId="2" hidden="1">'03.21'!$I$14:$I$63</definedName>
    <definedName name="_xlnm._FilterDatabase" localSheetId="3" hidden="1">'04.21'!$I$14:$I$64</definedName>
    <definedName name="_xlnm._FilterDatabase" localSheetId="4" hidden="1">'05.21'!$I$14:$I$62</definedName>
    <definedName name="_xlnm._FilterDatabase" localSheetId="5" hidden="1">'06.21'!$I$14:$I$63</definedName>
    <definedName name="_xlnm._FilterDatabase" localSheetId="6" hidden="1">'07.21'!$I$14:$I$62</definedName>
    <definedName name="_xlnm._FilterDatabase" localSheetId="7" hidden="1">'08.21'!$I$14:$I$62</definedName>
    <definedName name="_xlnm._FilterDatabase" localSheetId="8" hidden="1">'09.21'!$I$14:$I$62</definedName>
    <definedName name="_xlnm._FilterDatabase" localSheetId="9" hidden="1">'10.21'!$I$14:$I$62</definedName>
    <definedName name="_xlnm._FilterDatabase" localSheetId="10" hidden="1">'11.21'!$I$14:$I$64</definedName>
    <definedName name="_xlnm._FilterDatabase" localSheetId="11" hidden="1">'12.21'!$I$14:$I$64</definedName>
    <definedName name="_xlnm.Print_Area" localSheetId="0">'01.21'!$A$1:$I$114</definedName>
    <definedName name="_xlnm.Print_Area" localSheetId="1">'02.21'!$A$1:$I$115</definedName>
    <definedName name="_xlnm.Print_Area" localSheetId="2">'03.21'!$A$1:$I$109</definedName>
    <definedName name="_xlnm.Print_Area" localSheetId="3">'04.21'!$A$1:$I$113</definedName>
    <definedName name="_xlnm.Print_Area" localSheetId="4">'05.21'!$A$1:$I$109</definedName>
    <definedName name="_xlnm.Print_Area" localSheetId="5">'06.21'!$A$1:$I$114</definedName>
    <definedName name="_xlnm.Print_Area" localSheetId="6">'07.21'!$A$1:$I$114</definedName>
    <definedName name="_xlnm.Print_Area" localSheetId="7">'08.21'!$A$1:$I$108</definedName>
    <definedName name="_xlnm.Print_Area" localSheetId="8">'09.21'!$A$1:$I$115</definedName>
    <definedName name="_xlnm.Print_Area" localSheetId="9">'10.21'!$A$1:$I$114</definedName>
    <definedName name="_xlnm.Print_Area" localSheetId="10">'11.21'!$A$1:$I$115</definedName>
    <definedName name="_xlnm.Print_Area" localSheetId="11">'12.21'!$A$1:$I$112</definedName>
  </definedNames>
  <calcPr calcId="125725"/>
</workbook>
</file>

<file path=xl/calcChain.xml><?xml version="1.0" encoding="utf-8"?>
<calcChain xmlns="http://schemas.openxmlformats.org/spreadsheetml/2006/main">
  <c r="I83" i="37"/>
  <c r="I89"/>
  <c r="I56"/>
  <c r="I88"/>
  <c r="I83" i="36"/>
  <c r="I92"/>
  <c r="I90"/>
  <c r="I89"/>
  <c r="I87"/>
  <c r="F87"/>
  <c r="I56"/>
  <c r="I37"/>
  <c r="I81" i="35" l="1"/>
  <c r="I91"/>
  <c r="I89"/>
  <c r="I88"/>
  <c r="I87"/>
  <c r="I85"/>
  <c r="F85"/>
  <c r="I84"/>
  <c r="I60"/>
  <c r="I92" i="34" l="1"/>
  <c r="I91"/>
  <c r="I90"/>
  <c r="F90"/>
  <c r="I81" l="1"/>
  <c r="I77"/>
  <c r="I60" l="1"/>
  <c r="I89"/>
  <c r="I91" i="32" l="1"/>
  <c r="I90"/>
  <c r="I89" l="1"/>
  <c r="I88"/>
  <c r="I86" i="34"/>
  <c r="I85"/>
  <c r="I84"/>
  <c r="I81" i="33" l="1"/>
  <c r="I85"/>
  <c r="I84"/>
  <c r="I82" i="32"/>
  <c r="I86"/>
  <c r="I85"/>
  <c r="I23"/>
  <c r="I22"/>
  <c r="I24"/>
  <c r="I25"/>
  <c r="I21"/>
  <c r="I20"/>
  <c r="I89" i="31" l="1"/>
  <c r="I87"/>
  <c r="I86"/>
  <c r="F86"/>
  <c r="I85" i="30"/>
  <c r="I84"/>
  <c r="I56" i="29"/>
  <c r="I39" i="28" l="1"/>
  <c r="I58"/>
  <c r="I36"/>
  <c r="I91" i="27"/>
  <c r="I89" l="1"/>
  <c r="I88"/>
  <c r="I87"/>
  <c r="I56"/>
  <c r="I37"/>
  <c r="I90" i="17" l="1"/>
  <c r="I89" l="1"/>
  <c r="I88"/>
  <c r="I87"/>
  <c r="I86"/>
  <c r="F26" i="37" l="1"/>
  <c r="H26" s="1"/>
  <c r="I37"/>
  <c r="I43" i="36"/>
  <c r="I26" i="37" l="1"/>
  <c r="I59" i="35"/>
  <c r="I59" i="34" l="1"/>
  <c r="I87" i="29" l="1"/>
  <c r="F87"/>
  <c r="I85" i="28" l="1"/>
  <c r="I42"/>
  <c r="I85" i="17" l="1"/>
  <c r="F85"/>
  <c r="F41"/>
  <c r="H41" s="1"/>
  <c r="H42"/>
  <c r="I42"/>
  <c r="I86" i="36"/>
  <c r="I6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77" i="35"/>
  <c r="I41" i="17" l="1"/>
  <c r="H19" i="36"/>
  <c r="H23"/>
  <c r="H16"/>
  <c r="H21"/>
  <c r="H25"/>
  <c r="I17"/>
  <c r="I18"/>
  <c r="I20"/>
  <c r="I22"/>
  <c r="I24"/>
  <c r="I26"/>
  <c r="F30" i="35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23" l="1"/>
  <c r="H17"/>
  <c r="H29"/>
  <c r="I30"/>
  <c r="H18"/>
  <c r="I18"/>
  <c r="H16"/>
  <c r="H19"/>
  <c r="I20"/>
  <c r="H21"/>
  <c r="I22"/>
  <c r="I24"/>
  <c r="H25"/>
  <c r="I26"/>
  <c r="I55" i="33" l="1"/>
  <c r="F30" i="34"/>
  <c r="H30" s="1"/>
  <c r="F29"/>
  <c r="I29" s="1"/>
  <c r="F26"/>
  <c r="H26" s="1"/>
  <c r="E18"/>
  <c r="F18" s="1"/>
  <c r="F17"/>
  <c r="I17" s="1"/>
  <c r="F16"/>
  <c r="I16" s="1"/>
  <c r="F30" i="33"/>
  <c r="H30" s="1"/>
  <c r="F29"/>
  <c r="I29" s="1"/>
  <c r="F26"/>
  <c r="H26" s="1"/>
  <c r="E18"/>
  <c r="F18" s="1"/>
  <c r="F17"/>
  <c r="I17" s="1"/>
  <c r="F16"/>
  <c r="I16" s="1"/>
  <c r="H17" i="34" l="1"/>
  <c r="H29"/>
  <c r="I30"/>
  <c r="I26"/>
  <c r="H18"/>
  <c r="I18"/>
  <c r="H16"/>
  <c r="H17" i="33"/>
  <c r="H29"/>
  <c r="I30"/>
  <c r="I26"/>
  <c r="H18"/>
  <c r="I18"/>
  <c r="H16"/>
  <c r="I59" i="32" l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1"/>
  <c r="H26" s="1"/>
  <c r="F25"/>
  <c r="F24"/>
  <c r="F23"/>
  <c r="F22"/>
  <c r="F21"/>
  <c r="F20"/>
  <c r="F19"/>
  <c r="E18"/>
  <c r="F18" s="1"/>
  <c r="F17"/>
  <c r="I17" s="1"/>
  <c r="F16"/>
  <c r="H16" s="1"/>
  <c r="F26" i="30"/>
  <c r="H26" s="1"/>
  <c r="E18"/>
  <c r="F18" s="1"/>
  <c r="F17"/>
  <c r="I17" s="1"/>
  <c r="F16"/>
  <c r="I16" s="1"/>
  <c r="F26" i="29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7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17"/>
  <c r="H17" i="28" l="1"/>
  <c r="H19" i="31"/>
  <c r="I19"/>
  <c r="H21"/>
  <c r="I21"/>
  <c r="H23"/>
  <c r="I23"/>
  <c r="H25"/>
  <c r="I25"/>
  <c r="H20"/>
  <c r="I20"/>
  <c r="H22"/>
  <c r="I22"/>
  <c r="H24"/>
  <c r="I24"/>
  <c r="H17" i="30"/>
  <c r="H17" i="29"/>
  <c r="H17" i="27"/>
  <c r="H17" i="32"/>
  <c r="I18"/>
  <c r="H18"/>
  <c r="I16"/>
  <c r="I26"/>
  <c r="H17" i="31"/>
  <c r="I18"/>
  <c r="H18"/>
  <c r="I16"/>
  <c r="I26"/>
  <c r="I26" i="30"/>
  <c r="H18"/>
  <c r="I18"/>
  <c r="H16"/>
  <c r="I18" i="29"/>
  <c r="H18"/>
  <c r="I16"/>
  <c r="I26"/>
  <c r="I18" i="28"/>
  <c r="H18"/>
  <c r="I16"/>
  <c r="I26"/>
  <c r="I18" i="27"/>
  <c r="H18"/>
  <c r="I16"/>
  <c r="I26"/>
  <c r="I39" i="29" l="1"/>
  <c r="I55" i="28" l="1"/>
  <c r="I86" i="27" l="1"/>
  <c r="I60"/>
  <c r="I55" i="17"/>
  <c r="I86" i="37" l="1"/>
  <c r="H86"/>
  <c r="I85"/>
  <c r="I43"/>
  <c r="I85" i="36"/>
  <c r="H85"/>
  <c r="I83" i="35"/>
  <c r="H83"/>
  <c r="I83" i="34"/>
  <c r="H83"/>
  <c r="I83" i="33" l="1"/>
  <c r="H83"/>
  <c r="I84" i="32" l="1"/>
  <c r="H84"/>
  <c r="I85" i="31" l="1"/>
  <c r="I91" s="1"/>
  <c r="H85"/>
  <c r="I83" i="30" l="1"/>
  <c r="I86" s="1"/>
  <c r="H83"/>
  <c r="I86" i="29" l="1"/>
  <c r="I90" s="1"/>
  <c r="I42"/>
  <c r="H85" i="28"/>
  <c r="I84"/>
  <c r="I86" s="1"/>
  <c r="H84"/>
  <c r="I60"/>
  <c r="I43" i="27"/>
  <c r="I85" l="1"/>
  <c r="I92" s="1"/>
  <c r="H86"/>
  <c r="H85"/>
  <c r="I84" i="17" l="1"/>
  <c r="I91" s="1"/>
  <c r="H84"/>
  <c r="F82" i="37" l="1"/>
  <c r="I82" s="1"/>
  <c r="F81"/>
  <c r="I81" s="1"/>
  <c r="I79"/>
  <c r="H79"/>
  <c r="H77"/>
  <c r="F75"/>
  <c r="H75" s="1"/>
  <c r="H74"/>
  <c r="F73"/>
  <c r="H73" s="1"/>
  <c r="H72"/>
  <c r="F71"/>
  <c r="H71" s="1"/>
  <c r="I69"/>
  <c r="H69"/>
  <c r="I68"/>
  <c r="H68"/>
  <c r="F67"/>
  <c r="I67" s="1"/>
  <c r="F66"/>
  <c r="I66" s="1"/>
  <c r="F65"/>
  <c r="I65" s="1"/>
  <c r="F64"/>
  <c r="I64" s="1"/>
  <c r="F63"/>
  <c r="I63" s="1"/>
  <c r="F62"/>
  <c r="H62" s="1"/>
  <c r="I61"/>
  <c r="F61"/>
  <c r="H61" s="1"/>
  <c r="H59"/>
  <c r="I57"/>
  <c r="H57"/>
  <c r="F56"/>
  <c r="I53"/>
  <c r="F53"/>
  <c r="H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H43"/>
  <c r="F42"/>
  <c r="I42" s="1"/>
  <c r="F41"/>
  <c r="I41" s="1"/>
  <c r="I40"/>
  <c r="H40"/>
  <c r="F39"/>
  <c r="I39" s="1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6" i="36"/>
  <c r="I79"/>
  <c r="F82"/>
  <c r="H82" s="1"/>
  <c r="H83" s="1"/>
  <c r="F81"/>
  <c r="I81" s="1"/>
  <c r="H79"/>
  <c r="H77"/>
  <c r="F75"/>
  <c r="H75" s="1"/>
  <c r="H74"/>
  <c r="F73"/>
  <c r="H73" s="1"/>
  <c r="H72"/>
  <c r="F71"/>
  <c r="H71" s="1"/>
  <c r="I69"/>
  <c r="H69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I57"/>
  <c r="H57"/>
  <c r="F56"/>
  <c r="I53"/>
  <c r="F53"/>
  <c r="H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H43"/>
  <c r="F42"/>
  <c r="I42" s="1"/>
  <c r="F41"/>
  <c r="I41" s="1"/>
  <c r="I40"/>
  <c r="H40"/>
  <c r="F39"/>
  <c r="I39" s="1"/>
  <c r="F38"/>
  <c r="I38" s="1"/>
  <c r="H37"/>
  <c r="H35"/>
  <c r="H34"/>
  <c r="F33"/>
  <c r="I33" s="1"/>
  <c r="E33"/>
  <c r="F32"/>
  <c r="I32" s="1"/>
  <c r="F31"/>
  <c r="I31" s="1"/>
  <c r="F30"/>
  <c r="I30" s="1"/>
  <c r="F27"/>
  <c r="I27" s="1"/>
  <c r="H65" i="37" l="1"/>
  <c r="H42"/>
  <c r="H39"/>
  <c r="H63"/>
  <c r="H67"/>
  <c r="H82"/>
  <c r="H83" s="1"/>
  <c r="H46"/>
  <c r="H50"/>
  <c r="H48"/>
  <c r="H18"/>
  <c r="I18"/>
  <c r="H16"/>
  <c r="I17"/>
  <c r="H19"/>
  <c r="I20"/>
  <c r="H21"/>
  <c r="I22"/>
  <c r="H23"/>
  <c r="I24"/>
  <c r="H25"/>
  <c r="H27"/>
  <c r="I30"/>
  <c r="H31"/>
  <c r="I32"/>
  <c r="I33"/>
  <c r="H38"/>
  <c r="H41"/>
  <c r="H45"/>
  <c r="H47"/>
  <c r="H49"/>
  <c r="H51"/>
  <c r="H56"/>
  <c r="H64"/>
  <c r="H66"/>
  <c r="H81"/>
  <c r="H38" i="36"/>
  <c r="H27"/>
  <c r="H45"/>
  <c r="H56"/>
  <c r="H49"/>
  <c r="H31"/>
  <c r="H41"/>
  <c r="H47"/>
  <c r="H51"/>
  <c r="H30"/>
  <c r="H32"/>
  <c r="H33"/>
  <c r="H39"/>
  <c r="H42"/>
  <c r="H46"/>
  <c r="H48"/>
  <c r="H50"/>
  <c r="H63"/>
  <c r="I64"/>
  <c r="H65"/>
  <c r="I66"/>
  <c r="H67"/>
  <c r="H81"/>
  <c r="I82"/>
  <c r="I94" l="1"/>
  <c r="I91" i="37"/>
  <c r="H78"/>
  <c r="H78" i="36"/>
  <c r="F80" i="35" l="1"/>
  <c r="I80" s="1"/>
  <c r="F79"/>
  <c r="H79" s="1"/>
  <c r="H77"/>
  <c r="H75"/>
  <c r="F73"/>
  <c r="H73" s="1"/>
  <c r="H72"/>
  <c r="F71"/>
  <c r="H71" s="1"/>
  <c r="H70"/>
  <c r="F69"/>
  <c r="H69" s="1"/>
  <c r="I67"/>
  <c r="H67"/>
  <c r="I66"/>
  <c r="H66"/>
  <c r="F65"/>
  <c r="H65" s="1"/>
  <c r="F64"/>
  <c r="I64" s="1"/>
  <c r="F63"/>
  <c r="H63" s="1"/>
  <c r="F62"/>
  <c r="I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I38"/>
  <c r="H38"/>
  <c r="F37"/>
  <c r="I37" s="1"/>
  <c r="F36"/>
  <c r="I36" s="1"/>
  <c r="I35"/>
  <c r="H35"/>
  <c r="H33"/>
  <c r="H32"/>
  <c r="F31"/>
  <c r="H31" s="1"/>
  <c r="I66" i="34"/>
  <c r="F80"/>
  <c r="I80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I65" s="1"/>
  <c r="F64"/>
  <c r="I64" s="1"/>
  <c r="F63"/>
  <c r="I63" s="1"/>
  <c r="F62"/>
  <c r="I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F31"/>
  <c r="I31" s="1"/>
  <c r="F25"/>
  <c r="H25" s="1"/>
  <c r="F24"/>
  <c r="I24" s="1"/>
  <c r="F23"/>
  <c r="H23" s="1"/>
  <c r="F22"/>
  <c r="I22" s="1"/>
  <c r="F21"/>
  <c r="H21" s="1"/>
  <c r="F20"/>
  <c r="I20" s="1"/>
  <c r="F19"/>
  <c r="H19" s="1"/>
  <c r="F80" i="33"/>
  <c r="I80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H65" s="1"/>
  <c r="F64"/>
  <c r="I64" s="1"/>
  <c r="F63"/>
  <c r="H63" s="1"/>
  <c r="F62"/>
  <c r="I62" s="1"/>
  <c r="F61"/>
  <c r="H61" s="1"/>
  <c r="F60"/>
  <c r="H60" s="1"/>
  <c r="F59"/>
  <c r="H59" s="1"/>
  <c r="H57"/>
  <c r="H55"/>
  <c r="F54"/>
  <c r="I54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F31"/>
  <c r="I31" s="1"/>
  <c r="F25"/>
  <c r="H25" s="1"/>
  <c r="F24"/>
  <c r="I24" s="1"/>
  <c r="F23"/>
  <c r="H23" s="1"/>
  <c r="F22"/>
  <c r="I22" s="1"/>
  <c r="F21"/>
  <c r="H21" s="1"/>
  <c r="F20"/>
  <c r="I20" s="1"/>
  <c r="F19"/>
  <c r="H19" s="1"/>
  <c r="F81" i="32"/>
  <c r="I81" s="1"/>
  <c r="F80"/>
  <c r="I80" s="1"/>
  <c r="H78"/>
  <c r="H76"/>
  <c r="F74"/>
  <c r="H74" s="1"/>
  <c r="H73"/>
  <c r="F72"/>
  <c r="H72" s="1"/>
  <c r="H71"/>
  <c r="F70"/>
  <c r="H70" s="1"/>
  <c r="I68"/>
  <c r="H68"/>
  <c r="H66"/>
  <c r="F65"/>
  <c r="I65" s="1"/>
  <c r="F64"/>
  <c r="I64" s="1"/>
  <c r="F63"/>
  <c r="I63" s="1"/>
  <c r="F62"/>
  <c r="I62" s="1"/>
  <c r="F61"/>
  <c r="I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I48" s="1"/>
  <c r="F47"/>
  <c r="I47" s="1"/>
  <c r="F46"/>
  <c r="I46" s="1"/>
  <c r="F45"/>
  <c r="I45" s="1"/>
  <c r="F44"/>
  <c r="I44" s="1"/>
  <c r="F43"/>
  <c r="I43" s="1"/>
  <c r="I41"/>
  <c r="H41"/>
  <c r="F40"/>
  <c r="I40" s="1"/>
  <c r="F39"/>
  <c r="I39" s="1"/>
  <c r="I38"/>
  <c r="H38"/>
  <c r="F37"/>
  <c r="I37" s="1"/>
  <c r="F36"/>
  <c r="I36" s="1"/>
  <c r="I35"/>
  <c r="H35"/>
  <c r="H33"/>
  <c r="H32"/>
  <c r="F31"/>
  <c r="I31" s="1"/>
  <c r="F30"/>
  <c r="H30" s="1"/>
  <c r="F29"/>
  <c r="I29" s="1"/>
  <c r="F82" i="31"/>
  <c r="I82" s="1"/>
  <c r="F81"/>
  <c r="H81" s="1"/>
  <c r="H79"/>
  <c r="H77"/>
  <c r="F75"/>
  <c r="H75" s="1"/>
  <c r="H74"/>
  <c r="F73"/>
  <c r="H73" s="1"/>
  <c r="H72"/>
  <c r="F71"/>
  <c r="H71" s="1"/>
  <c r="I69"/>
  <c r="H69"/>
  <c r="H67"/>
  <c r="F66"/>
  <c r="I66" s="1"/>
  <c r="F65"/>
  <c r="H65" s="1"/>
  <c r="F64"/>
  <c r="I64" s="1"/>
  <c r="F63"/>
  <c r="H63" s="1"/>
  <c r="F62"/>
  <c r="I62" s="1"/>
  <c r="F61"/>
  <c r="H61" s="1"/>
  <c r="F60"/>
  <c r="H60" s="1"/>
  <c r="H58"/>
  <c r="I56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I39"/>
  <c r="H39"/>
  <c r="F38"/>
  <c r="H38" s="1"/>
  <c r="F37"/>
  <c r="I37" s="1"/>
  <c r="I36"/>
  <c r="H36"/>
  <c r="H34"/>
  <c r="H33"/>
  <c r="F32"/>
  <c r="H32" s="1"/>
  <c r="F31"/>
  <c r="I31" s="1"/>
  <c r="F30"/>
  <c r="H30" s="1"/>
  <c r="F27"/>
  <c r="I27" s="1"/>
  <c r="F80" i="30"/>
  <c r="H80" s="1"/>
  <c r="H81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H65" s="1"/>
  <c r="F64"/>
  <c r="H64" s="1"/>
  <c r="F63"/>
  <c r="H63" s="1"/>
  <c r="F62"/>
  <c r="H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F31"/>
  <c r="H31" s="1"/>
  <c r="F30"/>
  <c r="H30" s="1"/>
  <c r="F29"/>
  <c r="H29" s="1"/>
  <c r="F25"/>
  <c r="H25" s="1"/>
  <c r="F24"/>
  <c r="H24" s="1"/>
  <c r="F23"/>
  <c r="H23" s="1"/>
  <c r="F22"/>
  <c r="H22" s="1"/>
  <c r="F21"/>
  <c r="H21" s="1"/>
  <c r="F20"/>
  <c r="H20" s="1"/>
  <c r="F19"/>
  <c r="H86" i="29"/>
  <c r="F83"/>
  <c r="H83" s="1"/>
  <c r="H84" s="1"/>
  <c r="F82"/>
  <c r="I82" s="1"/>
  <c r="H80"/>
  <c r="H78"/>
  <c r="F76"/>
  <c r="H76" s="1"/>
  <c r="H75"/>
  <c r="F74"/>
  <c r="H74" s="1"/>
  <c r="H73"/>
  <c r="F72"/>
  <c r="H72" s="1"/>
  <c r="I70"/>
  <c r="H70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I57"/>
  <c r="H57"/>
  <c r="F56"/>
  <c r="I53"/>
  <c r="F53"/>
  <c r="H53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H39"/>
  <c r="F38"/>
  <c r="H38" s="1"/>
  <c r="F37"/>
  <c r="I37" s="1"/>
  <c r="I36"/>
  <c r="H36"/>
  <c r="H34"/>
  <c r="H33"/>
  <c r="F32"/>
  <c r="H32" s="1"/>
  <c r="E32"/>
  <c r="F31"/>
  <c r="H31" s="1"/>
  <c r="F30"/>
  <c r="H30" s="1"/>
  <c r="F29"/>
  <c r="H29" s="1"/>
  <c r="I56" i="28"/>
  <c r="I51"/>
  <c r="F81"/>
  <c r="I81" s="1"/>
  <c r="F80"/>
  <c r="H80" s="1"/>
  <c r="H78"/>
  <c r="H76"/>
  <c r="F74"/>
  <c r="H74" s="1"/>
  <c r="H73"/>
  <c r="F72"/>
  <c r="H72" s="1"/>
  <c r="H71"/>
  <c r="F70"/>
  <c r="H70" s="1"/>
  <c r="I68"/>
  <c r="H68"/>
  <c r="H67"/>
  <c r="F66"/>
  <c r="H66" s="1"/>
  <c r="F65"/>
  <c r="H65" s="1"/>
  <c r="F64"/>
  <c r="H64" s="1"/>
  <c r="F63"/>
  <c r="H63" s="1"/>
  <c r="F62"/>
  <c r="H62" s="1"/>
  <c r="F61"/>
  <c r="H61" s="1"/>
  <c r="F60"/>
  <c r="H60" s="1"/>
  <c r="H58"/>
  <c r="H56"/>
  <c r="F55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H39"/>
  <c r="F38"/>
  <c r="H38" s="1"/>
  <c r="F37"/>
  <c r="I37" s="1"/>
  <c r="H36"/>
  <c r="H34"/>
  <c r="H33"/>
  <c r="F32"/>
  <c r="H32" s="1"/>
  <c r="E32"/>
  <c r="F31"/>
  <c r="H31" s="1"/>
  <c r="F30"/>
  <c r="H30" s="1"/>
  <c r="F29"/>
  <c r="H29" s="1"/>
  <c r="H54" i="34" l="1"/>
  <c r="H80"/>
  <c r="H81" s="1"/>
  <c r="H43" i="32"/>
  <c r="H36"/>
  <c r="H47"/>
  <c r="H63"/>
  <c r="H81"/>
  <c r="H82" s="1"/>
  <c r="H39"/>
  <c r="H45"/>
  <c r="H49"/>
  <c r="H61"/>
  <c r="H65"/>
  <c r="H19" i="30"/>
  <c r="I19"/>
  <c r="H37" i="29"/>
  <c r="H40"/>
  <c r="H37" i="35"/>
  <c r="H80" i="33"/>
  <c r="H81" s="1"/>
  <c r="H54" i="32"/>
  <c r="H41" i="29"/>
  <c r="I41"/>
  <c r="H56"/>
  <c r="H79" s="1"/>
  <c r="H82"/>
  <c r="I31" i="35"/>
  <c r="H36"/>
  <c r="H39"/>
  <c r="I40"/>
  <c r="H43"/>
  <c r="I44"/>
  <c r="H45"/>
  <c r="I46"/>
  <c r="H47"/>
  <c r="I48"/>
  <c r="H49"/>
  <c r="H54"/>
  <c r="I61"/>
  <c r="H62"/>
  <c r="I63"/>
  <c r="H64"/>
  <c r="I65"/>
  <c r="I79"/>
  <c r="H80"/>
  <c r="H81" s="1"/>
  <c r="H65" i="34"/>
  <c r="H63"/>
  <c r="H49"/>
  <c r="I19"/>
  <c r="H20"/>
  <c r="I21"/>
  <c r="H22"/>
  <c r="I23"/>
  <c r="H24"/>
  <c r="I25"/>
  <c r="H31"/>
  <c r="I36"/>
  <c r="H37"/>
  <c r="I39"/>
  <c r="H40"/>
  <c r="I43"/>
  <c r="H44"/>
  <c r="I45"/>
  <c r="H46"/>
  <c r="I47"/>
  <c r="H48"/>
  <c r="I61"/>
  <c r="H62"/>
  <c r="H64"/>
  <c r="H79"/>
  <c r="H54" i="33"/>
  <c r="I19"/>
  <c r="H20"/>
  <c r="I21"/>
  <c r="H22"/>
  <c r="I23"/>
  <c r="H24"/>
  <c r="I25"/>
  <c r="H31"/>
  <c r="I36"/>
  <c r="H37"/>
  <c r="I39"/>
  <c r="H40"/>
  <c r="I43"/>
  <c r="H44"/>
  <c r="I45"/>
  <c r="H46"/>
  <c r="I47"/>
  <c r="H48"/>
  <c r="I49"/>
  <c r="I61"/>
  <c r="H62"/>
  <c r="I63"/>
  <c r="H64"/>
  <c r="I65"/>
  <c r="H79"/>
  <c r="H29" i="32"/>
  <c r="I30"/>
  <c r="H31"/>
  <c r="H37"/>
  <c r="H40"/>
  <c r="H44"/>
  <c r="H46"/>
  <c r="H48"/>
  <c r="H62"/>
  <c r="H64"/>
  <c r="H80"/>
  <c r="H55" i="31"/>
  <c r="H27"/>
  <c r="I30"/>
  <c r="H31"/>
  <c r="I32"/>
  <c r="H37"/>
  <c r="I38"/>
  <c r="H40"/>
  <c r="I41"/>
  <c r="H44"/>
  <c r="I45"/>
  <c r="H46"/>
  <c r="I47"/>
  <c r="H48"/>
  <c r="I49"/>
  <c r="H50"/>
  <c r="H62"/>
  <c r="I63"/>
  <c r="H64"/>
  <c r="I65"/>
  <c r="H66"/>
  <c r="I81"/>
  <c r="I83" s="1"/>
  <c r="H82"/>
  <c r="H83" s="1"/>
  <c r="I20" i="30"/>
  <c r="I25"/>
  <c r="I23"/>
  <c r="I31"/>
  <c r="I46"/>
  <c r="I44"/>
  <c r="I65"/>
  <c r="I63"/>
  <c r="H43"/>
  <c r="H45"/>
  <c r="H47"/>
  <c r="H79"/>
  <c r="I21"/>
  <c r="I22"/>
  <c r="I24"/>
  <c r="I29"/>
  <c r="I30"/>
  <c r="I61"/>
  <c r="I64"/>
  <c r="I62"/>
  <c r="H54"/>
  <c r="H76" s="1"/>
  <c r="H36"/>
  <c r="H49"/>
  <c r="H39"/>
  <c r="I37"/>
  <c r="I40"/>
  <c r="I48"/>
  <c r="I80"/>
  <c r="I81" s="1"/>
  <c r="H50" i="29"/>
  <c r="H48"/>
  <c r="I38"/>
  <c r="I49"/>
  <c r="I83"/>
  <c r="I49" i="28"/>
  <c r="I50"/>
  <c r="H37"/>
  <c r="I38"/>
  <c r="I40"/>
  <c r="H41"/>
  <c r="I48"/>
  <c r="H55"/>
  <c r="H77" s="1"/>
  <c r="I80"/>
  <c r="I82" s="1"/>
  <c r="H81"/>
  <c r="H82" s="1"/>
  <c r="I84" i="29" l="1"/>
  <c r="I92" s="1"/>
  <c r="I88" i="30"/>
  <c r="I94" i="34"/>
  <c r="H76"/>
  <c r="H77" i="32"/>
  <c r="I93"/>
  <c r="I93" i="35"/>
  <c r="H76"/>
  <c r="H76" i="33"/>
  <c r="I87"/>
  <c r="H78" i="31"/>
  <c r="I93"/>
  <c r="I88" i="28"/>
  <c r="F82" i="27" l="1"/>
  <c r="I82" s="1"/>
  <c r="F81"/>
  <c r="H81" s="1"/>
  <c r="H79"/>
  <c r="H77"/>
  <c r="F75"/>
  <c r="H75" s="1"/>
  <c r="H74"/>
  <c r="F73"/>
  <c r="H73" s="1"/>
  <c r="H72"/>
  <c r="F71"/>
  <c r="H71" s="1"/>
  <c r="I69"/>
  <c r="H69"/>
  <c r="H67"/>
  <c r="F66"/>
  <c r="H66" s="1"/>
  <c r="F65"/>
  <c r="H65" s="1"/>
  <c r="F64"/>
  <c r="H64" s="1"/>
  <c r="F63"/>
  <c r="H63" s="1"/>
  <c r="F62"/>
  <c r="H62" s="1"/>
  <c r="F61"/>
  <c r="H61" s="1"/>
  <c r="F60"/>
  <c r="H60" s="1"/>
  <c r="H58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H40"/>
  <c r="F39"/>
  <c r="H39" s="1"/>
  <c r="F38"/>
  <c r="I38" s="1"/>
  <c r="H37"/>
  <c r="H35"/>
  <c r="H34"/>
  <c r="F33"/>
  <c r="H33" s="1"/>
  <c r="E33"/>
  <c r="F32"/>
  <c r="H32" s="1"/>
  <c r="F31"/>
  <c r="H31" s="1"/>
  <c r="F30"/>
  <c r="H30" s="1"/>
  <c r="F27"/>
  <c r="I27" s="1"/>
  <c r="F81" i="17"/>
  <c r="F80"/>
  <c r="H80" s="1"/>
  <c r="H78"/>
  <c r="H76"/>
  <c r="F74"/>
  <c r="H74" s="1"/>
  <c r="H73"/>
  <c r="F72"/>
  <c r="H72" s="1"/>
  <c r="H71"/>
  <c r="F70"/>
  <c r="H70" s="1"/>
  <c r="I68"/>
  <c r="H68"/>
  <c r="H67"/>
  <c r="F66"/>
  <c r="H66" s="1"/>
  <c r="F65"/>
  <c r="H65" s="1"/>
  <c r="F64"/>
  <c r="H64" s="1"/>
  <c r="F63"/>
  <c r="H63" s="1"/>
  <c r="F62"/>
  <c r="H62" s="1"/>
  <c r="F61"/>
  <c r="H61" s="1"/>
  <c r="F60"/>
  <c r="H60" s="1"/>
  <c r="H58"/>
  <c r="H56"/>
  <c r="F55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0"/>
  <c r="I40" s="1"/>
  <c r="H39"/>
  <c r="F38"/>
  <c r="I38" s="1"/>
  <c r="F37"/>
  <c r="H37" s="1"/>
  <c r="I36"/>
  <c r="H36"/>
  <c r="H34"/>
  <c r="H33"/>
  <c r="F32"/>
  <c r="H32" s="1"/>
  <c r="E32"/>
  <c r="F31"/>
  <c r="H31" s="1"/>
  <c r="F30"/>
  <c r="H30" s="1"/>
  <c r="F29"/>
  <c r="H29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27" i="27" l="1"/>
  <c r="H38"/>
  <c r="I39"/>
  <c r="I41"/>
  <c r="H42"/>
  <c r="I49"/>
  <c r="H56"/>
  <c r="H78" s="1"/>
  <c r="I81"/>
  <c r="I83" s="1"/>
  <c r="H82"/>
  <c r="H83" s="1"/>
  <c r="H55" i="17"/>
  <c r="H81"/>
  <c r="I81"/>
  <c r="I80"/>
  <c r="I48"/>
  <c r="H16"/>
  <c r="I37"/>
  <c r="H38"/>
  <c r="H40"/>
  <c r="I26"/>
  <c r="I18"/>
  <c r="I17"/>
  <c r="I82" l="1"/>
  <c r="I94" i="27"/>
  <c r="H82" i="17" l="1"/>
  <c r="H77"/>
  <c r="I93" l="1"/>
</calcChain>
</file>

<file path=xl/sharedStrings.xml><?xml version="1.0" encoding="utf-8"?>
<sst xmlns="http://schemas.openxmlformats.org/spreadsheetml/2006/main" count="2627" uniqueCount="286">
  <si>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</si>
  <si>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</si>
  <si>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</si>
  <si>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</si>
  <si>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</si>
  <si>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</si>
  <si>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</si>
  <si>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</si>
  <si>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</si>
  <si>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</si>
  <si>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</si>
  <si>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</si>
  <si>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</si>
  <si>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</si>
  <si>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</si>
  <si>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</si>
  <si>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</si>
  <si>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</si>
  <si>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</si>
  <si>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</si>
  <si>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</si>
  <si>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</si>
  <si>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</si>
  <si>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</si>
  <si>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</si>
  <si>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</si>
  <si>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</si>
  <si>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</si>
  <si>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</si>
  <si>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</si>
  <si>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</si>
  <si>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</si>
  <si>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</si>
  <si>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</si>
  <si>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</si>
  <si>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</si>
  <si>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</si>
  <si>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</si>
  <si>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</si>
  <si>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</si>
  <si>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</si>
  <si>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</si>
  <si>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</si>
  <si>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</si>
  <si>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</si>
  <si>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</si>
  <si>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</si>
  <si>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</si>
  <si>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</si>
  <si>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</si>
  <si>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</si>
  <si>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</si>
  <si>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</si>
  <si>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</si>
  <si>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</si>
  <si>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</si>
  <si>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</si>
  <si>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</si>
  <si>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</si>
  <si>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</si>
  <si>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</si>
  <si>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</si>
  <si>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</si>
  <si>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по необходимости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</si>
  <si>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</si>
  <si>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</si>
  <si>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</si>
  <si>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</si>
  <si>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</si>
  <si>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</si>
  <si>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</si>
  <si>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</si>
  <si>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</si>
  <si>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</si>
  <si>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</si>
  <si>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</si>
  <si>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</si>
  <si>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III. Содержание общего имущества</t>
  </si>
  <si>
    <t>Сдвигание снега в дни снегопада (проезд)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</si>
  <si>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</si>
  <si>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</si>
  <si>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</si>
  <si>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</si>
  <si>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</si>
  <si>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</si>
  <si>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</si>
  <si>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</si>
  <si>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</si>
  <si>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Уборка газонов</t>
  </si>
  <si>
    <t>1000м2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</si>
  <si>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</si>
  <si>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</si>
  <si>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</si>
  <si>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</si>
  <si>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</si>
  <si>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</si>
  <si>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</si>
  <si>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</si>
  <si>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</si>
  <si>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</si>
  <si>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</si>
  <si>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</si>
  <si>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</si>
  <si>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</si>
  <si>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Стоимость светодиодного светильника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</si>
  <si>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</si>
  <si>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</si>
  <si>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ул.Космонавтов пгт.Ярега
</t>
  </si>
  <si>
    <t>Влажное подметание лестничных клеток 2-5 этажа</t>
  </si>
  <si>
    <t>Мытье лестничных  площадок и маршей 1-5 этаж.</t>
  </si>
  <si>
    <t>156 раз в год</t>
  </si>
  <si>
    <t>104 раза в год</t>
  </si>
  <si>
    <t xml:space="preserve">24 раза в год </t>
  </si>
  <si>
    <t>Влажная протирка отопительных приборов</t>
  </si>
  <si>
    <t>52 раза в сезон</t>
  </si>
  <si>
    <t>78 раз за сезон</t>
  </si>
  <si>
    <t>Сдвигание снега в дни снегопада (крыльца, тротуары)</t>
  </si>
  <si>
    <t>Вывоз снега с придомовой территории</t>
  </si>
  <si>
    <t>1м3</t>
  </si>
  <si>
    <t>35 раз за сезон</t>
  </si>
  <si>
    <t>20 раз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</si>
  <si>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</si>
  <si>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</si>
  <si>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Работа автовышки</t>
  </si>
  <si>
    <t>маш-час</t>
  </si>
  <si>
    <t>ТО внутренних сетей водопровода и канализации</t>
  </si>
  <si>
    <t>руб/м2 в мес</t>
  </si>
  <si>
    <t>Смена светодиодных светильников в.о.</t>
  </si>
  <si>
    <t>1 шт.</t>
  </si>
  <si>
    <t>руб.</t>
  </si>
  <si>
    <t>Смена светодиодных светильников н.о.</t>
  </si>
  <si>
    <t>АКТ №1</t>
  </si>
  <si>
    <t>Вывоз смета,травы,ветвей и т.п.- м/ч</t>
  </si>
  <si>
    <t xml:space="preserve"> </t>
  </si>
  <si>
    <t>Очистка  от мусора</t>
  </si>
  <si>
    <t>IV. Содержание общего имущества</t>
  </si>
  <si>
    <t>III. Плановые осмотры</t>
  </si>
  <si>
    <t>V. Прочие услуги</t>
  </si>
  <si>
    <t>АКТ №2</t>
  </si>
  <si>
    <t>АКТ №3</t>
  </si>
  <si>
    <t>АКТ №4</t>
  </si>
  <si>
    <t>АКТ №5</t>
  </si>
  <si>
    <t>АКТ №6</t>
  </si>
  <si>
    <t>IV. Прочие услуги</t>
  </si>
  <si>
    <t>II. Уборка земельного участка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</si>
  <si>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</si>
  <si>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</si>
  <si>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</si>
  <si>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№7</t>
  </si>
  <si>
    <t>АКТ №8</t>
  </si>
  <si>
    <t>АКТ №9</t>
  </si>
  <si>
    <t>АКТ №10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</si>
  <si>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</si>
  <si>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</si>
  <si>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д.5</t>
    </r>
  </si>
  <si>
    <t>Дератизация</t>
  </si>
  <si>
    <t>м2</t>
  </si>
  <si>
    <t xml:space="preserve"> Плановые осмотры</t>
  </si>
  <si>
    <t>ООО «Движение»</t>
  </si>
  <si>
    <t>Очистка вручную от снега и наледи люков каналиационных и водопроводных колодцев</t>
  </si>
  <si>
    <t>Осмотр электросетей, армазуры и электрооборудования на лестничных клетках</t>
  </si>
  <si>
    <t>Организация и содержание мест накопления ТКО</t>
  </si>
  <si>
    <t>13 раз</t>
  </si>
  <si>
    <t>8 раз</t>
  </si>
  <si>
    <t>2 раз</t>
  </si>
  <si>
    <t>21 раз</t>
  </si>
  <si>
    <t>5 раз</t>
  </si>
  <si>
    <t>25 раз</t>
  </si>
  <si>
    <t>6 раз</t>
  </si>
  <si>
    <t>3 раз</t>
  </si>
  <si>
    <t>1 раз</t>
  </si>
  <si>
    <t>64 м3</t>
  </si>
  <si>
    <t xml:space="preserve">1 раз </t>
  </si>
  <si>
    <t>3 раза</t>
  </si>
  <si>
    <t>3 маш/час</t>
  </si>
  <si>
    <t>Водоснабжение и канализация</t>
  </si>
  <si>
    <t>25 марта</t>
  </si>
  <si>
    <t xml:space="preserve">1 раз   </t>
  </si>
  <si>
    <t xml:space="preserve">1 раз    </t>
  </si>
  <si>
    <t xml:space="preserve">1 раз      </t>
  </si>
  <si>
    <t xml:space="preserve">1 раз     </t>
  </si>
  <si>
    <t>м</t>
  </si>
  <si>
    <t>10 м2</t>
  </si>
  <si>
    <t>1 м/час</t>
  </si>
  <si>
    <t>Смена дверных приборов /замки навесные)</t>
  </si>
  <si>
    <r>
      <t xml:space="preserve">    Собственники   помещений   в многоквартирном доме, расположенном по адресу:  пгт.Ярега, ул.Космонавтов, д.5,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10.11.2016г.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</si>
  <si>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</si>
  <si>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17 раз</t>
  </si>
  <si>
    <t>0,4 ч ( 21 дек)</t>
  </si>
  <si>
    <t>2 раза</t>
  </si>
  <si>
    <t>за период с 01.01.2021 г. по 31.01.2021 г.</t>
  </si>
  <si>
    <t>ВДГО</t>
  </si>
  <si>
    <t>Отогрев ХВС+ трансформатор</t>
  </si>
  <si>
    <t>маш/час</t>
  </si>
  <si>
    <t>Подключение и отключение сварочного аппарата</t>
  </si>
  <si>
    <t>место</t>
  </si>
  <si>
    <t>Установка хомута диаметром до 100 мм</t>
  </si>
  <si>
    <t>1 шт. кан-ция техподолье; 1 шт. ХВС р/у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</si>
  <si>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</si>
  <si>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</si>
  <si>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01.01.2021 по 31.01.2021 выполнено работ (оказано услуг) на общую сумму: 72101,54 руб.</t>
  </si>
  <si>
    <t>(семьдесят две тысячи сто один рубль 54 копейки)</t>
  </si>
  <si>
    <t>ХВС магазин</t>
  </si>
  <si>
    <t>за период с 01.02.2021 г. по 29.02.2021 г.</t>
  </si>
  <si>
    <t>3 февр. ( 0,3 ч)</t>
  </si>
  <si>
    <t>Отогрев ХВС</t>
  </si>
  <si>
    <t>час</t>
  </si>
  <si>
    <t>24 февр.</t>
  </si>
  <si>
    <t>16,21 февр.</t>
  </si>
  <si>
    <t>Очистка вх. площадки от наледи</t>
  </si>
  <si>
    <t>2. Всего за период с 01.02.2021 по 29.02.2021 выполнено работ (оказано услуг) на общую сумму: 53904,89 руб.</t>
  </si>
  <si>
    <t>(пятьдесят три тысячи девятьсот четыре рубля 89 копеек)</t>
  </si>
  <si>
    <t>за период с 01.03.2021 г. по 31.03.2021 г.</t>
  </si>
  <si>
    <t>17,25,31 марта</t>
  </si>
  <si>
    <t>11 марта</t>
  </si>
  <si>
    <t>65 м3</t>
  </si>
  <si>
    <t>2. Всего за период с 01.03.2021 по 31.03.2021 выполнено работ (оказано услуг) на общую сумму: 76987,80 руб.</t>
  </si>
  <si>
    <t>(семьдесят шесть тысяч девятьсот восемьдесят семь рублей 80 копеек)</t>
  </si>
  <si>
    <t>за период с 01.04.2021 г. по 30.04.2021 г.</t>
  </si>
  <si>
    <t>1 час</t>
  </si>
  <si>
    <t>2. Всего за период с 01.04.2021 по 30.04.2021 выполнено работ (оказано услуг) на общую сумму: 41753,19 руб.</t>
  </si>
  <si>
    <t>(сорок одна тысяча семьсот пятьдесят три рубля 19 копеек)</t>
  </si>
  <si>
    <t>Осмотр водопроводов, канализации, отопления</t>
  </si>
  <si>
    <t>за период с 01.05.2021 г. по 31.05.2021 г.</t>
  </si>
  <si>
    <t>Установка хомута диаметром до 50 мм</t>
  </si>
  <si>
    <t>1 шт. ГВС кв.54</t>
  </si>
  <si>
    <t>Подборка мусора , налетевший с контейерной площадки</t>
  </si>
  <si>
    <t>2. Всего за период с 01.05.2021 по 31.05.2021 выполнено работ (оказано услуг) на общую сумму: 64860,02 руб.</t>
  </si>
  <si>
    <t>(шестьдесят четыре тысячи восемьсот шестьдесят рублей 02 копейки)</t>
  </si>
  <si>
    <t>за период с 01.06.2021 г. по 30.06.2021 г.</t>
  </si>
  <si>
    <t>Смена внутренних трубопроводов на полипропиленовые трубы PN 25 Dу 20</t>
  </si>
  <si>
    <t>1 шт.с/о кв.30</t>
  </si>
  <si>
    <t>0,5 м с/о кв.30</t>
  </si>
  <si>
    <t>2. Всего за период с 01.06.2021 по 30.06.2021 выполнено работ (оказано услуг) на общую сумму: 134599,09 руб.</t>
  </si>
  <si>
    <t>(сто тридцать четыре тысячи пятьсот девяносто девять рублей 09 копеек)</t>
  </si>
  <si>
    <t>за период с 01.07.2021 г. по 31.07.2021 г.</t>
  </si>
  <si>
    <t>Очистка отмостки и цоколя от растительности</t>
  </si>
  <si>
    <t>Замена муфты</t>
  </si>
  <si>
    <t>Осмотр придомовой территории</t>
  </si>
  <si>
    <t>кв.31</t>
  </si>
  <si>
    <t>за период с 01.08.2021 г. по 31.08.2021 г.</t>
  </si>
  <si>
    <t>Запенивание вокруг входной двери</t>
  </si>
  <si>
    <t>2. Всего за период с 01.08.2021 по 31.08.2021 выполнено работ (оказано услуг) на общую сумму: 36275,35 руб.</t>
  </si>
  <si>
    <t>(тридцать шесть тысяч двести семьдесят пять рублей 35 копеек)</t>
  </si>
  <si>
    <t>за период с 01.09.2021 г. по 30.09.2021 г.</t>
  </si>
  <si>
    <t>Нумерация подъездов и квартир</t>
  </si>
  <si>
    <t>Устройство трапов</t>
  </si>
  <si>
    <t>100 м</t>
  </si>
  <si>
    <t>под.№4</t>
  </si>
  <si>
    <t>под.№ 3 черд.</t>
  </si>
  <si>
    <t>Смена внутренних трубопроводов на полипропиленовые трубы PN 25 Dу 25</t>
  </si>
  <si>
    <t>Смена арматуры - вентилей и клапанов обратных муфтовых диаметром до 20 мм</t>
  </si>
  <si>
    <t>1 шт</t>
  </si>
  <si>
    <t>2 м с/о кв.52</t>
  </si>
  <si>
    <t>3 шт. с/о кв.52</t>
  </si>
  <si>
    <t>Подключение и отключение электрооборудования</t>
  </si>
  <si>
    <t>2. Всего за период с 01.07.2021 по 31.07.2021 выполнено работ (оказано услуг) на общую сумму: 44256,59 руб.</t>
  </si>
  <si>
    <t>( сорок четыре тысячи двести пятьдесят шесть рублей 59 копеек)</t>
  </si>
  <si>
    <t>100шт</t>
  </si>
  <si>
    <t>10 раз</t>
  </si>
  <si>
    <t>Ремонт щитка на лестничной клетке под.№2</t>
  </si>
  <si>
    <t>2. Всего за период с 01.09.2021 по 30.09.2021 выполнено работ (оказано услуг) на общую сумму: 102183,95 руб.</t>
  </si>
  <si>
    <t>(сто две тысячи сто восемьдесят три рубля 95 копеек)</t>
  </si>
  <si>
    <t>за период с 01.10.2021 г. по 31.10.2021 г.</t>
  </si>
  <si>
    <t>Смена оконных приборов - ручки</t>
  </si>
  <si>
    <t>Очистка канализационной сети внутренней</t>
  </si>
  <si>
    <t>4 м</t>
  </si>
  <si>
    <t>Закрытие чердачного люка</t>
  </si>
  <si>
    <t>2 под.</t>
  </si>
  <si>
    <t>4 шт. с/о чердак</t>
  </si>
  <si>
    <t>2. Всего за период с 01.10.2021 по 31.10.2021 выполнено работ (оказано услуг) на общую сумму: 41590,53 руб.</t>
  </si>
  <si>
    <t>(сорок одна тысяча пятьсо девяносто рублей 53 копейки)</t>
  </si>
  <si>
    <t>за период с 01.11.2021 г. по 30.11.2021 г.</t>
  </si>
  <si>
    <t>22 ноября</t>
  </si>
  <si>
    <t>Закрытие слухового окна</t>
  </si>
  <si>
    <t>Ремонт и регулировка доводчика (без стоимости доводчика)</t>
  </si>
  <si>
    <t>1шт.</t>
  </si>
  <si>
    <t>Внеплановая проверка вентканалов</t>
  </si>
  <si>
    <t>кв.21</t>
  </si>
  <si>
    <t>2. Всего за период с 01.11.2021 по 30.11.2021 выполнено работ (оказано услуг) на общую сумму: 42414,27 руб.</t>
  </si>
  <si>
    <t>(сорок две тысячи четыреста четырнадцать рублей 27 копеек)</t>
  </si>
  <si>
    <t>за период с 01.12.2021 г. по 31.12.2021 г.</t>
  </si>
  <si>
    <t>Ремонт групповых щитков на лестничной клетке без ремонта автоматов</t>
  </si>
  <si>
    <t>под.№2</t>
  </si>
  <si>
    <t>2. Всего за период с 01.12.2021 по 31.12.2021 выполнено работ (оказано услуг) на общую сумму: 45803,22 руб.</t>
  </si>
  <si>
    <t>(сорок пять тысяч восемьсот три рубля 22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</si>
</sst>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20" xfId="0" applyFont="1" applyFill="1" applyBorder="1" applyAlignment="1">
      <alignment horizontal="center" vertical="center"/>
    </xf>
    <xf numFmtId="0" fontId="0" fillId="0" borderId="3" xfId="0" applyBorder="1"/>
    <xf numFmtId="0" fontId="14" fillId="0" borderId="3" xfId="0" applyFont="1" applyBorder="1" applyAlignment="1">
      <alignment vertical="center"/>
    </xf>
    <xf numFmtId="0" fontId="11" fillId="0" borderId="3" xfId="0" applyFont="1" applyFill="1" applyBorder="1"/>
    <xf numFmtId="0" fontId="13" fillId="0" borderId="4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opLeftCell="A79" workbookViewId="0">
      <selection activeCell="G85" sqref="G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131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190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50"/>
      <c r="C6" s="50"/>
      <c r="D6" s="50"/>
      <c r="E6" s="50"/>
      <c r="F6" s="50"/>
      <c r="G6" s="50"/>
      <c r="H6" s="50"/>
      <c r="I6" s="32">
        <v>44227</v>
      </c>
    </row>
    <row r="7" spans="1:13" ht="15.75">
      <c r="B7" s="52"/>
      <c r="C7" s="52"/>
      <c r="D7" s="5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88</v>
      </c>
      <c r="C29" s="64" t="s">
        <v>89</v>
      </c>
      <c r="D29" s="63" t="s">
        <v>114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145</v>
      </c>
      <c r="C30" s="64" t="s">
        <v>89</v>
      </c>
      <c r="D30" s="63" t="s">
        <v>115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90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132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5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F36/6*G36</f>
        <v>950.18499999999995</v>
      </c>
      <c r="J36" s="25"/>
    </row>
    <row r="37" spans="1:14" ht="15.75" customHeight="1">
      <c r="A37" s="58">
        <v>5</v>
      </c>
      <c r="B37" s="63" t="s">
        <v>78</v>
      </c>
      <c r="C37" s="64" t="s">
        <v>28</v>
      </c>
      <c r="D37" s="63" t="s">
        <v>166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6</v>
      </c>
      <c r="B38" s="63" t="s">
        <v>116</v>
      </c>
      <c r="C38" s="64" t="s">
        <v>28</v>
      </c>
      <c r="D38" s="63" t="s">
        <v>167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5.75" hidden="1" customHeight="1">
      <c r="A39" s="58"/>
      <c r="B39" s="63" t="s">
        <v>117</v>
      </c>
      <c r="C39" s="64" t="s">
        <v>118</v>
      </c>
      <c r="D39" s="63" t="s">
        <v>63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v>0</v>
      </c>
      <c r="J39" s="25"/>
    </row>
    <row r="40" spans="1:14" ht="47.25" customHeight="1">
      <c r="A40" s="58">
        <v>7</v>
      </c>
      <c r="B40" s="63" t="s">
        <v>75</v>
      </c>
      <c r="C40" s="64" t="s">
        <v>28</v>
      </c>
      <c r="D40" s="63" t="s">
        <v>168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hidden="1" customHeight="1">
      <c r="A41" s="58">
        <v>8</v>
      </c>
      <c r="B41" s="63" t="s">
        <v>93</v>
      </c>
      <c r="C41" s="64" t="s">
        <v>89</v>
      </c>
      <c r="D41" s="63" t="s">
        <v>169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F41/7.5*G41</f>
        <v>96.234380000000016</v>
      </c>
      <c r="J41" s="25"/>
    </row>
    <row r="42" spans="1:14" ht="15.75" hidden="1" customHeight="1">
      <c r="A42" s="58">
        <v>9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F42/7.5*G42</f>
        <v>105.91680000000001</v>
      </c>
      <c r="J42" s="25"/>
    </row>
    <row r="43" spans="1:14" ht="15.75" customHeight="1">
      <c r="A43" s="167" t="s">
        <v>136</v>
      </c>
      <c r="B43" s="168"/>
      <c r="C43" s="168"/>
      <c r="D43" s="168"/>
      <c r="E43" s="168"/>
      <c r="F43" s="168"/>
      <c r="G43" s="168"/>
      <c r="H43" s="168"/>
      <c r="I43" s="169"/>
      <c r="J43" s="25"/>
      <c r="L43" s="20"/>
      <c r="M43" s="21"/>
      <c r="N43" s="22"/>
    </row>
    <row r="44" spans="1:14" ht="15.75" hidden="1" customHeight="1">
      <c r="A44" s="58"/>
      <c r="B44" s="63" t="s">
        <v>94</v>
      </c>
      <c r="C44" s="64" t="s">
        <v>89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4">SUM(F44*G44/1000)</f>
        <v>2.8614740699999999</v>
      </c>
      <c r="I44" s="14">
        <v>0</v>
      </c>
      <c r="J44" s="25"/>
      <c r="L44" s="20"/>
      <c r="M44" s="21"/>
      <c r="N44" s="22"/>
    </row>
    <row r="45" spans="1:14" ht="15.75" hidden="1" customHeight="1">
      <c r="A45" s="58"/>
      <c r="B45" s="63" t="s">
        <v>34</v>
      </c>
      <c r="C45" s="64" t="s">
        <v>89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35</v>
      </c>
      <c r="C46" s="64" t="s">
        <v>89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15.75" customHeight="1">
      <c r="A48" s="58">
        <v>8</v>
      </c>
      <c r="B48" s="63" t="s">
        <v>54</v>
      </c>
      <c r="C48" s="64" t="s">
        <v>89</v>
      </c>
      <c r="D48" s="63" t="s">
        <v>170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95</v>
      </c>
      <c r="C49" s="64" t="s">
        <v>89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v>0</v>
      </c>
      <c r="J49" s="25"/>
      <c r="L49" s="20"/>
      <c r="M49" s="21"/>
      <c r="N49" s="22"/>
    </row>
    <row r="50" spans="1:14" ht="31.5" hidden="1" customHeight="1">
      <c r="A50" s="58"/>
      <c r="B50" s="63" t="s">
        <v>96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v>0</v>
      </c>
      <c r="J50" s="25"/>
      <c r="L50" s="20"/>
      <c r="M50" s="21"/>
      <c r="N50" s="22"/>
    </row>
    <row r="51" spans="1:14" ht="15.75" hidden="1" customHeight="1">
      <c r="A51" s="58"/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v>0</v>
      </c>
      <c r="J51" s="25"/>
      <c r="L51" s="20"/>
      <c r="M51" s="21"/>
      <c r="N51" s="22"/>
    </row>
    <row r="52" spans="1:14" ht="15.75" hidden="1" customHeight="1">
      <c r="A52" s="58">
        <v>13</v>
      </c>
      <c r="B52" s="63" t="s">
        <v>39</v>
      </c>
      <c r="C52" s="64" t="s">
        <v>97</v>
      </c>
      <c r="D52" s="63" t="s">
        <v>65</v>
      </c>
      <c r="E52" s="65">
        <v>128</v>
      </c>
      <c r="F52" s="66">
        <f>SUM(E52)*3</f>
        <v>384</v>
      </c>
      <c r="G52" s="14">
        <v>81.73</v>
      </c>
      <c r="H52" s="67">
        <f t="shared" si="4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67" t="s">
        <v>135</v>
      </c>
      <c r="B53" s="177"/>
      <c r="C53" s="177"/>
      <c r="D53" s="177"/>
      <c r="E53" s="177"/>
      <c r="F53" s="177"/>
      <c r="G53" s="177"/>
      <c r="H53" s="177"/>
      <c r="I53" s="178"/>
      <c r="J53" s="25"/>
      <c r="L53" s="20"/>
      <c r="M53" s="21"/>
      <c r="N53" s="22"/>
    </row>
    <row r="54" spans="1:14" ht="16.5" hidden="1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1.5" hidden="1" customHeight="1">
      <c r="A55" s="58">
        <v>11</v>
      </c>
      <c r="B55" s="63" t="s">
        <v>121</v>
      </c>
      <c r="C55" s="64" t="s">
        <v>79</v>
      </c>
      <c r="D55" s="63"/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G55*0.08</f>
        <v>184.52959999999999</v>
      </c>
      <c r="J55" s="25"/>
      <c r="L55" s="20"/>
      <c r="M55" s="21"/>
      <c r="N55" s="22"/>
    </row>
    <row r="56" spans="1:14" ht="20.25" hidden="1" customHeight="1">
      <c r="A56" s="59"/>
      <c r="B56" s="76" t="s">
        <v>123</v>
      </c>
      <c r="C56" s="75" t="s">
        <v>124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v>0</v>
      </c>
      <c r="J56" s="25"/>
      <c r="L56" s="20"/>
      <c r="M56" s="21"/>
      <c r="N56" s="22"/>
    </row>
    <row r="57" spans="1:14" ht="21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21" hidden="1" customHeight="1">
      <c r="A58" s="59"/>
      <c r="B58" s="76" t="s">
        <v>134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133</v>
      </c>
      <c r="I59" s="14"/>
      <c r="J59" s="25"/>
      <c r="L59" s="20"/>
      <c r="M59" s="21"/>
      <c r="N59" s="22"/>
    </row>
    <row r="60" spans="1:14" ht="15.75" hidden="1" customHeight="1">
      <c r="A60" s="17"/>
      <c r="B60" s="15" t="s">
        <v>44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8" si="5">SUM(F60*G60/1000)</f>
        <v>2.7674000000000003</v>
      </c>
      <c r="I60" s="14">
        <v>0</v>
      </c>
      <c r="J60" s="25"/>
      <c r="L60" s="20"/>
    </row>
    <row r="61" spans="1:14" ht="15.75" hidden="1" customHeight="1">
      <c r="A61" s="17"/>
      <c r="B61" s="15" t="s">
        <v>45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5"/>
        <v>0.94889999999999997</v>
      </c>
      <c r="I61" s="14">
        <v>0</v>
      </c>
      <c r="J61" s="25"/>
      <c r="L61" s="20"/>
    </row>
    <row r="62" spans="1:14" ht="15.75" hidden="1" customHeight="1">
      <c r="A62" s="17"/>
      <c r="B62" s="15" t="s">
        <v>46</v>
      </c>
      <c r="C62" s="17" t="s">
        <v>98</v>
      </c>
      <c r="D62" s="15" t="s">
        <v>51</v>
      </c>
      <c r="E62" s="109">
        <v>13447</v>
      </c>
      <c r="F62" s="66">
        <f>SUM(E62/100)</f>
        <v>134.47</v>
      </c>
      <c r="G62" s="111">
        <v>263.99</v>
      </c>
      <c r="H62" s="62">
        <f t="shared" si="5"/>
        <v>35.4987353</v>
      </c>
      <c r="I62" s="14">
        <v>0</v>
      </c>
      <c r="J62" s="25"/>
      <c r="L62" s="20"/>
    </row>
    <row r="63" spans="1:14" ht="15.75" hidden="1" customHeight="1">
      <c r="A63" s="17"/>
      <c r="B63" s="15" t="s">
        <v>47</v>
      </c>
      <c r="C63" s="17" t="s">
        <v>99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5"/>
        <v>2.7642997899999995</v>
      </c>
      <c r="I63" s="14">
        <v>0</v>
      </c>
    </row>
    <row r="64" spans="1:14" ht="15.75" hidden="1" customHeight="1">
      <c r="A64" s="17"/>
      <c r="B64" s="15" t="s">
        <v>48</v>
      </c>
      <c r="C64" s="17" t="s">
        <v>71</v>
      </c>
      <c r="D64" s="15" t="s">
        <v>51</v>
      </c>
      <c r="E64" s="109">
        <v>2200</v>
      </c>
      <c r="F64" s="66">
        <f>SUM(E64/100)</f>
        <v>22</v>
      </c>
      <c r="G64" s="111">
        <v>2581.5300000000002</v>
      </c>
      <c r="H64" s="62">
        <f t="shared" si="5"/>
        <v>56.793660000000003</v>
      </c>
      <c r="I64" s="14">
        <v>0</v>
      </c>
    </row>
    <row r="65" spans="1:22" ht="15.75" hidden="1" customHeight="1">
      <c r="A65" s="17"/>
      <c r="B65" s="80" t="s">
        <v>100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5"/>
        <v>0.57414500000000002</v>
      </c>
      <c r="I65" s="1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hidden="1" customHeight="1">
      <c r="A66" s="105"/>
      <c r="B66" s="80" t="s">
        <v>101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5"/>
        <v>0.535667</v>
      </c>
      <c r="I66" s="14">
        <v>0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5.7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5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>
        <v>9</v>
      </c>
      <c r="B68" s="15" t="s">
        <v>125</v>
      </c>
      <c r="C68" s="31" t="s">
        <v>126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5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hidden="1" customHeight="1">
      <c r="A69" s="105"/>
      <c r="B69" s="51" t="s">
        <v>66</v>
      </c>
      <c r="C69" s="17"/>
      <c r="D69" s="15"/>
      <c r="E69" s="19"/>
      <c r="F69" s="14"/>
      <c r="G69" s="14"/>
      <c r="H69" s="62" t="s">
        <v>133</v>
      </c>
      <c r="I69" s="14"/>
      <c r="J69" s="6"/>
      <c r="K69" s="6"/>
      <c r="L69" s="6"/>
      <c r="M69" s="6"/>
      <c r="N69" s="6"/>
      <c r="O69" s="6"/>
      <c r="P69" s="6"/>
      <c r="Q69" s="6"/>
      <c r="R69" s="157"/>
      <c r="S69" s="157"/>
      <c r="T69" s="157"/>
      <c r="U69" s="157"/>
    </row>
    <row r="70" spans="1:22" ht="15.75" hidden="1" customHeight="1">
      <c r="A70" s="17"/>
      <c r="B70" s="15" t="s">
        <v>127</v>
      </c>
      <c r="C70" s="17" t="s">
        <v>128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6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2" ht="15.75" hidden="1" customHeight="1">
      <c r="A71" s="17"/>
      <c r="B71" s="15" t="s">
        <v>104</v>
      </c>
      <c r="C71" s="17" t="s">
        <v>129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6"/>
        <v>0.73499999999999999</v>
      </c>
      <c r="I71" s="14">
        <v>0</v>
      </c>
    </row>
    <row r="72" spans="1:22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6"/>
        <v>0.249668</v>
      </c>
      <c r="I72" s="14">
        <v>0</v>
      </c>
    </row>
    <row r="73" spans="1:22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6"/>
        <v>1.0614100000000002</v>
      </c>
      <c r="I73" s="14">
        <v>0</v>
      </c>
    </row>
    <row r="74" spans="1:22" ht="15.75" hidden="1" customHeight="1">
      <c r="A74" s="17"/>
      <c r="B74" s="15" t="s">
        <v>130</v>
      </c>
      <c r="C74" s="17" t="s">
        <v>128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6"/>
        <v>0.97609999999999997</v>
      </c>
      <c r="I74" s="14">
        <v>0</v>
      </c>
    </row>
    <row r="75" spans="1:22" ht="15.75" hidden="1" customHeight="1">
      <c r="A75" s="105"/>
      <c r="B75" s="106" t="s">
        <v>70</v>
      </c>
      <c r="C75" s="17"/>
      <c r="D75" s="15"/>
      <c r="E75" s="19"/>
      <c r="F75" s="14"/>
      <c r="G75" s="14" t="s">
        <v>133</v>
      </c>
      <c r="H75" s="62" t="s">
        <v>133</v>
      </c>
      <c r="I75" s="14"/>
    </row>
    <row r="76" spans="1:22" ht="15.75" hidden="1" customHeight="1">
      <c r="A76" s="17"/>
      <c r="B76" s="43" t="s">
        <v>105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7">SUM(F76*G76/1000)</f>
        <v>0.34336800000000001</v>
      </c>
      <c r="I76" s="14">
        <v>0</v>
      </c>
    </row>
    <row r="77" spans="1:22" ht="15.75" hidden="1" customHeight="1">
      <c r="A77" s="105"/>
      <c r="B77" s="95" t="s">
        <v>102</v>
      </c>
      <c r="C77" s="82"/>
      <c r="D77" s="33"/>
      <c r="E77" s="34"/>
      <c r="F77" s="72"/>
      <c r="G77" s="72"/>
      <c r="H77" s="83">
        <f>SUM(H55:H76)</f>
        <v>219.17093482199999</v>
      </c>
      <c r="I77" s="72"/>
    </row>
    <row r="78" spans="1:22" ht="15.75" hidden="1" customHeight="1">
      <c r="A78" s="17"/>
      <c r="B78" s="63" t="s">
        <v>103</v>
      </c>
      <c r="C78" s="17"/>
      <c r="D78" s="15"/>
      <c r="E78" s="84"/>
      <c r="F78" s="14">
        <v>1</v>
      </c>
      <c r="G78" s="14">
        <v>14133</v>
      </c>
      <c r="H78" s="62">
        <f>G78*F78/1000</f>
        <v>14.132999999999999</v>
      </c>
      <c r="I78" s="14">
        <v>0</v>
      </c>
    </row>
    <row r="79" spans="1:22" ht="15.75" customHeight="1">
      <c r="A79" s="167" t="s">
        <v>137</v>
      </c>
      <c r="B79" s="177"/>
      <c r="C79" s="177"/>
      <c r="D79" s="177"/>
      <c r="E79" s="177"/>
      <c r="F79" s="177"/>
      <c r="G79" s="177"/>
      <c r="H79" s="177"/>
      <c r="I79" s="178"/>
    </row>
    <row r="80" spans="1:22" ht="15.75" customHeight="1">
      <c r="A80" s="17">
        <v>10</v>
      </c>
      <c r="B80" s="63" t="s">
        <v>106</v>
      </c>
      <c r="C80" s="17" t="s">
        <v>52</v>
      </c>
      <c r="D80" s="85"/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11</v>
      </c>
      <c r="B81" s="15" t="s">
        <v>72</v>
      </c>
      <c r="C81" s="17"/>
      <c r="D81" s="85"/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I81+I80+I68+I48+I40+I38+I37+I26+I18+I17+I16</f>
        <v>46103.239655999991</v>
      </c>
    </row>
    <row r="83" spans="1:9" ht="15.75" customHeight="1">
      <c r="A83" s="173" t="s">
        <v>58</v>
      </c>
      <c r="B83" s="174"/>
      <c r="C83" s="174"/>
      <c r="D83" s="174"/>
      <c r="E83" s="174"/>
      <c r="F83" s="174"/>
      <c r="G83" s="174"/>
      <c r="H83" s="174"/>
      <c r="I83" s="175"/>
    </row>
    <row r="84" spans="1:9" ht="15.75" customHeight="1">
      <c r="A84" s="61">
        <v>12</v>
      </c>
      <c r="B84" s="76" t="s">
        <v>155</v>
      </c>
      <c r="C84" s="75" t="s">
        <v>156</v>
      </c>
      <c r="D84" s="76"/>
      <c r="E84" s="77"/>
      <c r="F84" s="129">
        <v>200</v>
      </c>
      <c r="G84" s="54">
        <v>1.4</v>
      </c>
      <c r="H84" s="78">
        <f>F84*G84/1000</f>
        <v>0.28000000000000003</v>
      </c>
      <c r="I84" s="14">
        <f>G84*100</f>
        <v>140</v>
      </c>
    </row>
    <row r="85" spans="1:9" ht="31.5" customHeight="1">
      <c r="A85" s="61">
        <v>13</v>
      </c>
      <c r="B85" s="122" t="s">
        <v>159</v>
      </c>
      <c r="C85" s="123" t="s">
        <v>28</v>
      </c>
      <c r="D85" s="124"/>
      <c r="E85" s="18"/>
      <c r="F85" s="146">
        <f>0.599*10/1000</f>
        <v>5.9900000000000005E-3</v>
      </c>
      <c r="G85" s="134">
        <v>21369.24</v>
      </c>
      <c r="H85" s="54"/>
      <c r="I85" s="14">
        <f>G85*0.599*10/1000</f>
        <v>128.00174760000002</v>
      </c>
    </row>
    <row r="86" spans="1:9" ht="17.25" customHeight="1">
      <c r="A86" s="61">
        <v>14</v>
      </c>
      <c r="B86" s="124" t="s">
        <v>191</v>
      </c>
      <c r="C86" s="150"/>
      <c r="D86" s="124"/>
      <c r="E86" s="18"/>
      <c r="F86" s="125">
        <v>1</v>
      </c>
      <c r="G86" s="125">
        <v>18560</v>
      </c>
      <c r="H86" s="54"/>
      <c r="I86" s="14">
        <f>G86*1</f>
        <v>18560</v>
      </c>
    </row>
    <row r="87" spans="1:9" ht="16.5" customHeight="1">
      <c r="A87" s="61">
        <v>15</v>
      </c>
      <c r="B87" s="151" t="s">
        <v>192</v>
      </c>
      <c r="C87" s="31" t="s">
        <v>193</v>
      </c>
      <c r="D87" s="124"/>
      <c r="E87" s="18"/>
      <c r="F87" s="125">
        <v>1.5</v>
      </c>
      <c r="G87" s="125">
        <v>4402.3500000000004</v>
      </c>
      <c r="H87" s="54"/>
      <c r="I87" s="14">
        <f>G87*1.5</f>
        <v>6603.5250000000005</v>
      </c>
    </row>
    <row r="88" spans="1:9" ht="18.75" customHeight="1">
      <c r="A88" s="61">
        <v>16</v>
      </c>
      <c r="B88" s="122" t="s">
        <v>194</v>
      </c>
      <c r="C88" s="123" t="s">
        <v>97</v>
      </c>
      <c r="D88" s="124"/>
      <c r="E88" s="18"/>
      <c r="F88" s="125">
        <v>1</v>
      </c>
      <c r="G88" s="125">
        <v>224.48</v>
      </c>
      <c r="H88" s="54"/>
      <c r="I88" s="14">
        <f>G88*1</f>
        <v>224.48</v>
      </c>
    </row>
    <row r="89" spans="1:9" ht="52.5" customHeight="1">
      <c r="A89" s="61">
        <v>17</v>
      </c>
      <c r="B89" s="122" t="s">
        <v>196</v>
      </c>
      <c r="C89" s="123" t="s">
        <v>195</v>
      </c>
      <c r="D89" s="124" t="s">
        <v>197</v>
      </c>
      <c r="E89" s="18"/>
      <c r="F89" s="125">
        <v>1</v>
      </c>
      <c r="G89" s="125">
        <v>280.70999999999998</v>
      </c>
      <c r="H89" s="54"/>
      <c r="I89" s="14">
        <f>G89*1</f>
        <v>280.70999999999998</v>
      </c>
    </row>
    <row r="90" spans="1:9" ht="30.75" customHeight="1">
      <c r="A90" s="61">
        <v>18</v>
      </c>
      <c r="B90" s="122" t="s">
        <v>198</v>
      </c>
      <c r="C90" s="123" t="s">
        <v>199</v>
      </c>
      <c r="D90" s="124" t="s">
        <v>202</v>
      </c>
      <c r="E90" s="18"/>
      <c r="F90" s="125">
        <v>1</v>
      </c>
      <c r="G90" s="125">
        <v>61.58</v>
      </c>
      <c r="H90" s="54"/>
      <c r="I90" s="14">
        <f>G90*1</f>
        <v>61.58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SUM(I84:I90)</f>
        <v>25998.296747600001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147</v>
      </c>
      <c r="C93" s="35"/>
      <c r="D93" s="35"/>
      <c r="E93" s="35"/>
      <c r="F93" s="35"/>
      <c r="G93" s="35"/>
      <c r="H93" s="35"/>
      <c r="I93" s="40">
        <f>I82+I91</f>
        <v>72101.536403599996</v>
      </c>
    </row>
    <row r="94" spans="1:9" ht="15.75" customHeight="1">
      <c r="A94" s="158" t="s">
        <v>200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 customHeight="1">
      <c r="A95" s="53"/>
      <c r="B95" s="183" t="s">
        <v>201</v>
      </c>
      <c r="C95" s="183"/>
      <c r="D95" s="183"/>
      <c r="E95" s="183"/>
      <c r="F95" s="183"/>
      <c r="G95" s="183"/>
      <c r="H95" s="57"/>
      <c r="I95" s="4"/>
    </row>
    <row r="96" spans="1:9" ht="15.75" customHeight="1">
      <c r="A96" s="47"/>
      <c r="B96" s="180" t="s">
        <v>6</v>
      </c>
      <c r="C96" s="180"/>
      <c r="D96" s="180"/>
      <c r="E96" s="180"/>
      <c r="F96" s="180"/>
      <c r="G96" s="180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5" t="s">
        <v>59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52" t="s">
        <v>10</v>
      </c>
      <c r="C104" s="179" t="s">
        <v>186</v>
      </c>
      <c r="D104" s="179"/>
      <c r="E104" s="179"/>
      <c r="F104" s="55"/>
      <c r="I104" s="49"/>
    </row>
    <row r="105" spans="1:9" ht="15.75" customHeight="1">
      <c r="A105" s="47"/>
      <c r="C105" s="180" t="s">
        <v>11</v>
      </c>
      <c r="D105" s="180"/>
      <c r="E105" s="180"/>
      <c r="F105" s="26"/>
      <c r="I105" s="48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52" t="s">
        <v>13</v>
      </c>
      <c r="C107" s="181"/>
      <c r="D107" s="181"/>
      <c r="E107" s="181"/>
      <c r="F107" s="56"/>
      <c r="I107" s="49"/>
    </row>
    <row r="108" spans="1:9" ht="15.75" customHeight="1">
      <c r="A108" s="47"/>
      <c r="C108" s="157" t="s">
        <v>11</v>
      </c>
      <c r="D108" s="157"/>
      <c r="E108" s="157"/>
      <c r="F108" s="47"/>
      <c r="I108" s="48" t="s">
        <v>12</v>
      </c>
    </row>
    <row r="109" spans="1:9" ht="15.75" customHeight="1">
      <c r="A109" s="5" t="s">
        <v>14</v>
      </c>
    </row>
    <row r="110" spans="1:9" ht="15" customHeight="1">
      <c r="A110" s="182" t="s">
        <v>15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4:I63"/>
  <mergeCells count="29">
    <mergeCell ref="A112:I112"/>
    <mergeCell ref="A113:I113"/>
    <mergeCell ref="A114:I114"/>
    <mergeCell ref="A53:I53"/>
    <mergeCell ref="A79:I79"/>
    <mergeCell ref="C104:E104"/>
    <mergeCell ref="C105:E105"/>
    <mergeCell ref="C107:E107"/>
    <mergeCell ref="C108:E108"/>
    <mergeCell ref="A110:I110"/>
    <mergeCell ref="A111:I111"/>
    <mergeCell ref="B95:G95"/>
    <mergeCell ref="B96:G96"/>
    <mergeCell ref="A98:I98"/>
    <mergeCell ref="A99:I99"/>
    <mergeCell ref="A100:I100"/>
    <mergeCell ref="A102:I102"/>
    <mergeCell ref="A15:I15"/>
    <mergeCell ref="A43:I43"/>
    <mergeCell ref="A27:I27"/>
    <mergeCell ref="A83:I83"/>
    <mergeCell ref="R69:U69"/>
    <mergeCell ref="A94:I9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58" workbookViewId="0">
      <selection activeCell="M95" sqref="M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151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263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44500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4</v>
      </c>
      <c r="B29" s="63" t="s">
        <v>88</v>
      </c>
      <c r="C29" s="64" t="s">
        <v>89</v>
      </c>
      <c r="D29" s="63" t="s">
        <v>163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5</v>
      </c>
      <c r="B30" s="63" t="s">
        <v>145</v>
      </c>
      <c r="C30" s="64" t="s">
        <v>89</v>
      </c>
      <c r="D30" s="63" t="s">
        <v>162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132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78</v>
      </c>
      <c r="C36" s="64" t="s">
        <v>28</v>
      </c>
      <c r="D36" s="63" t="s">
        <v>91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116</v>
      </c>
      <c r="C37" s="64" t="s">
        <v>28</v>
      </c>
      <c r="D37" s="63" t="s">
        <v>92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117</v>
      </c>
      <c r="C38" s="64" t="s">
        <v>118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75</v>
      </c>
      <c r="C39" s="64" t="s">
        <v>28</v>
      </c>
      <c r="D39" s="63" t="s">
        <v>119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93</v>
      </c>
      <c r="C40" s="64" t="s">
        <v>89</v>
      </c>
      <c r="D40" s="63" t="s">
        <v>120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24.75" hidden="1" customHeight="1">
      <c r="A42" s="167" t="s">
        <v>136</v>
      </c>
      <c r="B42" s="168"/>
      <c r="C42" s="168"/>
      <c r="D42" s="168"/>
      <c r="E42" s="168"/>
      <c r="F42" s="168"/>
      <c r="G42" s="168"/>
      <c r="H42" s="168"/>
      <c r="I42" s="169"/>
      <c r="J42" s="25"/>
      <c r="L42" s="20"/>
      <c r="M42" s="21"/>
      <c r="N42" s="22"/>
    </row>
    <row r="43" spans="1:14" ht="24" hidden="1" customHeight="1">
      <c r="A43" s="58">
        <v>11</v>
      </c>
      <c r="B43" s="63" t="s">
        <v>94</v>
      </c>
      <c r="C43" s="64" t="s">
        <v>89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24" hidden="1" customHeight="1">
      <c r="A44" s="58">
        <v>12</v>
      </c>
      <c r="B44" s="63" t="s">
        <v>34</v>
      </c>
      <c r="C44" s="64" t="s">
        <v>89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24" hidden="1" customHeight="1">
      <c r="A45" s="58">
        <v>13</v>
      </c>
      <c r="B45" s="63" t="s">
        <v>35</v>
      </c>
      <c r="C45" s="64" t="s">
        <v>89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22.5" hidden="1" customHeight="1">
      <c r="A46" s="58">
        <v>14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24.75" hidden="1" customHeight="1">
      <c r="A47" s="58">
        <v>15</v>
      </c>
      <c r="B47" s="63" t="s">
        <v>54</v>
      </c>
      <c r="C47" s="64" t="s">
        <v>89</v>
      </c>
      <c r="D47" s="63" t="s">
        <v>146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3" hidden="1" customHeight="1">
      <c r="A48" s="58">
        <v>16</v>
      </c>
      <c r="B48" s="63" t="s">
        <v>95</v>
      </c>
      <c r="C48" s="64" t="s">
        <v>89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3.75" hidden="1" customHeight="1">
      <c r="A49" s="58">
        <v>17</v>
      </c>
      <c r="B49" s="63" t="s">
        <v>96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29.25" hidden="1" customHeight="1">
      <c r="A50" s="58">
        <v>18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24" hidden="1" customHeight="1">
      <c r="A51" s="58">
        <v>19</v>
      </c>
      <c r="B51" s="63" t="s">
        <v>39</v>
      </c>
      <c r="C51" s="64" t="s">
        <v>97</v>
      </c>
      <c r="D51" s="63" t="s">
        <v>65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67" t="s">
        <v>77</v>
      </c>
      <c r="B52" s="177"/>
      <c r="C52" s="177"/>
      <c r="D52" s="177"/>
      <c r="E52" s="177"/>
      <c r="F52" s="177"/>
      <c r="G52" s="177"/>
      <c r="H52" s="177"/>
      <c r="I52" s="178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121</v>
      </c>
      <c r="C54" s="64" t="s">
        <v>79</v>
      </c>
      <c r="D54" s="63" t="s">
        <v>122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123</v>
      </c>
      <c r="C55" s="75" t="s">
        <v>124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134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133</v>
      </c>
      <c r="I58" s="14"/>
      <c r="J58" s="25"/>
      <c r="L58" s="20"/>
      <c r="M58" s="21"/>
      <c r="N58" s="22"/>
    </row>
    <row r="59" spans="1:22" ht="15.75" hidden="1" customHeight="1">
      <c r="A59" s="17">
        <v>7</v>
      </c>
      <c r="B59" s="15" t="s">
        <v>44</v>
      </c>
      <c r="C59" s="17" t="s">
        <v>97</v>
      </c>
      <c r="D59" s="15" t="s">
        <v>187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f>G59*17</f>
        <v>4704.58</v>
      </c>
      <c r="J59" s="25"/>
      <c r="L59" s="20"/>
    </row>
    <row r="60" spans="1:22" ht="15.75" customHeight="1">
      <c r="A60" s="17">
        <v>6</v>
      </c>
      <c r="B60" s="15" t="s">
        <v>45</v>
      </c>
      <c r="C60" s="17" t="s">
        <v>97</v>
      </c>
      <c r="D60" s="15" t="s">
        <v>173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f>G60*3</f>
        <v>284.67</v>
      </c>
      <c r="J60" s="25"/>
      <c r="L60" s="20"/>
    </row>
    <row r="61" spans="1:22" ht="15.75" hidden="1" customHeight="1">
      <c r="A61" s="17">
        <v>23</v>
      </c>
      <c r="B61" s="15" t="s">
        <v>46</v>
      </c>
      <c r="C61" s="17" t="s">
        <v>98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24</v>
      </c>
      <c r="B62" s="15" t="s">
        <v>47</v>
      </c>
      <c r="C62" s="17" t="s">
        <v>99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26</v>
      </c>
      <c r="B64" s="80" t="s">
        <v>100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27</v>
      </c>
      <c r="B65" s="80" t="s">
        <v>101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>
        <v>21</v>
      </c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f>F66*G66</f>
        <v>248.28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21.75" customHeight="1">
      <c r="A67" s="17">
        <v>7</v>
      </c>
      <c r="B67" s="15" t="s">
        <v>125</v>
      </c>
      <c r="C67" s="31" t="s">
        <v>126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133</v>
      </c>
      <c r="I68" s="14"/>
      <c r="J68" s="6"/>
      <c r="K68" s="6"/>
      <c r="L68" s="6"/>
      <c r="M68" s="6"/>
      <c r="N68" s="6"/>
      <c r="O68" s="6"/>
      <c r="P68" s="6"/>
      <c r="Q68" s="6"/>
      <c r="R68" s="157"/>
      <c r="S68" s="157"/>
      <c r="T68" s="157"/>
      <c r="U68" s="157"/>
    </row>
    <row r="69" spans="1:21" ht="15.75" hidden="1" customHeight="1">
      <c r="A69" s="17"/>
      <c r="B69" s="15" t="s">
        <v>127</v>
      </c>
      <c r="C69" s="17" t="s">
        <v>128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104</v>
      </c>
      <c r="C70" s="17" t="s">
        <v>129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130</v>
      </c>
      <c r="C73" s="17" t="s">
        <v>128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133</v>
      </c>
      <c r="H74" s="62" t="s">
        <v>133</v>
      </c>
      <c r="I74" s="14"/>
    </row>
    <row r="75" spans="1:21" ht="15.75" hidden="1" customHeight="1">
      <c r="A75" s="17"/>
      <c r="B75" s="43" t="s">
        <v>105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102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>
        <v>10</v>
      </c>
      <c r="B77" s="63" t="s">
        <v>103</v>
      </c>
      <c r="C77" s="17"/>
      <c r="D77" s="15"/>
      <c r="E77" s="84"/>
      <c r="F77" s="14">
        <v>1</v>
      </c>
      <c r="G77" s="14">
        <v>9227</v>
      </c>
      <c r="H77" s="62">
        <f>G77*F77/1000</f>
        <v>9.2270000000000003</v>
      </c>
      <c r="I77" s="14">
        <f>G77*1</f>
        <v>9227</v>
      </c>
    </row>
    <row r="78" spans="1:21" ht="15.75" customHeight="1">
      <c r="A78" s="167" t="s">
        <v>143</v>
      </c>
      <c r="B78" s="177"/>
      <c r="C78" s="177"/>
      <c r="D78" s="177"/>
      <c r="E78" s="177"/>
      <c r="F78" s="177"/>
      <c r="G78" s="177"/>
      <c r="H78" s="177"/>
      <c r="I78" s="178"/>
    </row>
    <row r="79" spans="1:21" ht="15.75" customHeight="1">
      <c r="A79" s="17">
        <v>8</v>
      </c>
      <c r="B79" s="63" t="s">
        <v>106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9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I80+I79+I67+I60+I30+I29+I18+I17+I16</f>
        <v>36140.747703333327</v>
      </c>
    </row>
    <row r="82" spans="1:9" ht="15.75" customHeight="1">
      <c r="A82" s="173" t="s">
        <v>58</v>
      </c>
      <c r="B82" s="174"/>
      <c r="C82" s="174"/>
      <c r="D82" s="174"/>
      <c r="E82" s="174"/>
      <c r="F82" s="174"/>
      <c r="G82" s="174"/>
      <c r="H82" s="174"/>
      <c r="I82" s="175"/>
    </row>
    <row r="83" spans="1:9" ht="17.25" customHeight="1">
      <c r="A83" s="115">
        <v>10</v>
      </c>
      <c r="B83" s="130" t="s">
        <v>155</v>
      </c>
      <c r="C83" s="131" t="s">
        <v>156</v>
      </c>
      <c r="D83" s="43"/>
      <c r="E83" s="14"/>
      <c r="F83" s="14">
        <v>2</v>
      </c>
      <c r="G83" s="136">
        <v>1.4</v>
      </c>
      <c r="H83" s="62">
        <f t="shared" ref="H83" si="16">G83*F83/1000</f>
        <v>2.8E-3</v>
      </c>
      <c r="I83" s="114">
        <f>G83*100</f>
        <v>140</v>
      </c>
    </row>
    <row r="84" spans="1:9" ht="16.5" customHeight="1">
      <c r="A84" s="115">
        <v>11</v>
      </c>
      <c r="B84" s="139" t="s">
        <v>264</v>
      </c>
      <c r="C84" s="154" t="s">
        <v>97</v>
      </c>
      <c r="D84" s="124" t="s">
        <v>268</v>
      </c>
      <c r="E84" s="18"/>
      <c r="F84" s="125">
        <v>1</v>
      </c>
      <c r="G84" s="125">
        <v>149.94</v>
      </c>
      <c r="H84" s="128"/>
      <c r="I84" s="114">
        <f>G84*1</f>
        <v>149.94</v>
      </c>
    </row>
    <row r="85" spans="1:9" ht="16.5" customHeight="1">
      <c r="A85" s="115">
        <v>12</v>
      </c>
      <c r="B85" s="122" t="s">
        <v>226</v>
      </c>
      <c r="C85" s="123" t="s">
        <v>28</v>
      </c>
      <c r="D85" s="124"/>
      <c r="E85" s="18"/>
      <c r="F85" s="125">
        <f>1.28+1.28+1.28+1.28+1.28+1.28</f>
        <v>7.6800000000000006</v>
      </c>
      <c r="G85" s="125">
        <v>241.69</v>
      </c>
      <c r="H85" s="136"/>
      <c r="I85" s="114">
        <f>G85*1.28*2</f>
        <v>618.72640000000001</v>
      </c>
    </row>
    <row r="86" spans="1:9" ht="21.75" customHeight="1">
      <c r="A86" s="115">
        <v>13</v>
      </c>
      <c r="B86" s="122" t="s">
        <v>265</v>
      </c>
      <c r="C86" s="123" t="s">
        <v>181</v>
      </c>
      <c r="D86" s="124" t="s">
        <v>266</v>
      </c>
      <c r="E86" s="18"/>
      <c r="F86" s="125">
        <v>4</v>
      </c>
      <c r="G86" s="125">
        <v>295.36</v>
      </c>
      <c r="H86" s="136"/>
      <c r="I86" s="114">
        <v>0</v>
      </c>
    </row>
    <row r="87" spans="1:9" ht="30.75" customHeight="1">
      <c r="A87" s="115">
        <v>14</v>
      </c>
      <c r="B87" s="122" t="s">
        <v>250</v>
      </c>
      <c r="C87" s="123" t="s">
        <v>181</v>
      </c>
      <c r="D87" s="124"/>
      <c r="E87" s="18"/>
      <c r="F87" s="125">
        <v>3</v>
      </c>
      <c r="G87" s="125">
        <v>1584.54</v>
      </c>
      <c r="H87" s="136"/>
      <c r="I87" s="114">
        <f>G87*1</f>
        <v>1584.54</v>
      </c>
    </row>
    <row r="88" spans="1:9" ht="30.75" customHeight="1">
      <c r="A88" s="115">
        <v>15</v>
      </c>
      <c r="B88" s="122" t="s">
        <v>251</v>
      </c>
      <c r="C88" s="123" t="s">
        <v>252</v>
      </c>
      <c r="D88" s="124" t="s">
        <v>269</v>
      </c>
      <c r="E88" s="18"/>
      <c r="F88" s="125">
        <v>7</v>
      </c>
      <c r="G88" s="125">
        <v>697.33</v>
      </c>
      <c r="H88" s="136"/>
      <c r="I88" s="114">
        <f>G88*4</f>
        <v>2789.32</v>
      </c>
    </row>
    <row r="89" spans="1:9" ht="20.25" customHeight="1">
      <c r="A89" s="115">
        <v>16</v>
      </c>
      <c r="B89" s="155" t="s">
        <v>267</v>
      </c>
      <c r="C89" s="156" t="s">
        <v>81</v>
      </c>
      <c r="D89" s="124"/>
      <c r="E89" s="18"/>
      <c r="F89" s="125">
        <v>0.06</v>
      </c>
      <c r="G89" s="125">
        <v>2787.6</v>
      </c>
      <c r="H89" s="136"/>
      <c r="I89" s="114">
        <f>G89*0.06</f>
        <v>167.256</v>
      </c>
    </row>
    <row r="90" spans="1:9" ht="20.25" customHeight="1">
      <c r="A90" s="115">
        <v>17</v>
      </c>
      <c r="B90" s="122" t="s">
        <v>222</v>
      </c>
      <c r="C90" s="123" t="s">
        <v>38</v>
      </c>
      <c r="D90" s="124" t="s">
        <v>170</v>
      </c>
      <c r="E90" s="18"/>
      <c r="F90" s="125">
        <v>0.03</v>
      </c>
      <c r="G90" s="125">
        <v>28224.75</v>
      </c>
      <c r="H90" s="136"/>
      <c r="I90" s="114">
        <v>0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SUM(I83:I89)</f>
        <v>5449.782400000001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147</v>
      </c>
      <c r="C93" s="35"/>
      <c r="D93" s="35"/>
      <c r="E93" s="35"/>
      <c r="F93" s="35"/>
      <c r="G93" s="35"/>
      <c r="H93" s="35"/>
      <c r="I93" s="40">
        <f>I81+I91</f>
        <v>41590.530103333331</v>
      </c>
    </row>
    <row r="94" spans="1:9" ht="15.75" customHeight="1">
      <c r="A94" s="158" t="s">
        <v>270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 customHeight="1">
      <c r="A95" s="53"/>
      <c r="B95" s="183" t="s">
        <v>271</v>
      </c>
      <c r="C95" s="183"/>
      <c r="D95" s="183"/>
      <c r="E95" s="183"/>
      <c r="F95" s="183"/>
      <c r="G95" s="183"/>
      <c r="H95" s="57"/>
      <c r="I95" s="4"/>
    </row>
    <row r="96" spans="1:9" ht="15.75" customHeight="1">
      <c r="A96" s="96"/>
      <c r="B96" s="180" t="s">
        <v>6</v>
      </c>
      <c r="C96" s="180"/>
      <c r="D96" s="180"/>
      <c r="E96" s="180"/>
      <c r="F96" s="180"/>
      <c r="G96" s="180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5" t="s">
        <v>59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99" t="s">
        <v>10</v>
      </c>
      <c r="C104" s="179" t="s">
        <v>186</v>
      </c>
      <c r="D104" s="179"/>
      <c r="E104" s="179"/>
      <c r="F104" s="55"/>
      <c r="I104" s="101"/>
    </row>
    <row r="105" spans="1:9" ht="15.75" customHeight="1">
      <c r="A105" s="96"/>
      <c r="C105" s="180" t="s">
        <v>11</v>
      </c>
      <c r="D105" s="180"/>
      <c r="E105" s="180"/>
      <c r="F105" s="26"/>
      <c r="I105" s="100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99" t="s">
        <v>13</v>
      </c>
      <c r="C107" s="181"/>
      <c r="D107" s="181"/>
      <c r="E107" s="181"/>
      <c r="F107" s="56"/>
      <c r="I107" s="101"/>
    </row>
    <row r="108" spans="1:9" ht="15.75" customHeight="1">
      <c r="A108" s="96"/>
      <c r="C108" s="157" t="s">
        <v>11</v>
      </c>
      <c r="D108" s="157"/>
      <c r="E108" s="157"/>
      <c r="F108" s="96"/>
      <c r="I108" s="100" t="s">
        <v>12</v>
      </c>
    </row>
    <row r="109" spans="1:9" ht="15.75" customHeight="1">
      <c r="A109" s="5" t="s">
        <v>14</v>
      </c>
    </row>
    <row r="110" spans="1:9" ht="15" customHeight="1">
      <c r="A110" s="182" t="s">
        <v>15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4:I62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68:U68"/>
    <mergeCell ref="C108:E108"/>
    <mergeCell ref="A82:I82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8:I78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5"/>
  <sheetViews>
    <sheetView topLeftCell="A60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28515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152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272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120"/>
      <c r="C6" s="120"/>
      <c r="D6" s="120"/>
      <c r="E6" s="120"/>
      <c r="F6" s="120"/>
      <c r="G6" s="120"/>
      <c r="H6" s="120"/>
      <c r="I6" s="32">
        <v>44530</v>
      </c>
    </row>
    <row r="7" spans="1:13" ht="15.75">
      <c r="B7" s="119"/>
      <c r="C7" s="119"/>
      <c r="D7" s="11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5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70" t="s">
        <v>144</v>
      </c>
      <c r="B28" s="171"/>
      <c r="C28" s="171"/>
      <c r="D28" s="171"/>
      <c r="E28" s="171"/>
      <c r="F28" s="171"/>
      <c r="G28" s="171"/>
      <c r="H28" s="171"/>
      <c r="I28" s="172"/>
      <c r="J28" s="24"/>
      <c r="K28" s="9"/>
      <c r="L28" s="9"/>
      <c r="M28" s="9"/>
    </row>
    <row r="29" spans="1:13" ht="15.75" hidden="1" customHeight="1">
      <c r="A29" s="103"/>
      <c r="B29" s="121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>
        <v>6</v>
      </c>
      <c r="B30" s="63" t="s">
        <v>88</v>
      </c>
      <c r="C30" s="64" t="s">
        <v>89</v>
      </c>
      <c r="D30" s="63" t="s">
        <v>114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6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hidden="1" customHeight="1">
      <c r="A31" s="58">
        <v>7</v>
      </c>
      <c r="B31" s="63" t="s">
        <v>145</v>
      </c>
      <c r="C31" s="64" t="s">
        <v>89</v>
      </c>
      <c r="D31" s="63" t="s">
        <v>115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6"/>
        <v>1.6981475940000001</v>
      </c>
      <c r="I31" s="14">
        <f t="shared" ref="I31:I33" si="7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89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6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>
        <v>8</v>
      </c>
      <c r="B33" s="63" t="s">
        <v>90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6"/>
        <v>3.6445666666666665</v>
      </c>
      <c r="I33" s="14">
        <f t="shared" si="7"/>
        <v>607.42777777777781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6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132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6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121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21.75" customHeight="1">
      <c r="A37" s="102">
        <v>4</v>
      </c>
      <c r="B37" s="63" t="s">
        <v>25</v>
      </c>
      <c r="C37" s="64" t="s">
        <v>30</v>
      </c>
      <c r="D37" s="63" t="s">
        <v>273</v>
      </c>
      <c r="E37" s="65"/>
      <c r="F37" s="66">
        <v>3</v>
      </c>
      <c r="G37" s="66">
        <v>1900.37</v>
      </c>
      <c r="H37" s="67">
        <f t="shared" ref="H37:H43" si="8">SUM(F37*G37/1000)</f>
        <v>5.7011099999999999</v>
      </c>
      <c r="I37" s="14">
        <f>G37*0.5</f>
        <v>950.18499999999995</v>
      </c>
      <c r="J37" s="25"/>
    </row>
    <row r="38" spans="1:14" ht="15.75" customHeight="1">
      <c r="A38" s="58">
        <v>5</v>
      </c>
      <c r="B38" s="63" t="s">
        <v>78</v>
      </c>
      <c r="C38" s="64" t="s">
        <v>28</v>
      </c>
      <c r="D38" s="63" t="s">
        <v>166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6</v>
      </c>
      <c r="B39" s="63" t="s">
        <v>116</v>
      </c>
      <c r="C39" s="64" t="s">
        <v>28</v>
      </c>
      <c r="D39" s="63" t="s">
        <v>167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102">
        <v>9</v>
      </c>
      <c r="B40" s="63" t="s">
        <v>117</v>
      </c>
      <c r="C40" s="64" t="s">
        <v>118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f>G40*13</f>
        <v>2948.92</v>
      </c>
      <c r="J40" s="25"/>
    </row>
    <row r="41" spans="1:14" ht="47.25" customHeight="1">
      <c r="A41" s="58">
        <v>7</v>
      </c>
      <c r="B41" s="63" t="s">
        <v>75</v>
      </c>
      <c r="C41" s="64" t="s">
        <v>28</v>
      </c>
      <c r="D41" s="63" t="s">
        <v>168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si="8"/>
        <v>17.098019977500002</v>
      </c>
      <c r="I41" s="14">
        <f>F41/6*G41</f>
        <v>2849.6699962500002</v>
      </c>
      <c r="J41" s="25"/>
    </row>
    <row r="42" spans="1:14" ht="15.75" hidden="1" customHeight="1">
      <c r="A42" s="58">
        <v>8</v>
      </c>
      <c r="B42" s="63" t="s">
        <v>93</v>
      </c>
      <c r="C42" s="64" t="s">
        <v>89</v>
      </c>
      <c r="D42" s="63" t="s">
        <v>170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8"/>
        <v>0.72175785000000003</v>
      </c>
      <c r="I42" s="14">
        <f>G42*F42/20*1</f>
        <v>36.087892500000002</v>
      </c>
      <c r="J42" s="25"/>
    </row>
    <row r="43" spans="1:14" ht="15.75" hidden="1" customHeight="1">
      <c r="A43" s="102">
        <v>9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8"/>
        <v>0.79437600000000008</v>
      </c>
      <c r="I43" s="14">
        <f>G43*F43/20*1</f>
        <v>39.718800000000002</v>
      </c>
      <c r="J43" s="25"/>
    </row>
    <row r="44" spans="1:14" ht="15.75" hidden="1" customHeight="1">
      <c r="A44" s="167" t="s">
        <v>136</v>
      </c>
      <c r="B44" s="168"/>
      <c r="C44" s="168"/>
      <c r="D44" s="168"/>
      <c r="E44" s="168"/>
      <c r="F44" s="168"/>
      <c r="G44" s="168"/>
      <c r="H44" s="168"/>
      <c r="I44" s="169"/>
      <c r="J44" s="25"/>
      <c r="L44" s="20"/>
      <c r="M44" s="21"/>
      <c r="N44" s="22"/>
    </row>
    <row r="45" spans="1:14" ht="15.75" hidden="1" customHeight="1">
      <c r="A45" s="58">
        <v>11</v>
      </c>
      <c r="B45" s="63" t="s">
        <v>94</v>
      </c>
      <c r="C45" s="64" t="s">
        <v>89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9">SUM(F45*G45/1000)</f>
        <v>2.8614740699999999</v>
      </c>
      <c r="I45" s="14">
        <f>F45/2*G45</f>
        <v>1430.7370349999999</v>
      </c>
      <c r="J45" s="25"/>
      <c r="L45" s="20"/>
      <c r="M45" s="21"/>
      <c r="N45" s="22"/>
    </row>
    <row r="46" spans="1:14" ht="15.75" hidden="1" customHeight="1">
      <c r="A46" s="58">
        <v>12</v>
      </c>
      <c r="B46" s="63" t="s">
        <v>34</v>
      </c>
      <c r="C46" s="64" t="s">
        <v>89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9"/>
        <v>5.350488047999999</v>
      </c>
      <c r="I46" s="14">
        <f t="shared" ref="I46:I48" si="10">F46/2*G46</f>
        <v>2675.2440239999996</v>
      </c>
      <c r="J46" s="25"/>
      <c r="L46" s="20"/>
      <c r="M46" s="21"/>
      <c r="N46" s="22"/>
    </row>
    <row r="47" spans="1:14" ht="15.75" hidden="1" customHeight="1">
      <c r="A47" s="58">
        <v>13</v>
      </c>
      <c r="B47" s="63" t="s">
        <v>35</v>
      </c>
      <c r="C47" s="64" t="s">
        <v>89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9"/>
        <v>3.8213814159999999</v>
      </c>
      <c r="I47" s="14">
        <f t="shared" si="10"/>
        <v>1910.6907079999999</v>
      </c>
      <c r="J47" s="25"/>
      <c r="L47" s="20"/>
      <c r="M47" s="21"/>
      <c r="N47" s="22"/>
    </row>
    <row r="48" spans="1:14" ht="15.75" hidden="1" customHeight="1">
      <c r="A48" s="58">
        <v>14</v>
      </c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9"/>
        <v>0.15555924799999998</v>
      </c>
      <c r="I48" s="14">
        <f t="shared" si="10"/>
        <v>77.779623999999998</v>
      </c>
      <c r="J48" s="25"/>
      <c r="L48" s="20"/>
      <c r="M48" s="21"/>
      <c r="N48" s="22"/>
    </row>
    <row r="49" spans="1:14" ht="15.75" hidden="1" customHeight="1">
      <c r="A49" s="58">
        <v>15</v>
      </c>
      <c r="B49" s="63" t="s">
        <v>54</v>
      </c>
      <c r="C49" s="64" t="s">
        <v>89</v>
      </c>
      <c r="D49" s="63" t="s">
        <v>146</v>
      </c>
      <c r="E49" s="65">
        <v>3216.2</v>
      </c>
      <c r="F49" s="66">
        <f>SUM(E49*5/1000)</f>
        <v>16.081</v>
      </c>
      <c r="G49" s="14">
        <v>1711.28</v>
      </c>
      <c r="H49" s="67">
        <f t="shared" si="9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16</v>
      </c>
      <c r="B50" s="63" t="s">
        <v>95</v>
      </c>
      <c r="C50" s="64" t="s">
        <v>89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9"/>
        <v>9.7133099439999988</v>
      </c>
      <c r="I50" s="14">
        <f>F50/2*G50</f>
        <v>4856.6549719999994</v>
      </c>
      <c r="J50" s="25"/>
      <c r="L50" s="20"/>
      <c r="M50" s="21"/>
      <c r="N50" s="22"/>
    </row>
    <row r="51" spans="1:14" ht="31.5" hidden="1" customHeight="1">
      <c r="A51" s="58">
        <v>17</v>
      </c>
      <c r="B51" s="63" t="s">
        <v>96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9"/>
        <v>1.2321280000000001</v>
      </c>
      <c r="I51" s="14">
        <f t="shared" ref="I51:I52" si="11">F51/2*G51</f>
        <v>616.06400000000008</v>
      </c>
      <c r="J51" s="25"/>
      <c r="L51" s="20"/>
      <c r="M51" s="21"/>
      <c r="N51" s="22"/>
    </row>
    <row r="52" spans="1:14" ht="15.75" hidden="1" customHeight="1">
      <c r="A52" s="58">
        <v>18</v>
      </c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9"/>
        <v>0.1406626</v>
      </c>
      <c r="I52" s="14">
        <f t="shared" si="11"/>
        <v>70.331299999999999</v>
      </c>
      <c r="J52" s="25"/>
      <c r="L52" s="20"/>
      <c r="M52" s="21"/>
      <c r="N52" s="22"/>
    </row>
    <row r="53" spans="1:14" ht="15.75" hidden="1" customHeight="1">
      <c r="A53" s="58">
        <v>19</v>
      </c>
      <c r="B53" s="63" t="s">
        <v>39</v>
      </c>
      <c r="C53" s="64" t="s">
        <v>97</v>
      </c>
      <c r="D53" s="63" t="s">
        <v>65</v>
      </c>
      <c r="E53" s="65">
        <v>128</v>
      </c>
      <c r="F53" s="66">
        <f>SUM(E53)*3</f>
        <v>384</v>
      </c>
      <c r="G53" s="14">
        <v>81.73</v>
      </c>
      <c r="H53" s="67">
        <f t="shared" si="9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67" t="s">
        <v>77</v>
      </c>
      <c r="B54" s="177"/>
      <c r="C54" s="177"/>
      <c r="D54" s="177"/>
      <c r="E54" s="177"/>
      <c r="F54" s="177"/>
      <c r="G54" s="177"/>
      <c r="H54" s="177"/>
      <c r="I54" s="178"/>
      <c r="J54" s="25"/>
      <c r="L54" s="20"/>
      <c r="M54" s="21"/>
      <c r="N54" s="22"/>
    </row>
    <row r="55" spans="1:14" ht="15.75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customHeight="1">
      <c r="A56" s="58">
        <v>8</v>
      </c>
      <c r="B56" s="63" t="s">
        <v>121</v>
      </c>
      <c r="C56" s="64" t="s">
        <v>79</v>
      </c>
      <c r="D56" s="63"/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G56*0.08</f>
        <v>184.52959999999999</v>
      </c>
      <c r="J56" s="25"/>
      <c r="L56" s="20"/>
      <c r="M56" s="21"/>
      <c r="N56" s="22"/>
    </row>
    <row r="57" spans="1:14" ht="15.75" hidden="1" customHeight="1">
      <c r="A57" s="59">
        <v>17</v>
      </c>
      <c r="B57" s="76" t="s">
        <v>123</v>
      </c>
      <c r="C57" s="75" t="s">
        <v>124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5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5.75" hidden="1" customHeight="1">
      <c r="A59" s="59"/>
      <c r="B59" s="76" t="s">
        <v>134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133</v>
      </c>
      <c r="I60" s="14"/>
      <c r="J60" s="25"/>
      <c r="L60" s="20"/>
      <c r="M60" s="21"/>
      <c r="N60" s="22"/>
    </row>
    <row r="61" spans="1:14" ht="15.75" hidden="1" customHeight="1">
      <c r="A61" s="17">
        <v>11</v>
      </c>
      <c r="B61" s="15" t="s">
        <v>44</v>
      </c>
      <c r="C61" s="17" t="s">
        <v>97</v>
      </c>
      <c r="D61" s="15"/>
      <c r="E61" s="108">
        <v>10</v>
      </c>
      <c r="F61" s="66">
        <f>E61</f>
        <v>10</v>
      </c>
      <c r="G61" s="111">
        <v>276.74</v>
      </c>
      <c r="H61" s="62">
        <f t="shared" ref="H61:H69" si="12">SUM(F61*G61/1000)</f>
        <v>2.7674000000000003</v>
      </c>
      <c r="I61" s="14">
        <f>G61*2</f>
        <v>553.48</v>
      </c>
      <c r="J61" s="25"/>
      <c r="L61" s="20"/>
    </row>
    <row r="62" spans="1:14" ht="15.75" hidden="1" customHeight="1">
      <c r="A62" s="17"/>
      <c r="B62" s="15" t="s">
        <v>45</v>
      </c>
      <c r="C62" s="17" t="s">
        <v>97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12"/>
        <v>0.94889999999999997</v>
      </c>
      <c r="I62" s="14">
        <v>0</v>
      </c>
      <c r="J62" s="25"/>
      <c r="L62" s="20"/>
    </row>
    <row r="63" spans="1:14" ht="15.75" hidden="1" customHeight="1">
      <c r="A63" s="17">
        <v>23</v>
      </c>
      <c r="B63" s="15" t="s">
        <v>46</v>
      </c>
      <c r="C63" s="17" t="s">
        <v>98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12"/>
        <v>35.4987353</v>
      </c>
      <c r="I63" s="14">
        <f>F63*G63</f>
        <v>35498.7353</v>
      </c>
      <c r="J63" s="25"/>
      <c r="L63" s="20"/>
    </row>
    <row r="64" spans="1:14" ht="15.75" hidden="1" customHeight="1">
      <c r="A64" s="17">
        <v>24</v>
      </c>
      <c r="B64" s="15" t="s">
        <v>47</v>
      </c>
      <c r="C64" s="17" t="s">
        <v>99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12"/>
        <v>2.7642997899999995</v>
      </c>
      <c r="I64" s="14">
        <f t="shared" ref="I64:I67" si="13">F64*G64</f>
        <v>2764.2997899999996</v>
      </c>
    </row>
    <row r="65" spans="1:22" ht="15.75" hidden="1" customHeight="1">
      <c r="A65" s="17">
        <v>25</v>
      </c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12"/>
        <v>56.793660000000003</v>
      </c>
      <c r="I65" s="14">
        <f t="shared" si="13"/>
        <v>56793.66</v>
      </c>
    </row>
    <row r="66" spans="1:22" ht="15.75" hidden="1" customHeight="1">
      <c r="A66" s="17">
        <v>26</v>
      </c>
      <c r="B66" s="80" t="s">
        <v>100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12"/>
        <v>0.57414500000000002</v>
      </c>
      <c r="I66" s="14">
        <f t="shared" si="13"/>
        <v>574.14499999999998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7">
        <v>27</v>
      </c>
      <c r="B67" s="80" t="s">
        <v>101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12"/>
        <v>0.535667</v>
      </c>
      <c r="I67" s="14">
        <f t="shared" si="13"/>
        <v>535.66700000000003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>
        <v>21</v>
      </c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12"/>
        <v>0.24828</v>
      </c>
      <c r="I68" s="14">
        <f>F68*G68</f>
        <v>248.28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9</v>
      </c>
      <c r="B69" s="15" t="s">
        <v>125</v>
      </c>
      <c r="C69" s="31" t="s">
        <v>126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12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121" t="s">
        <v>66</v>
      </c>
      <c r="C70" s="17"/>
      <c r="D70" s="15"/>
      <c r="E70" s="19"/>
      <c r="F70" s="14"/>
      <c r="G70" s="14"/>
      <c r="H70" s="62" t="s">
        <v>133</v>
      </c>
      <c r="I70" s="14"/>
      <c r="J70" s="6"/>
      <c r="K70" s="6"/>
      <c r="L70" s="6"/>
      <c r="M70" s="6"/>
      <c r="N70" s="6"/>
      <c r="O70" s="6"/>
      <c r="P70" s="6"/>
      <c r="Q70" s="6"/>
      <c r="R70" s="157"/>
      <c r="S70" s="157"/>
      <c r="T70" s="157"/>
      <c r="U70" s="157"/>
    </row>
    <row r="71" spans="1:22" ht="15.75" hidden="1" customHeight="1">
      <c r="A71" s="17"/>
      <c r="B71" s="15" t="s">
        <v>127</v>
      </c>
      <c r="C71" s="17" t="s">
        <v>128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14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104</v>
      </c>
      <c r="C72" s="17" t="s">
        <v>129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14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14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14"/>
        <v>1.0614100000000002</v>
      </c>
      <c r="I74" s="14">
        <v>0</v>
      </c>
    </row>
    <row r="75" spans="1:22" ht="15.75" hidden="1" customHeight="1">
      <c r="A75" s="17"/>
      <c r="B75" s="15" t="s">
        <v>130</v>
      </c>
      <c r="C75" s="17" t="s">
        <v>128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14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133</v>
      </c>
      <c r="H76" s="62" t="s">
        <v>133</v>
      </c>
      <c r="I76" s="14"/>
    </row>
    <row r="77" spans="1:22" ht="15.75" hidden="1" customHeight="1">
      <c r="A77" s="17"/>
      <c r="B77" s="43" t="s">
        <v>105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15">SUM(F77*G77/1000)</f>
        <v>0.34336800000000001</v>
      </c>
      <c r="I77" s="14">
        <v>0</v>
      </c>
    </row>
    <row r="78" spans="1:22" ht="15.75" hidden="1" customHeight="1">
      <c r="A78" s="105"/>
      <c r="B78" s="95" t="s">
        <v>102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5.75" hidden="1" customHeight="1">
      <c r="A79" s="17">
        <v>14</v>
      </c>
      <c r="B79" s="63" t="s">
        <v>103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f>G79</f>
        <v>14133</v>
      </c>
    </row>
    <row r="80" spans="1:22" ht="15.75" customHeight="1">
      <c r="A80" s="167" t="s">
        <v>143</v>
      </c>
      <c r="B80" s="177"/>
      <c r="C80" s="177"/>
      <c r="D80" s="177"/>
      <c r="E80" s="177"/>
      <c r="F80" s="177"/>
      <c r="G80" s="177"/>
      <c r="H80" s="177"/>
      <c r="I80" s="178"/>
    </row>
    <row r="81" spans="1:9" ht="15.75" customHeight="1">
      <c r="A81" s="17">
        <v>10</v>
      </c>
      <c r="B81" s="63" t="s">
        <v>106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11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I82+I81+I69+I56+I41+I39+I38+I37+I18+I17+I16</f>
        <v>40883.038669999994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18" customHeight="1">
      <c r="A85" s="115">
        <v>12</v>
      </c>
      <c r="B85" s="130" t="s">
        <v>155</v>
      </c>
      <c r="C85" s="131" t="s">
        <v>156</v>
      </c>
      <c r="D85" s="43"/>
      <c r="E85" s="14"/>
      <c r="F85" s="14">
        <v>2</v>
      </c>
      <c r="G85" s="136">
        <v>1.4</v>
      </c>
      <c r="H85" s="62">
        <f t="shared" ref="H85" si="16">G85*F85/1000</f>
        <v>2.8E-3</v>
      </c>
      <c r="I85" s="114">
        <f>G85*100</f>
        <v>140</v>
      </c>
    </row>
    <row r="86" spans="1:9" ht="31.5" customHeight="1">
      <c r="A86" s="115">
        <v>13</v>
      </c>
      <c r="B86" s="122" t="s">
        <v>159</v>
      </c>
      <c r="C86" s="123" t="s">
        <v>28</v>
      </c>
      <c r="D86" s="127"/>
      <c r="E86" s="125"/>
      <c r="F86" s="125">
        <v>3</v>
      </c>
      <c r="G86" s="134">
        <v>21369.24</v>
      </c>
      <c r="H86" s="126">
        <f>G86*F86/1000</f>
        <v>64.10772</v>
      </c>
      <c r="I86" s="114">
        <f>G86*0.599*10/1000</f>
        <v>128.00174760000002</v>
      </c>
    </row>
    <row r="87" spans="1:9" ht="18" customHeight="1">
      <c r="A87" s="115">
        <v>14</v>
      </c>
      <c r="B87" s="122" t="s">
        <v>226</v>
      </c>
      <c r="C87" s="123" t="s">
        <v>28</v>
      </c>
      <c r="D87" s="124"/>
      <c r="E87" s="18"/>
      <c r="F87" s="125">
        <f>1.28+1.28+1.28+1.28+1.28+1.28+1.28+1.28</f>
        <v>10.24</v>
      </c>
      <c r="G87" s="125">
        <v>241.69</v>
      </c>
      <c r="H87" s="126"/>
      <c r="I87" s="114">
        <f>G87*1.28*2</f>
        <v>618.72640000000001</v>
      </c>
    </row>
    <row r="88" spans="1:9" ht="19.5" customHeight="1">
      <c r="A88" s="115">
        <v>15</v>
      </c>
      <c r="B88" s="122" t="s">
        <v>222</v>
      </c>
      <c r="C88" s="123" t="s">
        <v>38</v>
      </c>
      <c r="D88" s="124" t="s">
        <v>173</v>
      </c>
      <c r="E88" s="18"/>
      <c r="F88" s="125">
        <v>0.06</v>
      </c>
      <c r="G88" s="125">
        <v>28224.75</v>
      </c>
      <c r="H88" s="126"/>
      <c r="I88" s="114">
        <v>0</v>
      </c>
    </row>
    <row r="89" spans="1:9" ht="16.5" customHeight="1">
      <c r="A89" s="115">
        <v>16</v>
      </c>
      <c r="B89" s="155" t="s">
        <v>274</v>
      </c>
      <c r="C89" s="156" t="s">
        <v>81</v>
      </c>
      <c r="D89" s="124"/>
      <c r="E89" s="18"/>
      <c r="F89" s="125">
        <v>0.06</v>
      </c>
      <c r="G89" s="125">
        <v>2787.6</v>
      </c>
      <c r="H89" s="126"/>
      <c r="I89" s="114">
        <f>G89*0.06</f>
        <v>167.256</v>
      </c>
    </row>
    <row r="90" spans="1:9" ht="34.5" customHeight="1">
      <c r="A90" s="115">
        <v>17</v>
      </c>
      <c r="B90" s="155" t="s">
        <v>275</v>
      </c>
      <c r="C90" s="156" t="s">
        <v>276</v>
      </c>
      <c r="D90" s="124" t="s">
        <v>248</v>
      </c>
      <c r="E90" s="18"/>
      <c r="F90" s="125">
        <v>1</v>
      </c>
      <c r="G90" s="125">
        <v>477.25</v>
      </c>
      <c r="H90" s="126"/>
      <c r="I90" s="114">
        <f>G90*1</f>
        <v>477.25</v>
      </c>
    </row>
    <row r="91" spans="1:9" ht="17.25" customHeight="1">
      <c r="A91" s="115">
        <v>18</v>
      </c>
      <c r="B91" s="122" t="s">
        <v>277</v>
      </c>
      <c r="C91" s="123" t="s">
        <v>97</v>
      </c>
      <c r="D91" s="124" t="s">
        <v>278</v>
      </c>
      <c r="E91" s="18"/>
      <c r="F91" s="125">
        <v>1</v>
      </c>
      <c r="G91" s="125">
        <v>101.85</v>
      </c>
      <c r="H91" s="126"/>
      <c r="I91" s="114">
        <v>0</v>
      </c>
    </row>
    <row r="92" spans="1:9" ht="15.75" customHeight="1">
      <c r="A92" s="115"/>
      <c r="B92" s="41" t="s">
        <v>49</v>
      </c>
      <c r="C92" s="37"/>
      <c r="D92" s="44"/>
      <c r="E92" s="37">
        <v>1</v>
      </c>
      <c r="F92" s="37"/>
      <c r="G92" s="37"/>
      <c r="H92" s="37"/>
      <c r="I92" s="34">
        <f>SUM(I85:I90)</f>
        <v>1531.2341476000001</v>
      </c>
    </row>
    <row r="93" spans="1:9" ht="15.75" customHeight="1">
      <c r="A93" s="31"/>
      <c r="B93" s="43" t="s">
        <v>73</v>
      </c>
      <c r="C93" s="16"/>
      <c r="D93" s="16"/>
      <c r="E93" s="38"/>
      <c r="F93" s="38"/>
      <c r="G93" s="39"/>
      <c r="H93" s="39"/>
      <c r="I93" s="18">
        <v>0</v>
      </c>
    </row>
    <row r="94" spans="1:9" ht="15.75" customHeight="1">
      <c r="A94" s="45"/>
      <c r="B94" s="42" t="s">
        <v>147</v>
      </c>
      <c r="C94" s="35"/>
      <c r="D94" s="35"/>
      <c r="E94" s="35"/>
      <c r="F94" s="35"/>
      <c r="G94" s="35"/>
      <c r="H94" s="35"/>
      <c r="I94" s="40">
        <f>I92+I83</f>
        <v>42414.272817599995</v>
      </c>
    </row>
    <row r="95" spans="1:9" ht="15.75" customHeight="1">
      <c r="A95" s="158" t="s">
        <v>279</v>
      </c>
      <c r="B95" s="158"/>
      <c r="C95" s="158"/>
      <c r="D95" s="158"/>
      <c r="E95" s="158"/>
      <c r="F95" s="158"/>
      <c r="G95" s="158"/>
      <c r="H95" s="158"/>
      <c r="I95" s="158"/>
    </row>
    <row r="96" spans="1:9" ht="15.75" customHeight="1">
      <c r="A96" s="53"/>
      <c r="B96" s="183" t="s">
        <v>280</v>
      </c>
      <c r="C96" s="183"/>
      <c r="D96" s="183"/>
      <c r="E96" s="183"/>
      <c r="F96" s="183"/>
      <c r="G96" s="183"/>
      <c r="H96" s="57"/>
      <c r="I96" s="4"/>
    </row>
    <row r="97" spans="1:9" ht="15.75" customHeight="1">
      <c r="A97" s="118"/>
      <c r="B97" s="180" t="s">
        <v>6</v>
      </c>
      <c r="C97" s="180"/>
      <c r="D97" s="180"/>
      <c r="E97" s="180"/>
      <c r="F97" s="180"/>
      <c r="G97" s="180"/>
      <c r="H97" s="26"/>
      <c r="I97" s="6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184" t="s">
        <v>7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4" t="s">
        <v>8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5" t="s">
        <v>59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2"/>
    </row>
    <row r="103" spans="1:9" ht="15.75" customHeight="1">
      <c r="A103" s="165" t="s">
        <v>9</v>
      </c>
      <c r="B103" s="165"/>
      <c r="C103" s="165"/>
      <c r="D103" s="165"/>
      <c r="E103" s="165"/>
      <c r="F103" s="165"/>
      <c r="G103" s="165"/>
      <c r="H103" s="165"/>
      <c r="I103" s="165"/>
    </row>
    <row r="104" spans="1:9" ht="15.75" customHeight="1">
      <c r="A104" s="5"/>
    </row>
    <row r="105" spans="1:9" ht="15.75" customHeight="1">
      <c r="B105" s="119" t="s">
        <v>10</v>
      </c>
      <c r="C105" s="179" t="s">
        <v>186</v>
      </c>
      <c r="D105" s="179"/>
      <c r="E105" s="179"/>
      <c r="F105" s="55"/>
      <c r="I105" s="117"/>
    </row>
    <row r="106" spans="1:9" ht="15.75" customHeight="1">
      <c r="A106" s="118"/>
      <c r="C106" s="180" t="s">
        <v>11</v>
      </c>
      <c r="D106" s="180"/>
      <c r="E106" s="180"/>
      <c r="F106" s="26"/>
      <c r="I106" s="116" t="s">
        <v>12</v>
      </c>
    </row>
    <row r="107" spans="1:9" ht="15.75" customHeight="1">
      <c r="A107" s="27"/>
      <c r="C107" s="13"/>
      <c r="D107" s="13"/>
      <c r="G107" s="13"/>
      <c r="H107" s="13"/>
    </row>
    <row r="108" spans="1:9" ht="15.75" customHeight="1">
      <c r="B108" s="119" t="s">
        <v>13</v>
      </c>
      <c r="C108" s="181"/>
      <c r="D108" s="181"/>
      <c r="E108" s="181"/>
      <c r="F108" s="56"/>
      <c r="I108" s="117"/>
    </row>
    <row r="109" spans="1:9" ht="15.75" customHeight="1">
      <c r="A109" s="118"/>
      <c r="C109" s="157" t="s">
        <v>11</v>
      </c>
      <c r="D109" s="157"/>
      <c r="E109" s="157"/>
      <c r="F109" s="118"/>
      <c r="I109" s="116" t="s">
        <v>12</v>
      </c>
    </row>
    <row r="110" spans="1:9" ht="15.75" customHeight="1">
      <c r="A110" s="5" t="s">
        <v>14</v>
      </c>
    </row>
    <row r="111" spans="1:9" ht="15" customHeight="1">
      <c r="A111" s="182" t="s">
        <v>15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5" customHeight="1">
      <c r="A112" s="176" t="s">
        <v>16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17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30" customHeight="1">
      <c r="A114" s="176" t="s">
        <v>21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15" customHeight="1">
      <c r="A115" s="176" t="s">
        <v>20</v>
      </c>
      <c r="B115" s="176"/>
      <c r="C115" s="176"/>
      <c r="D115" s="176"/>
      <c r="E115" s="176"/>
      <c r="F115" s="176"/>
      <c r="G115" s="176"/>
      <c r="H115" s="176"/>
      <c r="I115" s="176"/>
    </row>
  </sheetData>
  <autoFilter ref="I14:I64"/>
  <mergeCells count="29">
    <mergeCell ref="A111:I111"/>
    <mergeCell ref="A112:I112"/>
    <mergeCell ref="A113:I113"/>
    <mergeCell ref="A114:I114"/>
    <mergeCell ref="A115:I115"/>
    <mergeCell ref="R70:U70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54"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153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281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120"/>
      <c r="C6" s="120"/>
      <c r="D6" s="120"/>
      <c r="E6" s="120"/>
      <c r="F6" s="120"/>
      <c r="G6" s="120"/>
      <c r="H6" s="120"/>
      <c r="I6" s="32">
        <v>44561</v>
      </c>
    </row>
    <row r="7" spans="1:13" ht="15.75">
      <c r="B7" s="119"/>
      <c r="C7" s="119"/>
      <c r="D7" s="11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110</v>
      </c>
      <c r="E16" s="65">
        <v>54</v>
      </c>
      <c r="F16" s="66">
        <f>SUM(E16*156/100)</f>
        <v>84.24</v>
      </c>
      <c r="G16" s="66">
        <v>218.21</v>
      </c>
      <c r="H16" s="67">
        <f t="shared" ref="H16:H27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111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112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1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f t="shared" si="1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2">SUM(E22/100)</f>
        <v>3.57</v>
      </c>
      <c r="G22" s="66">
        <v>335.05</v>
      </c>
      <c r="H22" s="67">
        <f t="shared" si="0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2"/>
        <v>0.38640000000000002</v>
      </c>
      <c r="G23" s="66">
        <v>55.1</v>
      </c>
      <c r="H23" s="67">
        <f t="shared" si="0"/>
        <v>2.1290640000000003E-2</v>
      </c>
      <c r="I23" s="14">
        <f t="shared" ref="I23:I25" si="3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2"/>
        <v>0.15</v>
      </c>
      <c r="G24" s="66">
        <v>484.94</v>
      </c>
      <c r="H24" s="67">
        <f t="shared" si="0"/>
        <v>7.2741E-2</v>
      </c>
      <c r="I24" s="14">
        <f t="shared" si="3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2"/>
        <v>6.3799999999999996E-2</v>
      </c>
      <c r="G25" s="66">
        <v>648.04999999999995</v>
      </c>
      <c r="H25" s="67">
        <f t="shared" si="0"/>
        <v>4.1345589999999995E-2</v>
      </c>
      <c r="I25" s="14">
        <f t="shared" si="3"/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si="0"/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70" t="s">
        <v>144</v>
      </c>
      <c r="B28" s="171"/>
      <c r="C28" s="171"/>
      <c r="D28" s="171"/>
      <c r="E28" s="171"/>
      <c r="F28" s="171"/>
      <c r="G28" s="171"/>
      <c r="H28" s="171"/>
      <c r="I28" s="172"/>
      <c r="J28" s="24"/>
      <c r="K28" s="9"/>
      <c r="L28" s="9"/>
      <c r="M28" s="9"/>
    </row>
    <row r="29" spans="1:13" ht="15.75" hidden="1" customHeight="1">
      <c r="A29" s="103"/>
      <c r="B29" s="121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>
        <v>6</v>
      </c>
      <c r="B30" s="63" t="s">
        <v>88</v>
      </c>
      <c r="C30" s="64" t="s">
        <v>89</v>
      </c>
      <c r="D30" s="63" t="s">
        <v>114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4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hidden="1" customHeight="1">
      <c r="A31" s="58">
        <v>7</v>
      </c>
      <c r="B31" s="63" t="s">
        <v>145</v>
      </c>
      <c r="C31" s="64" t="s">
        <v>89</v>
      </c>
      <c r="D31" s="63" t="s">
        <v>115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4"/>
        <v>1.6981475940000001</v>
      </c>
      <c r="I31" s="14">
        <f t="shared" ref="I31:I33" si="5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89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4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>
        <v>8</v>
      </c>
      <c r="B33" s="63" t="s">
        <v>90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4"/>
        <v>3.6445666666666665</v>
      </c>
      <c r="I33" s="14">
        <f t="shared" si="5"/>
        <v>607.42777777777781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4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132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4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121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15.75" hidden="1" customHeight="1">
      <c r="A37" s="102">
        <v>5</v>
      </c>
      <c r="B37" s="63" t="s">
        <v>25</v>
      </c>
      <c r="C37" s="64" t="s">
        <v>30</v>
      </c>
      <c r="D37" s="63" t="s">
        <v>188</v>
      </c>
      <c r="E37" s="65"/>
      <c r="F37" s="66">
        <v>3</v>
      </c>
      <c r="G37" s="66">
        <v>1900.37</v>
      </c>
      <c r="H37" s="67">
        <f t="shared" ref="H37:H43" si="6">SUM(F37*G37/1000)</f>
        <v>5.7011099999999999</v>
      </c>
      <c r="I37" s="14">
        <f>G37*0.4</f>
        <v>760.14800000000002</v>
      </c>
      <c r="J37" s="25"/>
    </row>
    <row r="38" spans="1:14" ht="15.75" customHeight="1">
      <c r="A38" s="58">
        <v>4</v>
      </c>
      <c r="B38" s="63" t="s">
        <v>78</v>
      </c>
      <c r="C38" s="64" t="s">
        <v>28</v>
      </c>
      <c r="D38" s="63" t="s">
        <v>166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5</v>
      </c>
      <c r="B39" s="63" t="s">
        <v>116</v>
      </c>
      <c r="C39" s="64" t="s">
        <v>28</v>
      </c>
      <c r="D39" s="63" t="s">
        <v>167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102">
        <v>9</v>
      </c>
      <c r="B40" s="63" t="s">
        <v>117</v>
      </c>
      <c r="C40" s="64" t="s">
        <v>118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f>G40*13</f>
        <v>2948.92</v>
      </c>
      <c r="J40" s="25"/>
    </row>
    <row r="41" spans="1:14" ht="47.25" customHeight="1">
      <c r="A41" s="58">
        <v>6</v>
      </c>
      <c r="B41" s="63" t="s">
        <v>75</v>
      </c>
      <c r="C41" s="64" t="s">
        <v>28</v>
      </c>
      <c r="D41" s="63" t="s">
        <v>168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si="6"/>
        <v>17.098019977500002</v>
      </c>
      <c r="I41" s="14">
        <f>F41/6*G41</f>
        <v>2849.6699962500002</v>
      </c>
      <c r="J41" s="25"/>
    </row>
    <row r="42" spans="1:14" ht="15.75" hidden="1" customHeight="1">
      <c r="A42" s="58">
        <v>9</v>
      </c>
      <c r="B42" s="63" t="s">
        <v>93</v>
      </c>
      <c r="C42" s="64" t="s">
        <v>89</v>
      </c>
      <c r="D42" s="63" t="s">
        <v>120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6"/>
        <v>0.72175785000000003</v>
      </c>
      <c r="I42" s="14">
        <f>F42/7.5*1.5*G42</f>
        <v>144.35157000000001</v>
      </c>
      <c r="J42" s="25"/>
    </row>
    <row r="43" spans="1:14" ht="15.75" hidden="1" customHeight="1">
      <c r="A43" s="102">
        <v>10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6"/>
        <v>0.79437600000000008</v>
      </c>
      <c r="I43" s="14">
        <f>F43/7.5*1.5*G43</f>
        <v>158.87520000000001</v>
      </c>
      <c r="J43" s="25"/>
    </row>
    <row r="44" spans="1:14" ht="15.75" customHeight="1">
      <c r="A44" s="167" t="s">
        <v>136</v>
      </c>
      <c r="B44" s="168"/>
      <c r="C44" s="168"/>
      <c r="D44" s="168"/>
      <c r="E44" s="168"/>
      <c r="F44" s="168"/>
      <c r="G44" s="168"/>
      <c r="H44" s="168"/>
      <c r="I44" s="169"/>
      <c r="J44" s="25"/>
      <c r="L44" s="20"/>
      <c r="M44" s="21"/>
      <c r="N44" s="22"/>
    </row>
    <row r="45" spans="1:14" ht="15.75" hidden="1" customHeight="1">
      <c r="A45" s="58">
        <v>11</v>
      </c>
      <c r="B45" s="63" t="s">
        <v>94</v>
      </c>
      <c r="C45" s="64" t="s">
        <v>89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7">SUM(F45*G45/1000)</f>
        <v>2.8614740699999999</v>
      </c>
      <c r="I45" s="14">
        <f>F45/2*G45</f>
        <v>1430.7370349999999</v>
      </c>
      <c r="J45" s="25"/>
      <c r="L45" s="20"/>
      <c r="M45" s="21"/>
      <c r="N45" s="22"/>
    </row>
    <row r="46" spans="1:14" ht="15.75" hidden="1" customHeight="1">
      <c r="A46" s="58">
        <v>12</v>
      </c>
      <c r="B46" s="63" t="s">
        <v>34</v>
      </c>
      <c r="C46" s="64" t="s">
        <v>89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7"/>
        <v>5.350488047999999</v>
      </c>
      <c r="I46" s="14">
        <f t="shared" ref="I46:I48" si="8">F46/2*G46</f>
        <v>2675.2440239999996</v>
      </c>
      <c r="J46" s="25"/>
      <c r="L46" s="20"/>
      <c r="M46" s="21"/>
      <c r="N46" s="22"/>
    </row>
    <row r="47" spans="1:14" ht="15.75" hidden="1" customHeight="1">
      <c r="A47" s="58">
        <v>13</v>
      </c>
      <c r="B47" s="63" t="s">
        <v>35</v>
      </c>
      <c r="C47" s="64" t="s">
        <v>89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7"/>
        <v>3.8213814159999999</v>
      </c>
      <c r="I47" s="14">
        <f t="shared" si="8"/>
        <v>1910.6907079999999</v>
      </c>
      <c r="J47" s="25"/>
      <c r="L47" s="20"/>
      <c r="M47" s="21"/>
      <c r="N47" s="22"/>
    </row>
    <row r="48" spans="1:14" ht="15.75" hidden="1" customHeight="1">
      <c r="A48" s="58">
        <v>14</v>
      </c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7"/>
        <v>0.15555924799999998</v>
      </c>
      <c r="I48" s="14">
        <f t="shared" si="8"/>
        <v>77.779623999999998</v>
      </c>
      <c r="J48" s="25"/>
      <c r="L48" s="20"/>
      <c r="M48" s="21"/>
      <c r="N48" s="22"/>
    </row>
    <row r="49" spans="1:14" ht="15.75" customHeight="1">
      <c r="A49" s="58">
        <v>7</v>
      </c>
      <c r="B49" s="63" t="s">
        <v>54</v>
      </c>
      <c r="C49" s="64" t="s">
        <v>89</v>
      </c>
      <c r="D49" s="63" t="s">
        <v>146</v>
      </c>
      <c r="E49" s="65">
        <v>3216.2</v>
      </c>
      <c r="F49" s="66">
        <f>SUM(E49*5/1000)</f>
        <v>16.081</v>
      </c>
      <c r="G49" s="14">
        <v>1711.28</v>
      </c>
      <c r="H49" s="67">
        <f t="shared" si="7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16</v>
      </c>
      <c r="B50" s="63" t="s">
        <v>95</v>
      </c>
      <c r="C50" s="64" t="s">
        <v>89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7"/>
        <v>9.7133099439999988</v>
      </c>
      <c r="I50" s="14">
        <f>F50/2*G50</f>
        <v>4856.6549719999994</v>
      </c>
      <c r="J50" s="25"/>
      <c r="L50" s="20"/>
      <c r="M50" s="21"/>
      <c r="N50" s="22"/>
    </row>
    <row r="51" spans="1:14" ht="31.5" hidden="1" customHeight="1">
      <c r="A51" s="58">
        <v>17</v>
      </c>
      <c r="B51" s="63" t="s">
        <v>96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7"/>
        <v>1.2321280000000001</v>
      </c>
      <c r="I51" s="14">
        <f t="shared" ref="I51:I52" si="9">F51/2*G51</f>
        <v>616.06400000000008</v>
      </c>
      <c r="J51" s="25"/>
      <c r="L51" s="20"/>
      <c r="M51" s="21"/>
      <c r="N51" s="22"/>
    </row>
    <row r="52" spans="1:14" ht="15.75" hidden="1" customHeight="1">
      <c r="A52" s="58">
        <v>18</v>
      </c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7"/>
        <v>0.1406626</v>
      </c>
      <c r="I52" s="14">
        <f t="shared" si="9"/>
        <v>70.331299999999999</v>
      </c>
      <c r="J52" s="25"/>
      <c r="L52" s="20"/>
      <c r="M52" s="21"/>
      <c r="N52" s="22"/>
    </row>
    <row r="53" spans="1:14" ht="15.75" hidden="1" customHeight="1">
      <c r="A53" s="58">
        <v>10</v>
      </c>
      <c r="B53" s="63" t="s">
        <v>39</v>
      </c>
      <c r="C53" s="64" t="s">
        <v>97</v>
      </c>
      <c r="D53" s="144">
        <v>44175</v>
      </c>
      <c r="E53" s="65">
        <v>128</v>
      </c>
      <c r="F53" s="66">
        <f>SUM(E53)*3</f>
        <v>384</v>
      </c>
      <c r="G53" s="14">
        <v>81.73</v>
      </c>
      <c r="H53" s="67">
        <f t="shared" si="7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67" t="s">
        <v>135</v>
      </c>
      <c r="B54" s="177"/>
      <c r="C54" s="177"/>
      <c r="D54" s="177"/>
      <c r="E54" s="177"/>
      <c r="F54" s="177"/>
      <c r="G54" s="177"/>
      <c r="H54" s="177"/>
      <c r="I54" s="178"/>
      <c r="J54" s="25"/>
      <c r="L54" s="20"/>
      <c r="M54" s="21"/>
      <c r="N54" s="22"/>
    </row>
    <row r="55" spans="1:14" ht="15.75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customHeight="1">
      <c r="A56" s="58">
        <v>8</v>
      </c>
      <c r="B56" s="63" t="s">
        <v>121</v>
      </c>
      <c r="C56" s="64" t="s">
        <v>79</v>
      </c>
      <c r="D56" s="63"/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G56*0.08</f>
        <v>184.52959999999999</v>
      </c>
      <c r="J56" s="25"/>
      <c r="L56" s="20"/>
      <c r="M56" s="21"/>
      <c r="N56" s="22"/>
    </row>
    <row r="57" spans="1:14" ht="15.75" hidden="1" customHeight="1">
      <c r="A57" s="59">
        <v>17</v>
      </c>
      <c r="B57" s="76" t="s">
        <v>123</v>
      </c>
      <c r="C57" s="75" t="s">
        <v>124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5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5.75" hidden="1" customHeight="1">
      <c r="A59" s="59"/>
      <c r="B59" s="76" t="s">
        <v>134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133</v>
      </c>
      <c r="I60" s="14"/>
      <c r="J60" s="25"/>
      <c r="L60" s="20"/>
      <c r="M60" s="21"/>
      <c r="N60" s="22"/>
    </row>
    <row r="61" spans="1:14" ht="15.75" hidden="1" customHeight="1">
      <c r="A61" s="17">
        <v>9</v>
      </c>
      <c r="B61" s="15" t="s">
        <v>44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276.74</v>
      </c>
      <c r="H61" s="62">
        <f t="shared" ref="H61:H69" si="10">SUM(F61*G61/1000)</f>
        <v>2.7674000000000003</v>
      </c>
      <c r="I61" s="14">
        <f>G61*11</f>
        <v>3044.1400000000003</v>
      </c>
      <c r="J61" s="25"/>
      <c r="L61" s="20"/>
    </row>
    <row r="62" spans="1:14" ht="15.75" hidden="1" customHeight="1">
      <c r="A62" s="17"/>
      <c r="B62" s="15" t="s">
        <v>45</v>
      </c>
      <c r="C62" s="17" t="s">
        <v>97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10"/>
        <v>0.94889999999999997</v>
      </c>
      <c r="I62" s="14">
        <v>0</v>
      </c>
      <c r="J62" s="25"/>
      <c r="L62" s="20"/>
    </row>
    <row r="63" spans="1:14" ht="15.75" hidden="1" customHeight="1">
      <c r="A63" s="17">
        <v>23</v>
      </c>
      <c r="B63" s="15" t="s">
        <v>46</v>
      </c>
      <c r="C63" s="17" t="s">
        <v>98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10"/>
        <v>35.4987353</v>
      </c>
      <c r="I63" s="14">
        <f>F63*G63</f>
        <v>35498.7353</v>
      </c>
      <c r="J63" s="25"/>
      <c r="L63" s="20"/>
    </row>
    <row r="64" spans="1:14" ht="15.75" hidden="1" customHeight="1">
      <c r="A64" s="17">
        <v>24</v>
      </c>
      <c r="B64" s="15" t="s">
        <v>47</v>
      </c>
      <c r="C64" s="17" t="s">
        <v>99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10"/>
        <v>2.7642997899999995</v>
      </c>
      <c r="I64" s="14">
        <f t="shared" ref="I64:I67" si="11">F64*G64</f>
        <v>2764.2997899999996</v>
      </c>
    </row>
    <row r="65" spans="1:22" ht="15.75" hidden="1" customHeight="1">
      <c r="A65" s="17">
        <v>25</v>
      </c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10"/>
        <v>56.793660000000003</v>
      </c>
      <c r="I65" s="14">
        <f t="shared" si="11"/>
        <v>56793.66</v>
      </c>
    </row>
    <row r="66" spans="1:22" ht="15.75" hidden="1" customHeight="1">
      <c r="A66" s="17">
        <v>26</v>
      </c>
      <c r="B66" s="80" t="s">
        <v>100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10"/>
        <v>0.57414500000000002</v>
      </c>
      <c r="I66" s="14">
        <f t="shared" si="11"/>
        <v>574.14499999999998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7">
        <v>27</v>
      </c>
      <c r="B67" s="80" t="s">
        <v>101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10"/>
        <v>0.535667</v>
      </c>
      <c r="I67" s="14">
        <f t="shared" si="11"/>
        <v>535.66700000000003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>
        <v>21</v>
      </c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10"/>
        <v>0.24828</v>
      </c>
      <c r="I68" s="14">
        <f>F68*G68</f>
        <v>248.28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9</v>
      </c>
      <c r="B69" s="15" t="s">
        <v>125</v>
      </c>
      <c r="C69" s="31" t="s">
        <v>126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10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121" t="s">
        <v>66</v>
      </c>
      <c r="C70" s="17"/>
      <c r="D70" s="15"/>
      <c r="E70" s="19"/>
      <c r="F70" s="14"/>
      <c r="G70" s="14"/>
      <c r="H70" s="62" t="s">
        <v>133</v>
      </c>
      <c r="I70" s="14"/>
      <c r="J70" s="6"/>
      <c r="K70" s="6"/>
      <c r="L70" s="6"/>
      <c r="M70" s="6"/>
      <c r="N70" s="6"/>
      <c r="O70" s="6"/>
      <c r="P70" s="6"/>
      <c r="Q70" s="6"/>
      <c r="R70" s="157"/>
      <c r="S70" s="157"/>
      <c r="T70" s="157"/>
      <c r="U70" s="157"/>
    </row>
    <row r="71" spans="1:22" ht="15.75" hidden="1" customHeight="1">
      <c r="A71" s="17"/>
      <c r="B71" s="15" t="s">
        <v>127</v>
      </c>
      <c r="C71" s="17" t="s">
        <v>128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12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104</v>
      </c>
      <c r="C72" s="17" t="s">
        <v>129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12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12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12"/>
        <v>1.0614100000000002</v>
      </c>
      <c r="I74" s="14">
        <v>0</v>
      </c>
    </row>
    <row r="75" spans="1:22" ht="15.75" hidden="1" customHeight="1">
      <c r="A75" s="17"/>
      <c r="B75" s="15" t="s">
        <v>130</v>
      </c>
      <c r="C75" s="17" t="s">
        <v>128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12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133</v>
      </c>
      <c r="H76" s="62" t="s">
        <v>133</v>
      </c>
      <c r="I76" s="14"/>
    </row>
    <row r="77" spans="1:22" ht="15.75" hidden="1" customHeight="1">
      <c r="A77" s="17"/>
      <c r="B77" s="43" t="s">
        <v>105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13">SUM(F77*G77/1000)</f>
        <v>0.34336800000000001</v>
      </c>
      <c r="I77" s="14">
        <v>0</v>
      </c>
    </row>
    <row r="78" spans="1:22" ht="15.75" hidden="1" customHeight="1">
      <c r="A78" s="105"/>
      <c r="B78" s="95" t="s">
        <v>102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5.75" hidden="1" customHeight="1">
      <c r="A79" s="17">
        <v>14</v>
      </c>
      <c r="B79" s="63" t="s">
        <v>103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f>G79</f>
        <v>14133</v>
      </c>
    </row>
    <row r="80" spans="1:22" ht="15.75" customHeight="1">
      <c r="A80" s="167" t="s">
        <v>137</v>
      </c>
      <c r="B80" s="177"/>
      <c r="C80" s="177"/>
      <c r="D80" s="177"/>
      <c r="E80" s="177"/>
      <c r="F80" s="177"/>
      <c r="G80" s="177"/>
      <c r="H80" s="177"/>
      <c r="I80" s="178"/>
    </row>
    <row r="81" spans="1:9" ht="15.75" customHeight="1">
      <c r="A81" s="17">
        <v>10</v>
      </c>
      <c r="B81" s="63" t="s">
        <v>106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11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I82+I81+I69+I56+I49+I41+I39+I38+I18+I17+I16</f>
        <v>45436.672405999991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31.5" customHeight="1">
      <c r="A85" s="31">
        <v>12</v>
      </c>
      <c r="B85" s="122" t="s">
        <v>159</v>
      </c>
      <c r="C85" s="123" t="s">
        <v>28</v>
      </c>
      <c r="D85" s="140"/>
      <c r="E85" s="140"/>
      <c r="F85" s="140"/>
      <c r="G85" s="134">
        <v>21369.24</v>
      </c>
      <c r="H85" s="140"/>
      <c r="I85" s="141">
        <f>G85*10*0.599/1000</f>
        <v>128.00174760000002</v>
      </c>
    </row>
    <row r="86" spans="1:9" ht="15.75" customHeight="1">
      <c r="A86" s="31">
        <v>13</v>
      </c>
      <c r="B86" s="130" t="s">
        <v>155</v>
      </c>
      <c r="C86" s="131" t="s">
        <v>156</v>
      </c>
      <c r="D86" s="147"/>
      <c r="E86" s="148"/>
      <c r="F86" s="148">
        <v>2</v>
      </c>
      <c r="G86" s="136">
        <v>1.4</v>
      </c>
      <c r="H86" s="62">
        <f t="shared" ref="H86" si="14">G86*F86/1000</f>
        <v>2.8E-3</v>
      </c>
      <c r="I86" s="114">
        <f>G86*100</f>
        <v>140</v>
      </c>
    </row>
    <row r="87" spans="1:9" ht="33.75" customHeight="1">
      <c r="A87" s="31">
        <v>14</v>
      </c>
      <c r="B87" s="122" t="s">
        <v>160</v>
      </c>
      <c r="C87" s="123" t="s">
        <v>36</v>
      </c>
      <c r="D87" s="124" t="s">
        <v>170</v>
      </c>
      <c r="E87" s="18"/>
      <c r="F87" s="125">
        <v>7.0000000000000007E-2</v>
      </c>
      <c r="G87" s="125">
        <v>4233.72</v>
      </c>
      <c r="H87" s="62"/>
      <c r="I87" s="114">
        <v>0</v>
      </c>
    </row>
    <row r="88" spans="1:9" ht="30.75" customHeight="1">
      <c r="A88" s="31">
        <v>15</v>
      </c>
      <c r="B88" s="122" t="s">
        <v>282</v>
      </c>
      <c r="C88" s="123" t="s">
        <v>97</v>
      </c>
      <c r="D88" s="124" t="s">
        <v>283</v>
      </c>
      <c r="E88" s="18"/>
      <c r="F88" s="125">
        <v>1</v>
      </c>
      <c r="G88" s="125">
        <v>98.55</v>
      </c>
      <c r="H88" s="62"/>
      <c r="I88" s="114">
        <f>G88*1</f>
        <v>98.55</v>
      </c>
    </row>
    <row r="89" spans="1:9" ht="15.75" customHeight="1">
      <c r="A89" s="31"/>
      <c r="B89" s="41" t="s">
        <v>49</v>
      </c>
      <c r="C89" s="37"/>
      <c r="D89" s="44"/>
      <c r="E89" s="37">
        <v>1</v>
      </c>
      <c r="F89" s="37"/>
      <c r="G89" s="37"/>
      <c r="H89" s="37"/>
      <c r="I89" s="34">
        <f>SUM(I85:I88)</f>
        <v>366.55174760000006</v>
      </c>
    </row>
    <row r="90" spans="1:9" ht="15.75" customHeight="1">
      <c r="A90" s="31"/>
      <c r="B90" s="43" t="s">
        <v>73</v>
      </c>
      <c r="C90" s="16"/>
      <c r="D90" s="16"/>
      <c r="E90" s="38"/>
      <c r="F90" s="38"/>
      <c r="G90" s="39"/>
      <c r="H90" s="39"/>
      <c r="I90" s="18">
        <v>0</v>
      </c>
    </row>
    <row r="91" spans="1:9" ht="15.75" customHeight="1">
      <c r="A91" s="45"/>
      <c r="B91" s="42" t="s">
        <v>147</v>
      </c>
      <c r="C91" s="35"/>
      <c r="D91" s="35"/>
      <c r="E91" s="35"/>
      <c r="F91" s="35"/>
      <c r="G91" s="35"/>
      <c r="H91" s="35"/>
      <c r="I91" s="40">
        <f>I83+I89</f>
        <v>45803.224153599993</v>
      </c>
    </row>
    <row r="92" spans="1:9" ht="15.75" customHeight="1">
      <c r="A92" s="158" t="s">
        <v>284</v>
      </c>
      <c r="B92" s="158"/>
      <c r="C92" s="158"/>
      <c r="D92" s="158"/>
      <c r="E92" s="158"/>
      <c r="F92" s="158"/>
      <c r="G92" s="158"/>
      <c r="H92" s="158"/>
      <c r="I92" s="158"/>
    </row>
    <row r="93" spans="1:9" ht="15.75" customHeight="1">
      <c r="A93" s="53"/>
      <c r="B93" s="183" t="s">
        <v>285</v>
      </c>
      <c r="C93" s="183"/>
      <c r="D93" s="183"/>
      <c r="E93" s="183"/>
      <c r="F93" s="183"/>
      <c r="G93" s="183"/>
      <c r="H93" s="57"/>
      <c r="I93" s="4"/>
    </row>
    <row r="94" spans="1:9" ht="15.75" customHeight="1">
      <c r="A94" s="118"/>
      <c r="B94" s="180" t="s">
        <v>6</v>
      </c>
      <c r="C94" s="180"/>
      <c r="D94" s="180"/>
      <c r="E94" s="180"/>
      <c r="F94" s="180"/>
      <c r="G94" s="180"/>
      <c r="H94" s="26"/>
      <c r="I94" s="6"/>
    </row>
    <row r="95" spans="1:9" ht="15.7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 customHeight="1">
      <c r="A96" s="184" t="s">
        <v>7</v>
      </c>
      <c r="B96" s="184"/>
      <c r="C96" s="184"/>
      <c r="D96" s="184"/>
      <c r="E96" s="184"/>
      <c r="F96" s="184"/>
      <c r="G96" s="184"/>
      <c r="H96" s="184"/>
      <c r="I96" s="184"/>
    </row>
    <row r="97" spans="1:9" ht="15.75" customHeight="1">
      <c r="A97" s="184" t="s">
        <v>8</v>
      </c>
      <c r="B97" s="184"/>
      <c r="C97" s="184"/>
      <c r="D97" s="184"/>
      <c r="E97" s="184"/>
      <c r="F97" s="184"/>
      <c r="G97" s="184"/>
      <c r="H97" s="184"/>
      <c r="I97" s="184"/>
    </row>
    <row r="98" spans="1:9" ht="15.75" customHeight="1">
      <c r="A98" s="185" t="s">
        <v>59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 customHeight="1">
      <c r="A99" s="12"/>
    </row>
    <row r="100" spans="1:9" ht="15.75" customHeight="1">
      <c r="A100" s="165" t="s">
        <v>9</v>
      </c>
      <c r="B100" s="165"/>
      <c r="C100" s="165"/>
      <c r="D100" s="165"/>
      <c r="E100" s="165"/>
      <c r="F100" s="165"/>
      <c r="G100" s="165"/>
      <c r="H100" s="165"/>
      <c r="I100" s="165"/>
    </row>
    <row r="101" spans="1:9" ht="15.75" customHeight="1">
      <c r="A101" s="5"/>
    </row>
    <row r="102" spans="1:9" ht="15.75" customHeight="1">
      <c r="B102" s="119" t="s">
        <v>10</v>
      </c>
      <c r="C102" s="179" t="s">
        <v>186</v>
      </c>
      <c r="D102" s="179"/>
      <c r="E102" s="179"/>
      <c r="F102" s="55"/>
      <c r="I102" s="117"/>
    </row>
    <row r="103" spans="1:9" ht="15.75" customHeight="1">
      <c r="A103" s="118"/>
      <c r="C103" s="180" t="s">
        <v>11</v>
      </c>
      <c r="D103" s="180"/>
      <c r="E103" s="180"/>
      <c r="F103" s="26"/>
      <c r="I103" s="116" t="s">
        <v>12</v>
      </c>
    </row>
    <row r="104" spans="1:9" ht="15.75" customHeight="1">
      <c r="A104" s="27"/>
      <c r="C104" s="13"/>
      <c r="D104" s="13"/>
      <c r="G104" s="13"/>
      <c r="H104" s="13"/>
    </row>
    <row r="105" spans="1:9" ht="15.75" customHeight="1">
      <c r="B105" s="119" t="s">
        <v>13</v>
      </c>
      <c r="C105" s="181"/>
      <c r="D105" s="181"/>
      <c r="E105" s="181"/>
      <c r="F105" s="56"/>
      <c r="I105" s="117"/>
    </row>
    <row r="106" spans="1:9" ht="15.75" customHeight="1">
      <c r="A106" s="118"/>
      <c r="C106" s="157" t="s">
        <v>11</v>
      </c>
      <c r="D106" s="157"/>
      <c r="E106" s="157"/>
      <c r="F106" s="118"/>
      <c r="I106" s="116" t="s">
        <v>12</v>
      </c>
    </row>
    <row r="107" spans="1:9" ht="15.75" customHeight="1">
      <c r="A107" s="5" t="s">
        <v>14</v>
      </c>
    </row>
    <row r="108" spans="1:9" ht="15" customHeight="1">
      <c r="A108" s="182" t="s">
        <v>15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45" customHeight="1">
      <c r="A109" s="176" t="s">
        <v>16</v>
      </c>
      <c r="B109" s="176"/>
      <c r="C109" s="176"/>
      <c r="D109" s="176"/>
      <c r="E109" s="176"/>
      <c r="F109" s="176"/>
      <c r="G109" s="176"/>
      <c r="H109" s="176"/>
      <c r="I109" s="176"/>
    </row>
    <row r="110" spans="1:9" ht="30" customHeight="1">
      <c r="A110" s="176" t="s">
        <v>17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30" customHeight="1">
      <c r="A111" s="176" t="s">
        <v>21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15" customHeight="1">
      <c r="A112" s="176" t="s">
        <v>20</v>
      </c>
      <c r="B112" s="176"/>
      <c r="C112" s="176"/>
      <c r="D112" s="176"/>
      <c r="E112" s="176"/>
      <c r="F112" s="176"/>
      <c r="G112" s="176"/>
      <c r="H112" s="176"/>
      <c r="I112" s="176"/>
    </row>
  </sheetData>
  <autoFilter ref="I14:I64"/>
  <mergeCells count="29">
    <mergeCell ref="A108:I108"/>
    <mergeCell ref="A109:I109"/>
    <mergeCell ref="A110:I110"/>
    <mergeCell ref="A111:I111"/>
    <mergeCell ref="A112:I112"/>
    <mergeCell ref="R70:U70"/>
    <mergeCell ref="C106:E106"/>
    <mergeCell ref="A84:I84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0:I80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topLeftCell="A38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138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203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153">
        <v>44255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2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70" t="s">
        <v>144</v>
      </c>
      <c r="B28" s="171"/>
      <c r="C28" s="171"/>
      <c r="D28" s="171"/>
      <c r="E28" s="171"/>
      <c r="F28" s="171"/>
      <c r="G28" s="171"/>
      <c r="H28" s="171"/>
      <c r="I28" s="172"/>
      <c r="J28" s="24"/>
      <c r="K28" s="9"/>
      <c r="L28" s="9"/>
      <c r="M28" s="9"/>
    </row>
    <row r="29" spans="1:13" ht="15.75" hidden="1" customHeight="1">
      <c r="A29" s="103"/>
      <c r="B29" s="93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/>
      <c r="B30" s="63" t="s">
        <v>88</v>
      </c>
      <c r="C30" s="64" t="s">
        <v>89</v>
      </c>
      <c r="D30" s="63" t="s">
        <v>114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3">SUM(F30*G30/1000)</f>
        <v>1.9330662260000004</v>
      </c>
      <c r="I30" s="14">
        <v>0</v>
      </c>
      <c r="J30" s="24"/>
      <c r="K30" s="9"/>
      <c r="L30" s="9"/>
      <c r="M30" s="9"/>
    </row>
    <row r="31" spans="1:13" ht="31.5" hidden="1" customHeight="1">
      <c r="A31" s="58"/>
      <c r="B31" s="63" t="s">
        <v>145</v>
      </c>
      <c r="C31" s="64" t="s">
        <v>89</v>
      </c>
      <c r="D31" s="63" t="s">
        <v>115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3"/>
        <v>1.6981475940000001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26</v>
      </c>
      <c r="C32" s="64" t="s">
        <v>89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3"/>
        <v>0.72027436200000006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90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3"/>
        <v>3.6445666666666665</v>
      </c>
      <c r="I33" s="14">
        <v>0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3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132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3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93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13.5" customHeight="1">
      <c r="A37" s="102">
        <v>5</v>
      </c>
      <c r="B37" s="63" t="s">
        <v>25</v>
      </c>
      <c r="C37" s="64" t="s">
        <v>30</v>
      </c>
      <c r="D37" s="63" t="s">
        <v>204</v>
      </c>
      <c r="E37" s="65"/>
      <c r="F37" s="66">
        <v>3</v>
      </c>
      <c r="G37" s="66">
        <v>1900.37</v>
      </c>
      <c r="H37" s="67">
        <f t="shared" ref="H37:H43" si="4">SUM(F37*G37/1000)</f>
        <v>5.7011099999999999</v>
      </c>
      <c r="I37" s="14">
        <f>G37*0.3</f>
        <v>570.11099999999999</v>
      </c>
      <c r="J37" s="25"/>
    </row>
    <row r="38" spans="1:14" ht="15.75" customHeight="1">
      <c r="A38" s="58">
        <v>6</v>
      </c>
      <c r="B38" s="63" t="s">
        <v>78</v>
      </c>
      <c r="C38" s="64" t="s">
        <v>28</v>
      </c>
      <c r="D38" s="63" t="s">
        <v>166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7</v>
      </c>
      <c r="B39" s="63" t="s">
        <v>116</v>
      </c>
      <c r="C39" s="64" t="s">
        <v>28</v>
      </c>
      <c r="D39" s="63" t="s">
        <v>167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58"/>
      <c r="B40" s="63" t="s">
        <v>117</v>
      </c>
      <c r="C40" s="64" t="s">
        <v>118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v>0</v>
      </c>
      <c r="J40" s="25"/>
    </row>
    <row r="41" spans="1:14" ht="47.25" customHeight="1">
      <c r="A41" s="58">
        <v>8</v>
      </c>
      <c r="B41" s="63" t="s">
        <v>75</v>
      </c>
      <c r="C41" s="64" t="s">
        <v>28</v>
      </c>
      <c r="D41" s="63" t="s">
        <v>168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si="4"/>
        <v>17.098019977500002</v>
      </c>
      <c r="I41" s="14">
        <f>F41/6*G41</f>
        <v>2849.6699962500002</v>
      </c>
      <c r="J41" s="25"/>
    </row>
    <row r="42" spans="1:14" ht="15.75" hidden="1" customHeight="1">
      <c r="A42" s="58">
        <v>8</v>
      </c>
      <c r="B42" s="63" t="s">
        <v>93</v>
      </c>
      <c r="C42" s="64" t="s">
        <v>89</v>
      </c>
      <c r="D42" s="63" t="s">
        <v>169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4"/>
        <v>0.72175785000000003</v>
      </c>
      <c r="I42" s="14">
        <f>F42/7.5*G42</f>
        <v>96.234380000000016</v>
      </c>
      <c r="J42" s="25"/>
    </row>
    <row r="43" spans="1:14" ht="15.75" hidden="1" customHeight="1">
      <c r="A43" s="58">
        <v>9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4"/>
        <v>0.79437600000000008</v>
      </c>
      <c r="I43" s="14">
        <f>F43/7.5*G43</f>
        <v>105.91680000000001</v>
      </c>
      <c r="J43" s="25"/>
    </row>
    <row r="44" spans="1:14" ht="15.75" customHeight="1">
      <c r="A44" s="167" t="s">
        <v>136</v>
      </c>
      <c r="B44" s="168"/>
      <c r="C44" s="168"/>
      <c r="D44" s="168"/>
      <c r="E44" s="168"/>
      <c r="F44" s="168"/>
      <c r="G44" s="168"/>
      <c r="H44" s="168"/>
      <c r="I44" s="169"/>
      <c r="J44" s="25"/>
      <c r="L44" s="20"/>
      <c r="M44" s="21"/>
      <c r="N44" s="22"/>
    </row>
    <row r="45" spans="1:14" ht="15.75" hidden="1" customHeight="1">
      <c r="A45" s="58"/>
      <c r="B45" s="63" t="s">
        <v>94</v>
      </c>
      <c r="C45" s="64" t="s">
        <v>89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5">SUM(F45*G45/1000)</f>
        <v>2.8614740699999999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34</v>
      </c>
      <c r="C46" s="64" t="s">
        <v>89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5"/>
        <v>5.350488047999999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35</v>
      </c>
      <c r="C47" s="64" t="s">
        <v>89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5"/>
        <v>3.8213814159999999</v>
      </c>
      <c r="I47" s="14">
        <v>0</v>
      </c>
      <c r="J47" s="25"/>
      <c r="L47" s="20"/>
      <c r="M47" s="21"/>
      <c r="N47" s="22"/>
    </row>
    <row r="48" spans="1:14" ht="15.75" hidden="1" customHeight="1">
      <c r="A48" s="58"/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5"/>
        <v>0.15555924799999998</v>
      </c>
      <c r="I48" s="14">
        <v>0</v>
      </c>
      <c r="J48" s="25"/>
      <c r="L48" s="20"/>
      <c r="M48" s="21"/>
      <c r="N48" s="22"/>
    </row>
    <row r="49" spans="1:14" ht="15.75" customHeight="1">
      <c r="A49" s="58">
        <v>9</v>
      </c>
      <c r="B49" s="63" t="s">
        <v>54</v>
      </c>
      <c r="C49" s="64" t="s">
        <v>89</v>
      </c>
      <c r="D49" s="63" t="s">
        <v>170</v>
      </c>
      <c r="E49" s="65">
        <v>3216.2</v>
      </c>
      <c r="F49" s="66">
        <f>SUM(E49*5/1000)</f>
        <v>16.081</v>
      </c>
      <c r="G49" s="14">
        <v>1711.28</v>
      </c>
      <c r="H49" s="67">
        <f t="shared" si="5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13</v>
      </c>
      <c r="B50" s="63" t="s">
        <v>95</v>
      </c>
      <c r="C50" s="64" t="s">
        <v>89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5"/>
        <v>9.7133099439999988</v>
      </c>
      <c r="I50" s="14">
        <v>0</v>
      </c>
      <c r="J50" s="25"/>
      <c r="L50" s="20"/>
      <c r="M50" s="21"/>
      <c r="N50" s="22"/>
    </row>
    <row r="51" spans="1:14" ht="31.5" hidden="1" customHeight="1">
      <c r="A51" s="58"/>
      <c r="B51" s="63" t="s">
        <v>96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5"/>
        <v>1.2321280000000001</v>
      </c>
      <c r="I51" s="14">
        <v>0</v>
      </c>
      <c r="J51" s="25"/>
      <c r="L51" s="20"/>
      <c r="M51" s="21"/>
      <c r="N51" s="22"/>
    </row>
    <row r="52" spans="1:14" ht="15.75" hidden="1" customHeight="1">
      <c r="A52" s="58"/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5"/>
        <v>0.1406626</v>
      </c>
      <c r="I52" s="14">
        <v>0</v>
      </c>
      <c r="J52" s="25"/>
      <c r="L52" s="20"/>
      <c r="M52" s="21"/>
      <c r="N52" s="22"/>
    </row>
    <row r="53" spans="1:14" ht="17.25" hidden="1" customHeight="1">
      <c r="A53" s="58">
        <v>11</v>
      </c>
      <c r="B53" s="63" t="s">
        <v>39</v>
      </c>
      <c r="C53" s="64" t="s">
        <v>97</v>
      </c>
      <c r="D53" s="144">
        <v>43502</v>
      </c>
      <c r="E53" s="65">
        <v>128</v>
      </c>
      <c r="F53" s="66">
        <f>SUM(E53)*3</f>
        <v>384</v>
      </c>
      <c r="G53" s="14">
        <v>81.73</v>
      </c>
      <c r="H53" s="67">
        <f t="shared" si="5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67" t="s">
        <v>135</v>
      </c>
      <c r="B54" s="177"/>
      <c r="C54" s="177"/>
      <c r="D54" s="177"/>
      <c r="E54" s="177"/>
      <c r="F54" s="177"/>
      <c r="G54" s="177"/>
      <c r="H54" s="177"/>
      <c r="I54" s="178"/>
      <c r="J54" s="25"/>
      <c r="L54" s="20"/>
      <c r="M54" s="21"/>
      <c r="N54" s="22"/>
    </row>
    <row r="55" spans="1:14" ht="15.75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customHeight="1">
      <c r="A56" s="58">
        <v>10</v>
      </c>
      <c r="B56" s="63" t="s">
        <v>121</v>
      </c>
      <c r="C56" s="64" t="s">
        <v>79</v>
      </c>
      <c r="D56" s="63"/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G56*0.2</f>
        <v>461.32400000000001</v>
      </c>
      <c r="J56" s="25"/>
      <c r="L56" s="20"/>
      <c r="M56" s="21"/>
      <c r="N56" s="22"/>
    </row>
    <row r="57" spans="1:14" ht="15.75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15.75" hidden="1" customHeight="1">
      <c r="A58" s="59"/>
      <c r="B58" s="76" t="s">
        <v>134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hidden="1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133</v>
      </c>
      <c r="I59" s="14"/>
      <c r="J59" s="25"/>
      <c r="L59" s="20"/>
      <c r="M59" s="21"/>
      <c r="N59" s="22"/>
    </row>
    <row r="60" spans="1:14" ht="14.25" hidden="1" customHeight="1">
      <c r="A60" s="17">
        <v>12</v>
      </c>
      <c r="B60" s="15" t="s">
        <v>44</v>
      </c>
      <c r="C60" s="17" t="s">
        <v>97</v>
      </c>
      <c r="D60" s="15" t="s">
        <v>170</v>
      </c>
      <c r="E60" s="108">
        <v>10</v>
      </c>
      <c r="F60" s="66">
        <f>E60</f>
        <v>10</v>
      </c>
      <c r="G60" s="111">
        <v>276.74</v>
      </c>
      <c r="H60" s="62">
        <f t="shared" ref="H60:H69" si="6">SUM(F60*G60/1000)</f>
        <v>2.7674000000000003</v>
      </c>
      <c r="I60" s="14">
        <f>G60*1</f>
        <v>276.74</v>
      </c>
      <c r="J60" s="25"/>
      <c r="L60" s="20"/>
    </row>
    <row r="61" spans="1:14" ht="24" hidden="1" customHeight="1">
      <c r="A61" s="17"/>
      <c r="B61" s="15" t="s">
        <v>45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6"/>
        <v>0.94889999999999997</v>
      </c>
      <c r="I61" s="14">
        <v>0</v>
      </c>
      <c r="J61" s="25"/>
      <c r="L61" s="20"/>
    </row>
    <row r="62" spans="1:14" ht="21.75" hidden="1" customHeight="1">
      <c r="A62" s="17"/>
      <c r="B62" s="15" t="s">
        <v>46</v>
      </c>
      <c r="C62" s="17" t="s">
        <v>98</v>
      </c>
      <c r="D62" s="15" t="s">
        <v>51</v>
      </c>
      <c r="E62" s="109">
        <v>13447</v>
      </c>
      <c r="F62" s="66">
        <f>SUM(E62/100)</f>
        <v>134.47</v>
      </c>
      <c r="G62" s="111">
        <v>263.99</v>
      </c>
      <c r="H62" s="62">
        <f t="shared" si="6"/>
        <v>35.4987353</v>
      </c>
      <c r="I62" s="14">
        <v>0</v>
      </c>
      <c r="J62" s="25"/>
      <c r="L62" s="20"/>
    </row>
    <row r="63" spans="1:14" ht="22.5" hidden="1" customHeight="1">
      <c r="A63" s="17"/>
      <c r="B63" s="15" t="s">
        <v>47</v>
      </c>
      <c r="C63" s="17" t="s">
        <v>99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6"/>
        <v>2.7642997899999995</v>
      </c>
      <c r="I63" s="14">
        <v>0</v>
      </c>
    </row>
    <row r="64" spans="1:14" ht="24" hidden="1" customHeight="1">
      <c r="A64" s="17"/>
      <c r="B64" s="15" t="s">
        <v>48</v>
      </c>
      <c r="C64" s="17" t="s">
        <v>71</v>
      </c>
      <c r="D64" s="15" t="s">
        <v>51</v>
      </c>
      <c r="E64" s="109">
        <v>2200</v>
      </c>
      <c r="F64" s="66">
        <f>SUM(E64/100)</f>
        <v>22</v>
      </c>
      <c r="G64" s="111">
        <v>2581.5300000000002</v>
      </c>
      <c r="H64" s="62">
        <f t="shared" si="6"/>
        <v>56.793660000000003</v>
      </c>
      <c r="I64" s="14">
        <v>0</v>
      </c>
    </row>
    <row r="65" spans="1:22" ht="22.5" hidden="1" customHeight="1">
      <c r="A65" s="17"/>
      <c r="B65" s="80" t="s">
        <v>100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6"/>
        <v>0.57414500000000002</v>
      </c>
      <c r="I65" s="1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22.5" hidden="1" customHeight="1">
      <c r="A66" s="105"/>
      <c r="B66" s="80" t="s">
        <v>101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6"/>
        <v>0.535667</v>
      </c>
      <c r="I66" s="14">
        <v>0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0.75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6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8.75" customHeight="1">
      <c r="A68" s="17"/>
      <c r="B68" s="145" t="s">
        <v>175</v>
      </c>
      <c r="C68" s="17"/>
      <c r="D68" s="15"/>
      <c r="E68" s="108"/>
      <c r="F68" s="129"/>
      <c r="G68" s="111"/>
      <c r="H68" s="62"/>
      <c r="I68" s="14"/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11</v>
      </c>
      <c r="B69" s="15" t="s">
        <v>125</v>
      </c>
      <c r="C69" s="31" t="s">
        <v>126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6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93" t="s">
        <v>66</v>
      </c>
      <c r="C70" s="17"/>
      <c r="D70" s="15"/>
      <c r="E70" s="19"/>
      <c r="F70" s="14"/>
      <c r="G70" s="14"/>
      <c r="H70" s="62" t="s">
        <v>133</v>
      </c>
      <c r="I70" s="14"/>
      <c r="J70" s="6"/>
      <c r="K70" s="6"/>
      <c r="L70" s="6"/>
      <c r="M70" s="6"/>
      <c r="N70" s="6"/>
      <c r="O70" s="6"/>
      <c r="P70" s="6"/>
      <c r="Q70" s="6"/>
      <c r="R70" s="157"/>
      <c r="S70" s="157"/>
      <c r="T70" s="157"/>
      <c r="U70" s="157"/>
    </row>
    <row r="71" spans="1:22" ht="15.75" hidden="1" customHeight="1">
      <c r="A71" s="17"/>
      <c r="B71" s="15" t="s">
        <v>127</v>
      </c>
      <c r="C71" s="17" t="s">
        <v>128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7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104</v>
      </c>
      <c r="C72" s="17" t="s">
        <v>129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7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7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7"/>
        <v>1.0614100000000002</v>
      </c>
      <c r="I74" s="14">
        <v>0</v>
      </c>
    </row>
    <row r="75" spans="1:22" ht="15.75" hidden="1" customHeight="1">
      <c r="A75" s="17"/>
      <c r="B75" s="15" t="s">
        <v>130</v>
      </c>
      <c r="C75" s="17" t="s">
        <v>128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7"/>
        <v>0.97609999999999997</v>
      </c>
      <c r="I75" s="14">
        <v>0</v>
      </c>
    </row>
    <row r="76" spans="1:22" ht="20.25" hidden="1" customHeight="1">
      <c r="A76" s="105"/>
      <c r="B76" s="106" t="s">
        <v>70</v>
      </c>
      <c r="C76" s="17"/>
      <c r="D76" s="15"/>
      <c r="E76" s="19"/>
      <c r="F76" s="14"/>
      <c r="G76" s="14" t="s">
        <v>133</v>
      </c>
      <c r="H76" s="62" t="s">
        <v>133</v>
      </c>
      <c r="I76" s="14"/>
    </row>
    <row r="77" spans="1:22" ht="18.75" hidden="1" customHeight="1">
      <c r="A77" s="17"/>
      <c r="B77" s="43" t="s">
        <v>105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8">SUM(F77*G77/1000)</f>
        <v>0.34336800000000001</v>
      </c>
      <c r="I77" s="14">
        <v>0</v>
      </c>
    </row>
    <row r="78" spans="1:22" ht="21" hidden="1" customHeight="1">
      <c r="A78" s="105"/>
      <c r="B78" s="95" t="s">
        <v>102</v>
      </c>
      <c r="C78" s="82"/>
      <c r="D78" s="33"/>
      <c r="E78" s="34"/>
      <c r="F78" s="72"/>
      <c r="G78" s="72"/>
      <c r="H78" s="83">
        <f>SUM(H56:H77)</f>
        <v>214.66793482200001</v>
      </c>
      <c r="I78" s="72"/>
    </row>
    <row r="79" spans="1:22" ht="18.75" hidden="1" customHeight="1">
      <c r="A79" s="17"/>
      <c r="B79" s="63" t="s">
        <v>103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v>0</v>
      </c>
    </row>
    <row r="80" spans="1:22" ht="15.75" customHeight="1">
      <c r="A80" s="167" t="s">
        <v>137</v>
      </c>
      <c r="B80" s="177"/>
      <c r="C80" s="177"/>
      <c r="D80" s="177"/>
      <c r="E80" s="177"/>
      <c r="F80" s="177"/>
      <c r="G80" s="177"/>
      <c r="H80" s="177"/>
      <c r="I80" s="178"/>
    </row>
    <row r="81" spans="1:9" ht="15.75" customHeight="1">
      <c r="A81" s="17">
        <v>12</v>
      </c>
      <c r="B81" s="63" t="s">
        <v>106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13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I82+I81+I69+I56+I49+I41+I39+I38+I37+I26+I18+I17+I16</f>
        <v>47134.674655999988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15.75" customHeight="1">
      <c r="A85" s="113">
        <v>14</v>
      </c>
      <c r="B85" s="130" t="s">
        <v>155</v>
      </c>
      <c r="C85" s="131" t="s">
        <v>156</v>
      </c>
      <c r="D85" s="130"/>
      <c r="E85" s="132"/>
      <c r="F85" s="128">
        <v>200</v>
      </c>
      <c r="G85" s="125">
        <v>1.4</v>
      </c>
      <c r="H85" s="125">
        <f>F85*G85/1000</f>
        <v>0.28000000000000003</v>
      </c>
      <c r="I85" s="19">
        <f>G85*100</f>
        <v>140</v>
      </c>
    </row>
    <row r="86" spans="1:9" ht="33.75" customHeight="1">
      <c r="A86" s="61">
        <v>15</v>
      </c>
      <c r="B86" s="122" t="s">
        <v>159</v>
      </c>
      <c r="C86" s="123" t="s">
        <v>28</v>
      </c>
      <c r="D86" s="124"/>
      <c r="E86" s="18"/>
      <c r="F86" s="126">
        <v>15</v>
      </c>
      <c r="G86" s="134">
        <v>21369.24</v>
      </c>
      <c r="H86" s="125">
        <f>G86*F86/1000</f>
        <v>320.53860000000003</v>
      </c>
      <c r="I86" s="19">
        <f>G86*0.599*10/1000</f>
        <v>128.00174760000002</v>
      </c>
    </row>
    <row r="87" spans="1:9" ht="15.75" customHeight="1">
      <c r="A87" s="61">
        <v>16</v>
      </c>
      <c r="B87" s="151" t="s">
        <v>192</v>
      </c>
      <c r="C87" s="31" t="s">
        <v>193</v>
      </c>
      <c r="D87" s="124" t="s">
        <v>208</v>
      </c>
      <c r="E87" s="18"/>
      <c r="F87" s="125">
        <v>2.5</v>
      </c>
      <c r="G87" s="125">
        <v>4402.3500000000004</v>
      </c>
      <c r="H87" s="125"/>
      <c r="I87" s="19">
        <f>G87*1</f>
        <v>4402.3500000000004</v>
      </c>
    </row>
    <row r="88" spans="1:9" ht="15.75" customHeight="1">
      <c r="A88" s="46">
        <v>17</v>
      </c>
      <c r="B88" s="151" t="s">
        <v>205</v>
      </c>
      <c r="C88" s="31" t="s">
        <v>206</v>
      </c>
      <c r="D88" s="124" t="s">
        <v>207</v>
      </c>
      <c r="E88" s="18"/>
      <c r="F88" s="125">
        <v>0.5</v>
      </c>
      <c r="G88" s="125">
        <v>3537.07</v>
      </c>
      <c r="H88" s="125"/>
      <c r="I88" s="14">
        <f>G88*0.5</f>
        <v>1768.5350000000001</v>
      </c>
    </row>
    <row r="89" spans="1:9" ht="15.75" customHeight="1">
      <c r="A89" s="46">
        <v>18</v>
      </c>
      <c r="B89" s="122" t="s">
        <v>194</v>
      </c>
      <c r="C89" s="123" t="s">
        <v>97</v>
      </c>
      <c r="D89" s="124"/>
      <c r="E89" s="18"/>
      <c r="F89" s="125">
        <v>2</v>
      </c>
      <c r="G89" s="125">
        <v>224.48</v>
      </c>
      <c r="H89" s="125"/>
      <c r="I89" s="14">
        <f>G89*1</f>
        <v>224.48</v>
      </c>
    </row>
    <row r="90" spans="1:9" ht="27.75" customHeight="1">
      <c r="A90" s="46">
        <v>19</v>
      </c>
      <c r="B90" s="122" t="s">
        <v>160</v>
      </c>
      <c r="C90" s="123" t="s">
        <v>36</v>
      </c>
      <c r="D90" s="124" t="s">
        <v>170</v>
      </c>
      <c r="E90" s="18"/>
      <c r="F90" s="125">
        <v>0.01</v>
      </c>
      <c r="G90" s="125">
        <v>4233.72</v>
      </c>
      <c r="H90" s="125"/>
      <c r="I90" s="14">
        <v>0</v>
      </c>
    </row>
    <row r="91" spans="1:9" ht="20.25" customHeight="1">
      <c r="A91" s="46">
        <v>20</v>
      </c>
      <c r="B91" s="122" t="s">
        <v>209</v>
      </c>
      <c r="C91" s="123" t="s">
        <v>28</v>
      </c>
      <c r="D91" s="124"/>
      <c r="E91" s="18"/>
      <c r="F91" s="125">
        <v>5.0000000000000001E-3</v>
      </c>
      <c r="G91" s="125">
        <v>21369.24</v>
      </c>
      <c r="H91" s="125"/>
      <c r="I91" s="14">
        <f>G91*0.005</f>
        <v>106.84620000000001</v>
      </c>
    </row>
    <row r="92" spans="1:9" ht="15.75" customHeight="1">
      <c r="A92" s="31"/>
      <c r="B92" s="41" t="s">
        <v>49</v>
      </c>
      <c r="C92" s="37"/>
      <c r="D92" s="44"/>
      <c r="E92" s="37">
        <v>1</v>
      </c>
      <c r="F92" s="37"/>
      <c r="G92" s="37"/>
      <c r="H92" s="37"/>
      <c r="I92" s="34">
        <f>SUM(I85:I91)</f>
        <v>6770.2129476</v>
      </c>
    </row>
    <row r="93" spans="1:9" ht="15.75" customHeight="1">
      <c r="A93" s="31"/>
      <c r="B93" s="43" t="s">
        <v>73</v>
      </c>
      <c r="C93" s="16"/>
      <c r="D93" s="16"/>
      <c r="E93" s="38"/>
      <c r="F93" s="38"/>
      <c r="G93" s="39"/>
      <c r="H93" s="39"/>
      <c r="I93" s="18">
        <v>0</v>
      </c>
    </row>
    <row r="94" spans="1:9" ht="15.75" customHeight="1">
      <c r="A94" s="45"/>
      <c r="B94" s="42" t="s">
        <v>147</v>
      </c>
      <c r="C94" s="35"/>
      <c r="D94" s="35"/>
      <c r="E94" s="35"/>
      <c r="F94" s="35"/>
      <c r="G94" s="35"/>
      <c r="H94" s="35"/>
      <c r="I94" s="40">
        <f>I83+I92</f>
        <v>53904.887603599986</v>
      </c>
    </row>
    <row r="95" spans="1:9" ht="15.75" customHeight="1">
      <c r="A95" s="158" t="s">
        <v>210</v>
      </c>
      <c r="B95" s="158"/>
      <c r="C95" s="158"/>
      <c r="D95" s="158"/>
      <c r="E95" s="158"/>
      <c r="F95" s="158"/>
      <c r="G95" s="158"/>
      <c r="H95" s="158"/>
      <c r="I95" s="158"/>
    </row>
    <row r="96" spans="1:9" ht="15.75" customHeight="1">
      <c r="A96" s="53"/>
      <c r="B96" s="183" t="s">
        <v>211</v>
      </c>
      <c r="C96" s="183"/>
      <c r="D96" s="183"/>
      <c r="E96" s="183"/>
      <c r="F96" s="183"/>
      <c r="G96" s="183"/>
      <c r="H96" s="57"/>
      <c r="I96" s="4"/>
    </row>
    <row r="97" spans="1:9" ht="15.75" customHeight="1">
      <c r="A97" s="91"/>
      <c r="B97" s="180" t="s">
        <v>6</v>
      </c>
      <c r="C97" s="180"/>
      <c r="D97" s="180"/>
      <c r="E97" s="180"/>
      <c r="F97" s="180"/>
      <c r="G97" s="180"/>
      <c r="H97" s="26"/>
      <c r="I97" s="6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184" t="s">
        <v>7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4" t="s">
        <v>8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5" t="s">
        <v>59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2"/>
    </row>
    <row r="103" spans="1:9" ht="15.75" customHeight="1">
      <c r="A103" s="165" t="s">
        <v>9</v>
      </c>
      <c r="B103" s="165"/>
      <c r="C103" s="165"/>
      <c r="D103" s="165"/>
      <c r="E103" s="165"/>
      <c r="F103" s="165"/>
      <c r="G103" s="165"/>
      <c r="H103" s="165"/>
      <c r="I103" s="165"/>
    </row>
    <row r="104" spans="1:9" ht="15.75" customHeight="1">
      <c r="A104" s="5"/>
    </row>
    <row r="105" spans="1:9" ht="15.75" customHeight="1">
      <c r="B105" s="92" t="s">
        <v>10</v>
      </c>
      <c r="C105" s="179" t="s">
        <v>186</v>
      </c>
      <c r="D105" s="179"/>
      <c r="E105" s="179"/>
      <c r="F105" s="55"/>
      <c r="I105" s="90"/>
    </row>
    <row r="106" spans="1:9" ht="15.75" customHeight="1">
      <c r="A106" s="91"/>
      <c r="C106" s="180" t="s">
        <v>11</v>
      </c>
      <c r="D106" s="180"/>
      <c r="E106" s="180"/>
      <c r="F106" s="26"/>
      <c r="I106" s="89" t="s">
        <v>12</v>
      </c>
    </row>
    <row r="107" spans="1:9" ht="15.75" customHeight="1">
      <c r="A107" s="27"/>
      <c r="C107" s="13"/>
      <c r="D107" s="13"/>
      <c r="G107" s="13"/>
      <c r="H107" s="13"/>
    </row>
    <row r="108" spans="1:9" ht="15.75" customHeight="1">
      <c r="B108" s="92" t="s">
        <v>13</v>
      </c>
      <c r="C108" s="181"/>
      <c r="D108" s="181"/>
      <c r="E108" s="181"/>
      <c r="F108" s="56"/>
      <c r="I108" s="90"/>
    </row>
    <row r="109" spans="1:9" ht="15.75" customHeight="1">
      <c r="A109" s="91"/>
      <c r="C109" s="157" t="s">
        <v>11</v>
      </c>
      <c r="D109" s="157"/>
      <c r="E109" s="157"/>
      <c r="F109" s="91"/>
      <c r="I109" s="89" t="s">
        <v>12</v>
      </c>
    </row>
    <row r="110" spans="1:9" ht="15.75" customHeight="1">
      <c r="A110" s="5" t="s">
        <v>14</v>
      </c>
    </row>
    <row r="111" spans="1:9" ht="15" customHeight="1">
      <c r="A111" s="182" t="s">
        <v>15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5" customHeight="1">
      <c r="A112" s="176" t="s">
        <v>16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17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30" customHeight="1">
      <c r="A114" s="176" t="s">
        <v>21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15" customHeight="1">
      <c r="A115" s="176" t="s">
        <v>20</v>
      </c>
      <c r="B115" s="176"/>
      <c r="C115" s="176"/>
      <c r="D115" s="176"/>
      <c r="E115" s="176"/>
      <c r="F115" s="176"/>
      <c r="G115" s="176"/>
      <c r="H115" s="176"/>
      <c r="I115" s="176"/>
    </row>
  </sheetData>
  <autoFilter ref="I14:I63"/>
  <mergeCells count="29">
    <mergeCell ref="A111:I111"/>
    <mergeCell ref="A112:I112"/>
    <mergeCell ref="A113:I113"/>
    <mergeCell ref="A114:I114"/>
    <mergeCell ref="A115:I115"/>
    <mergeCell ref="R70:U70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9"/>
  <sheetViews>
    <sheetView topLeftCell="A52" workbookViewId="0">
      <selection activeCell="G85" sqref="G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139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212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44286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8.2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88</v>
      </c>
      <c r="C29" s="64" t="s">
        <v>89</v>
      </c>
      <c r="D29" s="63" t="s">
        <v>114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145</v>
      </c>
      <c r="C30" s="64" t="s">
        <v>89</v>
      </c>
      <c r="D30" s="63" t="s">
        <v>115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90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132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customHeight="1">
      <c r="A36" s="102">
        <v>4</v>
      </c>
      <c r="B36" s="63" t="s">
        <v>25</v>
      </c>
      <c r="C36" s="64" t="s">
        <v>30</v>
      </c>
      <c r="D36" s="63" t="s">
        <v>213</v>
      </c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G36*1.6</f>
        <v>3040.5920000000001</v>
      </c>
      <c r="J36" s="25"/>
    </row>
    <row r="37" spans="1:14" ht="15.75" customHeight="1">
      <c r="A37" s="58">
        <v>5</v>
      </c>
      <c r="B37" s="63" t="s">
        <v>78</v>
      </c>
      <c r="C37" s="64" t="s">
        <v>28</v>
      </c>
      <c r="D37" s="63" t="s">
        <v>166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6</v>
      </c>
      <c r="B38" s="63" t="s">
        <v>116</v>
      </c>
      <c r="C38" s="64" t="s">
        <v>28</v>
      </c>
      <c r="D38" s="63" t="s">
        <v>167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24.75" customHeight="1">
      <c r="A39" s="102">
        <v>7</v>
      </c>
      <c r="B39" s="63" t="s">
        <v>117</v>
      </c>
      <c r="C39" s="64" t="s">
        <v>118</v>
      </c>
      <c r="D39" s="63" t="s">
        <v>215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G39*65</f>
        <v>14744.6</v>
      </c>
      <c r="J39" s="25"/>
    </row>
    <row r="40" spans="1:14" ht="47.25" customHeight="1">
      <c r="A40" s="58">
        <v>8</v>
      </c>
      <c r="B40" s="63" t="s">
        <v>75</v>
      </c>
      <c r="C40" s="64" t="s">
        <v>28</v>
      </c>
      <c r="D40" s="63" t="s">
        <v>168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hidden="1" customHeight="1">
      <c r="A41" s="58">
        <v>9</v>
      </c>
      <c r="B41" s="63" t="s">
        <v>93</v>
      </c>
      <c r="C41" s="64" t="s">
        <v>89</v>
      </c>
      <c r="D41" s="63" t="s">
        <v>176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G41*F41/20</f>
        <v>36.087892500000002</v>
      </c>
      <c r="J41" s="25"/>
    </row>
    <row r="42" spans="1:14" ht="15.75" hidden="1" customHeight="1">
      <c r="A42" s="102">
        <v>10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G42*F42/20</f>
        <v>39.718800000000002</v>
      </c>
      <c r="J42" s="25"/>
    </row>
    <row r="43" spans="1:14" ht="15.75" customHeight="1">
      <c r="A43" s="167" t="s">
        <v>136</v>
      </c>
      <c r="B43" s="168"/>
      <c r="C43" s="168"/>
      <c r="D43" s="168"/>
      <c r="E43" s="168"/>
      <c r="F43" s="168"/>
      <c r="G43" s="168"/>
      <c r="H43" s="168"/>
      <c r="I43" s="169"/>
      <c r="J43" s="25"/>
      <c r="L43" s="20"/>
      <c r="M43" s="21"/>
      <c r="N43" s="22"/>
    </row>
    <row r="44" spans="1:14" ht="15.75" hidden="1" customHeight="1">
      <c r="A44" s="58"/>
      <c r="B44" s="63" t="s">
        <v>94</v>
      </c>
      <c r="C44" s="64" t="s">
        <v>89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4">SUM(F44*G44/1000)</f>
        <v>2.8614740699999999</v>
      </c>
      <c r="I44" s="14">
        <v>0</v>
      </c>
      <c r="J44" s="25"/>
      <c r="L44" s="20"/>
      <c r="M44" s="21"/>
      <c r="N44" s="22"/>
    </row>
    <row r="45" spans="1:14" ht="15.75" hidden="1" customHeight="1">
      <c r="A45" s="58"/>
      <c r="B45" s="63" t="s">
        <v>34</v>
      </c>
      <c r="C45" s="64" t="s">
        <v>89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35</v>
      </c>
      <c r="C46" s="64" t="s">
        <v>89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15.75" hidden="1" customHeight="1">
      <c r="A48" s="58">
        <v>12</v>
      </c>
      <c r="B48" s="63" t="s">
        <v>54</v>
      </c>
      <c r="C48" s="64" t="s">
        <v>89</v>
      </c>
      <c r="D48" s="63" t="s">
        <v>146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95</v>
      </c>
      <c r="C49" s="64" t="s">
        <v>89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1.5" hidden="1" customHeight="1">
      <c r="A50" s="58">
        <v>14</v>
      </c>
      <c r="B50" s="63" t="s">
        <v>96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f t="shared" ref="I50:I51" si="5">F50/2*G50</f>
        <v>616.06400000000008</v>
      </c>
      <c r="J50" s="25"/>
      <c r="L50" s="20"/>
      <c r="M50" s="21"/>
      <c r="N50" s="22"/>
    </row>
    <row r="51" spans="1:14" ht="15.75" hidden="1" customHeight="1">
      <c r="A51" s="58">
        <v>15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f t="shared" si="5"/>
        <v>70.331299999999999</v>
      </c>
      <c r="J51" s="25"/>
      <c r="L51" s="20"/>
      <c r="M51" s="21"/>
      <c r="N51" s="22"/>
    </row>
    <row r="52" spans="1:14" ht="15.75" customHeight="1">
      <c r="A52" s="58">
        <v>9</v>
      </c>
      <c r="B52" s="63" t="s">
        <v>39</v>
      </c>
      <c r="C52" s="64" t="s">
        <v>97</v>
      </c>
      <c r="D52" s="144">
        <v>44264</v>
      </c>
      <c r="E52" s="65">
        <v>128</v>
      </c>
      <c r="F52" s="66">
        <f>SUM(E52)*3</f>
        <v>384</v>
      </c>
      <c r="G52" s="14">
        <v>81.73</v>
      </c>
      <c r="H52" s="67">
        <f t="shared" si="4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67" t="s">
        <v>135</v>
      </c>
      <c r="B53" s="177"/>
      <c r="C53" s="177"/>
      <c r="D53" s="177"/>
      <c r="E53" s="177"/>
      <c r="F53" s="177"/>
      <c r="G53" s="177"/>
      <c r="H53" s="177"/>
      <c r="I53" s="178"/>
      <c r="J53" s="25"/>
      <c r="L53" s="20"/>
      <c r="M53" s="21"/>
      <c r="N53" s="22"/>
    </row>
    <row r="54" spans="1:14" ht="17.25" hidden="1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2.25" hidden="1" customHeight="1">
      <c r="A55" s="58">
        <v>11</v>
      </c>
      <c r="B55" s="63" t="s">
        <v>121</v>
      </c>
      <c r="C55" s="64" t="s">
        <v>79</v>
      </c>
      <c r="D55" s="63"/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G55*0.13</f>
        <v>299.86059999999998</v>
      </c>
      <c r="J55" s="25"/>
      <c r="L55" s="20"/>
      <c r="M55" s="21"/>
      <c r="N55" s="22"/>
    </row>
    <row r="56" spans="1:14" ht="24.75" hidden="1" customHeight="1">
      <c r="A56" s="59">
        <v>17</v>
      </c>
      <c r="B56" s="76" t="s">
        <v>123</v>
      </c>
      <c r="C56" s="75" t="s">
        <v>124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f>G56</f>
        <v>1501</v>
      </c>
      <c r="J56" s="25"/>
      <c r="L56" s="20"/>
      <c r="M56" s="21"/>
      <c r="N56" s="22"/>
    </row>
    <row r="57" spans="1:14" ht="17.25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19.5" customHeight="1">
      <c r="A58" s="59">
        <v>10</v>
      </c>
      <c r="B58" s="76" t="s">
        <v>134</v>
      </c>
      <c r="C58" s="75" t="s">
        <v>50</v>
      </c>
      <c r="D58" s="76" t="s">
        <v>214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f>G58*F58</f>
        <v>8788.8389999999999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133</v>
      </c>
      <c r="I59" s="14"/>
      <c r="J59" s="25"/>
      <c r="L59" s="20"/>
      <c r="M59" s="21"/>
      <c r="N59" s="22"/>
    </row>
    <row r="60" spans="1:14" ht="15.75" hidden="1" customHeight="1">
      <c r="A60" s="17">
        <v>12</v>
      </c>
      <c r="B60" s="15" t="s">
        <v>44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8" si="6">SUM(F60*G60/1000)</f>
        <v>2.7674000000000003</v>
      </c>
      <c r="I60" s="14">
        <f>G60</f>
        <v>276.74</v>
      </c>
      <c r="J60" s="25"/>
      <c r="L60" s="20"/>
    </row>
    <row r="61" spans="1:14" ht="15.75" hidden="1" customHeight="1">
      <c r="A61" s="17"/>
      <c r="B61" s="15" t="s">
        <v>45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6"/>
        <v>0.94889999999999997</v>
      </c>
      <c r="I61" s="14">
        <v>0</v>
      </c>
      <c r="J61" s="25"/>
      <c r="L61" s="20"/>
    </row>
    <row r="62" spans="1:14" ht="15.75" hidden="1" customHeight="1">
      <c r="A62" s="17"/>
      <c r="B62" s="15" t="s">
        <v>46</v>
      </c>
      <c r="C62" s="17" t="s">
        <v>98</v>
      </c>
      <c r="D62" s="15" t="s">
        <v>51</v>
      </c>
      <c r="E62" s="109">
        <v>13447</v>
      </c>
      <c r="F62" s="66">
        <f>SUM(E62/100)</f>
        <v>134.47</v>
      </c>
      <c r="G62" s="111">
        <v>263.99</v>
      </c>
      <c r="H62" s="62">
        <f t="shared" si="6"/>
        <v>35.4987353</v>
      </c>
      <c r="I62" s="14">
        <v>0</v>
      </c>
      <c r="J62" s="25"/>
      <c r="L62" s="20"/>
    </row>
    <row r="63" spans="1:14" ht="15.75" hidden="1" customHeight="1">
      <c r="A63" s="17"/>
      <c r="B63" s="15" t="s">
        <v>47</v>
      </c>
      <c r="C63" s="17" t="s">
        <v>99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6"/>
        <v>2.7642997899999995</v>
      </c>
      <c r="I63" s="14">
        <v>0</v>
      </c>
    </row>
    <row r="64" spans="1:14" ht="15.75" hidden="1" customHeight="1">
      <c r="A64" s="17"/>
      <c r="B64" s="15" t="s">
        <v>48</v>
      </c>
      <c r="C64" s="17" t="s">
        <v>71</v>
      </c>
      <c r="D64" s="15" t="s">
        <v>51</v>
      </c>
      <c r="E64" s="109">
        <v>2200</v>
      </c>
      <c r="F64" s="66">
        <f>SUM(E64/100)</f>
        <v>22</v>
      </c>
      <c r="G64" s="111">
        <v>2581.5300000000002</v>
      </c>
      <c r="H64" s="62">
        <f t="shared" si="6"/>
        <v>56.793660000000003</v>
      </c>
      <c r="I64" s="14">
        <v>0</v>
      </c>
    </row>
    <row r="65" spans="1:22" ht="15.75" hidden="1" customHeight="1">
      <c r="A65" s="17"/>
      <c r="B65" s="80" t="s">
        <v>100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6"/>
        <v>0.57414500000000002</v>
      </c>
      <c r="I65" s="1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hidden="1" customHeight="1">
      <c r="A66" s="105"/>
      <c r="B66" s="80" t="s">
        <v>101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6"/>
        <v>0.535667</v>
      </c>
      <c r="I66" s="14">
        <v>0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1.2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6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>
        <v>11</v>
      </c>
      <c r="B68" s="15" t="s">
        <v>125</v>
      </c>
      <c r="C68" s="31" t="s">
        <v>126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6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hidden="1" customHeight="1">
      <c r="A69" s="105"/>
      <c r="B69" s="93" t="s">
        <v>66</v>
      </c>
      <c r="C69" s="17"/>
      <c r="D69" s="15"/>
      <c r="E69" s="19"/>
      <c r="F69" s="14"/>
      <c r="G69" s="14"/>
      <c r="H69" s="62" t="s">
        <v>133</v>
      </c>
      <c r="I69" s="14"/>
      <c r="J69" s="6"/>
      <c r="K69" s="6"/>
      <c r="L69" s="6"/>
      <c r="M69" s="6"/>
      <c r="N69" s="6"/>
      <c r="O69" s="6"/>
      <c r="P69" s="6"/>
      <c r="Q69" s="6"/>
      <c r="R69" s="157"/>
      <c r="S69" s="157"/>
      <c r="T69" s="157"/>
      <c r="U69" s="157"/>
    </row>
    <row r="70" spans="1:22" ht="15.75" hidden="1" customHeight="1">
      <c r="A70" s="17"/>
      <c r="B70" s="15" t="s">
        <v>127</v>
      </c>
      <c r="C70" s="17" t="s">
        <v>128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7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2" ht="15.75" hidden="1" customHeight="1">
      <c r="A71" s="17"/>
      <c r="B71" s="15" t="s">
        <v>104</v>
      </c>
      <c r="C71" s="17" t="s">
        <v>129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7"/>
        <v>0.73499999999999999</v>
      </c>
      <c r="I71" s="14">
        <v>0</v>
      </c>
    </row>
    <row r="72" spans="1:22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7"/>
        <v>0.249668</v>
      </c>
      <c r="I72" s="14">
        <v>0</v>
      </c>
    </row>
    <row r="73" spans="1:22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7"/>
        <v>1.0614100000000002</v>
      </c>
      <c r="I73" s="14">
        <v>0</v>
      </c>
    </row>
    <row r="74" spans="1:22" ht="15.75" hidden="1" customHeight="1">
      <c r="A74" s="17"/>
      <c r="B74" s="15" t="s">
        <v>130</v>
      </c>
      <c r="C74" s="17" t="s">
        <v>128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7"/>
        <v>0.97609999999999997</v>
      </c>
      <c r="I74" s="14">
        <v>0</v>
      </c>
    </row>
    <row r="75" spans="1:22" ht="15.75" hidden="1" customHeight="1">
      <c r="A75" s="105"/>
      <c r="B75" s="106" t="s">
        <v>70</v>
      </c>
      <c r="C75" s="17"/>
      <c r="D75" s="15"/>
      <c r="E75" s="19"/>
      <c r="F75" s="14"/>
      <c r="G75" s="14" t="s">
        <v>133</v>
      </c>
      <c r="H75" s="62" t="s">
        <v>133</v>
      </c>
      <c r="I75" s="14"/>
    </row>
    <row r="76" spans="1:22" ht="15.75" hidden="1" customHeight="1">
      <c r="A76" s="17"/>
      <c r="B76" s="43" t="s">
        <v>105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8">SUM(F76*G76/1000)</f>
        <v>0.34336800000000001</v>
      </c>
      <c r="I76" s="14">
        <v>0</v>
      </c>
    </row>
    <row r="77" spans="1:22" ht="15.75" hidden="1" customHeight="1">
      <c r="A77" s="105"/>
      <c r="B77" s="95" t="s">
        <v>102</v>
      </c>
      <c r="C77" s="82"/>
      <c r="D77" s="33"/>
      <c r="E77" s="34"/>
      <c r="F77" s="72"/>
      <c r="G77" s="72"/>
      <c r="H77" s="83">
        <f>SUM(H55:H76)</f>
        <v>219.17093482199999</v>
      </c>
      <c r="I77" s="72"/>
    </row>
    <row r="78" spans="1:22" ht="15.75" hidden="1" customHeight="1">
      <c r="A78" s="17"/>
      <c r="B78" s="63" t="s">
        <v>103</v>
      </c>
      <c r="C78" s="17"/>
      <c r="D78" s="15"/>
      <c r="E78" s="84"/>
      <c r="F78" s="14">
        <v>1</v>
      </c>
      <c r="G78" s="14">
        <v>14133</v>
      </c>
      <c r="H78" s="62">
        <f>G78*F78/1000</f>
        <v>14.132999999999999</v>
      </c>
      <c r="I78" s="14">
        <v>0</v>
      </c>
    </row>
    <row r="79" spans="1:22" ht="15.75" customHeight="1">
      <c r="A79" s="167" t="s">
        <v>137</v>
      </c>
      <c r="B79" s="177"/>
      <c r="C79" s="177"/>
      <c r="D79" s="177"/>
      <c r="E79" s="177"/>
      <c r="F79" s="177"/>
      <c r="G79" s="177"/>
      <c r="H79" s="177"/>
      <c r="I79" s="178"/>
    </row>
    <row r="80" spans="1:22" ht="15.75" customHeight="1">
      <c r="A80" s="17">
        <v>12</v>
      </c>
      <c r="B80" s="63" t="s">
        <v>106</v>
      </c>
      <c r="C80" s="17" t="s">
        <v>52</v>
      </c>
      <c r="D80" s="85"/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13</v>
      </c>
      <c r="B81" s="15" t="s">
        <v>72</v>
      </c>
      <c r="C81" s="17"/>
      <c r="D81" s="85"/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I81+I80+I68+I40+I38+I37+I36+I18+I17+I16+I52+I58+I39</f>
        <v>76783.795069999993</v>
      </c>
    </row>
    <row r="83" spans="1:9" ht="15.75" customHeight="1">
      <c r="A83" s="173" t="s">
        <v>58</v>
      </c>
      <c r="B83" s="174"/>
      <c r="C83" s="174"/>
      <c r="D83" s="174"/>
      <c r="E83" s="174"/>
      <c r="F83" s="174"/>
      <c r="G83" s="174"/>
      <c r="H83" s="174"/>
      <c r="I83" s="175"/>
    </row>
    <row r="84" spans="1:9" ht="15.75" customHeight="1">
      <c r="A84" s="113">
        <v>14</v>
      </c>
      <c r="B84" s="130" t="s">
        <v>155</v>
      </c>
      <c r="C84" s="131" t="s">
        <v>156</v>
      </c>
      <c r="D84" s="130"/>
      <c r="E84" s="132"/>
      <c r="F84" s="128">
        <v>200</v>
      </c>
      <c r="G84" s="125">
        <v>1.4</v>
      </c>
      <c r="H84" s="125">
        <f>F84*G84/1000</f>
        <v>0.28000000000000003</v>
      </c>
      <c r="I84" s="19">
        <f>G84*100</f>
        <v>140</v>
      </c>
    </row>
    <row r="85" spans="1:9" ht="31.5" customHeight="1">
      <c r="A85" s="61">
        <v>15</v>
      </c>
      <c r="B85" s="122" t="s">
        <v>159</v>
      </c>
      <c r="C85" s="123" t="s">
        <v>28</v>
      </c>
      <c r="D85" s="124"/>
      <c r="E85" s="18"/>
      <c r="F85" s="126">
        <v>0.02</v>
      </c>
      <c r="G85" s="134">
        <v>21369.24</v>
      </c>
      <c r="H85" s="125">
        <f>G85*F85/1000</f>
        <v>0.42738480000000006</v>
      </c>
      <c r="I85" s="19">
        <f>G85*0.599*5/1000</f>
        <v>64.000873800000008</v>
      </c>
    </row>
    <row r="86" spans="1:9" ht="15.75" customHeight="1">
      <c r="A86" s="31"/>
      <c r="B86" s="41" t="s">
        <v>49</v>
      </c>
      <c r="C86" s="37"/>
      <c r="D86" s="44"/>
      <c r="E86" s="37">
        <v>1</v>
      </c>
      <c r="F86" s="37"/>
      <c r="G86" s="37"/>
      <c r="H86" s="37"/>
      <c r="I86" s="34">
        <f>SUM(I84:I85)</f>
        <v>204.00087380000002</v>
      </c>
    </row>
    <row r="87" spans="1:9" ht="15.75" customHeight="1">
      <c r="A87" s="31"/>
      <c r="B87" s="43" t="s">
        <v>73</v>
      </c>
      <c r="C87" s="16"/>
      <c r="D87" s="16"/>
      <c r="E87" s="38"/>
      <c r="F87" s="38"/>
      <c r="G87" s="39"/>
      <c r="H87" s="39"/>
      <c r="I87" s="18">
        <v>0</v>
      </c>
    </row>
    <row r="88" spans="1:9" ht="15.75" customHeight="1">
      <c r="A88" s="45"/>
      <c r="B88" s="42" t="s">
        <v>147</v>
      </c>
      <c r="C88" s="35"/>
      <c r="D88" s="35"/>
      <c r="E88" s="35"/>
      <c r="F88" s="35"/>
      <c r="G88" s="35"/>
      <c r="H88" s="35"/>
      <c r="I88" s="40">
        <f>I82+I86</f>
        <v>76987.795943799996</v>
      </c>
    </row>
    <row r="89" spans="1:9" ht="15.75" customHeight="1">
      <c r="A89" s="158" t="s">
        <v>216</v>
      </c>
      <c r="B89" s="158"/>
      <c r="C89" s="158"/>
      <c r="D89" s="158"/>
      <c r="E89" s="158"/>
      <c r="F89" s="158"/>
      <c r="G89" s="158"/>
      <c r="H89" s="158"/>
      <c r="I89" s="158"/>
    </row>
    <row r="90" spans="1:9" ht="15.75" customHeight="1">
      <c r="A90" s="53"/>
      <c r="B90" s="183" t="s">
        <v>217</v>
      </c>
      <c r="C90" s="183"/>
      <c r="D90" s="183"/>
      <c r="E90" s="183"/>
      <c r="F90" s="183"/>
      <c r="G90" s="183"/>
      <c r="H90" s="57"/>
      <c r="I90" s="4"/>
    </row>
    <row r="91" spans="1:9" ht="15.75" customHeight="1">
      <c r="A91" s="91"/>
      <c r="B91" s="180" t="s">
        <v>6</v>
      </c>
      <c r="C91" s="180"/>
      <c r="D91" s="180"/>
      <c r="E91" s="180"/>
      <c r="F91" s="180"/>
      <c r="G91" s="180"/>
      <c r="H91" s="26"/>
      <c r="I91" s="6"/>
    </row>
    <row r="92" spans="1:9" ht="8.25" customHeight="1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5.75" customHeight="1">
      <c r="A93" s="184" t="s">
        <v>7</v>
      </c>
      <c r="B93" s="184"/>
      <c r="C93" s="184"/>
      <c r="D93" s="184"/>
      <c r="E93" s="184"/>
      <c r="F93" s="184"/>
      <c r="G93" s="184"/>
      <c r="H93" s="184"/>
      <c r="I93" s="184"/>
    </row>
    <row r="94" spans="1:9" ht="15.75" customHeight="1">
      <c r="A94" s="184" t="s">
        <v>8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 customHeight="1">
      <c r="A95" s="185" t="s">
        <v>59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2"/>
    </row>
    <row r="97" spans="1:9" ht="15.75" customHeight="1">
      <c r="A97" s="165" t="s">
        <v>9</v>
      </c>
      <c r="B97" s="165"/>
      <c r="C97" s="165"/>
      <c r="D97" s="165"/>
      <c r="E97" s="165"/>
      <c r="F97" s="165"/>
      <c r="G97" s="165"/>
      <c r="H97" s="165"/>
      <c r="I97" s="165"/>
    </row>
    <row r="98" spans="1:9" ht="15.75" customHeight="1">
      <c r="A98" s="5"/>
    </row>
    <row r="99" spans="1:9" ht="15.75" customHeight="1">
      <c r="B99" s="92" t="s">
        <v>10</v>
      </c>
      <c r="C99" s="179" t="s">
        <v>186</v>
      </c>
      <c r="D99" s="179"/>
      <c r="E99" s="179"/>
      <c r="F99" s="55"/>
      <c r="I99" s="90"/>
    </row>
    <row r="100" spans="1:9" ht="15.75" customHeight="1">
      <c r="A100" s="91"/>
      <c r="C100" s="180" t="s">
        <v>11</v>
      </c>
      <c r="D100" s="180"/>
      <c r="E100" s="180"/>
      <c r="F100" s="26"/>
      <c r="I100" s="89" t="s">
        <v>12</v>
      </c>
    </row>
    <row r="101" spans="1:9" ht="15.75" customHeight="1">
      <c r="A101" s="27"/>
      <c r="C101" s="13"/>
      <c r="D101" s="13"/>
      <c r="G101" s="13"/>
      <c r="H101" s="13"/>
    </row>
    <row r="102" spans="1:9" ht="15.75" customHeight="1">
      <c r="B102" s="92" t="s">
        <v>13</v>
      </c>
      <c r="C102" s="181"/>
      <c r="D102" s="181"/>
      <c r="E102" s="181"/>
      <c r="F102" s="56"/>
      <c r="I102" s="90"/>
    </row>
    <row r="103" spans="1:9" ht="15.75" customHeight="1">
      <c r="A103" s="91"/>
      <c r="C103" s="157" t="s">
        <v>11</v>
      </c>
      <c r="D103" s="157"/>
      <c r="E103" s="157"/>
      <c r="F103" s="91"/>
      <c r="I103" s="89" t="s">
        <v>12</v>
      </c>
    </row>
    <row r="104" spans="1:9" ht="15.75" customHeight="1">
      <c r="A104" s="5" t="s">
        <v>14</v>
      </c>
    </row>
    <row r="105" spans="1:9" ht="15" customHeight="1">
      <c r="A105" s="182" t="s">
        <v>15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45" customHeight="1">
      <c r="A106" s="176" t="s">
        <v>16</v>
      </c>
      <c r="B106" s="176"/>
      <c r="C106" s="176"/>
      <c r="D106" s="176"/>
      <c r="E106" s="176"/>
      <c r="F106" s="176"/>
      <c r="G106" s="176"/>
      <c r="H106" s="176"/>
      <c r="I106" s="176"/>
    </row>
    <row r="107" spans="1:9" ht="30" customHeight="1">
      <c r="A107" s="176" t="s">
        <v>17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30" customHeight="1">
      <c r="A108" s="176" t="s">
        <v>21</v>
      </c>
      <c r="B108" s="176"/>
      <c r="C108" s="176"/>
      <c r="D108" s="176"/>
      <c r="E108" s="176"/>
      <c r="F108" s="176"/>
      <c r="G108" s="176"/>
      <c r="H108" s="176"/>
      <c r="I108" s="176"/>
    </row>
    <row r="109" spans="1:9" ht="15" customHeight="1">
      <c r="A109" s="176" t="s">
        <v>20</v>
      </c>
      <c r="B109" s="176"/>
      <c r="C109" s="176"/>
      <c r="D109" s="176"/>
      <c r="E109" s="176"/>
      <c r="F109" s="176"/>
      <c r="G109" s="176"/>
      <c r="H109" s="176"/>
      <c r="I109" s="176"/>
    </row>
  </sheetData>
  <autoFilter ref="I14:I63"/>
  <mergeCells count="29">
    <mergeCell ref="A105:I105"/>
    <mergeCell ref="A106:I106"/>
    <mergeCell ref="A107:I107"/>
    <mergeCell ref="A108:I108"/>
    <mergeCell ref="A109:I109"/>
    <mergeCell ref="R69:U69"/>
    <mergeCell ref="C103:E103"/>
    <mergeCell ref="A83:I83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9:I79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54" workbookViewId="0">
      <selection activeCell="A99" sqref="A99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140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218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44316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8.2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88</v>
      </c>
      <c r="C29" s="64" t="s">
        <v>89</v>
      </c>
      <c r="D29" s="63" t="s">
        <v>114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145</v>
      </c>
      <c r="C30" s="64" t="s">
        <v>89</v>
      </c>
      <c r="D30" s="63" t="s">
        <v>115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90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132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6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F36/6*G36</f>
        <v>950.18499999999995</v>
      </c>
      <c r="J36" s="25"/>
    </row>
    <row r="37" spans="1:14" ht="15.75" customHeight="1">
      <c r="A37" s="58">
        <v>4</v>
      </c>
      <c r="B37" s="63" t="s">
        <v>78</v>
      </c>
      <c r="C37" s="64" t="s">
        <v>28</v>
      </c>
      <c r="D37" s="63" t="s">
        <v>166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5</v>
      </c>
      <c r="B38" s="63" t="s">
        <v>116</v>
      </c>
      <c r="C38" s="64" t="s">
        <v>28</v>
      </c>
      <c r="D38" s="63" t="s">
        <v>167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8" hidden="1" customHeight="1">
      <c r="A39" s="102">
        <v>7</v>
      </c>
      <c r="B39" s="63" t="s">
        <v>117</v>
      </c>
      <c r="C39" s="64" t="s">
        <v>118</v>
      </c>
      <c r="D39" s="63" t="s">
        <v>171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G39*64</f>
        <v>14517.76</v>
      </c>
      <c r="J39" s="25"/>
    </row>
    <row r="40" spans="1:14" ht="47.25" customHeight="1">
      <c r="A40" s="58">
        <v>6</v>
      </c>
      <c r="B40" s="63" t="s">
        <v>75</v>
      </c>
      <c r="C40" s="64" t="s">
        <v>28</v>
      </c>
      <c r="D40" s="63" t="s">
        <v>168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hidden="1" customHeight="1">
      <c r="A41" s="58">
        <v>9</v>
      </c>
      <c r="B41" s="63" t="s">
        <v>93</v>
      </c>
      <c r="C41" s="64" t="s">
        <v>89</v>
      </c>
      <c r="D41" s="63" t="s">
        <v>169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F41/7.5*1.5*G41</f>
        <v>144.35157000000001</v>
      </c>
      <c r="J41" s="25"/>
    </row>
    <row r="42" spans="1:14" ht="15.75" hidden="1" customHeight="1">
      <c r="A42" s="102">
        <v>10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F42/7.5*1.5*G42</f>
        <v>158.87520000000001</v>
      </c>
      <c r="J42" s="25"/>
    </row>
    <row r="43" spans="1:14" ht="17.25" hidden="1" customHeight="1">
      <c r="A43" s="167" t="s">
        <v>136</v>
      </c>
      <c r="B43" s="168"/>
      <c r="C43" s="168"/>
      <c r="D43" s="168"/>
      <c r="E43" s="168"/>
      <c r="F43" s="168"/>
      <c r="G43" s="168"/>
      <c r="H43" s="168"/>
      <c r="I43" s="169"/>
      <c r="J43" s="25"/>
      <c r="L43" s="20"/>
      <c r="M43" s="21"/>
      <c r="N43" s="22"/>
    </row>
    <row r="44" spans="1:14" ht="24" hidden="1" customHeight="1">
      <c r="A44" s="58"/>
      <c r="B44" s="63" t="s">
        <v>94</v>
      </c>
      <c r="C44" s="64" t="s">
        <v>89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3" si="4">SUM(F44*G44/1000)</f>
        <v>2.8614740699999999</v>
      </c>
      <c r="I44" s="14">
        <v>0</v>
      </c>
      <c r="J44" s="25"/>
      <c r="L44" s="20"/>
      <c r="M44" s="21"/>
      <c r="N44" s="22"/>
    </row>
    <row r="45" spans="1:14" ht="21.75" hidden="1" customHeight="1">
      <c r="A45" s="58"/>
      <c r="B45" s="63" t="s">
        <v>34</v>
      </c>
      <c r="C45" s="64" t="s">
        <v>89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24" hidden="1" customHeight="1">
      <c r="A46" s="58"/>
      <c r="B46" s="63" t="s">
        <v>35</v>
      </c>
      <c r="C46" s="64" t="s">
        <v>89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24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29.25" hidden="1" customHeight="1">
      <c r="A48" s="58">
        <v>12</v>
      </c>
      <c r="B48" s="63" t="s">
        <v>54</v>
      </c>
      <c r="C48" s="64" t="s">
        <v>89</v>
      </c>
      <c r="D48" s="63" t="s">
        <v>146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9" hidden="1" customHeight="1">
      <c r="A49" s="58">
        <v>12</v>
      </c>
      <c r="B49" s="63" t="s">
        <v>95</v>
      </c>
      <c r="C49" s="64" t="s">
        <v>89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8.25" hidden="1" customHeight="1">
      <c r="A50" s="58">
        <v>13</v>
      </c>
      <c r="B50" s="63" t="s">
        <v>96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f t="shared" ref="I50:I51" si="5">F50/2*G50</f>
        <v>616.06400000000008</v>
      </c>
      <c r="J50" s="25"/>
      <c r="L50" s="20"/>
      <c r="M50" s="21"/>
      <c r="N50" s="22"/>
    </row>
    <row r="51" spans="1:14" ht="19.5" hidden="1" customHeight="1">
      <c r="A51" s="58">
        <v>14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f t="shared" si="5"/>
        <v>70.331299999999999</v>
      </c>
      <c r="J51" s="25"/>
      <c r="L51" s="20"/>
      <c r="M51" s="21"/>
      <c r="N51" s="22"/>
    </row>
    <row r="52" spans="1:14" ht="28.5" hidden="1" customHeight="1">
      <c r="A52" s="58"/>
      <c r="B52" s="133" t="s">
        <v>157</v>
      </c>
      <c r="C52" s="64"/>
      <c r="D52" s="63"/>
      <c r="E52" s="65"/>
      <c r="F52" s="66"/>
      <c r="G52" s="14"/>
      <c r="H52" s="67"/>
      <c r="I52" s="14"/>
      <c r="J52" s="25"/>
      <c r="L52" s="20"/>
      <c r="M52" s="21"/>
      <c r="N52" s="22"/>
    </row>
    <row r="53" spans="1:14" ht="27.75" hidden="1" customHeight="1">
      <c r="A53" s="58">
        <v>13</v>
      </c>
      <c r="B53" s="63" t="s">
        <v>39</v>
      </c>
      <c r="C53" s="64" t="s">
        <v>97</v>
      </c>
      <c r="D53" s="63" t="s">
        <v>65</v>
      </c>
      <c r="E53" s="65">
        <v>128</v>
      </c>
      <c r="F53" s="66">
        <f>SUM(E53)*3</f>
        <v>384</v>
      </c>
      <c r="G53" s="14">
        <v>81.73</v>
      </c>
      <c r="H53" s="67">
        <f t="shared" si="4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67" t="s">
        <v>77</v>
      </c>
      <c r="B54" s="177"/>
      <c r="C54" s="177"/>
      <c r="D54" s="177"/>
      <c r="E54" s="177"/>
      <c r="F54" s="177"/>
      <c r="G54" s="177"/>
      <c r="H54" s="177"/>
      <c r="I54" s="178"/>
      <c r="J54" s="25"/>
      <c r="L54" s="20"/>
      <c r="M54" s="21"/>
      <c r="N54" s="22"/>
    </row>
    <row r="55" spans="1:14" ht="15.75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customHeight="1">
      <c r="A56" s="58">
        <v>7</v>
      </c>
      <c r="B56" s="63" t="s">
        <v>121</v>
      </c>
      <c r="C56" s="64" t="s">
        <v>79</v>
      </c>
      <c r="D56" s="63"/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G56*0.13</f>
        <v>299.86059999999998</v>
      </c>
      <c r="J56" s="25"/>
      <c r="L56" s="20"/>
      <c r="M56" s="21"/>
      <c r="N56" s="22"/>
    </row>
    <row r="57" spans="1:14" ht="18" customHeight="1">
      <c r="A57" s="59">
        <v>8</v>
      </c>
      <c r="B57" s="76" t="s">
        <v>123</v>
      </c>
      <c r="C57" s="75" t="s">
        <v>124</v>
      </c>
      <c r="D57" s="76" t="s">
        <v>219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8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8.75" hidden="1" customHeight="1">
      <c r="A59" s="59"/>
      <c r="B59" s="76" t="s">
        <v>134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hidden="1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133</v>
      </c>
      <c r="I60" s="14"/>
      <c r="J60" s="25"/>
      <c r="L60" s="20"/>
      <c r="M60" s="21"/>
      <c r="N60" s="22"/>
    </row>
    <row r="61" spans="1:14" ht="15.75" hidden="1" customHeight="1">
      <c r="A61" s="17"/>
      <c r="B61" s="15" t="s">
        <v>44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276.74</v>
      </c>
      <c r="H61" s="62">
        <f t="shared" ref="H61:H70" si="6">SUM(F61*G61/1000)</f>
        <v>2.7674000000000003</v>
      </c>
      <c r="I61" s="14">
        <v>0</v>
      </c>
      <c r="J61" s="25"/>
      <c r="L61" s="20"/>
    </row>
    <row r="62" spans="1:14" ht="15.75" hidden="1" customHeight="1">
      <c r="A62" s="17"/>
      <c r="B62" s="15" t="s">
        <v>45</v>
      </c>
      <c r="C62" s="17" t="s">
        <v>97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6"/>
        <v>0.94889999999999997</v>
      </c>
      <c r="I62" s="14">
        <v>0</v>
      </c>
      <c r="J62" s="25"/>
      <c r="L62" s="20"/>
    </row>
    <row r="63" spans="1:14" ht="15.75" hidden="1" customHeight="1">
      <c r="A63" s="17"/>
      <c r="B63" s="15" t="s">
        <v>46</v>
      </c>
      <c r="C63" s="17" t="s">
        <v>98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6"/>
        <v>35.4987353</v>
      </c>
      <c r="I63" s="14">
        <v>0</v>
      </c>
      <c r="J63" s="25"/>
      <c r="L63" s="20"/>
    </row>
    <row r="64" spans="1:14" ht="15.75" hidden="1" customHeight="1">
      <c r="A64" s="17"/>
      <c r="B64" s="15" t="s">
        <v>47</v>
      </c>
      <c r="C64" s="17" t="s">
        <v>99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6"/>
        <v>2.7642997899999995</v>
      </c>
      <c r="I64" s="14">
        <v>0</v>
      </c>
    </row>
    <row r="65" spans="1:22" ht="15.75" hidden="1" customHeight="1">
      <c r="A65" s="17"/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6"/>
        <v>56.793660000000003</v>
      </c>
      <c r="I65" s="14">
        <v>0</v>
      </c>
    </row>
    <row r="66" spans="1:22" ht="15.75" hidden="1" customHeight="1">
      <c r="A66" s="17"/>
      <c r="B66" s="80" t="s">
        <v>100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6"/>
        <v>0.57414500000000002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05"/>
      <c r="B67" s="80" t="s">
        <v>101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6"/>
        <v>0.535667</v>
      </c>
      <c r="I67" s="14">
        <v>0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/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6"/>
        <v>0.24828</v>
      </c>
      <c r="I68" s="14">
        <v>0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/>
      <c r="B69" s="152" t="s">
        <v>175</v>
      </c>
      <c r="C69" s="17"/>
      <c r="D69" s="15"/>
      <c r="E69" s="108"/>
      <c r="F69" s="129"/>
      <c r="G69" s="111"/>
      <c r="H69" s="62"/>
      <c r="I69" s="14"/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customHeight="1">
      <c r="A70" s="17">
        <v>9</v>
      </c>
      <c r="B70" s="15" t="s">
        <v>125</v>
      </c>
      <c r="C70" s="31" t="s">
        <v>126</v>
      </c>
      <c r="D70" s="15"/>
      <c r="E70" s="108">
        <v>3216.2</v>
      </c>
      <c r="F70" s="112">
        <v>38594.400000000001</v>
      </c>
      <c r="G70" s="111">
        <v>2.16</v>
      </c>
      <c r="H70" s="62">
        <f t="shared" si="6"/>
        <v>83.363904000000005</v>
      </c>
      <c r="I70" s="14">
        <f>F70/12*G70</f>
        <v>6946.9920000000011</v>
      </c>
      <c r="J70" s="4"/>
      <c r="K70" s="4"/>
      <c r="L70" s="4"/>
      <c r="M70" s="4"/>
      <c r="N70" s="4"/>
      <c r="O70" s="4"/>
      <c r="P70" s="4"/>
      <c r="Q70" s="4"/>
      <c r="S70" s="4"/>
      <c r="T70" s="4"/>
      <c r="U70" s="4"/>
    </row>
    <row r="71" spans="1:22" ht="15.75" hidden="1" customHeight="1">
      <c r="A71" s="105"/>
      <c r="B71" s="93" t="s">
        <v>66</v>
      </c>
      <c r="C71" s="17"/>
      <c r="D71" s="15"/>
      <c r="E71" s="19"/>
      <c r="F71" s="14"/>
      <c r="G71" s="14"/>
      <c r="H71" s="62" t="s">
        <v>133</v>
      </c>
      <c r="I71" s="14"/>
      <c r="J71" s="6"/>
      <c r="K71" s="6"/>
      <c r="L71" s="6"/>
      <c r="M71" s="6"/>
      <c r="N71" s="6"/>
      <c r="O71" s="6"/>
      <c r="P71" s="6"/>
      <c r="Q71" s="6"/>
      <c r="R71" s="157"/>
      <c r="S71" s="157"/>
      <c r="T71" s="157"/>
      <c r="U71" s="157"/>
    </row>
    <row r="72" spans="1:22" ht="15.75" hidden="1" customHeight="1">
      <c r="A72" s="17"/>
      <c r="B72" s="15" t="s">
        <v>127</v>
      </c>
      <c r="C72" s="17" t="s">
        <v>128</v>
      </c>
      <c r="D72" s="15" t="s">
        <v>63</v>
      </c>
      <c r="E72" s="19">
        <v>2</v>
      </c>
      <c r="F72" s="14">
        <f>E72</f>
        <v>2</v>
      </c>
      <c r="G72" s="14">
        <v>976.4</v>
      </c>
      <c r="H72" s="62">
        <f t="shared" ref="H72:H76" si="7">SUM(F72*G72/1000)</f>
        <v>1.9527999999999999</v>
      </c>
      <c r="I72" s="14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2" ht="15.75" hidden="1" customHeight="1">
      <c r="A73" s="17"/>
      <c r="B73" s="15" t="s">
        <v>104</v>
      </c>
      <c r="C73" s="17" t="s">
        <v>129</v>
      </c>
      <c r="D73" s="15" t="s">
        <v>63</v>
      </c>
      <c r="E73" s="19">
        <v>1</v>
      </c>
      <c r="F73" s="14">
        <v>1</v>
      </c>
      <c r="G73" s="14">
        <v>735</v>
      </c>
      <c r="H73" s="62">
        <f t="shared" si="7"/>
        <v>0.73499999999999999</v>
      </c>
      <c r="I73" s="14">
        <v>0</v>
      </c>
    </row>
    <row r="74" spans="1:22" ht="15.75" hidden="1" customHeight="1">
      <c r="A74" s="17"/>
      <c r="B74" s="15" t="s">
        <v>67</v>
      </c>
      <c r="C74" s="17" t="s">
        <v>69</v>
      </c>
      <c r="D74" s="15" t="s">
        <v>63</v>
      </c>
      <c r="E74" s="19">
        <v>4</v>
      </c>
      <c r="F74" s="14">
        <f>E74/10</f>
        <v>0.4</v>
      </c>
      <c r="G74" s="14">
        <v>624.16999999999996</v>
      </c>
      <c r="H74" s="62">
        <f t="shared" si="7"/>
        <v>0.249668</v>
      </c>
      <c r="I74" s="14">
        <v>0</v>
      </c>
    </row>
    <row r="75" spans="1:22" ht="15.75" hidden="1" customHeight="1">
      <c r="A75" s="17"/>
      <c r="B75" s="15" t="s">
        <v>68</v>
      </c>
      <c r="C75" s="17" t="s">
        <v>29</v>
      </c>
      <c r="D75" s="15" t="s">
        <v>63</v>
      </c>
      <c r="E75" s="19">
        <v>1</v>
      </c>
      <c r="F75" s="54">
        <v>1</v>
      </c>
      <c r="G75" s="14">
        <v>1061.4100000000001</v>
      </c>
      <c r="H75" s="62">
        <f t="shared" si="7"/>
        <v>1.0614100000000002</v>
      </c>
      <c r="I75" s="14">
        <v>0</v>
      </c>
    </row>
    <row r="76" spans="1:22" ht="15.75" hidden="1" customHeight="1">
      <c r="A76" s="17"/>
      <c r="B76" s="15" t="s">
        <v>130</v>
      </c>
      <c r="C76" s="17" t="s">
        <v>128</v>
      </c>
      <c r="D76" s="15" t="s">
        <v>63</v>
      </c>
      <c r="E76" s="19">
        <v>1</v>
      </c>
      <c r="F76" s="14">
        <f>E76</f>
        <v>1</v>
      </c>
      <c r="G76" s="14">
        <v>976.1</v>
      </c>
      <c r="H76" s="62">
        <f t="shared" si="7"/>
        <v>0.97609999999999997</v>
      </c>
      <c r="I76" s="14">
        <v>0</v>
      </c>
    </row>
    <row r="77" spans="1:22" ht="15.75" hidden="1" customHeight="1">
      <c r="A77" s="105"/>
      <c r="B77" s="106" t="s">
        <v>70</v>
      </c>
      <c r="C77" s="17"/>
      <c r="D77" s="15"/>
      <c r="E77" s="19"/>
      <c r="F77" s="14"/>
      <c r="G77" s="14" t="s">
        <v>133</v>
      </c>
      <c r="H77" s="62" t="s">
        <v>133</v>
      </c>
      <c r="I77" s="14"/>
    </row>
    <row r="78" spans="1:22" ht="15.75" hidden="1" customHeight="1">
      <c r="A78" s="17"/>
      <c r="B78" s="43" t="s">
        <v>105</v>
      </c>
      <c r="C78" s="17" t="s">
        <v>71</v>
      </c>
      <c r="D78" s="15"/>
      <c r="E78" s="19"/>
      <c r="F78" s="14">
        <v>0.1</v>
      </c>
      <c r="G78" s="14">
        <v>3433.68</v>
      </c>
      <c r="H78" s="62">
        <f t="shared" ref="H78" si="8">SUM(F78*G78/1000)</f>
        <v>0.34336800000000001</v>
      </c>
      <c r="I78" s="14">
        <v>0</v>
      </c>
    </row>
    <row r="79" spans="1:22" ht="15.75" hidden="1" customHeight="1">
      <c r="A79" s="105"/>
      <c r="B79" s="95" t="s">
        <v>102</v>
      </c>
      <c r="C79" s="82"/>
      <c r="D79" s="33"/>
      <c r="E79" s="34"/>
      <c r="F79" s="72"/>
      <c r="G79" s="72"/>
      <c r="H79" s="83">
        <f>SUM(H56:H78)</f>
        <v>219.17093482199999</v>
      </c>
      <c r="I79" s="72"/>
    </row>
    <row r="80" spans="1:22" ht="15.75" hidden="1" customHeight="1">
      <c r="A80" s="17"/>
      <c r="B80" s="63" t="s">
        <v>103</v>
      </c>
      <c r="C80" s="17"/>
      <c r="D80" s="15"/>
      <c r="E80" s="84"/>
      <c r="F80" s="14">
        <v>1</v>
      </c>
      <c r="G80" s="14">
        <v>14133</v>
      </c>
      <c r="H80" s="62">
        <f>G80*F80/1000</f>
        <v>14.132999999999999</v>
      </c>
      <c r="I80" s="14">
        <v>0</v>
      </c>
    </row>
    <row r="81" spans="1:9" ht="15.75" customHeight="1">
      <c r="A81" s="167" t="s">
        <v>143</v>
      </c>
      <c r="B81" s="177"/>
      <c r="C81" s="177"/>
      <c r="D81" s="177"/>
      <c r="E81" s="177"/>
      <c r="F81" s="177"/>
      <c r="G81" s="177"/>
      <c r="H81" s="177"/>
      <c r="I81" s="178"/>
    </row>
    <row r="82" spans="1:9" ht="15.75" customHeight="1">
      <c r="A82" s="17">
        <v>10</v>
      </c>
      <c r="B82" s="63" t="s">
        <v>106</v>
      </c>
      <c r="C82" s="17" t="s">
        <v>52</v>
      </c>
      <c r="D82" s="85"/>
      <c r="E82" s="14">
        <v>3216.2</v>
      </c>
      <c r="F82" s="14">
        <f>SUM(E82*12)</f>
        <v>38594.399999999994</v>
      </c>
      <c r="G82" s="14">
        <v>2.95</v>
      </c>
      <c r="H82" s="62">
        <f>SUM(F82*G82/1000)</f>
        <v>113.85347999999999</v>
      </c>
      <c r="I82" s="14">
        <f>F82/12*G82</f>
        <v>9487.7899999999991</v>
      </c>
    </row>
    <row r="83" spans="1:9" ht="31.5" customHeight="1">
      <c r="A83" s="86">
        <v>11</v>
      </c>
      <c r="B83" s="15" t="s">
        <v>72</v>
      </c>
      <c r="C83" s="17"/>
      <c r="D83" s="85"/>
      <c r="E83" s="65">
        <v>3216.2</v>
      </c>
      <c r="F83" s="14">
        <f>E83*12</f>
        <v>38594.399999999994</v>
      </c>
      <c r="G83" s="14">
        <v>3.05</v>
      </c>
      <c r="H83" s="62">
        <f>F83*G83/1000</f>
        <v>117.71291999999997</v>
      </c>
      <c r="I83" s="14">
        <f>F83/12*G83</f>
        <v>9809.409999999998</v>
      </c>
    </row>
    <row r="84" spans="1:9" ht="15.75" customHeight="1">
      <c r="A84" s="60"/>
      <c r="B84" s="36" t="s">
        <v>74</v>
      </c>
      <c r="C84" s="82"/>
      <c r="D84" s="81"/>
      <c r="E84" s="72"/>
      <c r="F84" s="72"/>
      <c r="G84" s="72"/>
      <c r="H84" s="83">
        <f>H83</f>
        <v>117.71291999999997</v>
      </c>
      <c r="I84" s="72">
        <f>I83+I82+I70+I40+I38+I37+I18+I17+I16+I56+I57</f>
        <v>41549.184669999995</v>
      </c>
    </row>
    <row r="85" spans="1:9" ht="15.75" customHeight="1">
      <c r="A85" s="173" t="s">
        <v>58</v>
      </c>
      <c r="B85" s="174"/>
      <c r="C85" s="174"/>
      <c r="D85" s="174"/>
      <c r="E85" s="174"/>
      <c r="F85" s="174"/>
      <c r="G85" s="174"/>
      <c r="H85" s="174"/>
      <c r="I85" s="175"/>
    </row>
    <row r="86" spans="1:9" ht="16.5" customHeight="1">
      <c r="A86" s="115">
        <v>12</v>
      </c>
      <c r="B86" s="130" t="s">
        <v>155</v>
      </c>
      <c r="C86" s="131" t="s">
        <v>156</v>
      </c>
      <c r="D86" s="147"/>
      <c r="E86" s="148"/>
      <c r="F86" s="148">
        <v>2</v>
      </c>
      <c r="G86" s="136">
        <v>1.4</v>
      </c>
      <c r="H86" s="62">
        <f t="shared" ref="H86" si="9">G86*F86/1000</f>
        <v>2.8E-3</v>
      </c>
      <c r="I86" s="114">
        <f>G86*100</f>
        <v>140</v>
      </c>
    </row>
    <row r="87" spans="1:9" ht="30.75" customHeight="1">
      <c r="A87" s="115">
        <v>13</v>
      </c>
      <c r="B87" s="122" t="s">
        <v>159</v>
      </c>
      <c r="C87" s="123" t="s">
        <v>28</v>
      </c>
      <c r="D87" s="124"/>
      <c r="E87" s="18"/>
      <c r="F87" s="146">
        <f>0.599*30/1000</f>
        <v>1.797E-2</v>
      </c>
      <c r="G87" s="134">
        <v>21369.24</v>
      </c>
      <c r="H87" s="62"/>
      <c r="I87" s="114">
        <f>G87*0.599*5/1000</f>
        <v>64.000873800000008</v>
      </c>
    </row>
    <row r="88" spans="1:9" ht="30.75" customHeight="1">
      <c r="A88" s="115">
        <v>14</v>
      </c>
      <c r="B88" s="122" t="s">
        <v>160</v>
      </c>
      <c r="C88" s="123" t="s">
        <v>36</v>
      </c>
      <c r="D88" s="124" t="s">
        <v>170</v>
      </c>
      <c r="E88" s="18"/>
      <c r="F88" s="125">
        <v>0.02</v>
      </c>
      <c r="G88" s="125">
        <v>4233.72</v>
      </c>
      <c r="H88" s="62"/>
      <c r="I88" s="114">
        <v>0</v>
      </c>
    </row>
    <row r="89" spans="1:9" ht="18" customHeight="1">
      <c r="A89" s="115">
        <v>15</v>
      </c>
      <c r="B89" s="122" t="s">
        <v>222</v>
      </c>
      <c r="C89" s="123" t="s">
        <v>38</v>
      </c>
      <c r="D89" s="124" t="s">
        <v>170</v>
      </c>
      <c r="E89" s="18"/>
      <c r="F89" s="125">
        <v>0.01</v>
      </c>
      <c r="G89" s="125">
        <v>28224.75</v>
      </c>
      <c r="H89" s="62"/>
      <c r="I89" s="114">
        <v>0</v>
      </c>
    </row>
    <row r="90" spans="1:9" ht="17.25" customHeight="1">
      <c r="A90" s="31"/>
      <c r="B90" s="41" t="s">
        <v>49</v>
      </c>
      <c r="C90" s="135"/>
      <c r="D90" s="44"/>
      <c r="E90" s="37"/>
      <c r="F90" s="37"/>
      <c r="G90" s="134"/>
      <c r="H90" s="37"/>
      <c r="I90" s="34">
        <f>SUM(I86:I88)</f>
        <v>204.00087380000002</v>
      </c>
    </row>
    <row r="91" spans="1:9" ht="15.75" customHeight="1">
      <c r="A91" s="31"/>
      <c r="B91" s="43" t="s">
        <v>73</v>
      </c>
      <c r="C91" s="16"/>
      <c r="D91" s="16"/>
      <c r="E91" s="38"/>
      <c r="F91" s="38"/>
      <c r="G91" s="39"/>
      <c r="H91" s="39"/>
      <c r="I91" s="18">
        <v>0</v>
      </c>
    </row>
    <row r="92" spans="1:9" ht="15.75" customHeight="1">
      <c r="A92" s="45"/>
      <c r="B92" s="42" t="s">
        <v>147</v>
      </c>
      <c r="C92" s="35"/>
      <c r="D92" s="35"/>
      <c r="E92" s="35"/>
      <c r="F92" s="35"/>
      <c r="G92" s="35"/>
      <c r="H92" s="35"/>
      <c r="I92" s="40">
        <f>I84+I90</f>
        <v>41753.185543799998</v>
      </c>
    </row>
    <row r="93" spans="1:9" ht="15.75" customHeight="1">
      <c r="A93" s="158" t="s">
        <v>220</v>
      </c>
      <c r="B93" s="158"/>
      <c r="C93" s="158"/>
      <c r="D93" s="158"/>
      <c r="E93" s="158"/>
      <c r="F93" s="158"/>
      <c r="G93" s="158"/>
      <c r="H93" s="158"/>
      <c r="I93" s="158"/>
    </row>
    <row r="94" spans="1:9" ht="15.75" customHeight="1">
      <c r="A94" s="53"/>
      <c r="B94" s="183" t="s">
        <v>221</v>
      </c>
      <c r="C94" s="183"/>
      <c r="D94" s="183"/>
      <c r="E94" s="183"/>
      <c r="F94" s="183"/>
      <c r="G94" s="183"/>
      <c r="H94" s="57"/>
      <c r="I94" s="4"/>
    </row>
    <row r="95" spans="1:9" ht="15.75" customHeight="1">
      <c r="A95" s="91"/>
      <c r="B95" s="180" t="s">
        <v>6</v>
      </c>
      <c r="C95" s="180"/>
      <c r="D95" s="180"/>
      <c r="E95" s="180"/>
      <c r="F95" s="180"/>
      <c r="G95" s="180"/>
      <c r="H95" s="26"/>
      <c r="I95" s="6"/>
    </row>
    <row r="96" spans="1:9" ht="8.25" customHeight="1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 customHeight="1">
      <c r="A97" s="184" t="s">
        <v>7</v>
      </c>
      <c r="B97" s="184"/>
      <c r="C97" s="184"/>
      <c r="D97" s="184"/>
      <c r="E97" s="184"/>
      <c r="F97" s="184"/>
      <c r="G97" s="184"/>
      <c r="H97" s="184"/>
      <c r="I97" s="184"/>
    </row>
    <row r="98" spans="1:9" ht="15.75" customHeight="1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5" t="s">
        <v>59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 customHeight="1">
      <c r="A100" s="12"/>
    </row>
    <row r="101" spans="1:9" ht="15.75" customHeight="1">
      <c r="A101" s="165" t="s">
        <v>9</v>
      </c>
      <c r="B101" s="165"/>
      <c r="C101" s="165"/>
      <c r="D101" s="165"/>
      <c r="E101" s="165"/>
      <c r="F101" s="165"/>
      <c r="G101" s="165"/>
      <c r="H101" s="165"/>
      <c r="I101" s="165"/>
    </row>
    <row r="102" spans="1:9" ht="15.75" customHeight="1">
      <c r="A102" s="5"/>
    </row>
    <row r="103" spans="1:9" ht="15.75" customHeight="1">
      <c r="B103" s="92" t="s">
        <v>10</v>
      </c>
      <c r="C103" s="179" t="s">
        <v>186</v>
      </c>
      <c r="D103" s="179"/>
      <c r="E103" s="179"/>
      <c r="F103" s="55"/>
      <c r="I103" s="90"/>
    </row>
    <row r="104" spans="1:9" ht="15.75" customHeight="1">
      <c r="A104" s="91"/>
      <c r="C104" s="180" t="s">
        <v>11</v>
      </c>
      <c r="D104" s="180"/>
      <c r="E104" s="180"/>
      <c r="F104" s="26"/>
      <c r="I104" s="89" t="s">
        <v>12</v>
      </c>
    </row>
    <row r="105" spans="1:9" ht="15.75" customHeight="1">
      <c r="A105" s="27"/>
      <c r="C105" s="13"/>
      <c r="D105" s="13"/>
      <c r="G105" s="13"/>
      <c r="H105" s="13"/>
    </row>
    <row r="106" spans="1:9" ht="15.75" customHeight="1">
      <c r="B106" s="92" t="s">
        <v>13</v>
      </c>
      <c r="C106" s="181"/>
      <c r="D106" s="181"/>
      <c r="E106" s="181"/>
      <c r="F106" s="56"/>
      <c r="I106" s="90"/>
    </row>
    <row r="107" spans="1:9" ht="15.75" customHeight="1">
      <c r="A107" s="91"/>
      <c r="C107" s="157" t="s">
        <v>11</v>
      </c>
      <c r="D107" s="157"/>
      <c r="E107" s="157"/>
      <c r="F107" s="91"/>
      <c r="I107" s="89" t="s">
        <v>12</v>
      </c>
    </row>
    <row r="108" spans="1:9" ht="15.75" customHeight="1">
      <c r="A108" s="5" t="s">
        <v>14</v>
      </c>
    </row>
    <row r="109" spans="1:9" ht="15" customHeight="1">
      <c r="A109" s="182" t="s">
        <v>15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45" customHeight="1">
      <c r="A110" s="176" t="s">
        <v>16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30" customHeight="1">
      <c r="A111" s="176" t="s">
        <v>17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21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15" customHeight="1">
      <c r="A113" s="176" t="s">
        <v>20</v>
      </c>
      <c r="B113" s="176"/>
      <c r="C113" s="176"/>
      <c r="D113" s="176"/>
      <c r="E113" s="176"/>
      <c r="F113" s="176"/>
      <c r="G113" s="176"/>
      <c r="H113" s="176"/>
      <c r="I113" s="176"/>
    </row>
  </sheetData>
  <autoFilter ref="I14:I64"/>
  <mergeCells count="29">
    <mergeCell ref="A109:I109"/>
    <mergeCell ref="A110:I110"/>
    <mergeCell ref="A111:I111"/>
    <mergeCell ref="A112:I112"/>
    <mergeCell ref="A113:I113"/>
    <mergeCell ref="R71:U71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9"/>
  <sheetViews>
    <sheetView topLeftCell="A58" workbookViewId="0">
      <selection activeCell="G102" sqref="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141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223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44347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170</v>
      </c>
      <c r="E19" s="65">
        <v>40</v>
      </c>
      <c r="F19" s="66">
        <f>SUM(E19/10)</f>
        <v>4</v>
      </c>
      <c r="G19" s="66">
        <v>211.74</v>
      </c>
      <c r="H19" s="67">
        <f t="shared" ref="H19:H25" si="1">SUM(F19*G19/1000)</f>
        <v>0.84696000000000005</v>
      </c>
      <c r="I19" s="14">
        <f>F19*G19</f>
        <v>846.96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83</v>
      </c>
      <c r="C20" s="64" t="s">
        <v>79</v>
      </c>
      <c r="D20" s="63" t="s">
        <v>170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84</v>
      </c>
      <c r="C21" s="64" t="s">
        <v>79</v>
      </c>
      <c r="D21" s="63" t="s">
        <v>170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170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170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170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170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ref="H26" si="5">SUM(F26*G26/1000)</f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4</v>
      </c>
      <c r="B29" s="63" t="s">
        <v>88</v>
      </c>
      <c r="C29" s="64" t="s">
        <v>89</v>
      </c>
      <c r="D29" s="63" t="s">
        <v>163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3" si="6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5</v>
      </c>
      <c r="B30" s="63" t="s">
        <v>145</v>
      </c>
      <c r="C30" s="64" t="s">
        <v>89</v>
      </c>
      <c r="D30" s="63" t="s">
        <v>162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6"/>
        <v>1.6981475940000001</v>
      </c>
      <c r="I30" s="14">
        <f t="shared" ref="I30" si="7">F30/6*G30</f>
        <v>283.02459900000002</v>
      </c>
      <c r="J30" s="24"/>
      <c r="K30" s="9"/>
      <c r="L30" s="9"/>
      <c r="M30" s="9"/>
    </row>
    <row r="31" spans="1:13" ht="15.75" customHeight="1">
      <c r="A31" s="58">
        <v>6</v>
      </c>
      <c r="B31" s="63" t="s">
        <v>26</v>
      </c>
      <c r="C31" s="64" t="s">
        <v>89</v>
      </c>
      <c r="D31" s="63" t="s">
        <v>172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6"/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6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132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6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3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78</v>
      </c>
      <c r="C36" s="64" t="s">
        <v>28</v>
      </c>
      <c r="D36" s="63" t="s">
        <v>91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116</v>
      </c>
      <c r="C37" s="64" t="s">
        <v>28</v>
      </c>
      <c r="D37" s="63" t="s">
        <v>92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117</v>
      </c>
      <c r="C38" s="64" t="s">
        <v>118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75</v>
      </c>
      <c r="C39" s="64" t="s">
        <v>28</v>
      </c>
      <c r="D39" s="63" t="s">
        <v>119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93</v>
      </c>
      <c r="C40" s="64" t="s">
        <v>89</v>
      </c>
      <c r="D40" s="63" t="s">
        <v>120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customHeight="1">
      <c r="A42" s="167" t="s">
        <v>136</v>
      </c>
      <c r="B42" s="168"/>
      <c r="C42" s="168"/>
      <c r="D42" s="168"/>
      <c r="E42" s="168"/>
      <c r="F42" s="168"/>
      <c r="G42" s="168"/>
      <c r="H42" s="168"/>
      <c r="I42" s="169"/>
      <c r="J42" s="25"/>
      <c r="L42" s="20"/>
      <c r="M42" s="21"/>
      <c r="N42" s="22"/>
    </row>
    <row r="43" spans="1:14" ht="15.75" customHeight="1">
      <c r="A43" s="58">
        <v>7</v>
      </c>
      <c r="B43" s="63" t="s">
        <v>94</v>
      </c>
      <c r="C43" s="64" t="s">
        <v>89</v>
      </c>
      <c r="D43" s="63" t="s">
        <v>170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customHeight="1">
      <c r="A44" s="58">
        <v>8</v>
      </c>
      <c r="B44" s="63" t="s">
        <v>34</v>
      </c>
      <c r="C44" s="64" t="s">
        <v>89</v>
      </c>
      <c r="D44" s="63" t="s">
        <v>170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customHeight="1">
      <c r="A45" s="58">
        <v>9</v>
      </c>
      <c r="B45" s="63" t="s">
        <v>35</v>
      </c>
      <c r="C45" s="64" t="s">
        <v>89</v>
      </c>
      <c r="D45" s="63" t="s">
        <v>170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customHeight="1">
      <c r="A46" s="58">
        <v>10</v>
      </c>
      <c r="B46" s="63" t="s">
        <v>32</v>
      </c>
      <c r="C46" s="64" t="s">
        <v>33</v>
      </c>
      <c r="D46" s="63" t="s">
        <v>170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customHeight="1">
      <c r="A47" s="58">
        <v>11</v>
      </c>
      <c r="B47" s="63" t="s">
        <v>54</v>
      </c>
      <c r="C47" s="64" t="s">
        <v>89</v>
      </c>
      <c r="D47" s="63" t="s">
        <v>170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0.75" customHeight="1">
      <c r="A48" s="58">
        <v>12</v>
      </c>
      <c r="B48" s="63" t="s">
        <v>95</v>
      </c>
      <c r="C48" s="64" t="s">
        <v>89</v>
      </c>
      <c r="D48" s="63" t="s">
        <v>170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29.25" customHeight="1">
      <c r="A49" s="58">
        <v>13</v>
      </c>
      <c r="B49" s="63" t="s">
        <v>96</v>
      </c>
      <c r="C49" s="64" t="s">
        <v>36</v>
      </c>
      <c r="D49" s="63" t="s">
        <v>170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" customHeight="1">
      <c r="A50" s="58">
        <v>14</v>
      </c>
      <c r="B50" s="63" t="s">
        <v>37</v>
      </c>
      <c r="C50" s="64" t="s">
        <v>38</v>
      </c>
      <c r="D50" s="63" t="s">
        <v>170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customHeight="1">
      <c r="A51" s="58">
        <v>15</v>
      </c>
      <c r="B51" s="63" t="s">
        <v>39</v>
      </c>
      <c r="C51" s="64" t="s">
        <v>97</v>
      </c>
      <c r="D51" s="144">
        <v>44342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67" t="s">
        <v>135</v>
      </c>
      <c r="B52" s="177"/>
      <c r="C52" s="177"/>
      <c r="D52" s="177"/>
      <c r="E52" s="177"/>
      <c r="F52" s="177"/>
      <c r="G52" s="177"/>
      <c r="H52" s="177"/>
      <c r="I52" s="178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121</v>
      </c>
      <c r="C54" s="64" t="s">
        <v>79</v>
      </c>
      <c r="D54" s="63" t="s">
        <v>122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123</v>
      </c>
      <c r="C55" s="75" t="s">
        <v>124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134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133</v>
      </c>
      <c r="I58" s="14"/>
      <c r="J58" s="25"/>
      <c r="L58" s="20"/>
      <c r="M58" s="21"/>
      <c r="N58" s="22"/>
    </row>
    <row r="59" spans="1:22" ht="15.75" hidden="1" customHeight="1">
      <c r="A59" s="17"/>
      <c r="B59" s="15" t="s">
        <v>44</v>
      </c>
      <c r="C59" s="17" t="s">
        <v>97</v>
      </c>
      <c r="D59" s="15" t="s">
        <v>63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v>0</v>
      </c>
      <c r="J59" s="25"/>
      <c r="L59" s="20"/>
    </row>
    <row r="60" spans="1:22" ht="15.75" hidden="1" customHeight="1">
      <c r="A60" s="17"/>
      <c r="B60" s="15" t="s">
        <v>45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5.75" hidden="1" customHeight="1">
      <c r="A61" s="17">
        <v>25</v>
      </c>
      <c r="B61" s="15" t="s">
        <v>46</v>
      </c>
      <c r="C61" s="17" t="s">
        <v>98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26</v>
      </c>
      <c r="B62" s="15" t="s">
        <v>47</v>
      </c>
      <c r="C62" s="17" t="s">
        <v>99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27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28</v>
      </c>
      <c r="B64" s="80" t="s">
        <v>100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29</v>
      </c>
      <c r="B65" s="80" t="s">
        <v>101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16</v>
      </c>
      <c r="B67" s="15" t="s">
        <v>125</v>
      </c>
      <c r="C67" s="31" t="s">
        <v>126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3" t="s">
        <v>66</v>
      </c>
      <c r="C68" s="17"/>
      <c r="D68" s="15"/>
      <c r="E68" s="19"/>
      <c r="F68" s="14"/>
      <c r="G68" s="14"/>
      <c r="H68" s="62" t="s">
        <v>133</v>
      </c>
      <c r="I68" s="14"/>
      <c r="J68" s="6"/>
      <c r="K68" s="6"/>
      <c r="L68" s="6"/>
      <c r="M68" s="6"/>
      <c r="N68" s="6"/>
      <c r="O68" s="6"/>
      <c r="P68" s="6"/>
      <c r="Q68" s="6"/>
      <c r="R68" s="157"/>
      <c r="S68" s="157"/>
      <c r="T68" s="157"/>
      <c r="U68" s="157"/>
    </row>
    <row r="69" spans="1:21" ht="15.75" hidden="1" customHeight="1">
      <c r="A69" s="17"/>
      <c r="B69" s="15" t="s">
        <v>127</v>
      </c>
      <c r="C69" s="17" t="s">
        <v>128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104</v>
      </c>
      <c r="C70" s="17" t="s">
        <v>129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130</v>
      </c>
      <c r="C73" s="17" t="s">
        <v>128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133</v>
      </c>
      <c r="H74" s="62" t="s">
        <v>133</v>
      </c>
      <c r="I74" s="14"/>
    </row>
    <row r="75" spans="1:21" ht="15.75" hidden="1" customHeight="1">
      <c r="A75" s="17"/>
      <c r="B75" s="43" t="s">
        <v>105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102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/>
      <c r="B77" s="63" t="s">
        <v>103</v>
      </c>
      <c r="C77" s="17"/>
      <c r="D77" s="15"/>
      <c r="E77" s="84"/>
      <c r="F77" s="14">
        <v>1</v>
      </c>
      <c r="G77" s="14">
        <v>14133</v>
      </c>
      <c r="H77" s="62">
        <f>G77*F77/1000</f>
        <v>14.132999999999999</v>
      </c>
      <c r="I77" s="14">
        <v>0</v>
      </c>
    </row>
    <row r="78" spans="1:21" ht="15.75" customHeight="1">
      <c r="A78" s="167" t="s">
        <v>137</v>
      </c>
      <c r="B78" s="177"/>
      <c r="C78" s="177"/>
      <c r="D78" s="177"/>
      <c r="E78" s="177"/>
      <c r="F78" s="177"/>
      <c r="G78" s="177"/>
      <c r="H78" s="177"/>
      <c r="I78" s="178"/>
    </row>
    <row r="79" spans="1:21" ht="15.75" customHeight="1">
      <c r="A79" s="17">
        <v>17</v>
      </c>
      <c r="B79" s="63" t="s">
        <v>106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18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I80+I79+I67+I51+I50+I49+I48+I47+I46+I45+I44+I43+I31+I30+I29+I18+I17+I16</f>
        <v>64179.112464333324</v>
      </c>
    </row>
    <row r="82" spans="1:9" ht="15.75" customHeight="1">
      <c r="A82" s="173" t="s">
        <v>58</v>
      </c>
      <c r="B82" s="174"/>
      <c r="C82" s="174"/>
      <c r="D82" s="174"/>
      <c r="E82" s="174"/>
      <c r="F82" s="174"/>
      <c r="G82" s="174"/>
      <c r="H82" s="174"/>
      <c r="I82" s="175"/>
    </row>
    <row r="83" spans="1:9" ht="15.75" customHeight="1">
      <c r="A83" s="115">
        <v>19</v>
      </c>
      <c r="B83" s="130" t="s">
        <v>155</v>
      </c>
      <c r="C83" s="131" t="s">
        <v>156</v>
      </c>
      <c r="D83" s="147"/>
      <c r="E83" s="148"/>
      <c r="F83" s="148">
        <v>2</v>
      </c>
      <c r="G83" s="136">
        <v>1.4</v>
      </c>
      <c r="H83" s="62">
        <f t="shared" ref="H83" si="16">G83*F83/1000</f>
        <v>2.8E-3</v>
      </c>
      <c r="I83" s="114">
        <f>G83*100</f>
        <v>140</v>
      </c>
    </row>
    <row r="84" spans="1:9" ht="15.75" customHeight="1">
      <c r="A84" s="115">
        <v>20</v>
      </c>
      <c r="B84" s="122" t="s">
        <v>224</v>
      </c>
      <c r="C84" s="123" t="s">
        <v>195</v>
      </c>
      <c r="D84" s="124" t="s">
        <v>225</v>
      </c>
      <c r="E84" s="18"/>
      <c r="F84" s="125">
        <v>1</v>
      </c>
      <c r="G84" s="125">
        <v>231.54</v>
      </c>
      <c r="H84" s="62"/>
      <c r="I84" s="114">
        <f>G84*1</f>
        <v>231.54</v>
      </c>
    </row>
    <row r="85" spans="1:9" ht="15.75" customHeight="1">
      <c r="A85" s="115">
        <v>21</v>
      </c>
      <c r="B85" s="122" t="s">
        <v>226</v>
      </c>
      <c r="C85" s="123" t="s">
        <v>28</v>
      </c>
      <c r="D85" s="124"/>
      <c r="E85" s="18"/>
      <c r="F85" s="125">
        <v>1.28</v>
      </c>
      <c r="G85" s="125">
        <v>241.69</v>
      </c>
      <c r="H85" s="62"/>
      <c r="I85" s="114">
        <f>G85*1.28</f>
        <v>309.36320000000001</v>
      </c>
    </row>
    <row r="86" spans="1:9" ht="15.75" customHeight="1">
      <c r="A86" s="31"/>
      <c r="B86" s="41" t="s">
        <v>49</v>
      </c>
      <c r="C86" s="37"/>
      <c r="D86" s="44"/>
      <c r="E86" s="37">
        <v>1</v>
      </c>
      <c r="F86" s="37"/>
      <c r="G86" s="37"/>
      <c r="H86" s="37"/>
      <c r="I86" s="34">
        <f>SUM(I83:I85)</f>
        <v>680.90319999999997</v>
      </c>
    </row>
    <row r="87" spans="1:9" ht="15.75" customHeight="1">
      <c r="A87" s="31"/>
      <c r="B87" s="43" t="s">
        <v>73</v>
      </c>
      <c r="C87" s="16"/>
      <c r="D87" s="16"/>
      <c r="E87" s="38"/>
      <c r="F87" s="38"/>
      <c r="G87" s="39"/>
      <c r="H87" s="39"/>
      <c r="I87" s="18">
        <v>0</v>
      </c>
    </row>
    <row r="88" spans="1:9" ht="15.75" customHeight="1">
      <c r="A88" s="45"/>
      <c r="B88" s="42" t="s">
        <v>147</v>
      </c>
      <c r="C88" s="35"/>
      <c r="D88" s="35"/>
      <c r="E88" s="35"/>
      <c r="F88" s="35"/>
      <c r="G88" s="35"/>
      <c r="H88" s="35"/>
      <c r="I88" s="40">
        <f>I81+I86</f>
        <v>64860.015664333325</v>
      </c>
    </row>
    <row r="89" spans="1:9" ht="15.75" customHeight="1">
      <c r="A89" s="158" t="s">
        <v>227</v>
      </c>
      <c r="B89" s="158"/>
      <c r="C89" s="158"/>
      <c r="D89" s="158"/>
      <c r="E89" s="158"/>
      <c r="F89" s="158"/>
      <c r="G89" s="158"/>
      <c r="H89" s="158"/>
      <c r="I89" s="158"/>
    </row>
    <row r="90" spans="1:9" ht="15.75" customHeight="1">
      <c r="A90" s="53"/>
      <c r="B90" s="183" t="s">
        <v>228</v>
      </c>
      <c r="C90" s="183"/>
      <c r="D90" s="183"/>
      <c r="E90" s="183"/>
      <c r="F90" s="183"/>
      <c r="G90" s="183"/>
      <c r="H90" s="57"/>
      <c r="I90" s="4"/>
    </row>
    <row r="91" spans="1:9" ht="15.75" customHeight="1">
      <c r="A91" s="91"/>
      <c r="B91" s="180" t="s">
        <v>6</v>
      </c>
      <c r="C91" s="180"/>
      <c r="D91" s="180"/>
      <c r="E91" s="180"/>
      <c r="F91" s="180"/>
      <c r="G91" s="180"/>
      <c r="H91" s="26"/>
      <c r="I91" s="6"/>
    </row>
    <row r="92" spans="1:9" ht="15.75" customHeight="1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5.75" customHeight="1">
      <c r="A93" s="184" t="s">
        <v>7</v>
      </c>
      <c r="B93" s="184"/>
      <c r="C93" s="184"/>
      <c r="D93" s="184"/>
      <c r="E93" s="184"/>
      <c r="F93" s="184"/>
      <c r="G93" s="184"/>
      <c r="H93" s="184"/>
      <c r="I93" s="184"/>
    </row>
    <row r="94" spans="1:9" ht="15.75" customHeight="1">
      <c r="A94" s="184" t="s">
        <v>8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 customHeight="1">
      <c r="A95" s="185" t="s">
        <v>59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2"/>
    </row>
    <row r="97" spans="1:9" ht="15.75" customHeight="1">
      <c r="A97" s="165" t="s">
        <v>9</v>
      </c>
      <c r="B97" s="165"/>
      <c r="C97" s="165"/>
      <c r="D97" s="165"/>
      <c r="E97" s="165"/>
      <c r="F97" s="165"/>
      <c r="G97" s="165"/>
      <c r="H97" s="165"/>
      <c r="I97" s="165"/>
    </row>
    <row r="98" spans="1:9" ht="15.75" customHeight="1">
      <c r="A98" s="5"/>
    </row>
    <row r="99" spans="1:9" ht="15.75" customHeight="1">
      <c r="B99" s="92" t="s">
        <v>10</v>
      </c>
      <c r="C99" s="179" t="s">
        <v>186</v>
      </c>
      <c r="D99" s="179"/>
      <c r="E99" s="179"/>
      <c r="F99" s="55"/>
      <c r="I99" s="90"/>
    </row>
    <row r="100" spans="1:9" ht="15.75" customHeight="1">
      <c r="A100" s="91"/>
      <c r="C100" s="180" t="s">
        <v>11</v>
      </c>
      <c r="D100" s="180"/>
      <c r="E100" s="180"/>
      <c r="F100" s="26"/>
      <c r="I100" s="89" t="s">
        <v>12</v>
      </c>
    </row>
    <row r="101" spans="1:9" ht="15.75" customHeight="1">
      <c r="A101" s="27"/>
      <c r="C101" s="13"/>
      <c r="D101" s="13"/>
      <c r="G101" s="13"/>
      <c r="H101" s="13"/>
    </row>
    <row r="102" spans="1:9" ht="15.75" customHeight="1">
      <c r="B102" s="92" t="s">
        <v>13</v>
      </c>
      <c r="C102" s="181"/>
      <c r="D102" s="181"/>
      <c r="E102" s="181"/>
      <c r="F102" s="56"/>
      <c r="I102" s="90"/>
    </row>
    <row r="103" spans="1:9" ht="15.75" customHeight="1">
      <c r="A103" s="91"/>
      <c r="C103" s="157" t="s">
        <v>11</v>
      </c>
      <c r="D103" s="157"/>
      <c r="E103" s="157"/>
      <c r="F103" s="91"/>
      <c r="I103" s="89" t="s">
        <v>12</v>
      </c>
    </row>
    <row r="104" spans="1:9" ht="15.75" customHeight="1">
      <c r="A104" s="5" t="s">
        <v>14</v>
      </c>
    </row>
    <row r="105" spans="1:9" ht="15" customHeight="1">
      <c r="A105" s="182" t="s">
        <v>15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45" customHeight="1">
      <c r="A106" s="176" t="s">
        <v>16</v>
      </c>
      <c r="B106" s="176"/>
      <c r="C106" s="176"/>
      <c r="D106" s="176"/>
      <c r="E106" s="176"/>
      <c r="F106" s="176"/>
      <c r="G106" s="176"/>
      <c r="H106" s="176"/>
      <c r="I106" s="176"/>
    </row>
    <row r="107" spans="1:9" ht="30" customHeight="1">
      <c r="A107" s="176" t="s">
        <v>17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30" customHeight="1">
      <c r="A108" s="176" t="s">
        <v>21</v>
      </c>
      <c r="B108" s="176"/>
      <c r="C108" s="176"/>
      <c r="D108" s="176"/>
      <c r="E108" s="176"/>
      <c r="F108" s="176"/>
      <c r="G108" s="176"/>
      <c r="H108" s="176"/>
      <c r="I108" s="176"/>
    </row>
    <row r="109" spans="1:9" ht="15" customHeight="1">
      <c r="A109" s="176" t="s">
        <v>20</v>
      </c>
      <c r="B109" s="176"/>
      <c r="C109" s="176"/>
      <c r="D109" s="176"/>
      <c r="E109" s="176"/>
      <c r="F109" s="176"/>
      <c r="G109" s="176"/>
      <c r="H109" s="176"/>
      <c r="I109" s="176"/>
    </row>
  </sheetData>
  <autoFilter ref="I14:I62"/>
  <mergeCells count="29">
    <mergeCell ref="A105:I105"/>
    <mergeCell ref="A106:I106"/>
    <mergeCell ref="A107:I107"/>
    <mergeCell ref="A108:I108"/>
    <mergeCell ref="A109:I109"/>
    <mergeCell ref="R68:U68"/>
    <mergeCell ref="C103:E103"/>
    <mergeCell ref="A82:I82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58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topLeftCell="A69" workbookViewId="0">
      <selection activeCell="G106" sqref="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142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229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44377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customHeight="1">
      <c r="A19" s="58">
        <v>4</v>
      </c>
      <c r="B19" s="63" t="s">
        <v>80</v>
      </c>
      <c r="C19" s="64" t="s">
        <v>81</v>
      </c>
      <c r="D19" s="63" t="s">
        <v>177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f>G19*F19/1</f>
        <v>846.96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83</v>
      </c>
      <c r="C20" s="64" t="s">
        <v>79</v>
      </c>
      <c r="D20" s="63" t="s">
        <v>170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>G20*F20/2</f>
        <v>28.467600000000001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84</v>
      </c>
      <c r="C21" s="64" t="s">
        <v>79</v>
      </c>
      <c r="D21" s="63" t="s">
        <v>170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f>G21*F21/2</f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178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f>G22*F22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179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f>G23*F23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179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f>G24*F24</f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180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f>G25*F25</f>
        <v>41.345589999999994</v>
      </c>
      <c r="J25" s="24"/>
      <c r="K25" s="9"/>
      <c r="L25" s="9"/>
      <c r="M25" s="9"/>
    </row>
    <row r="26" spans="1:13" ht="15.75" hidden="1" customHeight="1">
      <c r="A26" s="58">
        <v>11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2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70" t="s">
        <v>144</v>
      </c>
      <c r="B28" s="171"/>
      <c r="C28" s="171"/>
      <c r="D28" s="171"/>
      <c r="E28" s="171"/>
      <c r="F28" s="171"/>
      <c r="G28" s="171"/>
      <c r="H28" s="171"/>
      <c r="I28" s="172"/>
      <c r="J28" s="24"/>
      <c r="K28" s="9"/>
      <c r="L28" s="9"/>
      <c r="M28" s="9"/>
    </row>
    <row r="29" spans="1:13" ht="15.75" customHeight="1">
      <c r="A29" s="103"/>
      <c r="B29" s="93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customHeight="1">
      <c r="A30" s="102">
        <v>5</v>
      </c>
      <c r="B30" s="63" t="s">
        <v>88</v>
      </c>
      <c r="C30" s="64" t="s">
        <v>89</v>
      </c>
      <c r="D30" s="63" t="s">
        <v>163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4" si="3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customHeight="1">
      <c r="A31" s="58">
        <v>6</v>
      </c>
      <c r="B31" s="63" t="s">
        <v>145</v>
      </c>
      <c r="C31" s="64" t="s">
        <v>89</v>
      </c>
      <c r="D31" s="63" t="s">
        <v>162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3"/>
        <v>1.6981475940000001</v>
      </c>
      <c r="I31" s="14">
        <f t="shared" ref="I31" si="4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89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3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3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132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3"/>
        <v>2.8279200000000002</v>
      </c>
      <c r="I34" s="14">
        <v>0</v>
      </c>
      <c r="J34" s="24"/>
      <c r="K34" s="9"/>
      <c r="L34" s="9"/>
      <c r="M34" s="9"/>
    </row>
    <row r="35" spans="1:14" ht="15.75" hidden="1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6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5">SUM(F36*G36/1000)</f>
        <v>5.7011099999999999</v>
      </c>
      <c r="I36" s="14">
        <f>F36/6*G36</f>
        <v>950.18499999999995</v>
      </c>
      <c r="J36" s="25"/>
    </row>
    <row r="37" spans="1:14" ht="15.75" hidden="1" customHeight="1">
      <c r="A37" s="58">
        <v>7</v>
      </c>
      <c r="B37" s="63" t="s">
        <v>78</v>
      </c>
      <c r="C37" s="64" t="s">
        <v>28</v>
      </c>
      <c r="D37" s="63" t="s">
        <v>91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hidden="1" customHeight="1">
      <c r="A38" s="58">
        <v>8</v>
      </c>
      <c r="B38" s="63" t="s">
        <v>116</v>
      </c>
      <c r="C38" s="64" t="s">
        <v>28</v>
      </c>
      <c r="D38" s="63" t="s">
        <v>92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5.75" hidden="1" customHeight="1">
      <c r="A39" s="102">
        <v>9</v>
      </c>
      <c r="B39" s="63" t="s">
        <v>117</v>
      </c>
      <c r="C39" s="64" t="s">
        <v>118</v>
      </c>
      <c r="D39" s="63" t="s">
        <v>63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G39*13</f>
        <v>2948.92</v>
      </c>
      <c r="J39" s="25"/>
    </row>
    <row r="40" spans="1:14" ht="47.25" hidden="1" customHeight="1">
      <c r="A40" s="58">
        <v>10</v>
      </c>
      <c r="B40" s="63" t="s">
        <v>75</v>
      </c>
      <c r="C40" s="64" t="s">
        <v>28</v>
      </c>
      <c r="D40" s="63" t="s">
        <v>119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5"/>
        <v>17.098019977500002</v>
      </c>
      <c r="I40" s="14">
        <f>F40/6*G40</f>
        <v>2849.6699962500002</v>
      </c>
      <c r="J40" s="25"/>
    </row>
    <row r="41" spans="1:14" ht="15.75" hidden="1" customHeight="1">
      <c r="A41" s="58">
        <v>11</v>
      </c>
      <c r="B41" s="63" t="s">
        <v>93</v>
      </c>
      <c r="C41" s="64" t="s">
        <v>89</v>
      </c>
      <c r="D41" s="63" t="s">
        <v>120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5"/>
        <v>0.72175785000000003</v>
      </c>
      <c r="I41" s="14">
        <f>F41/6*G41</f>
        <v>120.29297500000001</v>
      </c>
      <c r="J41" s="25"/>
    </row>
    <row r="42" spans="1:14" ht="15.75" hidden="1" customHeight="1">
      <c r="A42" s="102">
        <v>12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5"/>
        <v>0.79437600000000008</v>
      </c>
      <c r="I42" s="14">
        <f>F42/6*G42</f>
        <v>132.39600000000002</v>
      </c>
      <c r="J42" s="25"/>
    </row>
    <row r="43" spans="1:14" ht="15.75" hidden="1" customHeight="1">
      <c r="A43" s="167" t="s">
        <v>136</v>
      </c>
      <c r="B43" s="168"/>
      <c r="C43" s="168"/>
      <c r="D43" s="168"/>
      <c r="E43" s="168"/>
      <c r="F43" s="168"/>
      <c r="G43" s="168"/>
      <c r="H43" s="168"/>
      <c r="I43" s="169"/>
      <c r="J43" s="25"/>
      <c r="L43" s="20"/>
      <c r="M43" s="21"/>
      <c r="N43" s="22"/>
    </row>
    <row r="44" spans="1:14" ht="15.75" hidden="1" customHeight="1">
      <c r="A44" s="58">
        <v>17</v>
      </c>
      <c r="B44" s="63" t="s">
        <v>94</v>
      </c>
      <c r="C44" s="64" t="s">
        <v>89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6">SUM(F44*G44/1000)</f>
        <v>2.8614740699999999</v>
      </c>
      <c r="I44" s="14">
        <f>F44/2*G44</f>
        <v>1430.7370349999999</v>
      </c>
      <c r="J44" s="25"/>
      <c r="L44" s="20"/>
      <c r="M44" s="21"/>
      <c r="N44" s="22"/>
    </row>
    <row r="45" spans="1:14" ht="15.75" hidden="1" customHeight="1">
      <c r="A45" s="58">
        <v>18</v>
      </c>
      <c r="B45" s="63" t="s">
        <v>34</v>
      </c>
      <c r="C45" s="64" t="s">
        <v>89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6"/>
        <v>5.350488047999999</v>
      </c>
      <c r="I45" s="14">
        <f t="shared" ref="I45:I47" si="7">F45/2*G45</f>
        <v>2675.2440239999996</v>
      </c>
      <c r="J45" s="25"/>
      <c r="L45" s="20"/>
      <c r="M45" s="21"/>
      <c r="N45" s="22"/>
    </row>
    <row r="46" spans="1:14" ht="15.75" hidden="1" customHeight="1">
      <c r="A46" s="58">
        <v>19</v>
      </c>
      <c r="B46" s="63" t="s">
        <v>35</v>
      </c>
      <c r="C46" s="64" t="s">
        <v>89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6"/>
        <v>3.8213814159999999</v>
      </c>
      <c r="I46" s="14">
        <f t="shared" si="7"/>
        <v>1910.6907079999999</v>
      </c>
      <c r="J46" s="25"/>
      <c r="L46" s="20"/>
      <c r="M46" s="21"/>
      <c r="N46" s="22"/>
    </row>
    <row r="47" spans="1:14" ht="15.75" hidden="1" customHeight="1">
      <c r="A47" s="58">
        <v>20</v>
      </c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6"/>
        <v>0.15555924799999998</v>
      </c>
      <c r="I47" s="14">
        <f t="shared" si="7"/>
        <v>77.779623999999998</v>
      </c>
      <c r="J47" s="25"/>
      <c r="L47" s="20"/>
      <c r="M47" s="21"/>
      <c r="N47" s="22"/>
    </row>
    <row r="48" spans="1:14" ht="15.75" hidden="1" customHeight="1">
      <c r="A48" s="58">
        <v>21</v>
      </c>
      <c r="B48" s="63" t="s">
        <v>54</v>
      </c>
      <c r="C48" s="64" t="s">
        <v>89</v>
      </c>
      <c r="D48" s="63" t="s">
        <v>146</v>
      </c>
      <c r="E48" s="65">
        <v>3216.2</v>
      </c>
      <c r="F48" s="66">
        <f>SUM(E48*5/1000)</f>
        <v>16.081</v>
      </c>
      <c r="G48" s="14">
        <v>1711.28</v>
      </c>
      <c r="H48" s="67">
        <f t="shared" si="6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95</v>
      </c>
      <c r="C49" s="64" t="s">
        <v>89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6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1.5" hidden="1" customHeight="1">
      <c r="A50" s="58">
        <v>14</v>
      </c>
      <c r="B50" s="63" t="s">
        <v>96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6"/>
        <v>1.2321280000000001</v>
      </c>
      <c r="I50" s="14">
        <f t="shared" ref="I50:I51" si="8">F50/2*G50</f>
        <v>616.06400000000008</v>
      </c>
      <c r="J50" s="25"/>
      <c r="L50" s="20"/>
      <c r="M50" s="21"/>
      <c r="N50" s="22"/>
    </row>
    <row r="51" spans="1:14" ht="15.75" hidden="1" customHeight="1">
      <c r="A51" s="58">
        <v>15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6"/>
        <v>0.1406626</v>
      </c>
      <c r="I51" s="14">
        <f t="shared" si="8"/>
        <v>70.331299999999999</v>
      </c>
      <c r="J51" s="25"/>
      <c r="L51" s="20"/>
      <c r="M51" s="21"/>
      <c r="N51" s="22"/>
    </row>
    <row r="52" spans="1:14" ht="15.75" hidden="1" customHeight="1">
      <c r="A52" s="58">
        <v>22</v>
      </c>
      <c r="B52" s="63" t="s">
        <v>39</v>
      </c>
      <c r="C52" s="64" t="s">
        <v>97</v>
      </c>
      <c r="D52" s="63" t="s">
        <v>65</v>
      </c>
      <c r="E52" s="65">
        <v>128</v>
      </c>
      <c r="F52" s="66">
        <f>SUM(E52)*3</f>
        <v>384</v>
      </c>
      <c r="G52" s="14">
        <v>81.73</v>
      </c>
      <c r="H52" s="67">
        <f t="shared" si="6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67" t="s">
        <v>77</v>
      </c>
      <c r="B53" s="177"/>
      <c r="C53" s="177"/>
      <c r="D53" s="177"/>
      <c r="E53" s="177"/>
      <c r="F53" s="177"/>
      <c r="G53" s="177"/>
      <c r="H53" s="177"/>
      <c r="I53" s="178"/>
      <c r="J53" s="25"/>
      <c r="L53" s="20"/>
      <c r="M53" s="21"/>
      <c r="N53" s="22"/>
    </row>
    <row r="54" spans="1:14" ht="15.75" hidden="1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1.5" hidden="1" customHeight="1">
      <c r="A55" s="58">
        <v>13</v>
      </c>
      <c r="B55" s="63" t="s">
        <v>121</v>
      </c>
      <c r="C55" s="64" t="s">
        <v>79</v>
      </c>
      <c r="D55" s="63" t="s">
        <v>122</v>
      </c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F55/6*G55</f>
        <v>2844.293122</v>
      </c>
      <c r="J55" s="25"/>
      <c r="L55" s="20"/>
      <c r="M55" s="21"/>
      <c r="N55" s="22"/>
    </row>
    <row r="56" spans="1:14" ht="15.75" hidden="1" customHeight="1">
      <c r="A56" s="59">
        <v>17</v>
      </c>
      <c r="B56" s="76" t="s">
        <v>123</v>
      </c>
      <c r="C56" s="75" t="s">
        <v>124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f>G56</f>
        <v>1501</v>
      </c>
      <c r="J56" s="25"/>
      <c r="L56" s="20"/>
      <c r="M56" s="21"/>
      <c r="N56" s="22"/>
    </row>
    <row r="57" spans="1:14" ht="15.75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15.75" hidden="1" customHeight="1">
      <c r="A58" s="59"/>
      <c r="B58" s="76" t="s">
        <v>134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133</v>
      </c>
      <c r="I59" s="14"/>
      <c r="J59" s="25"/>
      <c r="L59" s="20"/>
      <c r="M59" s="21"/>
      <c r="N59" s="22"/>
    </row>
    <row r="60" spans="1:14" ht="15.75" hidden="1" customHeight="1">
      <c r="A60" s="17"/>
      <c r="B60" s="15" t="s">
        <v>44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9" si="9">SUM(F60*G60/1000)</f>
        <v>2.7674000000000003</v>
      </c>
      <c r="I60" s="14">
        <v>0</v>
      </c>
      <c r="J60" s="25"/>
      <c r="L60" s="20"/>
    </row>
    <row r="61" spans="1:14" ht="15.75" hidden="1" customHeight="1">
      <c r="A61" s="17"/>
      <c r="B61" s="15" t="s">
        <v>45</v>
      </c>
      <c r="C61" s="17" t="s">
        <v>97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9"/>
        <v>0.94889999999999997</v>
      </c>
      <c r="I61" s="14">
        <v>0</v>
      </c>
      <c r="J61" s="25"/>
      <c r="L61" s="20"/>
    </row>
    <row r="62" spans="1:14" ht="15.75" customHeight="1">
      <c r="A62" s="17">
        <v>7</v>
      </c>
      <c r="B62" s="15" t="s">
        <v>46</v>
      </c>
      <c r="C62" s="17" t="s">
        <v>98</v>
      </c>
      <c r="D62" s="15"/>
      <c r="E62" s="109">
        <v>13447</v>
      </c>
      <c r="F62" s="66">
        <f>SUM(E62/100)</f>
        <v>134.47</v>
      </c>
      <c r="G62" s="111">
        <v>263.99</v>
      </c>
      <c r="H62" s="62">
        <f t="shared" si="9"/>
        <v>35.4987353</v>
      </c>
      <c r="I62" s="14">
        <f>F62*G62</f>
        <v>35498.7353</v>
      </c>
      <c r="J62" s="25"/>
      <c r="L62" s="20"/>
    </row>
    <row r="63" spans="1:14" ht="15.75" customHeight="1">
      <c r="A63" s="17">
        <v>8</v>
      </c>
      <c r="B63" s="15" t="s">
        <v>47</v>
      </c>
      <c r="C63" s="17" t="s">
        <v>99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9"/>
        <v>2.7642997899999995</v>
      </c>
      <c r="I63" s="14">
        <f t="shared" ref="I63:I66" si="10">F63*G63</f>
        <v>2764.2997899999996</v>
      </c>
    </row>
    <row r="64" spans="1:14" ht="15.75" customHeight="1">
      <c r="A64" s="17">
        <v>9</v>
      </c>
      <c r="B64" s="15" t="s">
        <v>48</v>
      </c>
      <c r="C64" s="17" t="s">
        <v>71</v>
      </c>
      <c r="D64" s="15"/>
      <c r="E64" s="109">
        <v>2200</v>
      </c>
      <c r="F64" s="66">
        <f>SUM(E64/100)</f>
        <v>22</v>
      </c>
      <c r="G64" s="111">
        <v>2581.5300000000002</v>
      </c>
      <c r="H64" s="62">
        <f t="shared" si="9"/>
        <v>56.793660000000003</v>
      </c>
      <c r="I64" s="14">
        <f t="shared" si="10"/>
        <v>56793.66</v>
      </c>
    </row>
    <row r="65" spans="1:22" ht="15.75" customHeight="1">
      <c r="A65" s="17">
        <v>10</v>
      </c>
      <c r="B65" s="80" t="s">
        <v>100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9"/>
        <v>0.57414500000000002</v>
      </c>
      <c r="I65" s="14">
        <f t="shared" si="10"/>
        <v>574.14499999999998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customHeight="1">
      <c r="A66" s="17">
        <v>11</v>
      </c>
      <c r="B66" s="80" t="s">
        <v>101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9"/>
        <v>0.535667</v>
      </c>
      <c r="I66" s="14">
        <f t="shared" si="10"/>
        <v>535.66700000000003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5.7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9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/>
      <c r="B68" s="149" t="s">
        <v>175</v>
      </c>
      <c r="C68" s="17"/>
      <c r="D68" s="15"/>
      <c r="E68" s="108"/>
      <c r="F68" s="129"/>
      <c r="G68" s="111"/>
      <c r="H68" s="62"/>
      <c r="I68" s="14"/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12</v>
      </c>
      <c r="B69" s="15" t="s">
        <v>125</v>
      </c>
      <c r="C69" s="31" t="s">
        <v>126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9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93" t="s">
        <v>66</v>
      </c>
      <c r="C70" s="17"/>
      <c r="D70" s="15"/>
      <c r="E70" s="19"/>
      <c r="F70" s="14"/>
      <c r="G70" s="14"/>
      <c r="H70" s="62" t="s">
        <v>133</v>
      </c>
      <c r="I70" s="14"/>
      <c r="J70" s="6"/>
      <c r="K70" s="6"/>
      <c r="L70" s="6"/>
      <c r="M70" s="6"/>
      <c r="N70" s="6"/>
      <c r="O70" s="6"/>
      <c r="P70" s="6"/>
      <c r="Q70" s="6"/>
      <c r="R70" s="157"/>
      <c r="S70" s="157"/>
      <c r="T70" s="157"/>
      <c r="U70" s="157"/>
    </row>
    <row r="71" spans="1:22" ht="15.75" hidden="1" customHeight="1">
      <c r="A71" s="17"/>
      <c r="B71" s="15" t="s">
        <v>127</v>
      </c>
      <c r="C71" s="17" t="s">
        <v>128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11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104</v>
      </c>
      <c r="C72" s="17" t="s">
        <v>129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11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11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11"/>
        <v>1.0614100000000002</v>
      </c>
      <c r="I74" s="14">
        <v>0</v>
      </c>
    </row>
    <row r="75" spans="1:22" ht="15.75" hidden="1" customHeight="1">
      <c r="A75" s="17"/>
      <c r="B75" s="15" t="s">
        <v>130</v>
      </c>
      <c r="C75" s="17" t="s">
        <v>128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11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133</v>
      </c>
      <c r="H76" s="62" t="s">
        <v>133</v>
      </c>
      <c r="I76" s="14"/>
    </row>
    <row r="77" spans="1:22" ht="15.75" hidden="1" customHeight="1">
      <c r="A77" s="17"/>
      <c r="B77" s="43" t="s">
        <v>105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12">SUM(F77*G77/1000)</f>
        <v>0.34336800000000001</v>
      </c>
      <c r="I77" s="14">
        <v>0</v>
      </c>
    </row>
    <row r="78" spans="1:22" ht="15.75" hidden="1" customHeight="1">
      <c r="A78" s="105"/>
      <c r="B78" s="95" t="s">
        <v>102</v>
      </c>
      <c r="C78" s="82"/>
      <c r="D78" s="33"/>
      <c r="E78" s="34"/>
      <c r="F78" s="72"/>
      <c r="G78" s="72"/>
      <c r="H78" s="83">
        <f>SUM(H55:H77)</f>
        <v>219.17093482199999</v>
      </c>
      <c r="I78" s="72"/>
    </row>
    <row r="79" spans="1:22" ht="15.75" hidden="1" customHeight="1">
      <c r="A79" s="17"/>
      <c r="B79" s="63" t="s">
        <v>103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v>0</v>
      </c>
    </row>
    <row r="80" spans="1:22" ht="15.75" customHeight="1">
      <c r="A80" s="167" t="s">
        <v>143</v>
      </c>
      <c r="B80" s="177"/>
      <c r="C80" s="177"/>
      <c r="D80" s="177"/>
      <c r="E80" s="177"/>
      <c r="F80" s="177"/>
      <c r="G80" s="177"/>
      <c r="H80" s="177"/>
      <c r="I80" s="178"/>
    </row>
    <row r="81" spans="1:9" ht="15.75" customHeight="1">
      <c r="A81" s="17">
        <v>13</v>
      </c>
      <c r="B81" s="63" t="s">
        <v>106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14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I82+I81+I69+I66+I65+I64+I63+I62+I31+I30+I19+I18+I17+I16</f>
        <v>132869.54479333336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15.75" customHeight="1">
      <c r="A85" s="115">
        <v>15</v>
      </c>
      <c r="B85" s="130" t="s">
        <v>155</v>
      </c>
      <c r="C85" s="131" t="s">
        <v>156</v>
      </c>
      <c r="D85" s="147"/>
      <c r="E85" s="148"/>
      <c r="F85" s="148">
        <v>2</v>
      </c>
      <c r="G85" s="136">
        <v>1.4</v>
      </c>
      <c r="H85" s="62">
        <f t="shared" ref="H85" si="13">G85*F85/1000</f>
        <v>2.8E-3</v>
      </c>
      <c r="I85" s="114">
        <f>G85*100</f>
        <v>140</v>
      </c>
    </row>
    <row r="86" spans="1:9" ht="26.25" customHeight="1">
      <c r="A86" s="115">
        <v>16</v>
      </c>
      <c r="B86" s="122" t="s">
        <v>226</v>
      </c>
      <c r="C86" s="123" t="s">
        <v>28</v>
      </c>
      <c r="D86" s="124"/>
      <c r="E86" s="18"/>
      <c r="F86" s="125">
        <f>1.28+1.28+1.28</f>
        <v>3.84</v>
      </c>
      <c r="G86" s="125">
        <v>241.69</v>
      </c>
      <c r="H86" s="62"/>
      <c r="I86" s="114">
        <f>G86*2.56</f>
        <v>618.72640000000001</v>
      </c>
    </row>
    <row r="87" spans="1:9" ht="15.75" customHeight="1">
      <c r="A87" s="115">
        <v>17</v>
      </c>
      <c r="B87" s="122" t="s">
        <v>224</v>
      </c>
      <c r="C87" s="123" t="s">
        <v>195</v>
      </c>
      <c r="D87" s="124" t="s">
        <v>231</v>
      </c>
      <c r="E87" s="18"/>
      <c r="F87" s="125">
        <v>2</v>
      </c>
      <c r="G87" s="125">
        <v>231.54</v>
      </c>
      <c r="H87" s="62"/>
      <c r="I87" s="114">
        <f>G87*1</f>
        <v>231.54</v>
      </c>
    </row>
    <row r="88" spans="1:9" ht="15.75" customHeight="1">
      <c r="A88" s="115">
        <v>18</v>
      </c>
      <c r="B88" s="122" t="s">
        <v>222</v>
      </c>
      <c r="C88" s="123" t="s">
        <v>38</v>
      </c>
      <c r="D88" s="124" t="s">
        <v>170</v>
      </c>
      <c r="E88" s="18"/>
      <c r="F88" s="125">
        <v>0.02</v>
      </c>
      <c r="G88" s="125">
        <v>28224.75</v>
      </c>
      <c r="H88" s="62"/>
      <c r="I88" s="114">
        <v>0</v>
      </c>
    </row>
    <row r="89" spans="1:9" ht="38.25" customHeight="1">
      <c r="A89" s="115">
        <v>19</v>
      </c>
      <c r="B89" s="122" t="s">
        <v>230</v>
      </c>
      <c r="C89" s="123" t="s">
        <v>181</v>
      </c>
      <c r="D89" s="124" t="s">
        <v>232</v>
      </c>
      <c r="E89" s="18"/>
      <c r="F89" s="125">
        <v>0.5</v>
      </c>
      <c r="G89" s="125">
        <v>1478.55</v>
      </c>
      <c r="H89" s="62"/>
      <c r="I89" s="114">
        <f>G89*0.5</f>
        <v>739.27499999999998</v>
      </c>
    </row>
    <row r="90" spans="1:9" ht="33" customHeight="1">
      <c r="A90" s="115">
        <v>20</v>
      </c>
      <c r="B90" s="122" t="s">
        <v>160</v>
      </c>
      <c r="C90" s="123" t="s">
        <v>36</v>
      </c>
      <c r="D90" s="124" t="s">
        <v>189</v>
      </c>
      <c r="E90" s="18"/>
      <c r="F90" s="125">
        <v>0.04</v>
      </c>
      <c r="G90" s="125">
        <v>4233.72</v>
      </c>
      <c r="H90" s="62"/>
      <c r="I90" s="114">
        <v>0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SUM(I85:I90)</f>
        <v>1729.5414000000001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147</v>
      </c>
      <c r="C93" s="35"/>
      <c r="D93" s="35"/>
      <c r="E93" s="35"/>
      <c r="F93" s="35"/>
      <c r="G93" s="35"/>
      <c r="H93" s="35"/>
      <c r="I93" s="40">
        <f>I83+I91</f>
        <v>134599.08619333335</v>
      </c>
    </row>
    <row r="94" spans="1:9" ht="15.75" customHeight="1">
      <c r="A94" s="158" t="s">
        <v>233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 customHeight="1">
      <c r="A95" s="53"/>
      <c r="B95" s="183" t="s">
        <v>234</v>
      </c>
      <c r="C95" s="183"/>
      <c r="D95" s="183"/>
      <c r="E95" s="183"/>
      <c r="F95" s="183"/>
      <c r="G95" s="183"/>
      <c r="H95" s="57"/>
      <c r="I95" s="4"/>
    </row>
    <row r="96" spans="1:9" ht="15.75" customHeight="1">
      <c r="A96" s="91"/>
      <c r="B96" s="180" t="s">
        <v>6</v>
      </c>
      <c r="C96" s="180"/>
      <c r="D96" s="180"/>
      <c r="E96" s="180"/>
      <c r="F96" s="180"/>
      <c r="G96" s="180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5" t="s">
        <v>59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92" t="s">
        <v>10</v>
      </c>
      <c r="C104" s="179" t="s">
        <v>186</v>
      </c>
      <c r="D104" s="179"/>
      <c r="E104" s="179"/>
      <c r="F104" s="55"/>
      <c r="I104" s="90"/>
    </row>
    <row r="105" spans="1:9" ht="15.75" customHeight="1">
      <c r="A105" s="91"/>
      <c r="C105" s="180" t="s">
        <v>11</v>
      </c>
      <c r="D105" s="180"/>
      <c r="E105" s="180"/>
      <c r="F105" s="26"/>
      <c r="I105" s="89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92" t="s">
        <v>13</v>
      </c>
      <c r="C107" s="181"/>
      <c r="D107" s="181"/>
      <c r="E107" s="181"/>
      <c r="F107" s="56"/>
      <c r="I107" s="90"/>
    </row>
    <row r="108" spans="1:9" ht="15.75" customHeight="1">
      <c r="A108" s="91"/>
      <c r="C108" s="157" t="s">
        <v>11</v>
      </c>
      <c r="D108" s="157"/>
      <c r="E108" s="157"/>
      <c r="F108" s="91"/>
      <c r="I108" s="89" t="s">
        <v>12</v>
      </c>
    </row>
    <row r="109" spans="1:9" ht="15.75" customHeight="1">
      <c r="A109" s="5" t="s">
        <v>14</v>
      </c>
    </row>
    <row r="110" spans="1:9" ht="15" customHeight="1">
      <c r="A110" s="182" t="s">
        <v>15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4:I63"/>
  <mergeCells count="29">
    <mergeCell ref="A110:I110"/>
    <mergeCell ref="A111:I111"/>
    <mergeCell ref="A112:I112"/>
    <mergeCell ref="A113:I113"/>
    <mergeCell ref="A114:I114"/>
    <mergeCell ref="R70:U70"/>
    <mergeCell ref="C108:E108"/>
    <mergeCell ref="A84:I84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0:I80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3:I5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4"/>
  <sheetViews>
    <sheetView topLeftCell="A52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148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235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44408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customHeight="1">
      <c r="A20" s="58">
        <v>4</v>
      </c>
      <c r="B20" s="63" t="s">
        <v>83</v>
      </c>
      <c r="C20" s="64" t="s">
        <v>79</v>
      </c>
      <c r="D20" s="63" t="s">
        <v>170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>G20*F20/2</f>
        <v>28.467600000000001</v>
      </c>
      <c r="J20" s="24"/>
      <c r="K20" s="9"/>
      <c r="L20" s="9"/>
      <c r="M20" s="9"/>
    </row>
    <row r="21" spans="1:13" ht="15.75" customHeight="1">
      <c r="A21" s="58">
        <v>5</v>
      </c>
      <c r="B21" s="63" t="s">
        <v>84</v>
      </c>
      <c r="C21" s="64" t="s">
        <v>79</v>
      </c>
      <c r="D21" s="63" t="s">
        <v>170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f>G21*F21/2</f>
        <v>7.2608400000000008</v>
      </c>
      <c r="J21" s="24"/>
      <c r="K21" s="9"/>
      <c r="L21" s="9"/>
      <c r="M21" s="9"/>
    </row>
    <row r="22" spans="1:13" ht="15.75" customHeight="1">
      <c r="A22" s="58">
        <v>6</v>
      </c>
      <c r="B22" s="63" t="s">
        <v>85</v>
      </c>
      <c r="C22" s="64" t="s">
        <v>50</v>
      </c>
      <c r="D22" s="63" t="s">
        <v>170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f>G22*F22</f>
        <v>1196.1285</v>
      </c>
      <c r="J22" s="24"/>
      <c r="K22" s="9"/>
      <c r="L22" s="9"/>
      <c r="M22" s="9"/>
    </row>
    <row r="23" spans="1:13" ht="15.75" customHeight="1">
      <c r="A23" s="58">
        <v>7</v>
      </c>
      <c r="B23" s="63" t="s">
        <v>86</v>
      </c>
      <c r="C23" s="64" t="s">
        <v>50</v>
      </c>
      <c r="D23" s="63" t="s">
        <v>170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f>G23*F23</f>
        <v>21.290640000000003</v>
      </c>
      <c r="J23" s="24"/>
      <c r="K23" s="9"/>
      <c r="L23" s="9"/>
      <c r="M23" s="9"/>
    </row>
    <row r="24" spans="1:13" ht="15.75" customHeight="1">
      <c r="A24" s="58">
        <v>8</v>
      </c>
      <c r="B24" s="63" t="s">
        <v>87</v>
      </c>
      <c r="C24" s="64" t="s">
        <v>50</v>
      </c>
      <c r="D24" s="69" t="s">
        <v>170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f>G24*F24</f>
        <v>72.741</v>
      </c>
      <c r="J24" s="24"/>
      <c r="K24" s="9"/>
      <c r="L24" s="9"/>
      <c r="M24" s="9"/>
    </row>
    <row r="25" spans="1:13" ht="15.75" customHeight="1">
      <c r="A25" s="58">
        <v>9</v>
      </c>
      <c r="B25" s="63" t="s">
        <v>113</v>
      </c>
      <c r="C25" s="64" t="s">
        <v>50</v>
      </c>
      <c r="D25" s="63" t="s">
        <v>170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f>G25*F25</f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10</v>
      </c>
      <c r="B29" s="63" t="s">
        <v>88</v>
      </c>
      <c r="C29" s="64" t="s">
        <v>89</v>
      </c>
      <c r="D29" s="63" t="s">
        <v>163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3" si="2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11</v>
      </c>
      <c r="B30" s="63" t="s">
        <v>145</v>
      </c>
      <c r="C30" s="64" t="s">
        <v>89</v>
      </c>
      <c r="D30" s="63" t="s">
        <v>162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f t="shared" ref="I30" si="3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2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132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2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4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78</v>
      </c>
      <c r="C36" s="64" t="s">
        <v>28</v>
      </c>
      <c r="D36" s="63" t="s">
        <v>91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116</v>
      </c>
      <c r="C37" s="64" t="s">
        <v>28</v>
      </c>
      <c r="D37" s="63" t="s">
        <v>92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117</v>
      </c>
      <c r="C38" s="64" t="s">
        <v>118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75</v>
      </c>
      <c r="C39" s="64" t="s">
        <v>28</v>
      </c>
      <c r="D39" s="63" t="s">
        <v>119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4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93</v>
      </c>
      <c r="C40" s="64" t="s">
        <v>89</v>
      </c>
      <c r="D40" s="63" t="s">
        <v>120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4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4"/>
        <v>0.79437600000000008</v>
      </c>
      <c r="I41" s="14">
        <f>F41/6*G41</f>
        <v>132.39600000000002</v>
      </c>
      <c r="J41" s="25"/>
    </row>
    <row r="42" spans="1:14" ht="15.75" hidden="1" customHeight="1">
      <c r="A42" s="167" t="s">
        <v>136</v>
      </c>
      <c r="B42" s="168"/>
      <c r="C42" s="168"/>
      <c r="D42" s="168"/>
      <c r="E42" s="168"/>
      <c r="F42" s="168"/>
      <c r="G42" s="168"/>
      <c r="H42" s="168"/>
      <c r="I42" s="169"/>
      <c r="J42" s="25"/>
      <c r="L42" s="20"/>
      <c r="M42" s="21"/>
      <c r="N42" s="22"/>
    </row>
    <row r="43" spans="1:14" ht="15.75" hidden="1" customHeight="1">
      <c r="A43" s="58">
        <v>17</v>
      </c>
      <c r="B43" s="63" t="s">
        <v>94</v>
      </c>
      <c r="C43" s="64" t="s">
        <v>89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5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hidden="1" customHeight="1">
      <c r="A44" s="58">
        <v>18</v>
      </c>
      <c r="B44" s="63" t="s">
        <v>34</v>
      </c>
      <c r="C44" s="64" t="s">
        <v>89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5"/>
        <v>5.350488047999999</v>
      </c>
      <c r="I44" s="14">
        <f t="shared" ref="I44:I46" si="6">F44/2*G44</f>
        <v>2675.2440239999996</v>
      </c>
      <c r="J44" s="25"/>
      <c r="L44" s="20"/>
      <c r="M44" s="21"/>
      <c r="N44" s="22"/>
    </row>
    <row r="45" spans="1:14" ht="15.75" hidden="1" customHeight="1">
      <c r="A45" s="58">
        <v>19</v>
      </c>
      <c r="B45" s="63" t="s">
        <v>35</v>
      </c>
      <c r="C45" s="64" t="s">
        <v>89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5"/>
        <v>3.8213814159999999</v>
      </c>
      <c r="I45" s="14">
        <f t="shared" si="6"/>
        <v>1910.6907079999999</v>
      </c>
      <c r="J45" s="25"/>
      <c r="L45" s="20"/>
      <c r="M45" s="21"/>
      <c r="N45" s="22"/>
    </row>
    <row r="46" spans="1:14" ht="15.75" hidden="1" customHeight="1">
      <c r="A46" s="58">
        <v>20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5"/>
        <v>0.15555924799999998</v>
      </c>
      <c r="I46" s="14">
        <f t="shared" si="6"/>
        <v>77.779623999999998</v>
      </c>
      <c r="J46" s="25"/>
      <c r="L46" s="20"/>
      <c r="M46" s="21"/>
      <c r="N46" s="22"/>
    </row>
    <row r="47" spans="1:14" ht="15.75" hidden="1" customHeight="1">
      <c r="A47" s="58">
        <v>21</v>
      </c>
      <c r="B47" s="63" t="s">
        <v>54</v>
      </c>
      <c r="C47" s="64" t="s">
        <v>89</v>
      </c>
      <c r="D47" s="63" t="s">
        <v>146</v>
      </c>
      <c r="E47" s="65">
        <v>3216.2</v>
      </c>
      <c r="F47" s="66">
        <f>SUM(E47*5/1000)</f>
        <v>16.081</v>
      </c>
      <c r="G47" s="14">
        <v>1711.28</v>
      </c>
      <c r="H47" s="67">
        <f t="shared" si="5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hidden="1" customHeight="1">
      <c r="A48" s="58">
        <v>13</v>
      </c>
      <c r="B48" s="63" t="s">
        <v>95</v>
      </c>
      <c r="C48" s="64" t="s">
        <v>89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5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hidden="1" customHeight="1">
      <c r="A49" s="58">
        <v>14</v>
      </c>
      <c r="B49" s="63" t="s">
        <v>96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5"/>
        <v>1.2321280000000001</v>
      </c>
      <c r="I49" s="14">
        <f t="shared" ref="I49:I50" si="7">F49/2*G49</f>
        <v>616.06400000000008</v>
      </c>
      <c r="J49" s="25"/>
      <c r="L49" s="20"/>
      <c r="M49" s="21"/>
      <c r="N49" s="22"/>
    </row>
    <row r="50" spans="1:22" ht="15.75" hidden="1" customHeight="1">
      <c r="A50" s="58">
        <v>15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5"/>
        <v>0.1406626</v>
      </c>
      <c r="I50" s="14">
        <f t="shared" si="7"/>
        <v>70.331299999999999</v>
      </c>
      <c r="J50" s="25"/>
      <c r="L50" s="20"/>
      <c r="M50" s="21"/>
      <c r="N50" s="22"/>
    </row>
    <row r="51" spans="1:22" ht="15.75" hidden="1" customHeight="1">
      <c r="A51" s="58">
        <v>22</v>
      </c>
      <c r="B51" s="63" t="s">
        <v>39</v>
      </c>
      <c r="C51" s="64" t="s">
        <v>97</v>
      </c>
      <c r="D51" s="63" t="s">
        <v>65</v>
      </c>
      <c r="E51" s="65">
        <v>128</v>
      </c>
      <c r="F51" s="66">
        <f>SUM(E51)*3</f>
        <v>384</v>
      </c>
      <c r="G51" s="14">
        <v>81.73</v>
      </c>
      <c r="H51" s="67">
        <f t="shared" si="5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67" t="s">
        <v>77</v>
      </c>
      <c r="B52" s="177"/>
      <c r="C52" s="177"/>
      <c r="D52" s="177"/>
      <c r="E52" s="177"/>
      <c r="F52" s="177"/>
      <c r="G52" s="177"/>
      <c r="H52" s="177"/>
      <c r="I52" s="178"/>
      <c r="J52" s="25"/>
      <c r="L52" s="20"/>
      <c r="M52" s="21"/>
      <c r="N52" s="22"/>
    </row>
    <row r="53" spans="1:22" ht="18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26.25" hidden="1" customHeight="1">
      <c r="A54" s="58">
        <v>13</v>
      </c>
      <c r="B54" s="63" t="s">
        <v>121</v>
      </c>
      <c r="C54" s="64" t="s">
        <v>79</v>
      </c>
      <c r="D54" s="63" t="s">
        <v>122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8.75" hidden="1" customHeight="1">
      <c r="A55" s="59">
        <v>9</v>
      </c>
      <c r="B55" s="76" t="s">
        <v>123</v>
      </c>
      <c r="C55" s="75" t="s">
        <v>124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27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26.25" hidden="1" customHeight="1">
      <c r="A57" s="59"/>
      <c r="B57" s="76" t="s">
        <v>134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hidden="1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133</v>
      </c>
      <c r="I58" s="14"/>
      <c r="J58" s="25"/>
      <c r="L58" s="20"/>
      <c r="M58" s="21"/>
      <c r="N58" s="22"/>
    </row>
    <row r="59" spans="1:22" ht="15.75" hidden="1" customHeight="1">
      <c r="A59" s="17">
        <v>7</v>
      </c>
      <c r="B59" s="15" t="s">
        <v>44</v>
      </c>
      <c r="C59" s="17" t="s">
        <v>97</v>
      </c>
      <c r="D59" s="15" t="s">
        <v>173</v>
      </c>
      <c r="E59" s="108">
        <v>10</v>
      </c>
      <c r="F59" s="66">
        <f>E59</f>
        <v>10</v>
      </c>
      <c r="G59" s="111">
        <v>276.74</v>
      </c>
      <c r="H59" s="62">
        <f t="shared" ref="H59:H68" si="8">SUM(F59*G59/1000)</f>
        <v>2.7674000000000003</v>
      </c>
      <c r="I59" s="14">
        <f>G59*3</f>
        <v>830.22</v>
      </c>
      <c r="J59" s="25"/>
      <c r="L59" s="20"/>
    </row>
    <row r="60" spans="1:22" ht="15.75" hidden="1" customHeight="1">
      <c r="A60" s="17"/>
      <c r="B60" s="15" t="s">
        <v>45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8"/>
        <v>0.94889999999999997</v>
      </c>
      <c r="I60" s="14">
        <v>0</v>
      </c>
      <c r="J60" s="25"/>
      <c r="L60" s="20"/>
    </row>
    <row r="61" spans="1:22" ht="15.75" hidden="1" customHeight="1">
      <c r="A61" s="17">
        <v>7</v>
      </c>
      <c r="B61" s="15" t="s">
        <v>46</v>
      </c>
      <c r="C61" s="17" t="s">
        <v>98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8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8</v>
      </c>
      <c r="B62" s="15" t="s">
        <v>47</v>
      </c>
      <c r="C62" s="17" t="s">
        <v>99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8"/>
        <v>2.7642997899999995</v>
      </c>
      <c r="I62" s="14">
        <f t="shared" ref="I62:I65" si="9">F62*G62</f>
        <v>2764.2997899999996</v>
      </c>
    </row>
    <row r="63" spans="1:22" ht="15.75" hidden="1" customHeight="1">
      <c r="A63" s="17">
        <v>9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8"/>
        <v>56.793660000000003</v>
      </c>
      <c r="I63" s="14">
        <f t="shared" si="9"/>
        <v>56793.66</v>
      </c>
    </row>
    <row r="64" spans="1:22" ht="15.75" hidden="1" customHeight="1">
      <c r="A64" s="17">
        <v>10</v>
      </c>
      <c r="B64" s="80" t="s">
        <v>100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8"/>
        <v>0.57414500000000002</v>
      </c>
      <c r="I64" s="14">
        <f t="shared" si="9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11</v>
      </c>
      <c r="B65" s="80" t="s">
        <v>101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8"/>
        <v>0.535667</v>
      </c>
      <c r="I65" s="14">
        <f t="shared" si="9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8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/>
      <c r="B67" s="33" t="s">
        <v>175</v>
      </c>
      <c r="C67" s="17"/>
      <c r="D67" s="15"/>
      <c r="E67" s="108"/>
      <c r="F67" s="129"/>
      <c r="G67" s="111"/>
      <c r="H67" s="62"/>
      <c r="I67" s="14"/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customHeight="1">
      <c r="A68" s="17">
        <v>12</v>
      </c>
      <c r="B68" s="15" t="s">
        <v>125</v>
      </c>
      <c r="C68" s="31" t="s">
        <v>126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8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1" ht="15.75" hidden="1" customHeight="1">
      <c r="A69" s="105"/>
      <c r="B69" s="98" t="s">
        <v>66</v>
      </c>
      <c r="C69" s="17"/>
      <c r="D69" s="15"/>
      <c r="E69" s="19"/>
      <c r="F69" s="14"/>
      <c r="G69" s="14"/>
      <c r="H69" s="62" t="s">
        <v>133</v>
      </c>
      <c r="I69" s="14"/>
      <c r="J69" s="6"/>
      <c r="K69" s="6"/>
      <c r="L69" s="6"/>
      <c r="M69" s="6"/>
      <c r="N69" s="6"/>
      <c r="O69" s="6"/>
      <c r="P69" s="6"/>
      <c r="Q69" s="6"/>
      <c r="R69" s="157"/>
      <c r="S69" s="157"/>
      <c r="T69" s="157"/>
      <c r="U69" s="157"/>
    </row>
    <row r="70" spans="1:21" ht="15.75" hidden="1" customHeight="1">
      <c r="A70" s="17"/>
      <c r="B70" s="15" t="s">
        <v>127</v>
      </c>
      <c r="C70" s="17" t="s">
        <v>128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10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15.75" hidden="1" customHeight="1">
      <c r="A71" s="17"/>
      <c r="B71" s="15" t="s">
        <v>104</v>
      </c>
      <c r="C71" s="17" t="s">
        <v>129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10"/>
        <v>0.73499999999999999</v>
      </c>
      <c r="I71" s="14">
        <v>0</v>
      </c>
    </row>
    <row r="72" spans="1:21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10"/>
        <v>0.249668</v>
      </c>
      <c r="I72" s="14">
        <v>0</v>
      </c>
    </row>
    <row r="73" spans="1:21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10"/>
        <v>1.0614100000000002</v>
      </c>
      <c r="I73" s="14">
        <v>0</v>
      </c>
    </row>
    <row r="74" spans="1:21" ht="15.75" hidden="1" customHeight="1">
      <c r="A74" s="17"/>
      <c r="B74" s="15" t="s">
        <v>130</v>
      </c>
      <c r="C74" s="17" t="s">
        <v>128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10"/>
        <v>0.97609999999999997</v>
      </c>
      <c r="I74" s="14">
        <v>0</v>
      </c>
    </row>
    <row r="75" spans="1:21" ht="15.75" hidden="1" customHeight="1">
      <c r="A75" s="105"/>
      <c r="B75" s="106" t="s">
        <v>70</v>
      </c>
      <c r="C75" s="17"/>
      <c r="D75" s="15"/>
      <c r="E75" s="19"/>
      <c r="F75" s="14"/>
      <c r="G75" s="14" t="s">
        <v>133</v>
      </c>
      <c r="H75" s="62" t="s">
        <v>133</v>
      </c>
      <c r="I75" s="14"/>
    </row>
    <row r="76" spans="1:21" ht="15.75" hidden="1" customHeight="1">
      <c r="A76" s="17"/>
      <c r="B76" s="43" t="s">
        <v>105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11">SUM(F76*G76/1000)</f>
        <v>0.34336800000000001</v>
      </c>
      <c r="I76" s="14">
        <v>0</v>
      </c>
    </row>
    <row r="77" spans="1:21" ht="22.5" hidden="1" customHeight="1">
      <c r="A77" s="105"/>
      <c r="B77" s="95" t="s">
        <v>102</v>
      </c>
      <c r="C77" s="82"/>
      <c r="D77" s="33"/>
      <c r="E77" s="34"/>
      <c r="F77" s="72"/>
      <c r="G77" s="72"/>
      <c r="H77" s="83">
        <f>SUM(H54:H76)</f>
        <v>219.17093482199999</v>
      </c>
      <c r="I77" s="72"/>
    </row>
    <row r="78" spans="1:21" ht="18.75" hidden="1" customHeight="1">
      <c r="A78" s="17">
        <v>11</v>
      </c>
      <c r="B78" s="63" t="s">
        <v>103</v>
      </c>
      <c r="C78" s="17"/>
      <c r="D78" s="15"/>
      <c r="E78" s="84"/>
      <c r="F78" s="14">
        <v>1</v>
      </c>
      <c r="G78" s="14">
        <v>4166</v>
      </c>
      <c r="H78" s="62">
        <f>G78*F78/1000</f>
        <v>4.1660000000000004</v>
      </c>
      <c r="I78" s="14">
        <v>4166</v>
      </c>
    </row>
    <row r="79" spans="1:21" ht="15.75" customHeight="1">
      <c r="A79" s="167" t="s">
        <v>143</v>
      </c>
      <c r="B79" s="177"/>
      <c r="C79" s="177"/>
      <c r="D79" s="177"/>
      <c r="E79" s="177"/>
      <c r="F79" s="177"/>
      <c r="G79" s="177"/>
      <c r="H79" s="177"/>
      <c r="I79" s="178"/>
    </row>
    <row r="80" spans="1:21" ht="15.75" customHeight="1">
      <c r="A80" s="17">
        <v>13</v>
      </c>
      <c r="B80" s="63" t="s">
        <v>106</v>
      </c>
      <c r="C80" s="17" t="s">
        <v>52</v>
      </c>
      <c r="D80" s="85" t="s">
        <v>53</v>
      </c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14</v>
      </c>
      <c r="B81" s="15" t="s">
        <v>72</v>
      </c>
      <c r="C81" s="17"/>
      <c r="D81" s="85" t="s">
        <v>53</v>
      </c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I81+I80+I68+I30+I29+I25+I24+I23+I22+I21+I20+I18+I17+I16</f>
        <v>37223.311873333332</v>
      </c>
    </row>
    <row r="83" spans="1:9" ht="15.75" customHeight="1">
      <c r="A83" s="173" t="s">
        <v>58</v>
      </c>
      <c r="B83" s="174"/>
      <c r="C83" s="174"/>
      <c r="D83" s="174"/>
      <c r="E83" s="174"/>
      <c r="F83" s="174"/>
      <c r="G83" s="174"/>
      <c r="H83" s="174"/>
      <c r="I83" s="175"/>
    </row>
    <row r="84" spans="1:9" ht="15.75" customHeight="1">
      <c r="A84" s="115">
        <v>15</v>
      </c>
      <c r="B84" s="130" t="s">
        <v>155</v>
      </c>
      <c r="C84" s="131" t="s">
        <v>156</v>
      </c>
      <c r="D84" s="147"/>
      <c r="E84" s="148"/>
      <c r="F84" s="148">
        <v>2</v>
      </c>
      <c r="G84" s="136">
        <v>1.4</v>
      </c>
      <c r="H84" s="62">
        <f t="shared" ref="H84" si="12">G84*F84/1000</f>
        <v>2.8E-3</v>
      </c>
      <c r="I84" s="114">
        <f>G84*100</f>
        <v>140</v>
      </c>
    </row>
    <row r="85" spans="1:9" ht="15.75" customHeight="1">
      <c r="A85" s="115">
        <v>16</v>
      </c>
      <c r="B85" s="122" t="s">
        <v>236</v>
      </c>
      <c r="C85" s="123" t="s">
        <v>28</v>
      </c>
      <c r="D85" s="124"/>
      <c r="E85" s="18"/>
      <c r="F85" s="125">
        <v>0.2</v>
      </c>
      <c r="G85" s="125">
        <v>4683.09</v>
      </c>
      <c r="H85" s="62"/>
      <c r="I85" s="114">
        <f>G85*0.2</f>
        <v>936.61800000000005</v>
      </c>
    </row>
    <row r="86" spans="1:9" ht="15.75" customHeight="1">
      <c r="A86" s="115">
        <v>17</v>
      </c>
      <c r="B86" s="122" t="s">
        <v>237</v>
      </c>
      <c r="C86" s="123" t="s">
        <v>97</v>
      </c>
      <c r="D86" s="124" t="s">
        <v>239</v>
      </c>
      <c r="E86" s="18"/>
      <c r="F86" s="125">
        <v>1</v>
      </c>
      <c r="G86" s="125">
        <v>471.11</v>
      </c>
      <c r="H86" s="62"/>
      <c r="I86" s="114">
        <f>G86*1</f>
        <v>471.11</v>
      </c>
    </row>
    <row r="87" spans="1:9" ht="15.75" customHeight="1">
      <c r="A87" s="115">
        <v>18</v>
      </c>
      <c r="B87" s="122" t="s">
        <v>238</v>
      </c>
      <c r="C87" s="123" t="s">
        <v>28</v>
      </c>
      <c r="D87" s="124" t="s">
        <v>170</v>
      </c>
      <c r="E87" s="18"/>
      <c r="F87" s="125">
        <v>0.1</v>
      </c>
      <c r="G87" s="125">
        <v>940.84</v>
      </c>
      <c r="H87" s="62"/>
      <c r="I87" s="114">
        <v>0</v>
      </c>
    </row>
    <row r="88" spans="1:9" ht="28.5" customHeight="1">
      <c r="A88" s="115">
        <v>19</v>
      </c>
      <c r="B88" s="122" t="s">
        <v>250</v>
      </c>
      <c r="C88" s="123" t="s">
        <v>181</v>
      </c>
      <c r="D88" s="124" t="s">
        <v>253</v>
      </c>
      <c r="E88" s="18"/>
      <c r="F88" s="125">
        <v>2</v>
      </c>
      <c r="G88" s="125">
        <v>1584.54</v>
      </c>
      <c r="H88" s="62"/>
      <c r="I88" s="114">
        <f>G88*2</f>
        <v>3169.08</v>
      </c>
    </row>
    <row r="89" spans="1:9" ht="28.5" customHeight="1">
      <c r="A89" s="115">
        <v>20</v>
      </c>
      <c r="B89" s="122" t="s">
        <v>251</v>
      </c>
      <c r="C89" s="123" t="s">
        <v>252</v>
      </c>
      <c r="D89" s="124" t="s">
        <v>254</v>
      </c>
      <c r="E89" s="18"/>
      <c r="F89" s="125">
        <v>3</v>
      </c>
      <c r="G89" s="125">
        <v>697.33</v>
      </c>
      <c r="H89" s="62"/>
      <c r="I89" s="114">
        <f>G89*3</f>
        <v>2091.9900000000002</v>
      </c>
    </row>
    <row r="90" spans="1:9" ht="17.25" customHeight="1">
      <c r="A90" s="115">
        <v>21</v>
      </c>
      <c r="B90" s="122" t="s">
        <v>255</v>
      </c>
      <c r="C90" s="123" t="s">
        <v>97</v>
      </c>
      <c r="D90" s="124"/>
      <c r="E90" s="18"/>
      <c r="F90" s="125">
        <v>1</v>
      </c>
      <c r="G90" s="125">
        <v>224.48</v>
      </c>
      <c r="H90" s="62"/>
      <c r="I90" s="114">
        <f>G90*1</f>
        <v>224.48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SUM(I84:I90)</f>
        <v>7033.2780000000002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147</v>
      </c>
      <c r="C93" s="35"/>
      <c r="D93" s="35"/>
      <c r="E93" s="35"/>
      <c r="F93" s="35"/>
      <c r="G93" s="35"/>
      <c r="H93" s="35"/>
      <c r="I93" s="40">
        <f>I82+I91</f>
        <v>44256.589873333331</v>
      </c>
    </row>
    <row r="94" spans="1:9" ht="15.75" customHeight="1">
      <c r="A94" s="158" t="s">
        <v>256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 customHeight="1">
      <c r="A95" s="53"/>
      <c r="B95" s="183" t="s">
        <v>257</v>
      </c>
      <c r="C95" s="183"/>
      <c r="D95" s="183"/>
      <c r="E95" s="183"/>
      <c r="F95" s="183"/>
      <c r="G95" s="183"/>
      <c r="H95" s="57"/>
      <c r="I95" s="4"/>
    </row>
    <row r="96" spans="1:9" ht="15.75" customHeight="1">
      <c r="A96" s="96"/>
      <c r="B96" s="180" t="s">
        <v>6</v>
      </c>
      <c r="C96" s="180"/>
      <c r="D96" s="180"/>
      <c r="E96" s="180"/>
      <c r="F96" s="180"/>
      <c r="G96" s="180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84" t="s">
        <v>7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5" t="s">
        <v>59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99" t="s">
        <v>10</v>
      </c>
      <c r="C104" s="179" t="s">
        <v>186</v>
      </c>
      <c r="D104" s="179"/>
      <c r="E104" s="179"/>
      <c r="F104" s="55"/>
      <c r="I104" s="101"/>
    </row>
    <row r="105" spans="1:9" ht="15.75" customHeight="1">
      <c r="A105" s="96"/>
      <c r="C105" s="180" t="s">
        <v>11</v>
      </c>
      <c r="D105" s="180"/>
      <c r="E105" s="180"/>
      <c r="F105" s="26"/>
      <c r="I105" s="100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99" t="s">
        <v>13</v>
      </c>
      <c r="C107" s="181"/>
      <c r="D107" s="181"/>
      <c r="E107" s="181"/>
      <c r="F107" s="56"/>
      <c r="I107" s="101"/>
    </row>
    <row r="108" spans="1:9" ht="15.75" customHeight="1">
      <c r="A108" s="96"/>
      <c r="C108" s="157" t="s">
        <v>11</v>
      </c>
      <c r="D108" s="157"/>
      <c r="E108" s="157"/>
      <c r="F108" s="96"/>
      <c r="I108" s="100" t="s">
        <v>12</v>
      </c>
    </row>
    <row r="109" spans="1:9" ht="15.75" customHeight="1">
      <c r="A109" s="5" t="s">
        <v>14</v>
      </c>
    </row>
    <row r="110" spans="1:9" ht="15" customHeight="1">
      <c r="A110" s="182" t="s">
        <v>15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45" customHeight="1">
      <c r="A111" s="176" t="s">
        <v>16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30" customHeight="1">
      <c r="A112" s="176" t="s">
        <v>17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21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15" customHeight="1">
      <c r="A114" s="176" t="s">
        <v>20</v>
      </c>
      <c r="B114" s="176"/>
      <c r="C114" s="176"/>
      <c r="D114" s="176"/>
      <c r="E114" s="176"/>
      <c r="F114" s="176"/>
      <c r="G114" s="176"/>
      <c r="H114" s="176"/>
      <c r="I114" s="176"/>
    </row>
  </sheetData>
  <autoFilter ref="I14:I62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69:U69"/>
    <mergeCell ref="C108:E108"/>
    <mergeCell ref="A83:I83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9:I79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topLeftCell="A27" workbookViewId="0">
      <selection activeCell="J91" sqref="J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149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240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44439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83</v>
      </c>
      <c r="C20" s="64" t="s">
        <v>79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84</v>
      </c>
      <c r="C21" s="64" t="s">
        <v>79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hidden="1" customHeight="1">
      <c r="A26" s="58">
        <v>4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4</v>
      </c>
      <c r="B29" s="63" t="s">
        <v>88</v>
      </c>
      <c r="C29" s="64" t="s">
        <v>89</v>
      </c>
      <c r="D29" s="63" t="s">
        <v>163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5</v>
      </c>
      <c r="B30" s="63" t="s">
        <v>145</v>
      </c>
      <c r="C30" s="64" t="s">
        <v>89</v>
      </c>
      <c r="D30" s="63" t="s">
        <v>162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132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78</v>
      </c>
      <c r="C36" s="64" t="s">
        <v>28</v>
      </c>
      <c r="D36" s="63" t="s">
        <v>91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116</v>
      </c>
      <c r="C37" s="64" t="s">
        <v>28</v>
      </c>
      <c r="D37" s="63" t="s">
        <v>92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117</v>
      </c>
      <c r="C38" s="64" t="s">
        <v>118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75</v>
      </c>
      <c r="C39" s="64" t="s">
        <v>28</v>
      </c>
      <c r="D39" s="63" t="s">
        <v>119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93</v>
      </c>
      <c r="C40" s="64" t="s">
        <v>89</v>
      </c>
      <c r="D40" s="63" t="s">
        <v>120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hidden="1" customHeight="1">
      <c r="A42" s="167" t="s">
        <v>136</v>
      </c>
      <c r="B42" s="168"/>
      <c r="C42" s="168"/>
      <c r="D42" s="168"/>
      <c r="E42" s="168"/>
      <c r="F42" s="168"/>
      <c r="G42" s="168"/>
      <c r="H42" s="168"/>
      <c r="I42" s="169"/>
      <c r="J42" s="25"/>
      <c r="L42" s="20"/>
      <c r="M42" s="21"/>
      <c r="N42" s="22"/>
    </row>
    <row r="43" spans="1:14" ht="15.75" hidden="1" customHeight="1">
      <c r="A43" s="58">
        <v>17</v>
      </c>
      <c r="B43" s="63" t="s">
        <v>94</v>
      </c>
      <c r="C43" s="64" t="s">
        <v>89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hidden="1" customHeight="1">
      <c r="A44" s="58">
        <v>18</v>
      </c>
      <c r="B44" s="63" t="s">
        <v>34</v>
      </c>
      <c r="C44" s="64" t="s">
        <v>89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hidden="1" customHeight="1">
      <c r="A45" s="58">
        <v>19</v>
      </c>
      <c r="B45" s="63" t="s">
        <v>35</v>
      </c>
      <c r="C45" s="64" t="s">
        <v>89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hidden="1" customHeight="1">
      <c r="A46" s="58">
        <v>20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hidden="1" customHeight="1">
      <c r="A47" s="58">
        <v>21</v>
      </c>
      <c r="B47" s="63" t="s">
        <v>54</v>
      </c>
      <c r="C47" s="64" t="s">
        <v>89</v>
      </c>
      <c r="D47" s="63" t="s">
        <v>146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hidden="1" customHeight="1">
      <c r="A48" s="58">
        <v>13</v>
      </c>
      <c r="B48" s="63" t="s">
        <v>95</v>
      </c>
      <c r="C48" s="64" t="s">
        <v>89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hidden="1" customHeight="1">
      <c r="A49" s="58">
        <v>14</v>
      </c>
      <c r="B49" s="63" t="s">
        <v>96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.75" hidden="1" customHeight="1">
      <c r="A50" s="58">
        <v>15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hidden="1" customHeight="1">
      <c r="A51" s="58">
        <v>7</v>
      </c>
      <c r="B51" s="63" t="s">
        <v>39</v>
      </c>
      <c r="C51" s="64" t="s">
        <v>97</v>
      </c>
      <c r="D51" s="144">
        <v>44071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67" t="s">
        <v>135</v>
      </c>
      <c r="B52" s="177"/>
      <c r="C52" s="177"/>
      <c r="D52" s="177"/>
      <c r="E52" s="177"/>
      <c r="F52" s="177"/>
      <c r="G52" s="177"/>
      <c r="H52" s="177"/>
      <c r="I52" s="178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121</v>
      </c>
      <c r="C54" s="64" t="s">
        <v>79</v>
      </c>
      <c r="D54" s="63" t="s">
        <v>122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8</v>
      </c>
      <c r="B55" s="76" t="s">
        <v>123</v>
      </c>
      <c r="C55" s="75" t="s">
        <v>124</v>
      </c>
      <c r="D55" s="76" t="s">
        <v>174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G55*3</f>
        <v>4503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134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133</v>
      </c>
      <c r="I58" s="14"/>
      <c r="J58" s="25"/>
      <c r="L58" s="20"/>
      <c r="M58" s="21"/>
      <c r="N58" s="22"/>
    </row>
    <row r="59" spans="1:22" ht="15.75" hidden="1" customHeight="1">
      <c r="A59" s="17"/>
      <c r="B59" s="15" t="s">
        <v>44</v>
      </c>
      <c r="C59" s="17" t="s">
        <v>97</v>
      </c>
      <c r="D59" s="15" t="s">
        <v>63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v>0</v>
      </c>
      <c r="J59" s="25"/>
      <c r="L59" s="20"/>
    </row>
    <row r="60" spans="1:22" ht="15.75" hidden="1" customHeight="1">
      <c r="A60" s="17"/>
      <c r="B60" s="15" t="s">
        <v>45</v>
      </c>
      <c r="C60" s="17" t="s">
        <v>97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5.75" hidden="1" customHeight="1">
      <c r="A61" s="17">
        <v>23</v>
      </c>
      <c r="B61" s="15" t="s">
        <v>46</v>
      </c>
      <c r="C61" s="17" t="s">
        <v>98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24</v>
      </c>
      <c r="B62" s="15" t="s">
        <v>47</v>
      </c>
      <c r="C62" s="17" t="s">
        <v>99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26</v>
      </c>
      <c r="B64" s="80" t="s">
        <v>100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27</v>
      </c>
      <c r="B65" s="80" t="s">
        <v>101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6</v>
      </c>
      <c r="B67" s="15" t="s">
        <v>125</v>
      </c>
      <c r="C67" s="31" t="s">
        <v>126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133</v>
      </c>
      <c r="I68" s="14"/>
      <c r="J68" s="6"/>
      <c r="K68" s="6"/>
      <c r="L68" s="6"/>
      <c r="M68" s="6"/>
      <c r="N68" s="6"/>
      <c r="O68" s="6"/>
      <c r="P68" s="6"/>
      <c r="Q68" s="6"/>
      <c r="R68" s="157"/>
      <c r="S68" s="157"/>
      <c r="T68" s="157"/>
      <c r="U68" s="157"/>
    </row>
    <row r="69" spans="1:21" ht="15.75" hidden="1" customHeight="1">
      <c r="A69" s="17"/>
      <c r="B69" s="15" t="s">
        <v>127</v>
      </c>
      <c r="C69" s="17" t="s">
        <v>128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104</v>
      </c>
      <c r="C70" s="17" t="s">
        <v>129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130</v>
      </c>
      <c r="C73" s="17" t="s">
        <v>128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133</v>
      </c>
      <c r="H74" s="62" t="s">
        <v>133</v>
      </c>
      <c r="I74" s="14"/>
    </row>
    <row r="75" spans="1:21" ht="15.75" hidden="1" customHeight="1">
      <c r="A75" s="17"/>
      <c r="B75" s="43" t="s">
        <v>105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102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/>
      <c r="B77" s="63" t="s">
        <v>103</v>
      </c>
      <c r="C77" s="17"/>
      <c r="D77" s="15"/>
      <c r="E77" s="84"/>
      <c r="F77" s="14">
        <v>1</v>
      </c>
      <c r="G77" s="14">
        <v>14133</v>
      </c>
      <c r="H77" s="62">
        <f>G77*F77/1000</f>
        <v>14.132999999999999</v>
      </c>
      <c r="I77" s="14">
        <v>0</v>
      </c>
    </row>
    <row r="78" spans="1:21" ht="15.75" customHeight="1">
      <c r="A78" s="167" t="s">
        <v>137</v>
      </c>
      <c r="B78" s="177"/>
      <c r="C78" s="177"/>
      <c r="D78" s="177"/>
      <c r="E78" s="177"/>
      <c r="F78" s="177"/>
      <c r="G78" s="177"/>
      <c r="H78" s="177"/>
      <c r="I78" s="178"/>
    </row>
    <row r="79" spans="1:21" ht="15.75" customHeight="1">
      <c r="A79" s="17">
        <v>7</v>
      </c>
      <c r="B79" s="63" t="s">
        <v>106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8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I80+I79+I67+I30+I29+I18+I17+I16</f>
        <v>35856.077703333329</v>
      </c>
    </row>
    <row r="82" spans="1:9" ht="15.75" customHeight="1">
      <c r="A82" s="173" t="s">
        <v>58</v>
      </c>
      <c r="B82" s="174"/>
      <c r="C82" s="174"/>
      <c r="D82" s="174"/>
      <c r="E82" s="174"/>
      <c r="F82" s="174"/>
      <c r="G82" s="174"/>
      <c r="H82" s="174"/>
      <c r="I82" s="175"/>
    </row>
    <row r="83" spans="1:9" ht="15.75" customHeight="1">
      <c r="A83" s="115">
        <v>9</v>
      </c>
      <c r="B83" s="130" t="s">
        <v>155</v>
      </c>
      <c r="C83" s="131" t="s">
        <v>156</v>
      </c>
      <c r="D83" s="147"/>
      <c r="E83" s="148"/>
      <c r="F83" s="148">
        <v>2</v>
      </c>
      <c r="G83" s="136">
        <v>1.4</v>
      </c>
      <c r="H83" s="62">
        <f t="shared" ref="H83" si="16">G83*F83/1000</f>
        <v>2.8E-3</v>
      </c>
      <c r="I83" s="114">
        <f>G83*100</f>
        <v>140</v>
      </c>
    </row>
    <row r="84" spans="1:9" ht="17.25" customHeight="1">
      <c r="A84" s="115">
        <v>10</v>
      </c>
      <c r="B84" s="139" t="s">
        <v>241</v>
      </c>
      <c r="C84" s="154" t="s">
        <v>69</v>
      </c>
      <c r="D84" s="124"/>
      <c r="E84" s="18"/>
      <c r="F84" s="125">
        <v>0.1</v>
      </c>
      <c r="G84" s="125">
        <v>2792.76</v>
      </c>
      <c r="H84" s="62"/>
      <c r="I84" s="114">
        <f>G84*0.1</f>
        <v>279.27600000000001</v>
      </c>
    </row>
    <row r="85" spans="1:9" ht="15.75" customHeight="1">
      <c r="A85" s="31"/>
      <c r="B85" s="41" t="s">
        <v>49</v>
      </c>
      <c r="C85" s="37"/>
      <c r="D85" s="44"/>
      <c r="E85" s="37">
        <v>1</v>
      </c>
      <c r="F85" s="37"/>
      <c r="G85" s="37"/>
      <c r="H85" s="37"/>
      <c r="I85" s="34">
        <f>SUM(I83:I84)</f>
        <v>419.27600000000001</v>
      </c>
    </row>
    <row r="86" spans="1:9" ht="15.75" customHeight="1">
      <c r="A86" s="31"/>
      <c r="B86" s="43" t="s">
        <v>73</v>
      </c>
      <c r="C86" s="16"/>
      <c r="D86" s="16"/>
      <c r="E86" s="38"/>
      <c r="F86" s="38"/>
      <c r="G86" s="39"/>
      <c r="H86" s="39"/>
      <c r="I86" s="18">
        <v>0</v>
      </c>
    </row>
    <row r="87" spans="1:9" ht="15.75" customHeight="1">
      <c r="A87" s="45"/>
      <c r="B87" s="42" t="s">
        <v>147</v>
      </c>
      <c r="C87" s="35"/>
      <c r="D87" s="35"/>
      <c r="E87" s="35"/>
      <c r="F87" s="35"/>
      <c r="G87" s="35"/>
      <c r="H87" s="35"/>
      <c r="I87" s="40">
        <f>I81+I85</f>
        <v>36275.353703333327</v>
      </c>
    </row>
    <row r="88" spans="1:9" ht="15.75" customHeight="1">
      <c r="A88" s="158" t="s">
        <v>242</v>
      </c>
      <c r="B88" s="158"/>
      <c r="C88" s="158"/>
      <c r="D88" s="158"/>
      <c r="E88" s="158"/>
      <c r="F88" s="158"/>
      <c r="G88" s="158"/>
      <c r="H88" s="158"/>
      <c r="I88" s="158"/>
    </row>
    <row r="89" spans="1:9" ht="15.75" customHeight="1">
      <c r="A89" s="53"/>
      <c r="B89" s="183" t="s">
        <v>243</v>
      </c>
      <c r="C89" s="183"/>
      <c r="D89" s="183"/>
      <c r="E89" s="183"/>
      <c r="F89" s="183"/>
      <c r="G89" s="183"/>
      <c r="H89" s="57"/>
      <c r="I89" s="4"/>
    </row>
    <row r="90" spans="1:9" ht="15.75" customHeight="1">
      <c r="A90" s="96"/>
      <c r="B90" s="180" t="s">
        <v>6</v>
      </c>
      <c r="C90" s="180"/>
      <c r="D90" s="180"/>
      <c r="E90" s="180"/>
      <c r="F90" s="180"/>
      <c r="G90" s="180"/>
      <c r="H90" s="26"/>
      <c r="I90" s="6"/>
    </row>
    <row r="91" spans="1:9" ht="15.75" customHeight="1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5.75" customHeight="1">
      <c r="A92" s="184" t="s">
        <v>7</v>
      </c>
      <c r="B92" s="184"/>
      <c r="C92" s="184"/>
      <c r="D92" s="184"/>
      <c r="E92" s="184"/>
      <c r="F92" s="184"/>
      <c r="G92" s="184"/>
      <c r="H92" s="184"/>
      <c r="I92" s="184"/>
    </row>
    <row r="93" spans="1:9" ht="15.75" customHeight="1">
      <c r="A93" s="184" t="s">
        <v>8</v>
      </c>
      <c r="B93" s="184"/>
      <c r="C93" s="184"/>
      <c r="D93" s="184"/>
      <c r="E93" s="184"/>
      <c r="F93" s="184"/>
      <c r="G93" s="184"/>
      <c r="H93" s="184"/>
      <c r="I93" s="184"/>
    </row>
    <row r="94" spans="1:9" ht="15.75" customHeight="1">
      <c r="A94" s="185" t="s">
        <v>59</v>
      </c>
      <c r="B94" s="185"/>
      <c r="C94" s="185"/>
      <c r="D94" s="185"/>
      <c r="E94" s="185"/>
      <c r="F94" s="185"/>
      <c r="G94" s="185"/>
      <c r="H94" s="185"/>
      <c r="I94" s="185"/>
    </row>
    <row r="95" spans="1:9" ht="15.75" customHeight="1">
      <c r="A95" s="12"/>
    </row>
    <row r="96" spans="1:9" ht="15.75" customHeight="1">
      <c r="A96" s="165" t="s">
        <v>9</v>
      </c>
      <c r="B96" s="165"/>
      <c r="C96" s="165"/>
      <c r="D96" s="165"/>
      <c r="E96" s="165"/>
      <c r="F96" s="165"/>
      <c r="G96" s="165"/>
      <c r="H96" s="165"/>
      <c r="I96" s="165"/>
    </row>
    <row r="97" spans="1:9" ht="15.75" customHeight="1">
      <c r="A97" s="5"/>
    </row>
    <row r="98" spans="1:9" ht="15.75" customHeight="1">
      <c r="B98" s="99" t="s">
        <v>10</v>
      </c>
      <c r="C98" s="179" t="s">
        <v>186</v>
      </c>
      <c r="D98" s="179"/>
      <c r="E98" s="179"/>
      <c r="F98" s="55"/>
      <c r="I98" s="101"/>
    </row>
    <row r="99" spans="1:9" ht="15.75" customHeight="1">
      <c r="A99" s="96"/>
      <c r="C99" s="180" t="s">
        <v>11</v>
      </c>
      <c r="D99" s="180"/>
      <c r="E99" s="180"/>
      <c r="F99" s="26"/>
      <c r="I99" s="100" t="s">
        <v>12</v>
      </c>
    </row>
    <row r="100" spans="1:9" ht="15.75" customHeight="1">
      <c r="A100" s="27"/>
      <c r="C100" s="13"/>
      <c r="D100" s="13"/>
      <c r="G100" s="13"/>
      <c r="H100" s="13"/>
    </row>
    <row r="101" spans="1:9" ht="15.75" customHeight="1">
      <c r="B101" s="99" t="s">
        <v>13</v>
      </c>
      <c r="C101" s="181"/>
      <c r="D101" s="181"/>
      <c r="E101" s="181"/>
      <c r="F101" s="56"/>
      <c r="I101" s="101"/>
    </row>
    <row r="102" spans="1:9" ht="15.75" customHeight="1">
      <c r="A102" s="96"/>
      <c r="C102" s="157" t="s">
        <v>11</v>
      </c>
      <c r="D102" s="157"/>
      <c r="E102" s="157"/>
      <c r="F102" s="96"/>
      <c r="I102" s="100" t="s">
        <v>12</v>
      </c>
    </row>
    <row r="103" spans="1:9" ht="15.75" customHeight="1">
      <c r="A103" s="5" t="s">
        <v>14</v>
      </c>
    </row>
    <row r="104" spans="1:9" ht="15" customHeight="1">
      <c r="A104" s="182" t="s">
        <v>15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45" customHeight="1">
      <c r="A105" s="176" t="s">
        <v>16</v>
      </c>
      <c r="B105" s="176"/>
      <c r="C105" s="176"/>
      <c r="D105" s="176"/>
      <c r="E105" s="176"/>
      <c r="F105" s="176"/>
      <c r="G105" s="176"/>
      <c r="H105" s="176"/>
      <c r="I105" s="176"/>
    </row>
    <row r="106" spans="1:9" ht="30" customHeight="1">
      <c r="A106" s="176" t="s">
        <v>17</v>
      </c>
      <c r="B106" s="176"/>
      <c r="C106" s="176"/>
      <c r="D106" s="176"/>
      <c r="E106" s="176"/>
      <c r="F106" s="176"/>
      <c r="G106" s="176"/>
      <c r="H106" s="176"/>
      <c r="I106" s="176"/>
    </row>
    <row r="107" spans="1:9" ht="30" customHeight="1">
      <c r="A107" s="176" t="s">
        <v>21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15" customHeight="1">
      <c r="A108" s="176" t="s">
        <v>20</v>
      </c>
      <c r="B108" s="176"/>
      <c r="C108" s="176"/>
      <c r="D108" s="176"/>
      <c r="E108" s="176"/>
      <c r="F108" s="176"/>
      <c r="G108" s="176"/>
      <c r="H108" s="176"/>
      <c r="I108" s="176"/>
    </row>
  </sheetData>
  <autoFilter ref="I14:I62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68:U68"/>
    <mergeCell ref="C102:E102"/>
    <mergeCell ref="A82:I82"/>
    <mergeCell ref="A88:I88"/>
    <mergeCell ref="B89:G89"/>
    <mergeCell ref="B90:G90"/>
    <mergeCell ref="A92:I92"/>
    <mergeCell ref="A93:I93"/>
    <mergeCell ref="A94:I94"/>
    <mergeCell ref="A96:I96"/>
    <mergeCell ref="C98:E98"/>
    <mergeCell ref="C99:E99"/>
    <mergeCell ref="C101:E101"/>
    <mergeCell ref="A78:I78"/>
    <mergeCell ref="A104:I104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79" zoomScale="60" zoomScaleNormal="100" workbookViewId="0">
      <selection activeCell="B96" sqref="B96: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158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59" t="s">
        <v>150</v>
      </c>
      <c r="B3" s="159"/>
      <c r="C3" s="159"/>
      <c r="D3" s="159"/>
      <c r="E3" s="159"/>
      <c r="F3" s="159"/>
      <c r="G3" s="159"/>
      <c r="H3" s="159"/>
      <c r="I3" s="159"/>
      <c r="J3" s="2"/>
      <c r="K3" s="2"/>
      <c r="L3" s="2"/>
      <c r="M3" s="2"/>
    </row>
    <row r="4" spans="1:13" ht="33.75" customHeight="1">
      <c r="A4" s="160" t="s">
        <v>107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3"/>
      <c r="M4" s="3"/>
    </row>
    <row r="5" spans="1:13" ht="15.75" customHeight="1">
      <c r="A5" s="159" t="s">
        <v>244</v>
      </c>
      <c r="B5" s="161"/>
      <c r="C5" s="161"/>
      <c r="D5" s="161"/>
      <c r="E5" s="161"/>
      <c r="F5" s="161"/>
      <c r="G5" s="161"/>
      <c r="H5" s="161"/>
      <c r="I5" s="161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44469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62" t="s">
        <v>185</v>
      </c>
      <c r="B8" s="162"/>
      <c r="C8" s="162"/>
      <c r="D8" s="162"/>
      <c r="E8" s="162"/>
      <c r="F8" s="162"/>
      <c r="G8" s="162"/>
      <c r="H8" s="162"/>
      <c r="I8" s="162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63" t="s">
        <v>154</v>
      </c>
      <c r="B10" s="163"/>
      <c r="C10" s="163"/>
      <c r="D10" s="163"/>
      <c r="E10" s="163"/>
      <c r="F10" s="163"/>
      <c r="G10" s="163"/>
      <c r="H10" s="163"/>
      <c r="I10" s="163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64" t="s">
        <v>57</v>
      </c>
      <c r="B14" s="164"/>
      <c r="C14" s="164"/>
      <c r="D14" s="164"/>
      <c r="E14" s="164"/>
      <c r="F14" s="164"/>
      <c r="G14" s="164"/>
      <c r="H14" s="164"/>
      <c r="I14" s="164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76</v>
      </c>
      <c r="C16" s="64" t="s">
        <v>79</v>
      </c>
      <c r="D16" s="63" t="s">
        <v>162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108</v>
      </c>
      <c r="C17" s="64" t="s">
        <v>79</v>
      </c>
      <c r="D17" s="63" t="s">
        <v>163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109</v>
      </c>
      <c r="C18" s="64" t="s">
        <v>79</v>
      </c>
      <c r="D18" s="63" t="s">
        <v>164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80</v>
      </c>
      <c r="C19" s="64" t="s">
        <v>81</v>
      </c>
      <c r="D19" s="63" t="s">
        <v>82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customHeight="1">
      <c r="A20" s="58">
        <v>4</v>
      </c>
      <c r="B20" s="63" t="s">
        <v>83</v>
      </c>
      <c r="C20" s="64" t="s">
        <v>79</v>
      </c>
      <c r="D20" s="63" t="s">
        <v>170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customHeight="1">
      <c r="A21" s="58">
        <v>5</v>
      </c>
      <c r="B21" s="63" t="s">
        <v>84</v>
      </c>
      <c r="C21" s="64" t="s">
        <v>79</v>
      </c>
      <c r="D21" s="63" t="s">
        <v>170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85</v>
      </c>
      <c r="C22" s="64" t="s">
        <v>50</v>
      </c>
      <c r="D22" s="63" t="s">
        <v>82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86</v>
      </c>
      <c r="C23" s="64" t="s">
        <v>50</v>
      </c>
      <c r="D23" s="63" t="s">
        <v>82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87</v>
      </c>
      <c r="C24" s="64" t="s">
        <v>50</v>
      </c>
      <c r="D24" s="69" t="s">
        <v>82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113</v>
      </c>
      <c r="C25" s="64" t="s">
        <v>50</v>
      </c>
      <c r="D25" s="63" t="s">
        <v>82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hidden="1" customHeight="1">
      <c r="A26" s="58">
        <v>6</v>
      </c>
      <c r="B26" s="137" t="s">
        <v>161</v>
      </c>
      <c r="C26" s="138" t="s">
        <v>156</v>
      </c>
      <c r="D26" s="137" t="s">
        <v>165</v>
      </c>
      <c r="E26" s="142">
        <v>3.81</v>
      </c>
      <c r="F26" s="143">
        <f>E26*258</f>
        <v>982.98</v>
      </c>
      <c r="G26" s="143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70" t="s">
        <v>144</v>
      </c>
      <c r="B27" s="171"/>
      <c r="C27" s="171"/>
      <c r="D27" s="171"/>
      <c r="E27" s="171"/>
      <c r="F27" s="171"/>
      <c r="G27" s="171"/>
      <c r="H27" s="171"/>
      <c r="I27" s="172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6</v>
      </c>
      <c r="B29" s="63" t="s">
        <v>88</v>
      </c>
      <c r="C29" s="64" t="s">
        <v>89</v>
      </c>
      <c r="D29" s="63" t="s">
        <v>163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7</v>
      </c>
      <c r="B30" s="63" t="s">
        <v>145</v>
      </c>
      <c r="C30" s="64" t="s">
        <v>89</v>
      </c>
      <c r="D30" s="63" t="s">
        <v>162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89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132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78</v>
      </c>
      <c r="C36" s="64" t="s">
        <v>28</v>
      </c>
      <c r="D36" s="63" t="s">
        <v>91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116</v>
      </c>
      <c r="C37" s="64" t="s">
        <v>28</v>
      </c>
      <c r="D37" s="63" t="s">
        <v>92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117</v>
      </c>
      <c r="C38" s="64" t="s">
        <v>118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75</v>
      </c>
      <c r="C39" s="64" t="s">
        <v>28</v>
      </c>
      <c r="D39" s="63" t="s">
        <v>119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93</v>
      </c>
      <c r="C40" s="64" t="s">
        <v>89</v>
      </c>
      <c r="D40" s="63" t="s">
        <v>120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customHeight="1">
      <c r="A42" s="167" t="s">
        <v>136</v>
      </c>
      <c r="B42" s="168"/>
      <c r="C42" s="168"/>
      <c r="D42" s="168"/>
      <c r="E42" s="168"/>
      <c r="F42" s="168"/>
      <c r="G42" s="168"/>
      <c r="H42" s="168"/>
      <c r="I42" s="169"/>
      <c r="J42" s="25"/>
      <c r="L42" s="20"/>
      <c r="M42" s="21"/>
      <c r="N42" s="22"/>
    </row>
    <row r="43" spans="1:14" ht="15.75" customHeight="1">
      <c r="A43" s="58">
        <v>8</v>
      </c>
      <c r="B43" s="63" t="s">
        <v>94</v>
      </c>
      <c r="C43" s="64" t="s">
        <v>89</v>
      </c>
      <c r="D43" s="63" t="s">
        <v>170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customHeight="1">
      <c r="A44" s="58">
        <v>9</v>
      </c>
      <c r="B44" s="63" t="s">
        <v>34</v>
      </c>
      <c r="C44" s="64" t="s">
        <v>89</v>
      </c>
      <c r="D44" s="63" t="s">
        <v>170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customHeight="1">
      <c r="A45" s="58">
        <v>10</v>
      </c>
      <c r="B45" s="63" t="s">
        <v>35</v>
      </c>
      <c r="C45" s="64" t="s">
        <v>89</v>
      </c>
      <c r="D45" s="63" t="s">
        <v>170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customHeight="1">
      <c r="A46" s="58">
        <v>11</v>
      </c>
      <c r="B46" s="63" t="s">
        <v>32</v>
      </c>
      <c r="C46" s="64" t="s">
        <v>33</v>
      </c>
      <c r="D46" s="63" t="s">
        <v>170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customHeight="1">
      <c r="A47" s="58">
        <v>12</v>
      </c>
      <c r="B47" s="63" t="s">
        <v>54</v>
      </c>
      <c r="C47" s="64" t="s">
        <v>89</v>
      </c>
      <c r="D47" s="63" t="s">
        <v>170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customHeight="1">
      <c r="A48" s="58">
        <v>13</v>
      </c>
      <c r="B48" s="63" t="s">
        <v>95</v>
      </c>
      <c r="C48" s="64" t="s">
        <v>89</v>
      </c>
      <c r="D48" s="63" t="s">
        <v>170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customHeight="1">
      <c r="A49" s="58">
        <v>14</v>
      </c>
      <c r="B49" s="63" t="s">
        <v>96</v>
      </c>
      <c r="C49" s="64" t="s">
        <v>36</v>
      </c>
      <c r="D49" s="63" t="s">
        <v>170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.75" customHeight="1">
      <c r="A50" s="58">
        <v>15</v>
      </c>
      <c r="B50" s="63" t="s">
        <v>37</v>
      </c>
      <c r="C50" s="64" t="s">
        <v>38</v>
      </c>
      <c r="D50" s="63" t="s">
        <v>170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customHeight="1">
      <c r="A51" s="58">
        <v>16</v>
      </c>
      <c r="B51" s="63" t="s">
        <v>39</v>
      </c>
      <c r="C51" s="64" t="s">
        <v>97</v>
      </c>
      <c r="D51" s="144">
        <v>44440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67" t="s">
        <v>135</v>
      </c>
      <c r="B52" s="177"/>
      <c r="C52" s="177"/>
      <c r="D52" s="177"/>
      <c r="E52" s="177"/>
      <c r="F52" s="177"/>
      <c r="G52" s="177"/>
      <c r="H52" s="177"/>
      <c r="I52" s="178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121</v>
      </c>
      <c r="C54" s="64" t="s">
        <v>79</v>
      </c>
      <c r="D54" s="63" t="s">
        <v>122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123</v>
      </c>
      <c r="C55" s="75" t="s">
        <v>124</v>
      </c>
      <c r="D55" s="76" t="s">
        <v>183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134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133</v>
      </c>
      <c r="I58" s="14"/>
      <c r="J58" s="25"/>
      <c r="L58" s="20"/>
      <c r="M58" s="21"/>
      <c r="N58" s="22"/>
    </row>
    <row r="59" spans="1:22" ht="15" hidden="1" customHeight="1">
      <c r="A59" s="17">
        <v>18</v>
      </c>
      <c r="B59" s="15" t="s">
        <v>44</v>
      </c>
      <c r="C59" s="17" t="s">
        <v>97</v>
      </c>
      <c r="D59" s="15" t="s">
        <v>168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f>G59*6</f>
        <v>1660.44</v>
      </c>
      <c r="J59" s="25"/>
      <c r="L59" s="20"/>
    </row>
    <row r="60" spans="1:22" ht="15" customHeight="1">
      <c r="A60" s="17">
        <v>17</v>
      </c>
      <c r="B60" s="15" t="s">
        <v>45</v>
      </c>
      <c r="C60" s="17" t="s">
        <v>97</v>
      </c>
      <c r="D60" s="15" t="s">
        <v>259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f>G60*10</f>
        <v>948.9</v>
      </c>
      <c r="J60" s="25"/>
      <c r="L60" s="20"/>
    </row>
    <row r="61" spans="1:22" ht="14.25" hidden="1" customHeight="1">
      <c r="A61" s="17">
        <v>23</v>
      </c>
      <c r="B61" s="15" t="s">
        <v>46</v>
      </c>
      <c r="C61" s="17" t="s">
        <v>98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7.25" hidden="1" customHeight="1">
      <c r="A62" s="17">
        <v>24</v>
      </c>
      <c r="B62" s="15" t="s">
        <v>47</v>
      </c>
      <c r="C62" s="17" t="s">
        <v>99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2" hidden="1" customHeight="1">
      <c r="A64" s="17">
        <v>26</v>
      </c>
      <c r="B64" s="80" t="s">
        <v>100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4.25" hidden="1" customHeight="1">
      <c r="A65" s="17">
        <v>27</v>
      </c>
      <c r="B65" s="80" t="s">
        <v>101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17">
        <v>18</v>
      </c>
      <c r="B66" s="15" t="s">
        <v>55</v>
      </c>
      <c r="C66" s="17" t="s">
        <v>56</v>
      </c>
      <c r="D66" s="15" t="s">
        <v>172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f>F66*G66</f>
        <v>248.28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19</v>
      </c>
      <c r="B67" s="15" t="s">
        <v>125</v>
      </c>
      <c r="C67" s="31" t="s">
        <v>126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133</v>
      </c>
      <c r="I68" s="14"/>
      <c r="J68" s="6"/>
      <c r="K68" s="6"/>
      <c r="L68" s="6"/>
      <c r="M68" s="6"/>
      <c r="N68" s="6"/>
      <c r="O68" s="6"/>
      <c r="P68" s="6"/>
      <c r="Q68" s="6"/>
      <c r="R68" s="157"/>
      <c r="S68" s="157"/>
      <c r="T68" s="157"/>
      <c r="U68" s="157"/>
    </row>
    <row r="69" spans="1:21" ht="15.75" hidden="1" customHeight="1">
      <c r="A69" s="17"/>
      <c r="B69" s="15" t="s">
        <v>127</v>
      </c>
      <c r="C69" s="17" t="s">
        <v>128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104</v>
      </c>
      <c r="C70" s="17" t="s">
        <v>129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130</v>
      </c>
      <c r="C73" s="17" t="s">
        <v>128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133</v>
      </c>
      <c r="H74" s="62" t="s">
        <v>133</v>
      </c>
      <c r="I74" s="14"/>
    </row>
    <row r="75" spans="1:21" ht="15.75" hidden="1" customHeight="1">
      <c r="A75" s="17"/>
      <c r="B75" s="43" t="s">
        <v>105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customHeight="1">
      <c r="A76" s="105"/>
      <c r="B76" s="95" t="s">
        <v>102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customHeight="1">
      <c r="A77" s="17">
        <v>20</v>
      </c>
      <c r="B77" s="63" t="s">
        <v>103</v>
      </c>
      <c r="C77" s="17"/>
      <c r="D77" s="15"/>
      <c r="E77" s="84"/>
      <c r="F77" s="14">
        <v>1</v>
      </c>
      <c r="G77" s="14">
        <v>17518.7</v>
      </c>
      <c r="H77" s="62">
        <f>G77*F77/1000</f>
        <v>17.518699999999999</v>
      </c>
      <c r="I77" s="14">
        <f>G77*1</f>
        <v>17518.7</v>
      </c>
    </row>
    <row r="78" spans="1:21" ht="15.75" customHeight="1">
      <c r="A78" s="167" t="s">
        <v>137</v>
      </c>
      <c r="B78" s="177"/>
      <c r="C78" s="177"/>
      <c r="D78" s="177"/>
      <c r="E78" s="177"/>
      <c r="F78" s="177"/>
      <c r="G78" s="177"/>
      <c r="H78" s="177"/>
      <c r="I78" s="178"/>
    </row>
    <row r="79" spans="1:21" ht="15.75" customHeight="1">
      <c r="A79" s="17">
        <v>21</v>
      </c>
      <c r="B79" s="63" t="s">
        <v>106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22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I80+I79+I77+I67+I66+I60+I50+I51+I49+I48+I47+I46+I45+I44+I43+I30+I29+I21+I20+I18+I17+I16</f>
        <v>82210.446542333302</v>
      </c>
    </row>
    <row r="82" spans="1:9" ht="15.75" customHeight="1">
      <c r="A82" s="173" t="s">
        <v>58</v>
      </c>
      <c r="B82" s="174"/>
      <c r="C82" s="174"/>
      <c r="D82" s="174"/>
      <c r="E82" s="174"/>
      <c r="F82" s="174"/>
      <c r="G82" s="174"/>
      <c r="H82" s="174"/>
      <c r="I82" s="175"/>
    </row>
    <row r="83" spans="1:9" ht="15.75" customHeight="1">
      <c r="A83" s="115">
        <v>23</v>
      </c>
      <c r="B83" s="130" t="s">
        <v>155</v>
      </c>
      <c r="C83" s="131" t="s">
        <v>156</v>
      </c>
      <c r="D83" s="147"/>
      <c r="E83" s="148"/>
      <c r="F83" s="148">
        <v>2</v>
      </c>
      <c r="G83" s="136">
        <v>1.4</v>
      </c>
      <c r="H83" s="62">
        <f t="shared" ref="H83" si="16">G83*F83/1000</f>
        <v>2.8E-3</v>
      </c>
      <c r="I83" s="114">
        <f>G83*100</f>
        <v>140</v>
      </c>
    </row>
    <row r="84" spans="1:9" ht="16.5" customHeight="1">
      <c r="A84" s="115">
        <v>24</v>
      </c>
      <c r="B84" s="122" t="s">
        <v>245</v>
      </c>
      <c r="C84" s="154" t="s">
        <v>182</v>
      </c>
      <c r="D84" s="124"/>
      <c r="E84" s="18"/>
      <c r="F84" s="125">
        <v>0.08</v>
      </c>
      <c r="G84" s="125">
        <v>4113.16</v>
      </c>
      <c r="H84" s="62"/>
      <c r="I84" s="114">
        <f>G84*0.08</f>
        <v>329.05279999999999</v>
      </c>
    </row>
    <row r="85" spans="1:9" ht="15.75" customHeight="1">
      <c r="A85" s="115">
        <v>25</v>
      </c>
      <c r="B85" s="139" t="s">
        <v>184</v>
      </c>
      <c r="C85" s="123" t="s">
        <v>97</v>
      </c>
      <c r="D85" s="124" t="s">
        <v>249</v>
      </c>
      <c r="E85" s="18"/>
      <c r="F85" s="125">
        <v>1</v>
      </c>
      <c r="G85" s="125">
        <v>224.24</v>
      </c>
      <c r="H85" s="62"/>
      <c r="I85" s="114">
        <f>G85*1</f>
        <v>224.24</v>
      </c>
    </row>
    <row r="86" spans="1:9" ht="15.75" customHeight="1">
      <c r="A86" s="115">
        <v>26</v>
      </c>
      <c r="B86" s="122" t="s">
        <v>246</v>
      </c>
      <c r="C86" s="123" t="s">
        <v>247</v>
      </c>
      <c r="D86" s="124" t="s">
        <v>248</v>
      </c>
      <c r="E86" s="18"/>
      <c r="F86" s="125">
        <v>0.02</v>
      </c>
      <c r="G86" s="125">
        <v>26638.18</v>
      </c>
      <c r="H86" s="62"/>
      <c r="I86" s="114">
        <f>G86*0.02</f>
        <v>532.7636</v>
      </c>
    </row>
    <row r="87" spans="1:9" ht="30.75" customHeight="1">
      <c r="A87" s="115">
        <v>27</v>
      </c>
      <c r="B87" s="122" t="s">
        <v>160</v>
      </c>
      <c r="C87" s="123" t="s">
        <v>36</v>
      </c>
      <c r="D87" s="124" t="s">
        <v>189</v>
      </c>
      <c r="E87" s="18"/>
      <c r="F87" s="125">
        <v>0.05</v>
      </c>
      <c r="G87" s="125">
        <v>4233.72</v>
      </c>
      <c r="H87" s="62"/>
      <c r="I87" s="114">
        <v>0</v>
      </c>
    </row>
    <row r="88" spans="1:9" ht="18" customHeight="1">
      <c r="A88" s="115">
        <v>28</v>
      </c>
      <c r="B88" s="122" t="s">
        <v>37</v>
      </c>
      <c r="C88" s="123" t="s">
        <v>258</v>
      </c>
      <c r="D88" s="124" t="s">
        <v>170</v>
      </c>
      <c r="E88" s="18"/>
      <c r="F88" s="125">
        <v>0.01</v>
      </c>
      <c r="G88" s="125">
        <v>8763.7900000000009</v>
      </c>
      <c r="H88" s="62"/>
      <c r="I88" s="114">
        <v>0</v>
      </c>
    </row>
    <row r="89" spans="1:9" ht="21" customHeight="1">
      <c r="A89" s="115">
        <v>29</v>
      </c>
      <c r="B89" s="122" t="s">
        <v>255</v>
      </c>
      <c r="C89" s="123" t="s">
        <v>97</v>
      </c>
      <c r="D89" s="124"/>
      <c r="E89" s="18"/>
      <c r="F89" s="125">
        <v>2</v>
      </c>
      <c r="G89" s="125">
        <v>224.48</v>
      </c>
      <c r="H89" s="62"/>
      <c r="I89" s="114">
        <f>G89*1</f>
        <v>224.48</v>
      </c>
    </row>
    <row r="90" spans="1:9" ht="21" customHeight="1">
      <c r="A90" s="115">
        <v>30</v>
      </c>
      <c r="B90" s="122" t="s">
        <v>226</v>
      </c>
      <c r="C90" s="123" t="s">
        <v>28</v>
      </c>
      <c r="D90" s="124"/>
      <c r="E90" s="18"/>
      <c r="F90" s="125">
        <f>1.28+1.28+1.28+1.28</f>
        <v>5.12</v>
      </c>
      <c r="G90" s="125">
        <v>241.69</v>
      </c>
      <c r="H90" s="62"/>
      <c r="I90" s="114">
        <f>G90*1.28</f>
        <v>309.36320000000001</v>
      </c>
    </row>
    <row r="91" spans="1:9" ht="21" customHeight="1">
      <c r="A91" s="115">
        <v>31</v>
      </c>
      <c r="B91" s="139" t="s">
        <v>260</v>
      </c>
      <c r="C91" s="154" t="s">
        <v>129</v>
      </c>
      <c r="D91" s="124"/>
      <c r="E91" s="18"/>
      <c r="F91" s="125">
        <v>1</v>
      </c>
      <c r="G91" s="125">
        <v>18213.599999999999</v>
      </c>
      <c r="H91" s="62"/>
      <c r="I91" s="114">
        <f>G91*1</f>
        <v>18213.599999999999</v>
      </c>
    </row>
    <row r="92" spans="1:9" ht="15.75" customHeight="1">
      <c r="A92" s="115"/>
      <c r="B92" s="41" t="s">
        <v>49</v>
      </c>
      <c r="C92" s="37"/>
      <c r="D92" s="44"/>
      <c r="E92" s="37">
        <v>1</v>
      </c>
      <c r="F92" s="37"/>
      <c r="G92" s="37"/>
      <c r="H92" s="37"/>
      <c r="I92" s="34">
        <f>SUM(I83:I91)</f>
        <v>19973.499599999999</v>
      </c>
    </row>
    <row r="93" spans="1:9" ht="15.75" customHeight="1">
      <c r="A93" s="115"/>
      <c r="B93" s="43" t="s">
        <v>73</v>
      </c>
      <c r="C93" s="16"/>
      <c r="D93" s="16"/>
      <c r="E93" s="38"/>
      <c r="F93" s="38"/>
      <c r="G93" s="39"/>
      <c r="H93" s="39"/>
      <c r="I93" s="18">
        <v>0</v>
      </c>
    </row>
    <row r="94" spans="1:9" ht="15.75" customHeight="1">
      <c r="A94" s="45"/>
      <c r="B94" s="42" t="s">
        <v>147</v>
      </c>
      <c r="C94" s="35"/>
      <c r="D94" s="35"/>
      <c r="E94" s="35"/>
      <c r="F94" s="35"/>
      <c r="G94" s="35"/>
      <c r="H94" s="35"/>
      <c r="I94" s="40">
        <f>I92+I81</f>
        <v>102183.9461423333</v>
      </c>
    </row>
    <row r="95" spans="1:9" ht="15.75" customHeight="1">
      <c r="A95" s="158" t="s">
        <v>261</v>
      </c>
      <c r="B95" s="158"/>
      <c r="C95" s="158"/>
      <c r="D95" s="158"/>
      <c r="E95" s="158"/>
      <c r="F95" s="158"/>
      <c r="G95" s="158"/>
      <c r="H95" s="158"/>
      <c r="I95" s="158"/>
    </row>
    <row r="96" spans="1:9" ht="15.75" customHeight="1">
      <c r="A96" s="53"/>
      <c r="B96" s="183" t="s">
        <v>262</v>
      </c>
      <c r="C96" s="183"/>
      <c r="D96" s="183"/>
      <c r="E96" s="183"/>
      <c r="F96" s="183"/>
      <c r="G96" s="183"/>
      <c r="H96" s="57"/>
      <c r="I96" s="4"/>
    </row>
    <row r="97" spans="1:9" ht="15.75" customHeight="1">
      <c r="A97" s="96"/>
      <c r="B97" s="180" t="s">
        <v>6</v>
      </c>
      <c r="C97" s="180"/>
      <c r="D97" s="180"/>
      <c r="E97" s="180"/>
      <c r="F97" s="180"/>
      <c r="G97" s="180"/>
      <c r="H97" s="26"/>
      <c r="I97" s="6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184" t="s">
        <v>7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4" t="s">
        <v>8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5" t="s">
        <v>59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2"/>
    </row>
    <row r="103" spans="1:9" ht="15.75" customHeight="1">
      <c r="A103" s="165" t="s">
        <v>9</v>
      </c>
      <c r="B103" s="165"/>
      <c r="C103" s="165"/>
      <c r="D103" s="165"/>
      <c r="E103" s="165"/>
      <c r="F103" s="165"/>
      <c r="G103" s="165"/>
      <c r="H103" s="165"/>
      <c r="I103" s="165"/>
    </row>
    <row r="104" spans="1:9" ht="15.75" customHeight="1">
      <c r="A104" s="5"/>
    </row>
    <row r="105" spans="1:9" ht="15.75" customHeight="1">
      <c r="B105" s="99" t="s">
        <v>10</v>
      </c>
      <c r="C105" s="179" t="s">
        <v>186</v>
      </c>
      <c r="D105" s="179"/>
      <c r="E105" s="179"/>
      <c r="F105" s="55"/>
      <c r="I105" s="101"/>
    </row>
    <row r="106" spans="1:9" ht="15.75" customHeight="1">
      <c r="A106" s="96"/>
      <c r="C106" s="180" t="s">
        <v>11</v>
      </c>
      <c r="D106" s="180"/>
      <c r="E106" s="180"/>
      <c r="F106" s="26"/>
      <c r="I106" s="100" t="s">
        <v>12</v>
      </c>
    </row>
    <row r="107" spans="1:9" ht="15.75" customHeight="1">
      <c r="A107" s="27"/>
      <c r="C107" s="13"/>
      <c r="D107" s="13"/>
      <c r="G107" s="13"/>
      <c r="H107" s="13"/>
    </row>
    <row r="108" spans="1:9" ht="15.75" customHeight="1">
      <c r="B108" s="99" t="s">
        <v>13</v>
      </c>
      <c r="C108" s="181"/>
      <c r="D108" s="181"/>
      <c r="E108" s="181"/>
      <c r="F108" s="56"/>
      <c r="I108" s="101"/>
    </row>
    <row r="109" spans="1:9" ht="15.75" customHeight="1">
      <c r="A109" s="96"/>
      <c r="C109" s="157" t="s">
        <v>11</v>
      </c>
      <c r="D109" s="157"/>
      <c r="E109" s="157"/>
      <c r="F109" s="96"/>
      <c r="I109" s="100" t="s">
        <v>12</v>
      </c>
    </row>
    <row r="110" spans="1:9" ht="15.75" customHeight="1">
      <c r="A110" s="5" t="s">
        <v>14</v>
      </c>
    </row>
    <row r="111" spans="1:9" ht="15" customHeight="1">
      <c r="A111" s="182" t="s">
        <v>15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5" customHeight="1">
      <c r="A112" s="176" t="s">
        <v>16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30" customHeight="1">
      <c r="A113" s="176" t="s">
        <v>17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30" customHeight="1">
      <c r="A114" s="176" t="s">
        <v>21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15" customHeight="1">
      <c r="A115" s="176" t="s">
        <v>20</v>
      </c>
      <c r="B115" s="176"/>
      <c r="C115" s="176"/>
      <c r="D115" s="176"/>
      <c r="E115" s="176"/>
      <c r="F115" s="176"/>
      <c r="G115" s="176"/>
      <c r="H115" s="176"/>
      <c r="I115" s="176"/>
    </row>
  </sheetData>
  <autoFilter ref="I14:I62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68:U68"/>
    <mergeCell ref="C109:E109"/>
    <mergeCell ref="A82:I82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78:I78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2022-01-20T11:04:44Z</cp:lastPrinted>
  <dcterms:created xsi:type="dcterms:W3CDTF">2016-03-25T08:33:47Z</dcterms:created>
  <dcterms:modified xsi:type="dcterms:W3CDTF">2022-01-20T11:05:19Z</dcterms:modified>
</cp:coreProperties>
</file>