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120" windowWidth="15480" windowHeight="8010" activeTab="11"/>
  </bookViews>
  <sheets>
    <sheet name="01.21" sheetId="37" r:id="rId1"/>
    <sheet name="02.21" sheetId="38" r:id="rId2"/>
    <sheet name="03.21" sheetId="27" r:id="rId3"/>
    <sheet name="04.21" sheetId="28" r:id="rId4"/>
    <sheet name="05.21" sheetId="29" r:id="rId5"/>
    <sheet name="06.21" sheetId="30" r:id="rId6"/>
    <sheet name="07.21" sheetId="31" r:id="rId7"/>
    <sheet name="08.21" sheetId="32" r:id="rId8"/>
    <sheet name="09.21" sheetId="33" r:id="rId9"/>
    <sheet name="10.21" sheetId="34" r:id="rId10"/>
    <sheet name="11.21" sheetId="35" r:id="rId11"/>
    <sheet name="12.21" sheetId="36" r:id="rId12"/>
  </sheets>
  <definedNames>
    <definedName name="_xlnm._FilterDatabase" localSheetId="0" hidden="1">'01.21'!$I$15:$I$99</definedName>
    <definedName name="_xlnm._FilterDatabase" localSheetId="1" hidden="1">'02.21'!$I$15:$I$97</definedName>
    <definedName name="_xlnm._FilterDatabase" localSheetId="2" hidden="1">'03.21'!$I$15:$I$99</definedName>
    <definedName name="_xlnm._FilterDatabase" localSheetId="3" hidden="1">'04.21'!$I$15:$I$105</definedName>
    <definedName name="_xlnm._FilterDatabase" localSheetId="4" hidden="1">'05.21'!$I$15:$I$96</definedName>
    <definedName name="_xlnm._FilterDatabase" localSheetId="5" hidden="1">'06.21'!$I$15:$I$94</definedName>
    <definedName name="_xlnm._FilterDatabase" localSheetId="6" hidden="1">'07.21'!$I$15:$I$104</definedName>
    <definedName name="_xlnm._FilterDatabase" localSheetId="7" hidden="1">'08.21'!$I$15:$I$91</definedName>
    <definedName name="_xlnm._FilterDatabase" localSheetId="8" hidden="1">'09.21'!$I$15:$I$96</definedName>
    <definedName name="_xlnm._FilterDatabase" localSheetId="9" hidden="1">'10.21'!$I$15:$I$96</definedName>
    <definedName name="_xlnm._FilterDatabase" localSheetId="10" hidden="1">'11.21'!$I$15:$I$95</definedName>
    <definedName name="_xlnm._FilterDatabase" localSheetId="11" hidden="1">'12.21'!$I$15:$I$101</definedName>
    <definedName name="_xlnm.Print_Area" localSheetId="0">'01.21'!$A$1:$I$116</definedName>
    <definedName name="_xlnm.Print_Area" localSheetId="1">'02.21'!$A$1:$I$114</definedName>
    <definedName name="_xlnm.Print_Area" localSheetId="2">'03.21'!$A$1:$I$116</definedName>
    <definedName name="_xlnm.Print_Area" localSheetId="3">'04.21'!$A$1:$I$122</definedName>
    <definedName name="_xlnm.Print_Area" localSheetId="4">'05.21'!$A$1:$I$113</definedName>
    <definedName name="_xlnm.Print_Area" localSheetId="5">'06.21'!$A$1:$I$111</definedName>
    <definedName name="_xlnm.Print_Area" localSheetId="6">'07.21'!$A$1:$I$121</definedName>
    <definedName name="_xlnm.Print_Area" localSheetId="7">'08.21'!$A$1:$I$108</definedName>
    <definedName name="_xlnm.Print_Area" localSheetId="8">'09.21'!$A$1:$I$113</definedName>
    <definedName name="_xlnm.Print_Area" localSheetId="9">'10.21'!$A$1:$I$113</definedName>
    <definedName name="_xlnm.Print_Area" localSheetId="10">'11.21'!$A$1:$I$112</definedName>
    <definedName name="_xlnm.Print_Area" localSheetId="11">'12.21'!$A$1:$I$118</definedName>
  </definedNames>
  <calcPr calcId="125725"/>
</workbook>
</file>

<file path=xl/calcChain.xml><?xml version="1.0" encoding="utf-8"?>
<calcChain xmlns="http://schemas.openxmlformats.org/spreadsheetml/2006/main">
  <c r="I95" i="36"/>
  <c r="I94"/>
  <c r="I87"/>
  <c r="I21" l="1"/>
  <c r="I20"/>
  <c r="I57"/>
  <c r="I93"/>
  <c r="I92"/>
  <c r="I91"/>
  <c r="I90"/>
  <c r="I89"/>
  <c r="I78"/>
  <c r="F78"/>
  <c r="I84"/>
  <c r="F84"/>
  <c r="F83"/>
  <c r="F82"/>
  <c r="F75"/>
  <c r="I75" s="1"/>
  <c r="F71"/>
  <c r="I71" s="1"/>
  <c r="I58"/>
  <c r="F58"/>
  <c r="F57"/>
  <c r="F49"/>
  <c r="I43"/>
  <c r="F43"/>
  <c r="F41"/>
  <c r="I41" s="1"/>
  <c r="F40"/>
  <c r="I40" s="1"/>
  <c r="F39"/>
  <c r="I39" s="1"/>
  <c r="F37"/>
  <c r="I37" s="1"/>
  <c r="H36"/>
  <c r="I36"/>
  <c r="H38"/>
  <c r="I38"/>
  <c r="H42"/>
  <c r="I42"/>
  <c r="F25"/>
  <c r="F24"/>
  <c r="F23"/>
  <c r="F22"/>
  <c r="F21"/>
  <c r="F20"/>
  <c r="F19"/>
  <c r="E18"/>
  <c r="F18" s="1"/>
  <c r="I18" s="1"/>
  <c r="F17"/>
  <c r="F16"/>
  <c r="I85" i="35"/>
  <c r="I89"/>
  <c r="I88"/>
  <c r="F88"/>
  <c r="I37"/>
  <c r="H41" i="36" l="1"/>
  <c r="H39"/>
  <c r="H40"/>
  <c r="H37"/>
  <c r="I82" i="34"/>
  <c r="I90"/>
  <c r="I62"/>
  <c r="I86"/>
  <c r="I85"/>
  <c r="F86"/>
  <c r="I84"/>
  <c r="I90" i="33"/>
  <c r="I89"/>
  <c r="F89"/>
  <c r="I83" i="38"/>
  <c r="I98" i="31" l="1"/>
  <c r="I97"/>
  <c r="I91"/>
  <c r="I82" i="33"/>
  <c r="I87"/>
  <c r="I86"/>
  <c r="I85"/>
  <c r="I84"/>
  <c r="I82" i="32"/>
  <c r="I95" i="31" l="1"/>
  <c r="F95"/>
  <c r="I24"/>
  <c r="F24"/>
  <c r="I21"/>
  <c r="I20"/>
  <c r="I94"/>
  <c r="I93"/>
  <c r="I92"/>
  <c r="I90"/>
  <c r="I89"/>
  <c r="I88"/>
  <c r="I87"/>
  <c r="F88"/>
  <c r="F87"/>
  <c r="I86"/>
  <c r="I85"/>
  <c r="I98" i="28" l="1"/>
  <c r="I86" i="30" l="1"/>
  <c r="I88" s="1"/>
  <c r="I85"/>
  <c r="F85"/>
  <c r="I88" i="29"/>
  <c r="I87"/>
  <c r="I86"/>
  <c r="I85"/>
  <c r="I90" s="1"/>
  <c r="I84"/>
  <c r="I95" i="28"/>
  <c r="I94"/>
  <c r="I93"/>
  <c r="I92"/>
  <c r="I91"/>
  <c r="I90"/>
  <c r="I89"/>
  <c r="I88"/>
  <c r="H88"/>
  <c r="I80"/>
  <c r="I64"/>
  <c r="I39"/>
  <c r="I38" i="27"/>
  <c r="I92"/>
  <c r="I91"/>
  <c r="F91"/>
  <c r="I90"/>
  <c r="I89"/>
  <c r="I88"/>
  <c r="I87"/>
  <c r="I86"/>
  <c r="I93" s="1"/>
  <c r="I85"/>
  <c r="H85"/>
  <c r="I77"/>
  <c r="I57"/>
  <c r="I56"/>
  <c r="I42"/>
  <c r="I36"/>
  <c r="I99" i="28" l="1"/>
  <c r="I90" i="38"/>
  <c r="I89"/>
  <c r="I88"/>
  <c r="I86"/>
  <c r="I63"/>
  <c r="I62"/>
  <c r="I56"/>
  <c r="I36"/>
  <c r="I92" i="37"/>
  <c r="I90"/>
  <c r="I89"/>
  <c r="I88"/>
  <c r="I87"/>
  <c r="I86"/>
  <c r="I87" i="35" l="1"/>
  <c r="F87"/>
  <c r="I43"/>
  <c r="I85" i="32" l="1"/>
  <c r="I85" i="37" l="1"/>
  <c r="I93" s="1"/>
  <c r="F85"/>
  <c r="I63" i="36"/>
  <c r="H25"/>
  <c r="H24"/>
  <c r="H23"/>
  <c r="H22"/>
  <c r="H21"/>
  <c r="H20"/>
  <c r="H19"/>
  <c r="I17"/>
  <c r="H16"/>
  <c r="H17" l="1"/>
  <c r="H18"/>
  <c r="I16"/>
  <c r="F26" i="35" l="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8" l="1"/>
  <c r="H18"/>
  <c r="I16"/>
  <c r="H17"/>
  <c r="I26"/>
  <c r="I61" i="34"/>
  <c r="F30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H29"/>
  <c r="I30"/>
  <c r="I18"/>
  <c r="H18"/>
  <c r="I16"/>
  <c r="I26"/>
  <c r="F30" i="33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30" i="32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6" i="31"/>
  <c r="H17" i="33" l="1"/>
  <c r="I20"/>
  <c r="I21"/>
  <c r="H29"/>
  <c r="I30"/>
  <c r="I18"/>
  <c r="H18"/>
  <c r="I16"/>
  <c r="I26"/>
  <c r="H17" i="32"/>
  <c r="H29"/>
  <c r="I30"/>
  <c r="I18"/>
  <c r="H18"/>
  <c r="I16"/>
  <c r="I26"/>
  <c r="F26" i="31"/>
  <c r="H26" s="1"/>
  <c r="F25"/>
  <c r="H24"/>
  <c r="F23"/>
  <c r="F22"/>
  <c r="F21"/>
  <c r="H21" s="1"/>
  <c r="F20"/>
  <c r="H20" s="1"/>
  <c r="F19"/>
  <c r="H19" s="1"/>
  <c r="E18"/>
  <c r="F18" s="1"/>
  <c r="F17"/>
  <c r="I17" s="1"/>
  <c r="F16"/>
  <c r="H16" s="1"/>
  <c r="F26" i="30"/>
  <c r="H26" s="1"/>
  <c r="F25"/>
  <c r="F24"/>
  <c r="F23"/>
  <c r="F22"/>
  <c r="F21"/>
  <c r="F20"/>
  <c r="F19"/>
  <c r="E18"/>
  <c r="F18" s="1"/>
  <c r="F17"/>
  <c r="I17" s="1"/>
  <c r="F16"/>
  <c r="H16" s="1"/>
  <c r="F26" i="29"/>
  <c r="H26" s="1"/>
  <c r="E18"/>
  <c r="F18" s="1"/>
  <c r="H18" s="1"/>
  <c r="F17"/>
  <c r="H17" s="1"/>
  <c r="F16"/>
  <c r="I16" s="1"/>
  <c r="F26" i="2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F26" i="27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7"/>
  <c r="H23" i="31" l="1"/>
  <c r="I23"/>
  <c r="H22"/>
  <c r="I22"/>
  <c r="H25"/>
  <c r="I25"/>
  <c r="H16" i="28"/>
  <c r="I16"/>
  <c r="H20" i="30"/>
  <c r="I20"/>
  <c r="H22"/>
  <c r="I22"/>
  <c r="H24"/>
  <c r="I24"/>
  <c r="H19"/>
  <c r="I19"/>
  <c r="H21"/>
  <c r="I21"/>
  <c r="H23"/>
  <c r="I23"/>
  <c r="H25"/>
  <c r="I25"/>
  <c r="H17" i="27"/>
  <c r="H17" i="38"/>
  <c r="H17" i="31"/>
  <c r="I18"/>
  <c r="H18"/>
  <c r="I16"/>
  <c r="I26"/>
  <c r="H17" i="30"/>
  <c r="I18"/>
  <c r="H18"/>
  <c r="I16"/>
  <c r="I26"/>
  <c r="H16" i="29"/>
  <c r="I26"/>
  <c r="I17"/>
  <c r="I18"/>
  <c r="I18" i="28"/>
  <c r="H18"/>
  <c r="I26"/>
  <c r="I18" i="27"/>
  <c r="H18"/>
  <c r="I16"/>
  <c r="I26"/>
  <c r="I18" i="38"/>
  <c r="H18"/>
  <c r="I16"/>
  <c r="I26"/>
  <c r="I83" i="31" l="1"/>
  <c r="I56" i="29"/>
  <c r="I85" i="38" l="1"/>
  <c r="I91" s="1"/>
  <c r="F72" i="35" l="1"/>
  <c r="I73" i="34"/>
  <c r="I76"/>
  <c r="I74" i="33" l="1"/>
  <c r="I73"/>
  <c r="I59" i="29" l="1"/>
  <c r="I61" i="28"/>
  <c r="I43"/>
  <c r="F60" i="27" l="1"/>
  <c r="H60" s="1"/>
  <c r="I42" i="38" l="1"/>
  <c r="I42" i="37"/>
  <c r="H85" i="38" l="1"/>
  <c r="I77"/>
  <c r="I74"/>
  <c r="I57"/>
  <c r="F82"/>
  <c r="H82" s="1"/>
  <c r="H83" s="1"/>
  <c r="F81"/>
  <c r="I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I53"/>
  <c r="F53"/>
  <c r="H53" s="1"/>
  <c r="I52"/>
  <c r="F52"/>
  <c r="H52" s="1"/>
  <c r="I51"/>
  <c r="H51"/>
  <c r="F50"/>
  <c r="H50" s="1"/>
  <c r="E49"/>
  <c r="F49" s="1"/>
  <c r="F48"/>
  <c r="I48" s="1"/>
  <c r="F47"/>
  <c r="H47" s="1"/>
  <c r="F46"/>
  <c r="I46" s="1"/>
  <c r="F45"/>
  <c r="H45" s="1"/>
  <c r="F44"/>
  <c r="I44" s="1"/>
  <c r="H42"/>
  <c r="F41"/>
  <c r="F40"/>
  <c r="I40" s="1"/>
  <c r="F39"/>
  <c r="H39" s="1"/>
  <c r="I38"/>
  <c r="H38"/>
  <c r="F37"/>
  <c r="I37" s="1"/>
  <c r="H36"/>
  <c r="H34"/>
  <c r="H33"/>
  <c r="F32"/>
  <c r="H32" s="1"/>
  <c r="E32"/>
  <c r="F31"/>
  <c r="H31" s="1"/>
  <c r="F30"/>
  <c r="H30" s="1"/>
  <c r="F29"/>
  <c r="H29" s="1"/>
  <c r="H85" i="37"/>
  <c r="F60"/>
  <c r="H60" s="1"/>
  <c r="H37" i="38" l="1"/>
  <c r="H46"/>
  <c r="H81"/>
  <c r="H41"/>
  <c r="I41"/>
  <c r="H40"/>
  <c r="H44"/>
  <c r="H48"/>
  <c r="H56"/>
  <c r="H78" s="1"/>
  <c r="I49"/>
  <c r="H49"/>
  <c r="I39"/>
  <c r="I45"/>
  <c r="I47"/>
  <c r="I50"/>
  <c r="I60"/>
  <c r="I70"/>
  <c r="I82"/>
  <c r="I93" l="1"/>
  <c r="F82" i="37" l="1"/>
  <c r="I82" s="1"/>
  <c r="F81"/>
  <c r="H81" s="1"/>
  <c r="I79"/>
  <c r="H79"/>
  <c r="H77"/>
  <c r="F75"/>
  <c r="H75" s="1"/>
  <c r="F74"/>
  <c r="H74" s="1"/>
  <c r="F73"/>
  <c r="H73" s="1"/>
  <c r="F72"/>
  <c r="H72" s="1"/>
  <c r="F70"/>
  <c r="I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E49"/>
  <c r="F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I38"/>
  <c r="H38"/>
  <c r="F37"/>
  <c r="H37" s="1"/>
  <c r="I36"/>
  <c r="H36"/>
  <c r="H34"/>
  <c r="H33"/>
  <c r="F32"/>
  <c r="H32" s="1"/>
  <c r="E32"/>
  <c r="F31"/>
  <c r="H31" s="1"/>
  <c r="F30"/>
  <c r="H30" s="1"/>
  <c r="F29"/>
  <c r="H29" s="1"/>
  <c r="I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83" i="36"/>
  <c r="H85" s="1"/>
  <c r="I82"/>
  <c r="I80"/>
  <c r="H80"/>
  <c r="H77"/>
  <c r="H75"/>
  <c r="F73"/>
  <c r="I73" s="1"/>
  <c r="I85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F63"/>
  <c r="H63" s="1"/>
  <c r="H61"/>
  <c r="F60"/>
  <c r="H60" s="1"/>
  <c r="H58"/>
  <c r="I54"/>
  <c r="F54"/>
  <c r="H54" s="1"/>
  <c r="I53"/>
  <c r="F53"/>
  <c r="H53" s="1"/>
  <c r="I52"/>
  <c r="H52"/>
  <c r="F51"/>
  <c r="H51" s="1"/>
  <c r="E50"/>
  <c r="F50" s="1"/>
  <c r="I49"/>
  <c r="F48"/>
  <c r="H48" s="1"/>
  <c r="F47"/>
  <c r="I47" s="1"/>
  <c r="F46"/>
  <c r="H46" s="1"/>
  <c r="F45"/>
  <c r="I45" s="1"/>
  <c r="H34"/>
  <c r="H33"/>
  <c r="F32"/>
  <c r="H32" s="1"/>
  <c r="E32"/>
  <c r="F31"/>
  <c r="H31" s="1"/>
  <c r="F30"/>
  <c r="I30" s="1"/>
  <c r="F29"/>
  <c r="H29" s="1"/>
  <c r="F26"/>
  <c r="I26" s="1"/>
  <c r="I76" i="35"/>
  <c r="F84"/>
  <c r="I84" s="1"/>
  <c r="F83"/>
  <c r="H83" s="1"/>
  <c r="I81"/>
  <c r="H81"/>
  <c r="H79"/>
  <c r="F77"/>
  <c r="H77" s="1"/>
  <c r="F76"/>
  <c r="H76" s="1"/>
  <c r="F75"/>
  <c r="H75" s="1"/>
  <c r="F74"/>
  <c r="H74" s="1"/>
  <c r="I72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43"/>
  <c r="F42"/>
  <c r="I42" s="1"/>
  <c r="F41"/>
  <c r="I41" s="1"/>
  <c r="F40"/>
  <c r="H40" s="1"/>
  <c r="I39"/>
  <c r="H39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H42" l="1"/>
  <c r="H16" i="37"/>
  <c r="H49"/>
  <c r="I49"/>
  <c r="H41"/>
  <c r="H47"/>
  <c r="H70"/>
  <c r="H82"/>
  <c r="H83" s="1"/>
  <c r="H26"/>
  <c r="H39"/>
  <c r="H45"/>
  <c r="H50"/>
  <c r="H78"/>
  <c r="I17"/>
  <c r="I18"/>
  <c r="I37"/>
  <c r="I40"/>
  <c r="I83" s="1"/>
  <c r="I95" s="1"/>
  <c r="I44"/>
  <c r="I46"/>
  <c r="I48"/>
  <c r="I56"/>
  <c r="I81"/>
  <c r="H70" i="36"/>
  <c r="I50"/>
  <c r="H50"/>
  <c r="H26"/>
  <c r="I29"/>
  <c r="H30"/>
  <c r="I31"/>
  <c r="I32"/>
  <c r="H45"/>
  <c r="I46"/>
  <c r="H47"/>
  <c r="I48"/>
  <c r="H49"/>
  <c r="I51"/>
  <c r="H57"/>
  <c r="I61"/>
  <c r="I65"/>
  <c r="H66"/>
  <c r="I67"/>
  <c r="H68"/>
  <c r="H69"/>
  <c r="H73"/>
  <c r="H82"/>
  <c r="I83"/>
  <c r="H70" i="35"/>
  <c r="H57"/>
  <c r="I50"/>
  <c r="H50"/>
  <c r="H27"/>
  <c r="I30"/>
  <c r="H31"/>
  <c r="I32"/>
  <c r="I33"/>
  <c r="H38"/>
  <c r="I40"/>
  <c r="H41"/>
  <c r="H45"/>
  <c r="I46"/>
  <c r="H47"/>
  <c r="I48"/>
  <c r="H49"/>
  <c r="I51"/>
  <c r="I61"/>
  <c r="I65"/>
  <c r="H66"/>
  <c r="I67"/>
  <c r="H68"/>
  <c r="H69"/>
  <c r="H72"/>
  <c r="I83"/>
  <c r="H84"/>
  <c r="H85" s="1"/>
  <c r="I91" l="1"/>
  <c r="I97" i="36"/>
  <c r="H79"/>
  <c r="H80" i="35"/>
  <c r="F81" i="34" l="1"/>
  <c r="I81" s="1"/>
  <c r="F80"/>
  <c r="H80" s="1"/>
  <c r="I78"/>
  <c r="H78"/>
  <c r="H76"/>
  <c r="F74"/>
  <c r="H74" s="1"/>
  <c r="F73"/>
  <c r="H73" s="1"/>
  <c r="F72"/>
  <c r="H72" s="1"/>
  <c r="F71"/>
  <c r="H71" s="1"/>
  <c r="F69"/>
  <c r="I69" s="1"/>
  <c r="F68"/>
  <c r="H68" s="1"/>
  <c r="E67"/>
  <c r="F67" s="1"/>
  <c r="F66"/>
  <c r="I66" s="1"/>
  <c r="F65"/>
  <c r="H65" s="1"/>
  <c r="F64"/>
  <c r="I64" s="1"/>
  <c r="F63"/>
  <c r="H63" s="1"/>
  <c r="F62"/>
  <c r="H62" s="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81" i="33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81" i="32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82" i="31"/>
  <c r="I82" s="1"/>
  <c r="F81"/>
  <c r="H81" s="1"/>
  <c r="I79"/>
  <c r="H79"/>
  <c r="H77"/>
  <c r="F75"/>
  <c r="H75" s="1"/>
  <c r="F74"/>
  <c r="H74" s="1"/>
  <c r="F73"/>
  <c r="H73" s="1"/>
  <c r="F72"/>
  <c r="H72" s="1"/>
  <c r="F70"/>
  <c r="I70" s="1"/>
  <c r="F68"/>
  <c r="H68" s="1"/>
  <c r="E67"/>
  <c r="F67" s="1"/>
  <c r="F66"/>
  <c r="H66" s="1"/>
  <c r="F65"/>
  <c r="I65" s="1"/>
  <c r="F64"/>
  <c r="H64" s="1"/>
  <c r="F63"/>
  <c r="I63" s="1"/>
  <c r="F62"/>
  <c r="H62" s="1"/>
  <c r="I61"/>
  <c r="F61"/>
  <c r="H61" s="1"/>
  <c r="I59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H30" s="1"/>
  <c r="F29"/>
  <c r="I29" s="1"/>
  <c r="F82" i="30"/>
  <c r="I82" s="1"/>
  <c r="F81"/>
  <c r="I81" s="1"/>
  <c r="I79"/>
  <c r="H79"/>
  <c r="H77"/>
  <c r="F75"/>
  <c r="H75" s="1"/>
  <c r="F74"/>
  <c r="H74" s="1"/>
  <c r="F73"/>
  <c r="H73" s="1"/>
  <c r="F72"/>
  <c r="H72" s="1"/>
  <c r="F70"/>
  <c r="I70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I59"/>
  <c r="F58"/>
  <c r="H58" s="1"/>
  <c r="I56"/>
  <c r="H56"/>
  <c r="F55"/>
  <c r="I55" s="1"/>
  <c r="I52"/>
  <c r="F52"/>
  <c r="H52" s="1"/>
  <c r="I51"/>
  <c r="F51"/>
  <c r="H51" s="1"/>
  <c r="I50"/>
  <c r="H50"/>
  <c r="F49"/>
  <c r="I49" s="1"/>
  <c r="E48"/>
  <c r="F48" s="1"/>
  <c r="F47"/>
  <c r="I47" s="1"/>
  <c r="F46"/>
  <c r="I46" s="1"/>
  <c r="F45"/>
  <c r="I45" s="1"/>
  <c r="F44"/>
  <c r="I44" s="1"/>
  <c r="F43"/>
  <c r="I43" s="1"/>
  <c r="I41"/>
  <c r="H41"/>
  <c r="F40"/>
  <c r="I40" s="1"/>
  <c r="F39"/>
  <c r="I39" s="1"/>
  <c r="F38"/>
  <c r="I38" s="1"/>
  <c r="I37"/>
  <c r="H37"/>
  <c r="F36"/>
  <c r="I36" s="1"/>
  <c r="I35"/>
  <c r="H35"/>
  <c r="H33"/>
  <c r="H32"/>
  <c r="F31"/>
  <c r="I31" s="1"/>
  <c r="F30"/>
  <c r="I30" s="1"/>
  <c r="F29"/>
  <c r="I29" s="1"/>
  <c r="I68" i="33" l="1"/>
  <c r="H36" i="30"/>
  <c r="H81"/>
  <c r="H47"/>
  <c r="H36" i="32"/>
  <c r="I67" i="34"/>
  <c r="H67"/>
  <c r="I48"/>
  <c r="H48"/>
  <c r="I31"/>
  <c r="H36"/>
  <c r="I38"/>
  <c r="H39"/>
  <c r="I40"/>
  <c r="H43"/>
  <c r="I44"/>
  <c r="H45"/>
  <c r="I46"/>
  <c r="H47"/>
  <c r="I49"/>
  <c r="H55"/>
  <c r="I59"/>
  <c r="I63"/>
  <c r="H64"/>
  <c r="I65"/>
  <c r="H66"/>
  <c r="I68"/>
  <c r="H69"/>
  <c r="I80"/>
  <c r="H81"/>
  <c r="H82" s="1"/>
  <c r="H64" i="33"/>
  <c r="H66"/>
  <c r="I67"/>
  <c r="H67"/>
  <c r="I48"/>
  <c r="H48"/>
  <c r="I31"/>
  <c r="H36"/>
  <c r="I38"/>
  <c r="H39"/>
  <c r="I40"/>
  <c r="H43"/>
  <c r="I44"/>
  <c r="H45"/>
  <c r="I46"/>
  <c r="H47"/>
  <c r="I49"/>
  <c r="H55"/>
  <c r="I59"/>
  <c r="I63"/>
  <c r="I65"/>
  <c r="I69"/>
  <c r="H80"/>
  <c r="I81"/>
  <c r="I48" i="32"/>
  <c r="H48"/>
  <c r="I67"/>
  <c r="H67"/>
  <c r="I31"/>
  <c r="I38"/>
  <c r="H39"/>
  <c r="I40"/>
  <c r="H43"/>
  <c r="I44"/>
  <c r="H45"/>
  <c r="I46"/>
  <c r="H47"/>
  <c r="I49"/>
  <c r="H55"/>
  <c r="I59"/>
  <c r="I63"/>
  <c r="H64"/>
  <c r="I65"/>
  <c r="H66"/>
  <c r="I69"/>
  <c r="H80"/>
  <c r="I81"/>
  <c r="H48" i="31"/>
  <c r="I48"/>
  <c r="H67"/>
  <c r="I67"/>
  <c r="H29"/>
  <c r="I30"/>
  <c r="H31"/>
  <c r="I36"/>
  <c r="H38"/>
  <c r="I39"/>
  <c r="H40"/>
  <c r="I43"/>
  <c r="H44"/>
  <c r="I45"/>
  <c r="H46"/>
  <c r="I47"/>
  <c r="H49"/>
  <c r="I55"/>
  <c r="H59"/>
  <c r="H63"/>
  <c r="I64"/>
  <c r="H65"/>
  <c r="I66"/>
  <c r="H70"/>
  <c r="I81"/>
  <c r="H82"/>
  <c r="H83" s="1"/>
  <c r="H30" i="30"/>
  <c r="H39"/>
  <c r="H64"/>
  <c r="H43"/>
  <c r="H55"/>
  <c r="H66"/>
  <c r="H45"/>
  <c r="H48"/>
  <c r="I48"/>
  <c r="H67"/>
  <c r="I67"/>
  <c r="I83" s="1"/>
  <c r="H29"/>
  <c r="H31"/>
  <c r="H38"/>
  <c r="H40"/>
  <c r="H44"/>
  <c r="H46"/>
  <c r="H49"/>
  <c r="H59"/>
  <c r="H63"/>
  <c r="H65"/>
  <c r="H70"/>
  <c r="H82"/>
  <c r="H83" s="1"/>
  <c r="I92" i="33" l="1"/>
  <c r="I100" i="31"/>
  <c r="I87" i="32"/>
  <c r="I92" i="34"/>
  <c r="H77" i="33"/>
  <c r="I90" i="30"/>
  <c r="H77" i="34"/>
  <c r="H77" i="32"/>
  <c r="H78" i="31"/>
  <c r="H78" i="30"/>
  <c r="F81" i="29" l="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F59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I30" s="1"/>
  <c r="F29"/>
  <c r="I29" s="1"/>
  <c r="F25"/>
  <c r="I25" s="1"/>
  <c r="F24"/>
  <c r="I24" s="1"/>
  <c r="F23"/>
  <c r="I23" s="1"/>
  <c r="F22"/>
  <c r="I22" s="1"/>
  <c r="F21"/>
  <c r="I21" s="1"/>
  <c r="F20"/>
  <c r="I20" s="1"/>
  <c r="F19"/>
  <c r="I19" s="1"/>
  <c r="I63" i="28"/>
  <c r="F85"/>
  <c r="I85" s="1"/>
  <c r="F84"/>
  <c r="H84" s="1"/>
  <c r="I82"/>
  <c r="H82"/>
  <c r="H80"/>
  <c r="F78"/>
  <c r="H78" s="1"/>
  <c r="F77"/>
  <c r="H77" s="1"/>
  <c r="F76"/>
  <c r="H76" s="1"/>
  <c r="F75"/>
  <c r="H75" s="1"/>
  <c r="F73"/>
  <c r="I73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F60"/>
  <c r="H60" s="1"/>
  <c r="I58"/>
  <c r="H58"/>
  <c r="F57"/>
  <c r="I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H27" s="1"/>
  <c r="F82" i="27"/>
  <c r="H82" s="1"/>
  <c r="F81"/>
  <c r="H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59"/>
  <c r="H57"/>
  <c r="F56"/>
  <c r="H56" s="1"/>
  <c r="I52"/>
  <c r="I51"/>
  <c r="F53"/>
  <c r="H53" s="1"/>
  <c r="F52"/>
  <c r="H52" s="1"/>
  <c r="H51"/>
  <c r="F50"/>
  <c r="H50" s="1"/>
  <c r="E49"/>
  <c r="F49" s="1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H39" s="1"/>
  <c r="H38"/>
  <c r="F37"/>
  <c r="H37" s="1"/>
  <c r="H36"/>
  <c r="H33"/>
  <c r="H34"/>
  <c r="F32"/>
  <c r="H32" s="1"/>
  <c r="E32"/>
  <c r="F31"/>
  <c r="H31" s="1"/>
  <c r="F30"/>
  <c r="H30" s="1"/>
  <c r="F29"/>
  <c r="H29" s="1"/>
  <c r="H59" l="1"/>
  <c r="I59"/>
  <c r="H63" i="29"/>
  <c r="H64"/>
  <c r="H65"/>
  <c r="H66"/>
  <c r="H40"/>
  <c r="H19"/>
  <c r="H20"/>
  <c r="H21"/>
  <c r="H22"/>
  <c r="H23"/>
  <c r="H24"/>
  <c r="H25"/>
  <c r="H29"/>
  <c r="H30"/>
  <c r="H31"/>
  <c r="H67"/>
  <c r="I67"/>
  <c r="H41" i="27"/>
  <c r="H38" i="29"/>
  <c r="H48"/>
  <c r="I48"/>
  <c r="I36"/>
  <c r="I39"/>
  <c r="I43"/>
  <c r="H44"/>
  <c r="I45"/>
  <c r="H46"/>
  <c r="I47"/>
  <c r="H49"/>
  <c r="I55"/>
  <c r="H59"/>
  <c r="H77" s="1"/>
  <c r="I69"/>
  <c r="H80"/>
  <c r="I81"/>
  <c r="H38" i="28"/>
  <c r="H57"/>
  <c r="H50"/>
  <c r="I50"/>
  <c r="I27"/>
  <c r="H40"/>
  <c r="I41"/>
  <c r="I86" s="1"/>
  <c r="H42"/>
  <c r="I45"/>
  <c r="H46"/>
  <c r="I47"/>
  <c r="H48"/>
  <c r="I49"/>
  <c r="H51"/>
  <c r="H61"/>
  <c r="H73"/>
  <c r="I84"/>
  <c r="H85"/>
  <c r="H86" s="1"/>
  <c r="I60" i="27"/>
  <c r="I70"/>
  <c r="I50"/>
  <c r="I49"/>
  <c r="I48"/>
  <c r="I46"/>
  <c r="I44"/>
  <c r="I47"/>
  <c r="I45"/>
  <c r="I39"/>
  <c r="I82" i="29" l="1"/>
  <c r="I92" s="1"/>
  <c r="I101" i="28"/>
  <c r="H81"/>
  <c r="I53" i="27" l="1"/>
  <c r="I37"/>
  <c r="H78" l="1"/>
  <c r="H83"/>
  <c r="I82"/>
  <c r="I83" s="1"/>
  <c r="I40"/>
  <c r="I81"/>
  <c r="I95" l="1"/>
</calcChain>
</file>

<file path=xl/sharedStrings.xml><?xml version="1.0" encoding="utf-8"?>
<sst xmlns="http://schemas.openxmlformats.org/spreadsheetml/2006/main" count="2652" uniqueCount="333">
  <si>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</si>
  <si>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</si>
  <si>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</si>
  <si>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</si>
  <si>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</si>
  <si>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</si>
  <si>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</si>
  <si>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</si>
  <si>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</si>
  <si>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</si>
  <si>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</si>
  <si>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</si>
  <si>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</si>
  <si>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</si>
  <si>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</si>
  <si>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</si>
  <si>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</si>
  <si>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</si>
  <si>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</si>
  <si>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</si>
  <si>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</si>
  <si>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</si>
  <si>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</si>
  <si>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</si>
  <si>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</si>
  <si>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</si>
  <si>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</si>
  <si>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</si>
  <si>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</si>
  <si>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</si>
  <si>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</si>
  <si>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</si>
  <si>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</si>
  <si>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</si>
  <si>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</si>
  <si>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</si>
  <si>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</si>
  <si>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</si>
  <si>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</si>
  <si>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</si>
  <si>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</si>
  <si>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</si>
  <si>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</si>
  <si>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</si>
  <si>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</si>
  <si>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</si>
  <si>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</si>
  <si>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</si>
  <si>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</si>
  <si>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</si>
  <si>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</si>
  <si>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</si>
  <si>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</si>
  <si>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</si>
  <si>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</si>
  <si>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</si>
  <si>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</si>
  <si>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</si>
  <si>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</si>
  <si>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</si>
  <si>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</si>
  <si>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</si>
  <si>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</si>
  <si>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</si>
  <si>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</si>
  <si>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</si>
  <si>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</si>
  <si>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</si>
  <si>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</si>
  <si>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</si>
  <si>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</si>
  <si>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</si>
  <si>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</si>
  <si>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</si>
  <si>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</si>
  <si>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</si>
  <si>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</si>
  <si>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</si>
  <si>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</si>
  <si>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шт</t>
  </si>
  <si>
    <t>10 м2</t>
  </si>
  <si>
    <t>10м2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</si>
  <si>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</si>
  <si>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</si>
  <si>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</si>
  <si>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</si>
  <si>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</si>
  <si>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</si>
  <si>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</si>
  <si>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</si>
  <si>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</si>
  <si>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</si>
  <si>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</si>
  <si>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</si>
  <si>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</si>
  <si>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</si>
  <si>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</si>
  <si>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</si>
  <si>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</si>
  <si>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Прочистка каналов</t>
  </si>
  <si>
    <t xml:space="preserve"> </t>
  </si>
  <si>
    <t>Работа автовышки</t>
  </si>
  <si>
    <t>маш/час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</si>
  <si>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</si>
  <si>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</si>
  <si>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</si>
  <si>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</si>
  <si>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</si>
  <si>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</si>
  <si>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</si>
  <si>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</si>
  <si>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</si>
  <si>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</si>
  <si>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</si>
  <si>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</si>
  <si>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</si>
  <si>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</si>
  <si>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1 шт</t>
  </si>
  <si>
    <t>III. Плановые осмотры</t>
  </si>
  <si>
    <t>IV. Содержание общего имущества</t>
  </si>
  <si>
    <t>V. Прочие услуги</t>
  </si>
  <si>
    <t>АКТ №1</t>
  </si>
  <si>
    <t>АКТ №2</t>
  </si>
  <si>
    <t>АКТ №3</t>
  </si>
  <si>
    <t>АКТ №4</t>
  </si>
  <si>
    <t>IV. Прочие услуги</t>
  </si>
  <si>
    <t>Обязательные работы по содержанию общего имущества собственников помещений в многоквартирном доме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</si>
  <si>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</si>
  <si>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</si>
  <si>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</si>
  <si>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</si>
  <si>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</si>
  <si>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</si>
  <si>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</si>
  <si>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</si>
  <si>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</si>
  <si>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</si>
  <si>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</si>
  <si>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Дератизация</t>
  </si>
  <si>
    <t>м2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</si>
  <si>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</si>
  <si>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</si>
  <si>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</si>
  <si>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</si>
  <si>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АКТ №5</t>
  </si>
  <si>
    <t>Подключение и отключение сварочного аппарата</t>
  </si>
  <si>
    <t>АКТ №6</t>
  </si>
  <si>
    <t>АКТ №7</t>
  </si>
  <si>
    <t>АКТ №8</t>
  </si>
  <si>
    <t>АКТ №9</t>
  </si>
  <si>
    <t>АКТ №10</t>
  </si>
  <si>
    <t>II. Уборка земельного участка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</si>
  <si>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</si>
  <si>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</si>
  <si>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</si>
  <si>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Очистка канализационной сети внутренней</t>
  </si>
  <si>
    <t>10шт</t>
  </si>
  <si>
    <t>ООО «Движение»</t>
  </si>
  <si>
    <t>час</t>
  </si>
  <si>
    <t>Очистка от снега люков водопроводных и канализацинных колодцев</t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</si>
  <si>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</si>
  <si>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</si>
  <si>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</si>
  <si>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</si>
  <si>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</si>
  <si>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</si>
  <si>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</si>
  <si>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</si>
  <si>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</si>
  <si>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</si>
  <si>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</si>
  <si>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</si>
  <si>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</si>
  <si>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1 маш/час</t>
  </si>
  <si>
    <t>26 м3</t>
  </si>
  <si>
    <t xml:space="preserve">1 раз   </t>
  </si>
  <si>
    <t xml:space="preserve">1 раз    </t>
  </si>
  <si>
    <t xml:space="preserve">1 раз </t>
  </si>
  <si>
    <t>2 маш/час</t>
  </si>
  <si>
    <t>место</t>
  </si>
  <si>
    <t>4,5 м/час</t>
  </si>
  <si>
    <t>Смена арматуры - вентилей и клапанов обратных муфтовых диаметром до 20 мм ( без материалов)</t>
  </si>
  <si>
    <t>Работа ротенбергера</t>
  </si>
  <si>
    <t>Осмотр электросетей, армазуры и электрооборудования на лестничных клетках</t>
  </si>
  <si>
    <t xml:space="preserve">Осмотр водопроводов, канализации, отопления </t>
  </si>
  <si>
    <t xml:space="preserve">1 раз  </t>
  </si>
  <si>
    <t>Водоснабжение и канализация</t>
  </si>
  <si>
    <t>Смена внутренних трубопроводов на полипропиленовые трубы PN 25 Dу 20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</si>
  <si>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</si>
  <si>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</si>
  <si>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</si>
  <si>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за период с 01.01.2021 г. по 31.01.2021 г.</t>
  </si>
  <si>
    <t xml:space="preserve">Смена сгонов у трубопроводов диаметром до 20 мм </t>
  </si>
  <si>
    <t>1 сгон</t>
  </si>
  <si>
    <t>Усановка хомута диаметром до 50 мм</t>
  </si>
  <si>
    <t>Ремонт порога в тамбуре</t>
  </si>
  <si>
    <t>29 м</t>
  </si>
  <si>
    <t>под.№1</t>
  </si>
  <si>
    <t>п/с  кв.53-1 шт.</t>
  </si>
  <si>
    <t>1,5 м п/с кв.53</t>
  </si>
  <si>
    <t>п/с 1 шт.  кв.56; п/с кв.42 1 шт.</t>
  </si>
  <si>
    <t>2. Всего за период с 01.01.2021 г. по 31.01.2021 г. выполнено работ (оказано услуг) на общую сумму: 46754,28 руб.</t>
  </si>
  <si>
    <t>(сорок шесть тысяч семьсот пятьдесят четыре рубля 28 копеек)</t>
  </si>
  <si>
    <t>за период с 01.02.2021 г. по 29.02.2021 г.</t>
  </si>
  <si>
    <t>29.02.2021</t>
  </si>
  <si>
    <t>0,3ч ( 3 февр)</t>
  </si>
  <si>
    <t>Отогрев ХВС</t>
  </si>
  <si>
    <t>Смена арматуры - вентилей и клапанов обратных муфтовых диаметром до 32 мм</t>
  </si>
  <si>
    <t>Сварочные работы</t>
  </si>
  <si>
    <t>1 шт. ХВС подвал</t>
  </si>
  <si>
    <t>23,22,18 февр.</t>
  </si>
  <si>
    <t>за период с 01.03.2021 г. по 31.03.2021 г.</t>
  </si>
  <si>
    <t>11,17,25,31 марта</t>
  </si>
  <si>
    <t>11 марта</t>
  </si>
  <si>
    <t>4,5 маш/час</t>
  </si>
  <si>
    <t>Ремонт рубильника ППБ, ВР</t>
  </si>
  <si>
    <t>Демонтаж кирпичной кладки</t>
  </si>
  <si>
    <t>Герметизация стыков трубопроводов</t>
  </si>
  <si>
    <t>1 место</t>
  </si>
  <si>
    <t>Прочистка фильтров</t>
  </si>
  <si>
    <t>3м</t>
  </si>
  <si>
    <t>Спил ветвей</t>
  </si>
  <si>
    <t>1 мЗ</t>
  </si>
  <si>
    <t>кв.34</t>
  </si>
  <si>
    <t>р/у</t>
  </si>
  <si>
    <t>1 шт. ХВС подвал; ХВМ кв.2 - 1 шт.</t>
  </si>
  <si>
    <t>2. Всего за период с 01.03.2021 г. по 31.03.2021 г. выполнено работ (оказано услуг) на общую сумму: 64088,50 руб.</t>
  </si>
  <si>
    <t>(шестьдесят четыре тысячи восемьдесят восемь рублей 50 копеек)</t>
  </si>
  <si>
    <t>за период с 01.04.2021 г. по 30.04.2021 г.</t>
  </si>
  <si>
    <t>11 раз</t>
  </si>
  <si>
    <t>23 раз</t>
  </si>
  <si>
    <t>3 раз</t>
  </si>
  <si>
    <t>Демонтаж пола в тамуре под №3 для работ ВДИС</t>
  </si>
  <si>
    <t>Восстановление пола в тамуре под №3 для работ ВДИС</t>
  </si>
  <si>
    <t>Доска 4м</t>
  </si>
  <si>
    <t>Заделка "шахты"после работ ВДИС</t>
  </si>
  <si>
    <t>Ремонт групповых щитков на лестничной клетке без ремонта автоматов</t>
  </si>
  <si>
    <t>кв.25</t>
  </si>
  <si>
    <t>2 ч с/о кв.53</t>
  </si>
  <si>
    <t>2 раз</t>
  </si>
  <si>
    <t>около кв.1</t>
  </si>
  <si>
    <t>за период с 01.05.2021 г. по 31.05.2021 г.</t>
  </si>
  <si>
    <t>Смена внутренних трубопроводов на полипропиленовые трубы PN 20 Dу 25</t>
  </si>
  <si>
    <t>Подборка мусора налетевшего с конт.площадки</t>
  </si>
  <si>
    <t>0,5 м ХВС подвал</t>
  </si>
  <si>
    <t>1 шт. ХВС кв.52</t>
  </si>
  <si>
    <t>2. Всего за период с 01.05.2021 г. по 31.05.2021 г. выполнено работ (оказано услуг) на общую сумму: 72828,45 руб.</t>
  </si>
  <si>
    <t>(семьдесят две тысячи восемьсот двадцать восемь рублей 45 копеек)</t>
  </si>
  <si>
    <t>за период с 01.06.2021 г. по 30.06.2021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</si>
  <si>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Кочановой Ирины Леоидовны,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</si>
  <si>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ремонт балконной плиты кв.53</t>
  </si>
  <si>
    <t>руб.</t>
  </si>
  <si>
    <t>2. Всего за период с 01.06.2021 г. по 30.06.2021 г. выполнено работ (оказано услуг) на общую сумму: 305543,23 руб.</t>
  </si>
  <si>
    <t>(триста пять тысяч пятьсот сорок три рубля 23 копейки)</t>
  </si>
  <si>
    <t>с/о скорая помощь</t>
  </si>
  <si>
    <t>2. Всего за период с 01.04.2021 г. по 30.04.2021 г. выполнено работ (оказано услуг) на общую сумму: 37945,14 руб.</t>
  </si>
  <si>
    <t>(тридцать семь тысяч девятьсот сорок пять рублей 14 копеек)</t>
  </si>
  <si>
    <t>за период с 01.07.2021 г. по 31.07.2021 г.</t>
  </si>
  <si>
    <t>Смена дверных приборов /замки навесные)</t>
  </si>
  <si>
    <t>Замена прокладок</t>
  </si>
  <si>
    <t>ремонт балконной плит</t>
  </si>
  <si>
    <t>Замена муфты</t>
  </si>
  <si>
    <t>кв.56</t>
  </si>
  <si>
    <t>Работа автопогрузчика</t>
  </si>
  <si>
    <t>Ремонт входной площадки</t>
  </si>
  <si>
    <t xml:space="preserve">1 раз     </t>
  </si>
  <si>
    <t>под.№4</t>
  </si>
  <si>
    <t>кан-ция в шахте</t>
  </si>
  <si>
    <t>2 м/часа</t>
  </si>
  <si>
    <t>под.4 черд. 1 шт.</t>
  </si>
  <si>
    <t>за период с 01.08.2021 г. по 31.08.2021 г.</t>
  </si>
  <si>
    <t>2. Всего за период с 01.08.2021 г. по 31.08.2021 г. выполнено работ (оказано услуг) на общую сумму: 32830,85 руб.</t>
  </si>
  <si>
    <t>(тридцать две тысячи восемьсот тридцать рублей 85 копеек)</t>
  </si>
  <si>
    <t>за период с 01.09.2021 г. по 30.09.2021 г.</t>
  </si>
  <si>
    <t>Нумерация подъездов и квартир</t>
  </si>
  <si>
    <t>Смена внутренних трубопроводов на полипропиленовые трубы PN 20 Dу 20</t>
  </si>
  <si>
    <t>4  м с/о кв.27</t>
  </si>
  <si>
    <t>1,5 м с/о кв.27</t>
  </si>
  <si>
    <t>1 шт. с/о кв.10</t>
  </si>
  <si>
    <t>1 шт. кв.26, 2 шт. кв.48 и под.№3</t>
  </si>
  <si>
    <t>Смена внутренних трубопроводов на полипропиленовые трубы PN 25 Dу 25</t>
  </si>
  <si>
    <t>0,5 м с/о кв.48</t>
  </si>
  <si>
    <t>2. Всего за период с 01.07.2021 г. по 31.07.2021 г. выполнено работ (оказано услуг) на общую сумму: 224642,16 руб.</t>
  </si>
  <si>
    <t>(двести двадцать четыре тысячи шестьсот сорок два рубля 16 копеек)</t>
  </si>
  <si>
    <t>2. Всего за период с 01.02.2021 г. по 29.02.2021 г. выполнено работ (оказано услуг) на общую сумму: 73160,35 руб.</t>
  </si>
  <si>
    <t>(семьдесят три тысячи сто шестьдесят рублей 35 копеек)</t>
  </si>
  <si>
    <t>2. Всего за период с 01.09.2021 г. по 30.09.2021 г. выполнено работ (оказано услуг) на общую сумму: 56734,39 руб.</t>
  </si>
  <si>
    <t>(пятьдесят шесть тысяч семьсот тридцать четыре рубля 39 копеек)</t>
  </si>
  <si>
    <t>за период с 01.10.2021 г. по 31.10.2021 г.</t>
  </si>
  <si>
    <t>Подметание проезжей части от листьев</t>
  </si>
  <si>
    <t>100шт</t>
  </si>
  <si>
    <t>2. Всего за период с 01.10.2021 г. по 31.10.2021 г. выполнено работ (оказано услуг) на общую сумму: 34457,14 руб.</t>
  </si>
  <si>
    <t>(тридцать четыре тысячи четыреста пятьдесят семь рублей 14 копеек)</t>
  </si>
  <si>
    <t>Генеральный директор Кочанова И.Л.</t>
  </si>
  <si>
    <t>за период с 01.11.2021 г. по 30.11.2021 г.</t>
  </si>
  <si>
    <t>2. Всего за период с 01.11.2021 г. по 30.11.2021 г. выполнено работ (оказано услуг) на общую сумму: 60643,25 руб.</t>
  </si>
  <si>
    <t>(шестьдесят тысяч шестьсот сорок три рубля 25 копеек)</t>
  </si>
  <si>
    <t>за период с 01.12.2021 г. по 31.12.2021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</si>
  <si>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№ 72 от 16.11.2021г.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</si>
  <si>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1 раз в месяц</t>
  </si>
  <si>
    <t>Механизированная уборка дворовой ТЭРритории</t>
  </si>
  <si>
    <t>Вывоз снега с придомовой ТЭРритории</t>
  </si>
  <si>
    <t>по мере необходимости</t>
  </si>
  <si>
    <t>Подметание снега с вх.площадок</t>
  </si>
  <si>
    <t>12 раз за сезон</t>
  </si>
  <si>
    <t>Очистка вручную от наледи и снега люков канализационных и водопроводных колодцев</t>
  </si>
  <si>
    <t>2 раза в месяц</t>
  </si>
  <si>
    <t>4 раза</t>
  </si>
  <si>
    <t>26 раз</t>
  </si>
  <si>
    <t>Очистка территории 1-го класса с усовершенствованным покрытием под скребок: ступеньки и площадки крылец</t>
  </si>
  <si>
    <t>Очистка оголовков дымоходов и вентканалов от наледи и снега</t>
  </si>
  <si>
    <t>2 раза в месяц (в зимний период)</t>
  </si>
  <si>
    <t>Обслуживание общедомового прибора учета тепловой энергии</t>
  </si>
  <si>
    <t>ОДПУ</t>
  </si>
  <si>
    <t>Снятие показаний с общедомовых приборов учета холодной воды</t>
  </si>
  <si>
    <t>Аварийно -диспетчерское обслуживание</t>
  </si>
  <si>
    <t>круглосуточно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</si>
  <si>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</si>
  <si>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</si>
  <si>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100 шт..</t>
  </si>
  <si>
    <t>Смена стекол в деревянных переплетах при площади стекла до 1,0 м2</t>
  </si>
  <si>
    <t>Ремонт штукатурки внутренних стен по камню и бетону цементно-известковым раствором площадью до 10 м2 толщиной слоя до 20 мм</t>
  </si>
  <si>
    <t>Замена трубы ХВС ( без материалов)</t>
  </si>
  <si>
    <t>1 м</t>
  </si>
  <si>
    <t>Перекрытие вентиля</t>
  </si>
  <si>
    <t>Демонтаж светодиодного светильника</t>
  </si>
  <si>
    <t>1,2,3 под.</t>
  </si>
  <si>
    <t>кв.61</t>
  </si>
  <si>
    <t>скорая</t>
  </si>
  <si>
    <t>1 м/час</t>
  </si>
  <si>
    <t>4 м с/о кв.51</t>
  </si>
  <si>
    <t>2. Всего за период с 01.12.2021 г. по 31.12.2021 г. выполнено работ (оказано услуг) на общую сумму: 77318,33 руб.</t>
  </si>
  <si>
    <t>(семьдесят семь тысяч триста восемнадцать рублей 33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</si>
</sst>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0" fontId="20" fillId="0" borderId="19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2" fontId="13" fillId="0" borderId="6" xfId="0" applyNumberFormat="1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4" fontId="23" fillId="2" borderId="3" xfId="0" applyNumberFormat="1" applyFont="1" applyFill="1" applyBorder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zoomScaleNormal="100" workbookViewId="0">
      <selection activeCell="G85" sqref="G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121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191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>
        <v>44227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ref="H26" si="2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151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hidden="1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128</v>
      </c>
      <c r="C29" s="74" t="s">
        <v>92</v>
      </c>
      <c r="D29" s="59" t="s">
        <v>131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3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129</v>
      </c>
      <c r="C30" s="74" t="s">
        <v>92</v>
      </c>
      <c r="D30" s="59" t="s">
        <v>132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3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3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130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3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103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hidden="1" customHeight="1">
      <c r="A36" s="110">
        <v>5</v>
      </c>
      <c r="B36" s="59" t="s">
        <v>26</v>
      </c>
      <c r="C36" s="74" t="s">
        <v>30</v>
      </c>
      <c r="D36" s="59"/>
      <c r="E36" s="75"/>
      <c r="F36" s="76">
        <v>3</v>
      </c>
      <c r="G36" s="76">
        <v>2003</v>
      </c>
      <c r="H36" s="77">
        <f t="shared" ref="H36:H42" si="4">SUM(F36*G36/1000)</f>
        <v>6.0090000000000003</v>
      </c>
      <c r="I36" s="111">
        <f t="shared" ref="I36:I40" si="5">F36/6*G36</f>
        <v>1001.5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135</v>
      </c>
      <c r="C37" s="74" t="s">
        <v>28</v>
      </c>
      <c r="D37" s="59" t="s">
        <v>168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si="5"/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105</v>
      </c>
      <c r="C38" s="74" t="s">
        <v>106</v>
      </c>
      <c r="D38" s="59" t="s">
        <v>60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5"/>
        <v>1307.4099999999999</v>
      </c>
      <c r="J38" s="25"/>
      <c r="K38" s="10"/>
      <c r="L38" s="10"/>
      <c r="M38" s="10"/>
    </row>
    <row r="39" spans="1:14" ht="15.75" customHeight="1">
      <c r="A39" s="30">
        <v>6</v>
      </c>
      <c r="B39" s="59" t="s">
        <v>61</v>
      </c>
      <c r="C39" s="74" t="s">
        <v>28</v>
      </c>
      <c r="D39" s="59" t="s">
        <v>169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4"/>
        <v>4.1427101100000003</v>
      </c>
      <c r="I39" s="16">
        <f t="shared" si="5"/>
        <v>690.451685</v>
      </c>
      <c r="J39" s="25"/>
      <c r="K39" s="10"/>
      <c r="L39" s="10"/>
      <c r="M39" s="10"/>
    </row>
    <row r="40" spans="1:14" ht="47.25" customHeight="1">
      <c r="A40" s="30">
        <v>7</v>
      </c>
      <c r="B40" s="59" t="s">
        <v>73</v>
      </c>
      <c r="C40" s="74" t="s">
        <v>92</v>
      </c>
      <c r="D40" s="59" t="s">
        <v>170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4"/>
        <v>15.47729386</v>
      </c>
      <c r="I40" s="16">
        <f t="shared" si="5"/>
        <v>2579.5489766666669</v>
      </c>
      <c r="J40" s="25"/>
      <c r="K40" s="10"/>
      <c r="L40" s="10"/>
      <c r="M40" s="10"/>
    </row>
    <row r="41" spans="1:14" ht="15.75" hidden="1" customHeight="1">
      <c r="A41" s="30">
        <v>8</v>
      </c>
      <c r="B41" s="59" t="s">
        <v>108</v>
      </c>
      <c r="C41" s="74" t="s">
        <v>92</v>
      </c>
      <c r="D41" s="59" t="s">
        <v>171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4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hidden="1" customHeight="1">
      <c r="A42" s="30">
        <v>9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4"/>
        <v>0.389932</v>
      </c>
      <c r="I42" s="16">
        <f>F42/7.5*G42</f>
        <v>51.990933333333338</v>
      </c>
      <c r="J42" s="25"/>
      <c r="K42" s="10"/>
    </row>
    <row r="43" spans="1:14" ht="15.75" customHeight="1">
      <c r="A43" s="208" t="s">
        <v>118</v>
      </c>
      <c r="B43" s="209"/>
      <c r="C43" s="209"/>
      <c r="D43" s="209"/>
      <c r="E43" s="209"/>
      <c r="F43" s="209"/>
      <c r="G43" s="209"/>
      <c r="H43" s="209"/>
      <c r="I43" s="210"/>
      <c r="J43" s="26"/>
    </row>
    <row r="44" spans="1:14" ht="15.75" hidden="1" customHeight="1">
      <c r="A44" s="30"/>
      <c r="B44" s="59" t="s">
        <v>109</v>
      </c>
      <c r="C44" s="74" t="s">
        <v>92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6">SUM(F44*G44/1000)</f>
        <v>3.0159784199999997</v>
      </c>
      <c r="I44" s="16">
        <f t="shared" ref="I44:I46" si="7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92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6"/>
        <v>4.5114615755999994</v>
      </c>
      <c r="I45" s="16">
        <f t="shared" si="7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92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6"/>
        <v>3.2221747648000005</v>
      </c>
      <c r="I46" s="16">
        <f t="shared" si="7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6"/>
        <v>0.16393723199999999</v>
      </c>
      <c r="I47" s="16">
        <f>F47/2*G47</f>
        <v>81.968615999999997</v>
      </c>
      <c r="J47" s="26"/>
    </row>
    <row r="48" spans="1:14" ht="15.75" customHeight="1">
      <c r="A48" s="30">
        <v>8</v>
      </c>
      <c r="B48" s="59" t="s">
        <v>53</v>
      </c>
      <c r="C48" s="74" t="s">
        <v>92</v>
      </c>
      <c r="D48" s="59" t="s">
        <v>172</v>
      </c>
      <c r="E48" s="75">
        <v>2566.6</v>
      </c>
      <c r="F48" s="76">
        <f>SUM(E48*5/1000)</f>
        <v>12.833</v>
      </c>
      <c r="G48" s="16">
        <v>1803.69</v>
      </c>
      <c r="H48" s="77">
        <f t="shared" si="6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110</v>
      </c>
      <c r="C49" s="74" t="s">
        <v>92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6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111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6"/>
        <v>1.2986624000000002</v>
      </c>
      <c r="I50" s="16">
        <f t="shared" ref="I50:I51" si="8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6"/>
        <v>0.14825839999999998</v>
      </c>
      <c r="I51" s="16">
        <f t="shared" si="8"/>
        <v>74.129199999999997</v>
      </c>
      <c r="J51" s="26"/>
      <c r="L51" s="22"/>
      <c r="M51" s="23"/>
      <c r="N51" s="24"/>
    </row>
    <row r="52" spans="1:14" ht="15.75" hidden="1" customHeight="1">
      <c r="A52" s="58">
        <v>13</v>
      </c>
      <c r="B52" s="59" t="s">
        <v>112</v>
      </c>
      <c r="C52" s="74" t="s">
        <v>79</v>
      </c>
      <c r="D52" s="59" t="s">
        <v>63</v>
      </c>
      <c r="E52" s="75">
        <v>60</v>
      </c>
      <c r="F52" s="76">
        <f>E52*3</f>
        <v>180</v>
      </c>
      <c r="G52" s="16">
        <v>185.08</v>
      </c>
      <c r="H52" s="77">
        <f t="shared" si="6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79</v>
      </c>
      <c r="D53" s="59" t="s">
        <v>63</v>
      </c>
      <c r="E53" s="75">
        <v>120</v>
      </c>
      <c r="F53" s="76">
        <f>SUM(E53)*3</f>
        <v>360</v>
      </c>
      <c r="G53" s="16">
        <v>86.15</v>
      </c>
      <c r="H53" s="77">
        <f t="shared" si="6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208" t="s">
        <v>119</v>
      </c>
      <c r="B54" s="211"/>
      <c r="C54" s="211"/>
      <c r="D54" s="211"/>
      <c r="E54" s="211"/>
      <c r="F54" s="211"/>
      <c r="G54" s="211"/>
      <c r="H54" s="211"/>
      <c r="I54" s="212"/>
      <c r="J54" s="26"/>
      <c r="L54" s="22"/>
      <c r="M54" s="23"/>
      <c r="N54" s="24"/>
    </row>
    <row r="55" spans="1:14" ht="17.25" hidden="1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3" hidden="1" customHeight="1">
      <c r="A56" s="58">
        <v>11</v>
      </c>
      <c r="B56" s="59" t="s">
        <v>113</v>
      </c>
      <c r="C56" s="74" t="s">
        <v>83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F56/6*G56</f>
        <v>388.98879999999997</v>
      </c>
      <c r="J56" s="26"/>
      <c r="L56" s="22"/>
      <c r="M56" s="23"/>
      <c r="N56" s="24"/>
    </row>
    <row r="57" spans="1:14" ht="5.25" hidden="1" customHeight="1">
      <c r="A57" s="58">
        <v>16</v>
      </c>
      <c r="B57" s="83" t="s">
        <v>101</v>
      </c>
      <c r="C57" s="84" t="s">
        <v>102</v>
      </c>
      <c r="D57" s="83" t="s">
        <v>60</v>
      </c>
      <c r="E57" s="85"/>
      <c r="F57" s="86">
        <v>2</v>
      </c>
      <c r="G57" s="16">
        <v>1582.05</v>
      </c>
      <c r="H57" s="77">
        <f t="shared" ref="H57" si="9">SUM(F57*G57/1000)</f>
        <v>3.1640999999999999</v>
      </c>
      <c r="I57" s="16">
        <f>G57</f>
        <v>1582.05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115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10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9</v>
      </c>
      <c r="B60" s="62" t="s">
        <v>138</v>
      </c>
      <c r="C60" s="56" t="s">
        <v>139</v>
      </c>
      <c r="D60" s="62" t="s">
        <v>172</v>
      </c>
      <c r="E60" s="118">
        <v>48</v>
      </c>
      <c r="F60" s="35">
        <f>SUM(E60)*12</f>
        <v>576</v>
      </c>
      <c r="G60" s="39">
        <v>1.4</v>
      </c>
      <c r="H60" s="117">
        <f t="shared" ref="H60" si="11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100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291.68</v>
      </c>
      <c r="H62" s="89">
        <f t="shared" ref="H62:H70" si="12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79</v>
      </c>
      <c r="D63" s="83" t="s">
        <v>60</v>
      </c>
      <c r="E63" s="21">
        <v>5</v>
      </c>
      <c r="F63" s="76">
        <f>E63</f>
        <v>5</v>
      </c>
      <c r="G63" s="16">
        <v>100.01</v>
      </c>
      <c r="H63" s="89">
        <f t="shared" si="12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95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2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96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2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2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97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2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98</v>
      </c>
      <c r="C68" s="19" t="s">
        <v>31</v>
      </c>
      <c r="D68" s="17"/>
      <c r="E68" s="75">
        <f>E67</f>
        <v>9.6</v>
      </c>
      <c r="F68" s="76">
        <f t="shared" ref="F68:F69" si="13">E68</f>
        <v>9.6</v>
      </c>
      <c r="G68" s="16">
        <v>46.04</v>
      </c>
      <c r="H68" s="89">
        <f t="shared" si="12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17" t="s">
        <v>54</v>
      </c>
      <c r="C69" s="137" t="s">
        <v>55</v>
      </c>
      <c r="D69" s="138" t="s">
        <v>51</v>
      </c>
      <c r="E69" s="139">
        <v>3</v>
      </c>
      <c r="F69" s="88">
        <f t="shared" si="13"/>
        <v>3</v>
      </c>
      <c r="G69" s="92">
        <v>65.42</v>
      </c>
      <c r="H69" s="89">
        <f t="shared" si="12"/>
        <v>0.19625999999999999</v>
      </c>
      <c r="I69" s="16">
        <v>0</v>
      </c>
      <c r="J69" s="26"/>
      <c r="L69" s="22"/>
      <c r="M69" s="23"/>
      <c r="N69" s="24"/>
    </row>
    <row r="70" spans="1:14" ht="30.75" customHeight="1">
      <c r="A70" s="58">
        <v>10</v>
      </c>
      <c r="B70" s="17" t="s">
        <v>140</v>
      </c>
      <c r="C70" s="30" t="s">
        <v>141</v>
      </c>
      <c r="D70" s="17"/>
      <c r="E70" s="21">
        <v>2566.6</v>
      </c>
      <c r="F70" s="16">
        <f>SUM(E70)*12</f>
        <v>30799.199999999997</v>
      </c>
      <c r="G70" s="16">
        <v>2.2799999999999998</v>
      </c>
      <c r="H70" s="89">
        <f t="shared" si="12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100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142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143</v>
      </c>
      <c r="C75" s="64" t="s">
        <v>79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100</v>
      </c>
      <c r="H76" s="89" t="s">
        <v>100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99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93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94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208" t="s">
        <v>120</v>
      </c>
      <c r="B80" s="213"/>
      <c r="C80" s="213"/>
      <c r="D80" s="213"/>
      <c r="E80" s="213"/>
      <c r="F80" s="213"/>
      <c r="G80" s="213"/>
      <c r="H80" s="213"/>
      <c r="I80" s="214"/>
      <c r="J80" s="26"/>
      <c r="L80" s="22"/>
      <c r="M80" s="23"/>
      <c r="N80" s="24"/>
    </row>
    <row r="81" spans="1:14" ht="15.75" customHeight="1">
      <c r="A81" s="58">
        <v>11</v>
      </c>
      <c r="B81" s="36" t="s">
        <v>116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12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I82+I81+I70+I60+I48+I40+I39+I37+I26+I18+I17+I16</f>
        <v>41683.845898999993</v>
      </c>
      <c r="J83" s="26"/>
      <c r="L83" s="22"/>
      <c r="M83" s="23"/>
      <c r="N83" s="24"/>
    </row>
    <row r="84" spans="1:14" ht="15.75" customHeight="1">
      <c r="A84" s="215" t="s">
        <v>56</v>
      </c>
      <c r="B84" s="216"/>
      <c r="C84" s="216"/>
      <c r="D84" s="216"/>
      <c r="E84" s="216"/>
      <c r="F84" s="216"/>
      <c r="G84" s="216"/>
      <c r="H84" s="216"/>
      <c r="I84" s="217"/>
      <c r="J84" s="26"/>
      <c r="L84" s="22"/>
      <c r="M84" s="23"/>
      <c r="N84" s="24"/>
    </row>
    <row r="85" spans="1:14" ht="31.5" customHeight="1">
      <c r="A85" s="58">
        <v>13</v>
      </c>
      <c r="B85" s="120" t="s">
        <v>159</v>
      </c>
      <c r="C85" s="64" t="s">
        <v>92</v>
      </c>
      <c r="D85" s="140"/>
      <c r="E85" s="39"/>
      <c r="F85" s="168">
        <f>12*0.599/1000</f>
        <v>7.1879999999999999E-3</v>
      </c>
      <c r="G85" s="158">
        <v>21369.24</v>
      </c>
      <c r="H85" s="89">
        <f>G85*F85/1000</f>
        <v>0.15360209712</v>
      </c>
      <c r="I85" s="16">
        <f>G85*0.599*12/1000</f>
        <v>153.60209712</v>
      </c>
      <c r="J85" s="26"/>
      <c r="L85" s="22"/>
      <c r="M85" s="23"/>
      <c r="N85" s="24"/>
    </row>
    <row r="86" spans="1:14" ht="15.75" customHeight="1">
      <c r="A86" s="58">
        <v>14</v>
      </c>
      <c r="B86" s="120" t="s">
        <v>192</v>
      </c>
      <c r="C86" s="64" t="s">
        <v>193</v>
      </c>
      <c r="D86" s="140" t="s">
        <v>198</v>
      </c>
      <c r="E86" s="39"/>
      <c r="F86" s="39">
        <v>1</v>
      </c>
      <c r="G86" s="39">
        <v>244.17</v>
      </c>
      <c r="H86" s="89"/>
      <c r="I86" s="16">
        <f>G86*1</f>
        <v>244.17</v>
      </c>
      <c r="J86" s="26"/>
      <c r="L86" s="22"/>
      <c r="M86" s="23"/>
      <c r="N86" s="24"/>
    </row>
    <row r="87" spans="1:14" ht="37.5" customHeight="1">
      <c r="A87" s="58">
        <v>15</v>
      </c>
      <c r="B87" s="120" t="s">
        <v>194</v>
      </c>
      <c r="C87" s="64" t="s">
        <v>179</v>
      </c>
      <c r="D87" s="41" t="s">
        <v>200</v>
      </c>
      <c r="E87" s="39"/>
      <c r="F87" s="39">
        <v>2</v>
      </c>
      <c r="G87" s="39">
        <v>231.54</v>
      </c>
      <c r="H87" s="89"/>
      <c r="I87" s="16">
        <f>G87*2</f>
        <v>463.08</v>
      </c>
      <c r="J87" s="26"/>
      <c r="L87" s="22"/>
      <c r="M87" s="23"/>
      <c r="N87" s="24"/>
    </row>
    <row r="88" spans="1:14" ht="18.75" customHeight="1">
      <c r="A88" s="58">
        <v>16</v>
      </c>
      <c r="B88" s="120" t="s">
        <v>145</v>
      </c>
      <c r="C88" s="64" t="s">
        <v>79</v>
      </c>
      <c r="D88" s="140"/>
      <c r="E88" s="39"/>
      <c r="F88" s="39">
        <v>2</v>
      </c>
      <c r="G88" s="39">
        <v>224.48</v>
      </c>
      <c r="H88" s="89"/>
      <c r="I88" s="16">
        <f>G88*2</f>
        <v>448.96</v>
      </c>
      <c r="J88" s="26"/>
      <c r="L88" s="22"/>
      <c r="M88" s="23"/>
      <c r="N88" s="24"/>
    </row>
    <row r="89" spans="1:14" ht="18.75" customHeight="1">
      <c r="A89" s="58">
        <v>17</v>
      </c>
      <c r="B89" s="120" t="s">
        <v>195</v>
      </c>
      <c r="C89" s="64" t="s">
        <v>29</v>
      </c>
      <c r="D89" s="140" t="s">
        <v>197</v>
      </c>
      <c r="E89" s="39"/>
      <c r="F89" s="39">
        <v>1</v>
      </c>
      <c r="G89" s="39">
        <v>362.5</v>
      </c>
      <c r="H89" s="89"/>
      <c r="I89" s="16">
        <f>G89*1</f>
        <v>362.5</v>
      </c>
      <c r="J89" s="26"/>
      <c r="L89" s="22"/>
      <c r="M89" s="23"/>
      <c r="N89" s="24"/>
    </row>
    <row r="90" spans="1:14" ht="30.75" customHeight="1">
      <c r="A90" s="58">
        <v>18</v>
      </c>
      <c r="B90" s="120" t="s">
        <v>187</v>
      </c>
      <c r="C90" s="64" t="s">
        <v>160</v>
      </c>
      <c r="D90" s="140" t="s">
        <v>199</v>
      </c>
      <c r="E90" s="39"/>
      <c r="F90" s="39">
        <v>1.5</v>
      </c>
      <c r="G90" s="39">
        <v>1478.55</v>
      </c>
      <c r="H90" s="89"/>
      <c r="I90" s="16">
        <f>G90*1.5</f>
        <v>2217.8249999999998</v>
      </c>
      <c r="J90" s="26"/>
      <c r="L90" s="22"/>
      <c r="M90" s="23"/>
      <c r="N90" s="24"/>
    </row>
    <row r="91" spans="1:14" ht="18.75" customHeight="1">
      <c r="A91" s="58">
        <v>19</v>
      </c>
      <c r="B91" s="120" t="s">
        <v>155</v>
      </c>
      <c r="C91" s="64" t="s">
        <v>160</v>
      </c>
      <c r="D91" s="140" t="s">
        <v>196</v>
      </c>
      <c r="E91" s="39"/>
      <c r="F91" s="39">
        <v>29</v>
      </c>
      <c r="G91" s="39">
        <v>295.36</v>
      </c>
      <c r="H91" s="89"/>
      <c r="I91" s="16">
        <v>0</v>
      </c>
      <c r="J91" s="26"/>
      <c r="L91" s="22"/>
      <c r="M91" s="23"/>
      <c r="N91" s="24"/>
    </row>
    <row r="92" spans="1:14" ht="15.75" customHeight="1">
      <c r="A92" s="30">
        <v>20</v>
      </c>
      <c r="B92" s="120" t="s">
        <v>182</v>
      </c>
      <c r="C92" s="64" t="s">
        <v>158</v>
      </c>
      <c r="D92" s="140"/>
      <c r="E92" s="39"/>
      <c r="F92" s="39">
        <v>5</v>
      </c>
      <c r="G92" s="39">
        <v>236.06</v>
      </c>
      <c r="H92" s="46"/>
      <c r="I92" s="21">
        <f>G92*5</f>
        <v>1180.3</v>
      </c>
      <c r="J92" s="26"/>
      <c r="L92" s="22"/>
      <c r="M92" s="23"/>
      <c r="N92" s="24"/>
    </row>
    <row r="93" spans="1:14" ht="15.75" customHeight="1">
      <c r="A93" s="30"/>
      <c r="B93" s="50" t="s">
        <v>49</v>
      </c>
      <c r="C93" s="46"/>
      <c r="D93" s="57"/>
      <c r="E93" s="46">
        <v>1</v>
      </c>
      <c r="F93" s="46"/>
      <c r="G93" s="34"/>
      <c r="H93" s="46"/>
      <c r="I93" s="34">
        <f>SUM(I85:I92)</f>
        <v>5070.4370971199996</v>
      </c>
      <c r="J93" s="26"/>
      <c r="L93" s="22"/>
      <c r="M93" s="23"/>
      <c r="N93" s="24"/>
    </row>
    <row r="94" spans="1:14" ht="15.75" customHeight="1">
      <c r="A94" s="30"/>
      <c r="B94" s="52" t="s">
        <v>71</v>
      </c>
      <c r="C94" s="18"/>
      <c r="D94" s="18"/>
      <c r="E94" s="47"/>
      <c r="F94" s="48"/>
      <c r="G94" s="20"/>
      <c r="H94" s="72"/>
      <c r="I94" s="21">
        <v>0</v>
      </c>
      <c r="J94" s="26"/>
      <c r="L94" s="22"/>
      <c r="M94" s="23"/>
      <c r="N94" s="24"/>
    </row>
    <row r="95" spans="1:14" ht="15.75" customHeight="1">
      <c r="A95" s="73"/>
      <c r="B95" s="51" t="s">
        <v>134</v>
      </c>
      <c r="C95" s="37"/>
      <c r="D95" s="37"/>
      <c r="E95" s="37"/>
      <c r="F95" s="37"/>
      <c r="G95" s="49"/>
      <c r="H95" s="38"/>
      <c r="I95" s="34">
        <f>I93+I83</f>
        <v>46754.28299611999</v>
      </c>
      <c r="J95" s="26"/>
      <c r="L95" s="22"/>
      <c r="M95" s="23"/>
      <c r="N95" s="24"/>
    </row>
    <row r="96" spans="1:14" ht="15.75" customHeight="1">
      <c r="A96" s="200" t="s">
        <v>201</v>
      </c>
      <c r="B96" s="200"/>
      <c r="C96" s="200"/>
      <c r="D96" s="200"/>
      <c r="E96" s="200"/>
      <c r="F96" s="200"/>
      <c r="G96" s="200"/>
      <c r="H96" s="200"/>
      <c r="I96" s="200"/>
      <c r="J96" s="26"/>
      <c r="L96" s="22"/>
      <c r="M96" s="23"/>
      <c r="N96" s="24"/>
    </row>
    <row r="97" spans="1:22" ht="15.75" customHeight="1">
      <c r="A97" s="12"/>
      <c r="B97" s="218" t="s">
        <v>202</v>
      </c>
      <c r="C97" s="218"/>
      <c r="D97" s="218"/>
      <c r="E97" s="218"/>
      <c r="F97" s="218"/>
      <c r="G97" s="218"/>
      <c r="H97" s="131"/>
      <c r="I97" s="4"/>
      <c r="J97" s="26"/>
      <c r="L97" s="22"/>
    </row>
    <row r="98" spans="1:22" ht="15.75" customHeight="1">
      <c r="A98" s="65"/>
      <c r="B98" s="202" t="s">
        <v>6</v>
      </c>
      <c r="C98" s="202"/>
      <c r="D98" s="202"/>
      <c r="E98" s="202"/>
      <c r="F98" s="202"/>
      <c r="G98" s="202"/>
      <c r="H98" s="27"/>
      <c r="I98" s="54"/>
    </row>
    <row r="99" spans="1:22" ht="15.75" customHeight="1">
      <c r="A99" s="55"/>
      <c r="B99" s="55"/>
      <c r="C99" s="55"/>
      <c r="D99" s="55"/>
      <c r="E99" s="55"/>
      <c r="F99" s="55"/>
      <c r="G99" s="55"/>
      <c r="H99" s="55"/>
      <c r="I99" s="55"/>
    </row>
    <row r="100" spans="1:22" ht="15.75" customHeight="1">
      <c r="A100" s="219" t="s">
        <v>7</v>
      </c>
      <c r="B100" s="219"/>
      <c r="C100" s="219"/>
      <c r="D100" s="219"/>
      <c r="E100" s="219"/>
      <c r="F100" s="219"/>
      <c r="G100" s="219"/>
      <c r="H100" s="219"/>
      <c r="I100" s="219"/>
    </row>
    <row r="101" spans="1:22" ht="15.75" customHeight="1">
      <c r="A101" s="219" t="s">
        <v>8</v>
      </c>
      <c r="B101" s="219"/>
      <c r="C101" s="219"/>
      <c r="D101" s="219"/>
      <c r="E101" s="219"/>
      <c r="F101" s="219"/>
      <c r="G101" s="219"/>
      <c r="H101" s="219"/>
      <c r="I101" s="21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200" t="s">
        <v>9</v>
      </c>
      <c r="B102" s="200"/>
      <c r="C102" s="200"/>
      <c r="D102" s="200"/>
      <c r="E102" s="200"/>
      <c r="F102" s="200"/>
      <c r="G102" s="200"/>
      <c r="H102" s="200"/>
      <c r="I102" s="200"/>
      <c r="J102" s="28"/>
      <c r="K102" s="28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 customHeight="1">
      <c r="A103" s="14"/>
      <c r="B103" s="53"/>
      <c r="C103" s="53"/>
      <c r="D103" s="53"/>
      <c r="E103" s="53"/>
      <c r="F103" s="53"/>
      <c r="G103" s="53"/>
      <c r="H103" s="53"/>
      <c r="I103" s="53"/>
      <c r="J103" s="6"/>
      <c r="K103" s="6"/>
      <c r="L103" s="6"/>
      <c r="M103" s="6"/>
      <c r="N103" s="6"/>
      <c r="O103" s="6"/>
      <c r="P103" s="6"/>
      <c r="Q103" s="6"/>
      <c r="R103" s="198"/>
      <c r="S103" s="198"/>
      <c r="T103" s="198"/>
      <c r="U103" s="198"/>
    </row>
    <row r="104" spans="1:22" ht="15.75" customHeight="1">
      <c r="A104" s="199" t="s">
        <v>10</v>
      </c>
      <c r="B104" s="199"/>
      <c r="C104" s="199"/>
      <c r="D104" s="199"/>
      <c r="E104" s="199"/>
      <c r="F104" s="199"/>
      <c r="G104" s="199"/>
      <c r="H104" s="199"/>
      <c r="I104" s="199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2" ht="15.75" customHeight="1">
      <c r="A105" s="5"/>
      <c r="B105" s="53"/>
      <c r="C105" s="53"/>
      <c r="D105" s="53"/>
      <c r="E105" s="53"/>
      <c r="F105" s="53"/>
      <c r="G105" s="53"/>
      <c r="H105" s="53"/>
      <c r="I105" s="53"/>
    </row>
    <row r="106" spans="1:22" ht="15.75" customHeight="1">
      <c r="A106" s="200" t="s">
        <v>11</v>
      </c>
      <c r="B106" s="200"/>
      <c r="C106" s="201" t="s">
        <v>190</v>
      </c>
      <c r="D106" s="201"/>
      <c r="E106" s="201"/>
      <c r="F106" s="67"/>
      <c r="I106" s="134"/>
    </row>
    <row r="107" spans="1:22" ht="15.75" customHeight="1">
      <c r="A107" s="65"/>
      <c r="B107" s="53"/>
      <c r="C107" s="202" t="s">
        <v>12</v>
      </c>
      <c r="D107" s="202"/>
      <c r="E107" s="202"/>
      <c r="F107" s="27"/>
      <c r="I107" s="132" t="s">
        <v>13</v>
      </c>
    </row>
    <row r="108" spans="1:22" ht="15.75" customHeight="1">
      <c r="A108" s="28"/>
      <c r="B108" s="53"/>
      <c r="C108" s="15"/>
      <c r="D108" s="15"/>
      <c r="G108" s="15"/>
      <c r="H108" s="15"/>
    </row>
    <row r="109" spans="1:22" ht="15.75" customHeight="1">
      <c r="A109" s="200" t="s">
        <v>14</v>
      </c>
      <c r="B109" s="200"/>
      <c r="C109" s="203"/>
      <c r="D109" s="203"/>
      <c r="E109" s="203"/>
      <c r="F109" s="68"/>
      <c r="I109" s="134"/>
    </row>
    <row r="110" spans="1:22" ht="15.75" customHeight="1">
      <c r="A110" s="135"/>
      <c r="C110" s="198" t="s">
        <v>12</v>
      </c>
      <c r="D110" s="198"/>
      <c r="E110" s="198"/>
      <c r="F110" s="135"/>
      <c r="I110" s="132" t="s">
        <v>13</v>
      </c>
    </row>
    <row r="111" spans="1:22" ht="15.75" customHeight="1">
      <c r="A111" s="5" t="s">
        <v>15</v>
      </c>
    </row>
    <row r="112" spans="1:22">
      <c r="A112" s="204" t="s">
        <v>16</v>
      </c>
      <c r="B112" s="204"/>
      <c r="C112" s="204"/>
      <c r="D112" s="204"/>
      <c r="E112" s="204"/>
      <c r="F112" s="204"/>
      <c r="G112" s="204"/>
      <c r="H112" s="204"/>
      <c r="I112" s="204"/>
    </row>
    <row r="113" spans="1:9" ht="45" customHeight="1">
      <c r="A113" s="197" t="s">
        <v>17</v>
      </c>
      <c r="B113" s="197"/>
      <c r="C113" s="197"/>
      <c r="D113" s="197"/>
      <c r="E113" s="197"/>
      <c r="F113" s="197"/>
      <c r="G113" s="197"/>
      <c r="H113" s="197"/>
      <c r="I113" s="197"/>
    </row>
    <row r="114" spans="1:9" ht="30" customHeight="1">
      <c r="A114" s="197" t="s">
        <v>18</v>
      </c>
      <c r="B114" s="197"/>
      <c r="C114" s="197"/>
      <c r="D114" s="197"/>
      <c r="E114" s="197"/>
      <c r="F114" s="197"/>
      <c r="G114" s="197"/>
      <c r="H114" s="197"/>
      <c r="I114" s="197"/>
    </row>
    <row r="115" spans="1:9" ht="30" customHeight="1">
      <c r="A115" s="197" t="s">
        <v>22</v>
      </c>
      <c r="B115" s="197"/>
      <c r="C115" s="197"/>
      <c r="D115" s="197"/>
      <c r="E115" s="197"/>
      <c r="F115" s="197"/>
      <c r="G115" s="197"/>
      <c r="H115" s="197"/>
      <c r="I115" s="197"/>
    </row>
    <row r="116" spans="1:9" ht="15" customHeight="1">
      <c r="A116" s="197" t="s">
        <v>21</v>
      </c>
      <c r="B116" s="197"/>
      <c r="C116" s="197"/>
      <c r="D116" s="197"/>
      <c r="E116" s="197"/>
      <c r="F116" s="197"/>
      <c r="G116" s="197"/>
      <c r="H116" s="197"/>
      <c r="I116" s="197"/>
    </row>
  </sheetData>
  <autoFilter ref="I15:I99"/>
  <mergeCells count="31">
    <mergeCell ref="A14:I14"/>
    <mergeCell ref="A3:I3"/>
    <mergeCell ref="A4:I4"/>
    <mergeCell ref="A5:I5"/>
    <mergeCell ref="A8:I8"/>
    <mergeCell ref="A10:I10"/>
    <mergeCell ref="A102:I102"/>
    <mergeCell ref="A15:I15"/>
    <mergeCell ref="A27:I27"/>
    <mergeCell ref="A43:I43"/>
    <mergeCell ref="A54:I54"/>
    <mergeCell ref="A80:I80"/>
    <mergeCell ref="A84:I84"/>
    <mergeCell ref="A96:I96"/>
    <mergeCell ref="B97:G97"/>
    <mergeCell ref="B98:G98"/>
    <mergeCell ref="A100:I100"/>
    <mergeCell ref="A101:I101"/>
    <mergeCell ref="A116:I116"/>
    <mergeCell ref="R103:U103"/>
    <mergeCell ref="A104:I104"/>
    <mergeCell ref="A106:B106"/>
    <mergeCell ref="C106:E106"/>
    <mergeCell ref="C107:E107"/>
    <mergeCell ref="A109:B109"/>
    <mergeCell ref="C109:E109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62" workbookViewId="0">
      <selection activeCell="G100" sqref="G100"/>
    </sheetView>
  </sheetViews>
  <sheetFormatPr defaultRowHeight="15"/>
  <cols>
    <col min="1" max="1" width="7.5703125" customWidth="1"/>
    <col min="2" max="2" width="51.85546875" customWidth="1"/>
    <col min="3" max="3" width="18.42578125" customWidth="1"/>
    <col min="4" max="4" width="22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150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288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44500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 ht="15.75" customHeight="1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30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151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4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5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21" hidden="1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21.75" hidden="1" customHeight="1">
      <c r="A43" s="30">
        <v>12</v>
      </c>
      <c r="B43" s="59" t="s">
        <v>109</v>
      </c>
      <c r="C43" s="74" t="s">
        <v>92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22.5" hidden="1" customHeight="1">
      <c r="A44" s="30">
        <v>13</v>
      </c>
      <c r="B44" s="59" t="s">
        <v>34</v>
      </c>
      <c r="C44" s="74" t="s">
        <v>92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21.75" hidden="1" customHeight="1">
      <c r="A45" s="30">
        <v>14</v>
      </c>
      <c r="B45" s="59" t="s">
        <v>35</v>
      </c>
      <c r="C45" s="74" t="s">
        <v>92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22.5" hidden="1" customHeight="1">
      <c r="A46" s="30">
        <v>15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29.25" hidden="1" customHeight="1">
      <c r="A47" s="30">
        <v>16</v>
      </c>
      <c r="B47" s="59" t="s">
        <v>53</v>
      </c>
      <c r="C47" s="74" t="s">
        <v>92</v>
      </c>
      <c r="D47" s="59" t="s">
        <v>133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29.25" hidden="1" customHeight="1">
      <c r="A48" s="30">
        <v>9</v>
      </c>
      <c r="B48" s="59" t="s">
        <v>110</v>
      </c>
      <c r="C48" s="74" t="s">
        <v>92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3" hidden="1" customHeight="1">
      <c r="A49" s="30">
        <v>10</v>
      </c>
      <c r="B49" s="59" t="s">
        <v>111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8" hidden="1" customHeight="1">
      <c r="A50" s="30">
        <v>11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21" hidden="1" customHeight="1">
      <c r="A51" s="30">
        <v>20</v>
      </c>
      <c r="B51" s="59" t="s">
        <v>112</v>
      </c>
      <c r="C51" s="74" t="s">
        <v>79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21" hidden="1" customHeight="1">
      <c r="A52" s="30">
        <v>21</v>
      </c>
      <c r="B52" s="59" t="s">
        <v>39</v>
      </c>
      <c r="C52" s="74" t="s">
        <v>79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78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101</v>
      </c>
      <c r="C56" s="84" t="s">
        <v>102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6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7.25" hidden="1" customHeight="1">
      <c r="A61" s="58">
        <v>8</v>
      </c>
      <c r="B61" s="17" t="s">
        <v>44</v>
      </c>
      <c r="C61" s="19" t="s">
        <v>79</v>
      </c>
      <c r="D61" s="83" t="s">
        <v>172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G61*2</f>
        <v>583.36</v>
      </c>
      <c r="J61" s="26"/>
      <c r="L61" s="22"/>
      <c r="M61" s="23"/>
      <c r="N61" s="24"/>
    </row>
    <row r="62" spans="1:14" ht="18" customHeight="1">
      <c r="A62" s="58">
        <v>7</v>
      </c>
      <c r="B62" s="17" t="s">
        <v>45</v>
      </c>
      <c r="C62" s="19" t="s">
        <v>79</v>
      </c>
      <c r="D62" s="83" t="s">
        <v>172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f>G62*1</f>
        <v>100.01</v>
      </c>
      <c r="J62" s="26"/>
      <c r="L62" s="22"/>
      <c r="M62" s="23"/>
      <c r="N62" s="24"/>
    </row>
    <row r="63" spans="1:14" ht="18" hidden="1" customHeight="1">
      <c r="A63" s="58">
        <v>25</v>
      </c>
      <c r="B63" s="17" t="s">
        <v>46</v>
      </c>
      <c r="C63" s="19" t="s">
        <v>95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" hidden="1" customHeight="1">
      <c r="A64" s="58">
        <v>26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8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8.75" hidden="1" customHeight="1">
      <c r="A66" s="58">
        <v>28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9.5" hidden="1" customHeight="1">
      <c r="A67" s="58">
        <v>29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7.25" hidden="1" customHeight="1">
      <c r="A68" s="58">
        <v>24</v>
      </c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30" customHeight="1">
      <c r="A69" s="58">
        <v>8</v>
      </c>
      <c r="B69" s="17" t="s">
        <v>140</v>
      </c>
      <c r="C69" s="30" t="s">
        <v>141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100</v>
      </c>
      <c r="I70" s="16"/>
      <c r="J70" s="26"/>
      <c r="L70" s="22"/>
      <c r="M70" s="23"/>
      <c r="N70" s="24"/>
    </row>
    <row r="71" spans="1:14" ht="15" hidden="1" customHeight="1">
      <c r="A71" s="58"/>
      <c r="B71" s="41" t="s">
        <v>142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7.25" hidden="1" customHeight="1">
      <c r="A73" s="70">
        <v>15</v>
      </c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20.25" hidden="1" customHeight="1">
      <c r="A74" s="58"/>
      <c r="B74" s="120" t="s">
        <v>143</v>
      </c>
      <c r="C74" s="64" t="s">
        <v>79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8.75" hidden="1" customHeight="1">
      <c r="A75" s="58"/>
      <c r="B75" s="95" t="s">
        <v>68</v>
      </c>
      <c r="C75" s="19"/>
      <c r="D75" s="17"/>
      <c r="E75" s="21"/>
      <c r="F75" s="16"/>
      <c r="G75" s="16" t="s">
        <v>100</v>
      </c>
      <c r="H75" s="89" t="s">
        <v>100</v>
      </c>
      <c r="I75" s="16"/>
      <c r="J75" s="26"/>
      <c r="L75" s="22"/>
      <c r="M75" s="23"/>
      <c r="N75" s="24"/>
    </row>
    <row r="76" spans="1:14" ht="17.25" hidden="1" customHeight="1">
      <c r="A76" s="58">
        <v>16</v>
      </c>
      <c r="B76" s="43" t="s">
        <v>99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f>G76*0.03</f>
        <v>108.5727</v>
      </c>
      <c r="J76" s="26"/>
      <c r="L76" s="22"/>
      <c r="M76" s="23"/>
      <c r="N76" s="24"/>
    </row>
    <row r="77" spans="1:14" ht="20.25" hidden="1" customHeight="1">
      <c r="A77" s="58"/>
      <c r="B77" s="66" t="s">
        <v>93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20.25" hidden="1" customHeight="1">
      <c r="A78" s="58">
        <v>10</v>
      </c>
      <c r="B78" s="59" t="s">
        <v>94</v>
      </c>
      <c r="C78" s="19"/>
      <c r="D78" s="17"/>
      <c r="E78" s="91"/>
      <c r="F78" s="16">
        <v>1</v>
      </c>
      <c r="G78" s="16">
        <v>607</v>
      </c>
      <c r="H78" s="89">
        <f>G78*F78/1000</f>
        <v>0.60699999999999998</v>
      </c>
      <c r="I78" s="16">
        <f>G78</f>
        <v>607</v>
      </c>
      <c r="J78" s="26"/>
      <c r="L78" s="22"/>
      <c r="M78" s="23"/>
      <c r="N78" s="24"/>
    </row>
    <row r="79" spans="1:14" ht="15.75" customHeight="1">
      <c r="A79" s="208" t="s">
        <v>125</v>
      </c>
      <c r="B79" s="213"/>
      <c r="C79" s="213"/>
      <c r="D79" s="213"/>
      <c r="E79" s="213"/>
      <c r="F79" s="213"/>
      <c r="G79" s="213"/>
      <c r="H79" s="213"/>
      <c r="I79" s="214"/>
      <c r="J79" s="26"/>
      <c r="L79" s="22"/>
      <c r="M79" s="23"/>
      <c r="N79" s="24"/>
    </row>
    <row r="80" spans="1:14" ht="15.75" customHeight="1">
      <c r="A80" s="58">
        <v>9</v>
      </c>
      <c r="B80" s="36" t="s">
        <v>116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10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I81+I80+I69+I62+I59+I30+I29+I18+I17+I16</f>
        <v>32930.863020999997</v>
      </c>
      <c r="J82" s="26"/>
      <c r="L82" s="22"/>
      <c r="M82" s="23"/>
      <c r="N82" s="24"/>
    </row>
    <row r="83" spans="1:14" ht="15.75" customHeight="1">
      <c r="A83" s="215" t="s">
        <v>56</v>
      </c>
      <c r="B83" s="216"/>
      <c r="C83" s="216"/>
      <c r="D83" s="216"/>
      <c r="E83" s="216"/>
      <c r="F83" s="216"/>
      <c r="G83" s="216"/>
      <c r="H83" s="216"/>
      <c r="I83" s="217"/>
      <c r="J83" s="26"/>
      <c r="L83" s="22"/>
      <c r="M83" s="23"/>
      <c r="N83" s="24"/>
    </row>
    <row r="84" spans="1:14" ht="18" customHeight="1">
      <c r="A84" s="58">
        <v>11</v>
      </c>
      <c r="B84" s="120" t="s">
        <v>289</v>
      </c>
      <c r="C84" s="64" t="s">
        <v>28</v>
      </c>
      <c r="D84" s="140"/>
      <c r="E84" s="39"/>
      <c r="F84" s="39">
        <v>0.24</v>
      </c>
      <c r="G84" s="39">
        <v>755.33</v>
      </c>
      <c r="H84" s="119"/>
      <c r="I84" s="130">
        <f>G84*0.24</f>
        <v>181.2792</v>
      </c>
      <c r="J84" s="26"/>
      <c r="L84" s="22"/>
      <c r="M84" s="23"/>
      <c r="N84" s="24"/>
    </row>
    <row r="85" spans="1:14" ht="34.5" customHeight="1">
      <c r="A85" s="58">
        <v>12</v>
      </c>
      <c r="B85" s="120" t="s">
        <v>161</v>
      </c>
      <c r="C85" s="64" t="s">
        <v>162</v>
      </c>
      <c r="D85" s="140" t="s">
        <v>223</v>
      </c>
      <c r="E85" s="39"/>
      <c r="F85" s="39">
        <v>3</v>
      </c>
      <c r="G85" s="39">
        <v>64.040000000000006</v>
      </c>
      <c r="H85" s="119"/>
      <c r="I85" s="130">
        <f>G85*1</f>
        <v>64.040000000000006</v>
      </c>
      <c r="J85" s="26"/>
      <c r="L85" s="22"/>
      <c r="M85" s="23"/>
      <c r="N85" s="24"/>
    </row>
    <row r="86" spans="1:14" ht="15" customHeight="1">
      <c r="A86" s="58">
        <v>13</v>
      </c>
      <c r="B86" s="120" t="s">
        <v>243</v>
      </c>
      <c r="C86" s="64" t="s">
        <v>28</v>
      </c>
      <c r="D86" s="140"/>
      <c r="E86" s="39"/>
      <c r="F86" s="39">
        <f>2.65+2.65+2.65+2.65+2.65+2.65</f>
        <v>15.9</v>
      </c>
      <c r="G86" s="39">
        <v>241.69</v>
      </c>
      <c r="H86" s="119"/>
      <c r="I86" s="130">
        <f>G86*2.65*2</f>
        <v>1280.9569999999999</v>
      </c>
      <c r="J86" s="26"/>
      <c r="L86" s="22"/>
      <c r="M86" s="23"/>
      <c r="N86" s="24"/>
    </row>
    <row r="87" spans="1:14" ht="15" customHeight="1">
      <c r="A87" s="58">
        <v>14</v>
      </c>
      <c r="B87" s="120" t="s">
        <v>37</v>
      </c>
      <c r="C87" s="64" t="s">
        <v>290</v>
      </c>
      <c r="D87" s="140" t="s">
        <v>172</v>
      </c>
      <c r="E87" s="39"/>
      <c r="F87" s="39">
        <v>0.01</v>
      </c>
      <c r="G87" s="39">
        <v>8763.7900000000009</v>
      </c>
      <c r="H87" s="119"/>
      <c r="I87" s="130">
        <v>0</v>
      </c>
      <c r="J87" s="26"/>
      <c r="L87" s="22"/>
      <c r="M87" s="23"/>
      <c r="N87" s="24"/>
    </row>
    <row r="88" spans="1:14" ht="15" hidden="1" customHeight="1">
      <c r="A88" s="58"/>
      <c r="B88" s="120"/>
      <c r="C88" s="64"/>
      <c r="D88" s="140"/>
      <c r="E88" s="39"/>
      <c r="F88" s="168"/>
      <c r="G88" s="39"/>
      <c r="H88" s="119"/>
      <c r="I88" s="130"/>
      <c r="J88" s="26"/>
      <c r="L88" s="22"/>
      <c r="M88" s="23"/>
      <c r="N88" s="24"/>
    </row>
    <row r="89" spans="1:14" ht="15" hidden="1" customHeight="1">
      <c r="A89" s="58"/>
      <c r="B89" s="120"/>
      <c r="C89" s="64"/>
      <c r="D89" s="140"/>
      <c r="E89" s="39"/>
      <c r="F89" s="168"/>
      <c r="G89" s="39"/>
      <c r="H89" s="119"/>
      <c r="I89" s="130"/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SUM(I84:I89)</f>
        <v>1526.2761999999998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134</v>
      </c>
      <c r="C92" s="37"/>
      <c r="D92" s="37"/>
      <c r="E92" s="37"/>
      <c r="F92" s="37"/>
      <c r="G92" s="49"/>
      <c r="H92" s="38"/>
      <c r="I92" s="34">
        <f>I82+I90</f>
        <v>34457.139220999998</v>
      </c>
      <c r="J92" s="26"/>
      <c r="L92" s="22"/>
      <c r="M92" s="23"/>
      <c r="N92" s="24"/>
    </row>
    <row r="93" spans="1:14" ht="15.75" customHeight="1">
      <c r="A93" s="200" t="s">
        <v>291</v>
      </c>
      <c r="B93" s="200"/>
      <c r="C93" s="200"/>
      <c r="D93" s="200"/>
      <c r="E93" s="200"/>
      <c r="F93" s="200"/>
      <c r="G93" s="200"/>
      <c r="H93" s="200"/>
      <c r="I93" s="200"/>
      <c r="J93" s="26"/>
      <c r="L93" s="22"/>
      <c r="M93" s="23"/>
      <c r="N93" s="24"/>
    </row>
    <row r="94" spans="1:14" ht="15.75" customHeight="1">
      <c r="A94" s="12"/>
      <c r="B94" s="218" t="s">
        <v>292</v>
      </c>
      <c r="C94" s="218"/>
      <c r="D94" s="218"/>
      <c r="E94" s="218"/>
      <c r="F94" s="218"/>
      <c r="G94" s="218"/>
      <c r="H94" s="103"/>
      <c r="I94" s="4"/>
      <c r="J94" s="26"/>
      <c r="L94" s="22"/>
    </row>
    <row r="95" spans="1:14" ht="15.75" customHeight="1">
      <c r="A95" s="65"/>
      <c r="B95" s="202" t="s">
        <v>6</v>
      </c>
      <c r="C95" s="202"/>
      <c r="D95" s="202"/>
      <c r="E95" s="202"/>
      <c r="F95" s="202"/>
      <c r="G95" s="202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219" t="s">
        <v>7</v>
      </c>
      <c r="B97" s="219"/>
      <c r="C97" s="219"/>
      <c r="D97" s="219"/>
      <c r="E97" s="219"/>
      <c r="F97" s="219"/>
      <c r="G97" s="219"/>
      <c r="H97" s="219"/>
      <c r="I97" s="219"/>
    </row>
    <row r="98" spans="1:22" ht="15.75" customHeight="1">
      <c r="A98" s="219" t="s">
        <v>8</v>
      </c>
      <c r="B98" s="219"/>
      <c r="C98" s="219"/>
      <c r="D98" s="219"/>
      <c r="E98" s="219"/>
      <c r="F98" s="219"/>
      <c r="G98" s="219"/>
      <c r="H98" s="219"/>
      <c r="I98" s="21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198"/>
      <c r="S100" s="198"/>
      <c r="T100" s="198"/>
      <c r="U100" s="198"/>
    </row>
    <row r="101" spans="1:22" ht="15.75" customHeight="1">
      <c r="A101" s="199" t="s">
        <v>10</v>
      </c>
      <c r="B101" s="199"/>
      <c r="C101" s="199"/>
      <c r="D101" s="199"/>
      <c r="E101" s="199"/>
      <c r="F101" s="199"/>
      <c r="G101" s="199"/>
      <c r="H101" s="199"/>
      <c r="I101" s="199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200" t="s">
        <v>11</v>
      </c>
      <c r="B103" s="200"/>
      <c r="C103" s="201" t="s">
        <v>293</v>
      </c>
      <c r="D103" s="201"/>
      <c r="E103" s="201"/>
      <c r="F103" s="67"/>
      <c r="I103" s="106"/>
    </row>
    <row r="104" spans="1:22" ht="15.75" customHeight="1">
      <c r="A104" s="65"/>
      <c r="B104" s="53"/>
      <c r="C104" s="202" t="s">
        <v>12</v>
      </c>
      <c r="D104" s="202"/>
      <c r="E104" s="202"/>
      <c r="F104" s="27"/>
      <c r="I104" s="104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200" t="s">
        <v>14</v>
      </c>
      <c r="B106" s="200"/>
      <c r="C106" s="203"/>
      <c r="D106" s="203"/>
      <c r="E106" s="203"/>
      <c r="F106" s="68"/>
      <c r="I106" s="106"/>
    </row>
    <row r="107" spans="1:22" ht="15.75" customHeight="1">
      <c r="A107" s="107"/>
      <c r="C107" s="198" t="s">
        <v>12</v>
      </c>
      <c r="D107" s="198"/>
      <c r="E107" s="198"/>
      <c r="F107" s="107"/>
      <c r="I107" s="104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7" t="s">
        <v>17</v>
      </c>
      <c r="B110" s="197"/>
      <c r="C110" s="197"/>
      <c r="D110" s="197"/>
      <c r="E110" s="197"/>
      <c r="F110" s="197"/>
      <c r="G110" s="197"/>
      <c r="H110" s="197"/>
      <c r="I110" s="197"/>
    </row>
    <row r="111" spans="1:22" ht="30" customHeight="1">
      <c r="A111" s="197" t="s">
        <v>18</v>
      </c>
      <c r="B111" s="197"/>
      <c r="C111" s="197"/>
      <c r="D111" s="197"/>
      <c r="E111" s="197"/>
      <c r="F111" s="197"/>
      <c r="G111" s="197"/>
      <c r="H111" s="197"/>
      <c r="I111" s="197"/>
    </row>
    <row r="112" spans="1:22" ht="30" customHeight="1">
      <c r="A112" s="197" t="s">
        <v>22</v>
      </c>
      <c r="B112" s="197"/>
      <c r="C112" s="197"/>
      <c r="D112" s="197"/>
      <c r="E112" s="197"/>
      <c r="F112" s="197"/>
      <c r="G112" s="197"/>
      <c r="H112" s="197"/>
      <c r="I112" s="197"/>
    </row>
    <row r="113" spans="1:9" ht="15" customHeight="1">
      <c r="A113" s="197" t="s">
        <v>21</v>
      </c>
      <c r="B113" s="197"/>
      <c r="C113" s="197"/>
      <c r="D113" s="197"/>
      <c r="E113" s="197"/>
      <c r="F113" s="197"/>
      <c r="G113" s="197"/>
      <c r="H113" s="197"/>
      <c r="I113" s="197"/>
    </row>
  </sheetData>
  <autoFilter ref="I15:I96"/>
  <mergeCells count="31">
    <mergeCell ref="A14:I14"/>
    <mergeCell ref="A3:I3"/>
    <mergeCell ref="A4:I4"/>
    <mergeCell ref="A5:I5"/>
    <mergeCell ref="A8:I8"/>
    <mergeCell ref="A10:I10"/>
    <mergeCell ref="A99:I99"/>
    <mergeCell ref="A15:I15"/>
    <mergeCell ref="A27:I27"/>
    <mergeCell ref="A42:I42"/>
    <mergeCell ref="A53:I53"/>
    <mergeCell ref="A79:I79"/>
    <mergeCell ref="A83:I83"/>
    <mergeCell ref="A93:I93"/>
    <mergeCell ref="B94:G94"/>
    <mergeCell ref="B95:G95"/>
    <mergeCell ref="A97:I97"/>
    <mergeCell ref="A98:I98"/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topLeftCell="A53" workbookViewId="0">
      <selection activeCell="B71" sqref="B7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152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294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44530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189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 ht="15.75" customHeight="1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30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30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205" t="s">
        <v>151</v>
      </c>
      <c r="B28" s="206"/>
      <c r="C28" s="206"/>
      <c r="D28" s="206"/>
      <c r="E28" s="206"/>
      <c r="F28" s="206"/>
      <c r="G28" s="206"/>
      <c r="H28" s="206"/>
      <c r="I28" s="207"/>
      <c r="J28" s="25"/>
      <c r="K28" s="10"/>
      <c r="L28" s="10"/>
      <c r="M28" s="10"/>
    </row>
    <row r="29" spans="1:13" ht="15.75" hidden="1" customHeight="1">
      <c r="A29" s="113"/>
      <c r="B29" s="66" t="s">
        <v>127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28">
        <v>6</v>
      </c>
      <c r="B30" s="59" t="s">
        <v>128</v>
      </c>
      <c r="C30" s="74" t="s">
        <v>92</v>
      </c>
      <c r="D30" s="59" t="s">
        <v>131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92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59" t="s">
        <v>129</v>
      </c>
      <c r="C31" s="74" t="s">
        <v>92</v>
      </c>
      <c r="D31" s="59" t="s">
        <v>132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92">
        <f t="shared" ref="I31:I33" si="4">F31/6*G31</f>
        <v>256.20531299999999</v>
      </c>
      <c r="J31" s="25"/>
      <c r="K31" s="10"/>
      <c r="L31" s="10"/>
      <c r="M31" s="10"/>
    </row>
    <row r="32" spans="1:13" ht="15.75" hidden="1" customHeight="1">
      <c r="A32" s="71">
        <v>15</v>
      </c>
      <c r="B32" s="59" t="s">
        <v>27</v>
      </c>
      <c r="C32" s="74" t="s">
        <v>92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92">
        <f>F32*G32</f>
        <v>604.48369799999989</v>
      </c>
      <c r="J32" s="25"/>
      <c r="K32" s="10"/>
      <c r="L32" s="10"/>
      <c r="M32" s="10"/>
    </row>
    <row r="33" spans="1:13" ht="15.75" hidden="1" customHeight="1">
      <c r="A33" s="71">
        <v>8</v>
      </c>
      <c r="B33" s="59" t="s">
        <v>130</v>
      </c>
      <c r="C33" s="74" t="s">
        <v>29</v>
      </c>
      <c r="D33" s="59" t="s">
        <v>58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f t="shared" si="4"/>
        <v>640.23611111111109</v>
      </c>
      <c r="J33" s="25"/>
      <c r="K33" s="10"/>
      <c r="L33" s="10"/>
      <c r="M33" s="10"/>
    </row>
    <row r="34" spans="1:13" ht="15.75" hidden="1" customHeight="1">
      <c r="A34" s="71"/>
      <c r="B34" s="59" t="s">
        <v>59</v>
      </c>
      <c r="C34" s="74" t="s">
        <v>31</v>
      </c>
      <c r="D34" s="59" t="s">
        <v>60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103</v>
      </c>
      <c r="C35" s="74" t="s">
        <v>30</v>
      </c>
      <c r="D35" s="59" t="s">
        <v>60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6.5" customHeight="1">
      <c r="A37" s="110">
        <v>4</v>
      </c>
      <c r="B37" s="59" t="s">
        <v>26</v>
      </c>
      <c r="C37" s="74" t="s">
        <v>30</v>
      </c>
      <c r="D37" s="165">
        <v>44522</v>
      </c>
      <c r="E37" s="75"/>
      <c r="F37" s="76">
        <v>3</v>
      </c>
      <c r="G37" s="76">
        <v>2003</v>
      </c>
      <c r="H37" s="77">
        <f t="shared" ref="H37:H43" si="5">SUM(F37*G37/1000)</f>
        <v>6.0090000000000003</v>
      </c>
      <c r="I37" s="111">
        <f>G37*0.5</f>
        <v>1001.5</v>
      </c>
      <c r="J37" s="25"/>
      <c r="K37" s="10"/>
      <c r="L37" s="10"/>
      <c r="M37" s="10"/>
    </row>
    <row r="38" spans="1:13" ht="15.75" customHeight="1">
      <c r="A38" s="30">
        <v>5</v>
      </c>
      <c r="B38" s="59" t="s">
        <v>135</v>
      </c>
      <c r="C38" s="74" t="s">
        <v>28</v>
      </c>
      <c r="D38" s="59" t="s">
        <v>168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ref="I38:I41" si="6">F38/6*G38</f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59" t="s">
        <v>105</v>
      </c>
      <c r="C39" s="74" t="s">
        <v>106</v>
      </c>
      <c r="D39" s="59" t="s">
        <v>60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6</v>
      </c>
      <c r="B40" s="59" t="s">
        <v>61</v>
      </c>
      <c r="C40" s="74" t="s">
        <v>28</v>
      </c>
      <c r="D40" s="59" t="s">
        <v>169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7</v>
      </c>
      <c r="B41" s="59" t="s">
        <v>73</v>
      </c>
      <c r="C41" s="74" t="s">
        <v>92</v>
      </c>
      <c r="D41" s="59" t="s">
        <v>170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hidden="1" customHeight="1">
      <c r="A42" s="30">
        <v>8</v>
      </c>
      <c r="B42" s="59" t="s">
        <v>108</v>
      </c>
      <c r="C42" s="74" t="s">
        <v>92</v>
      </c>
      <c r="D42" s="59" t="s">
        <v>172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5"/>
        <v>0.65333449999999993</v>
      </c>
      <c r="I42" s="16">
        <f>G42*F42/20*1</f>
        <v>32.666725</v>
      </c>
      <c r="J42" s="25"/>
      <c r="K42" s="10"/>
      <c r="L42" s="10"/>
      <c r="M42" s="10"/>
    </row>
    <row r="43" spans="1:13" ht="15.75" hidden="1" customHeight="1">
      <c r="A43" s="30">
        <v>9</v>
      </c>
      <c r="B43" s="59" t="s">
        <v>62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5"/>
        <v>0.389932</v>
      </c>
      <c r="I43" s="16">
        <f>G43*F43/20*1</f>
        <v>19.496600000000001</v>
      </c>
      <c r="J43" s="25"/>
      <c r="K43" s="10"/>
    </row>
    <row r="44" spans="1:13" ht="15.75" customHeight="1">
      <c r="A44" s="208" t="s">
        <v>118</v>
      </c>
      <c r="B44" s="209"/>
      <c r="C44" s="209"/>
      <c r="D44" s="209"/>
      <c r="E44" s="209"/>
      <c r="F44" s="209"/>
      <c r="G44" s="209"/>
      <c r="H44" s="209"/>
      <c r="I44" s="210"/>
      <c r="J44" s="26"/>
    </row>
    <row r="45" spans="1:13" ht="15.75" hidden="1" customHeight="1">
      <c r="A45" s="30">
        <v>12</v>
      </c>
      <c r="B45" s="59" t="s">
        <v>109</v>
      </c>
      <c r="C45" s="74" t="s">
        <v>92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92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92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59" t="s">
        <v>53</v>
      </c>
      <c r="C49" s="74" t="s">
        <v>92</v>
      </c>
      <c r="D49" s="59" t="s">
        <v>133</v>
      </c>
      <c r="E49" s="75">
        <v>2566.6</v>
      </c>
      <c r="F49" s="76">
        <f>SUM(E49*5/1000)</f>
        <v>12.833</v>
      </c>
      <c r="G49" s="16">
        <v>1803.69</v>
      </c>
      <c r="H49" s="77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110</v>
      </c>
      <c r="C50" s="74" t="s">
        <v>92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111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customHeight="1">
      <c r="A53" s="30">
        <v>8</v>
      </c>
      <c r="B53" s="59" t="s">
        <v>112</v>
      </c>
      <c r="C53" s="74" t="s">
        <v>79</v>
      </c>
      <c r="D53" s="165">
        <v>44510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30">
        <v>9</v>
      </c>
      <c r="B54" s="59" t="s">
        <v>39</v>
      </c>
      <c r="C54" s="74" t="s">
        <v>79</v>
      </c>
      <c r="D54" s="165">
        <v>44510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208" t="s">
        <v>119</v>
      </c>
      <c r="B55" s="211"/>
      <c r="C55" s="211"/>
      <c r="D55" s="211"/>
      <c r="E55" s="211"/>
      <c r="F55" s="211"/>
      <c r="G55" s="211"/>
      <c r="H55" s="211"/>
      <c r="I55" s="212"/>
      <c r="J55" s="26"/>
      <c r="L55" s="22"/>
      <c r="M55" s="23"/>
      <c r="N55" s="24"/>
    </row>
    <row r="56" spans="1:14" ht="15.75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customHeight="1">
      <c r="A57" s="58">
        <v>10</v>
      </c>
      <c r="B57" s="59" t="s">
        <v>113</v>
      </c>
      <c r="C57" s="74" t="s">
        <v>83</v>
      </c>
      <c r="D57" s="59"/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101</v>
      </c>
      <c r="C58" s="84" t="s">
        <v>102</v>
      </c>
      <c r="D58" s="83" t="s">
        <v>60</v>
      </c>
      <c r="E58" s="85"/>
      <c r="F58" s="86">
        <v>2</v>
      </c>
      <c r="G58" s="16">
        <v>1582.05</v>
      </c>
      <c r="H58" s="77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115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11</v>
      </c>
      <c r="B61" s="62" t="s">
        <v>138</v>
      </c>
      <c r="C61" s="56" t="s">
        <v>139</v>
      </c>
      <c r="D61" s="62" t="s">
        <v>172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hidden="1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100</v>
      </c>
      <c r="I62" s="16"/>
      <c r="J62" s="26"/>
      <c r="L62" s="22"/>
      <c r="M62" s="23"/>
      <c r="N62" s="24"/>
    </row>
    <row r="63" spans="1:14" ht="15.75" hidden="1" customHeight="1">
      <c r="A63" s="58">
        <v>11</v>
      </c>
      <c r="B63" s="17" t="s">
        <v>44</v>
      </c>
      <c r="C63" s="19" t="s">
        <v>79</v>
      </c>
      <c r="D63" s="83" t="s">
        <v>172</v>
      </c>
      <c r="E63" s="21">
        <v>5</v>
      </c>
      <c r="F63" s="76">
        <f>E63</f>
        <v>5</v>
      </c>
      <c r="G63" s="16">
        <v>291.68</v>
      </c>
      <c r="H63" s="89">
        <f t="shared" ref="H63:H72" si="12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79</v>
      </c>
      <c r="D64" s="83" t="s">
        <v>60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95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96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97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98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8"/>
      <c r="B71" s="66" t="s">
        <v>186</v>
      </c>
      <c r="C71" s="19"/>
      <c r="D71" s="169"/>
      <c r="E71" s="21"/>
      <c r="F71" s="76"/>
      <c r="G71" s="16"/>
      <c r="H71" s="89"/>
      <c r="I71" s="16"/>
      <c r="J71" s="26"/>
      <c r="L71" s="22"/>
      <c r="M71" s="23"/>
      <c r="N71" s="24"/>
    </row>
    <row r="72" spans="1:14" ht="15.75" customHeight="1">
      <c r="A72" s="58">
        <v>12</v>
      </c>
      <c r="B72" s="17" t="s">
        <v>140</v>
      </c>
      <c r="C72" s="30" t="s">
        <v>141</v>
      </c>
      <c r="D72" s="129"/>
      <c r="E72" s="21">
        <v>2566.6</v>
      </c>
      <c r="F72" s="159">
        <f>SUM(E72)*12</f>
        <v>30799.199999999997</v>
      </c>
      <c r="G72" s="158">
        <v>2.2799999999999998</v>
      </c>
      <c r="H72" s="89">
        <f t="shared" si="12"/>
        <v>70.22217599999999</v>
      </c>
      <c r="I72" s="16">
        <f>F72/12*G72</f>
        <v>5851.847999999999</v>
      </c>
      <c r="J72" s="26"/>
      <c r="L72" s="22"/>
      <c r="M72" s="23"/>
      <c r="N72" s="24"/>
    </row>
    <row r="73" spans="1:14" ht="15.75" hidden="1" customHeight="1">
      <c r="A73" s="58"/>
      <c r="B73" s="66" t="s">
        <v>64</v>
      </c>
      <c r="C73" s="19"/>
      <c r="D73" s="17"/>
      <c r="E73" s="21"/>
      <c r="F73" s="16"/>
      <c r="G73" s="16"/>
      <c r="H73" s="89" t="s">
        <v>100</v>
      </c>
      <c r="I73" s="16"/>
      <c r="J73" s="26"/>
      <c r="L73" s="22"/>
      <c r="M73" s="23"/>
      <c r="N73" s="24"/>
    </row>
    <row r="74" spans="1:14" ht="31.5" hidden="1" customHeight="1">
      <c r="A74" s="58"/>
      <c r="B74" s="41" t="s">
        <v>142</v>
      </c>
      <c r="C74" s="42" t="s">
        <v>29</v>
      </c>
      <c r="D74" s="41"/>
      <c r="E74" s="20">
        <v>1</v>
      </c>
      <c r="F74" s="35">
        <f t="shared" ref="F74:F77" si="15">E74</f>
        <v>1</v>
      </c>
      <c r="G74" s="39">
        <v>1543.4</v>
      </c>
      <c r="H74" s="119">
        <f>G74*F74/1000</f>
        <v>1.5434000000000001</v>
      </c>
      <c r="I74" s="16">
        <v>0</v>
      </c>
      <c r="J74" s="26"/>
      <c r="L74" s="22"/>
      <c r="M74" s="23"/>
      <c r="N74" s="24"/>
    </row>
    <row r="75" spans="1:14" ht="15.75" hidden="1" customHeight="1">
      <c r="A75" s="30"/>
      <c r="B75" s="41" t="s">
        <v>66</v>
      </c>
      <c r="C75" s="42" t="s">
        <v>29</v>
      </c>
      <c r="D75" s="41"/>
      <c r="E75" s="20">
        <v>1</v>
      </c>
      <c r="F75" s="35">
        <f>E75</f>
        <v>1</v>
      </c>
      <c r="G75" s="39">
        <v>1118.72</v>
      </c>
      <c r="H75" s="119">
        <f>F75*G75/1000</f>
        <v>1.1187199999999999</v>
      </c>
      <c r="I75" s="16">
        <v>0</v>
      </c>
      <c r="J75" s="26"/>
      <c r="L75" s="22"/>
      <c r="M75" s="23"/>
      <c r="N75" s="24"/>
    </row>
    <row r="76" spans="1:14" ht="15.75" hidden="1" customHeight="1">
      <c r="A76" s="30">
        <v>16</v>
      </c>
      <c r="B76" s="41" t="s">
        <v>65</v>
      </c>
      <c r="C76" s="42" t="s">
        <v>67</v>
      </c>
      <c r="D76" s="41"/>
      <c r="E76" s="20">
        <v>3</v>
      </c>
      <c r="F76" s="35">
        <f>E76/10</f>
        <v>0.3</v>
      </c>
      <c r="G76" s="39">
        <v>657.87</v>
      </c>
      <c r="H76" s="119">
        <f t="shared" ref="H76" si="16">SUM(F76*G76/1000)</f>
        <v>0.19736099999999998</v>
      </c>
      <c r="I76" s="16">
        <f>G76*0.2</f>
        <v>131.57400000000001</v>
      </c>
      <c r="J76" s="26"/>
      <c r="L76" s="22"/>
      <c r="M76" s="23"/>
      <c r="N76" s="24"/>
    </row>
    <row r="77" spans="1:14" ht="15.75" hidden="1" customHeight="1">
      <c r="A77" s="58"/>
      <c r="B77" s="120" t="s">
        <v>143</v>
      </c>
      <c r="C77" s="64" t="s">
        <v>79</v>
      </c>
      <c r="D77" s="41"/>
      <c r="E77" s="20">
        <v>1</v>
      </c>
      <c r="F77" s="35">
        <f t="shared" si="15"/>
        <v>1</v>
      </c>
      <c r="G77" s="39">
        <v>130.96</v>
      </c>
      <c r="H77" s="119">
        <f>G77*F77/1000</f>
        <v>0.13096000000000002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95" t="s">
        <v>68</v>
      </c>
      <c r="C78" s="19"/>
      <c r="D78" s="17"/>
      <c r="E78" s="21"/>
      <c r="F78" s="16"/>
      <c r="G78" s="16" t="s">
        <v>100</v>
      </c>
      <c r="H78" s="89" t="s">
        <v>100</v>
      </c>
      <c r="I78" s="16"/>
      <c r="J78" s="26"/>
      <c r="L78" s="22"/>
      <c r="M78" s="23"/>
      <c r="N78" s="24"/>
    </row>
    <row r="79" spans="1:14" ht="15.75" hidden="1" customHeight="1">
      <c r="A79" s="58"/>
      <c r="B79" s="43" t="s">
        <v>99</v>
      </c>
      <c r="C79" s="44" t="s">
        <v>69</v>
      </c>
      <c r="D79" s="63"/>
      <c r="E79" s="121"/>
      <c r="F79" s="40">
        <v>1</v>
      </c>
      <c r="G79" s="40">
        <v>3619.09</v>
      </c>
      <c r="H79" s="119">
        <f t="shared" ref="H79" si="17">SUM(F79*G79/1000)</f>
        <v>3.6190900000000004</v>
      </c>
      <c r="I79" s="16">
        <v>0</v>
      </c>
      <c r="J79" s="26"/>
      <c r="L79" s="22"/>
      <c r="M79" s="23"/>
      <c r="N79" s="24"/>
    </row>
    <row r="80" spans="1:14" ht="15.75" hidden="1" customHeight="1">
      <c r="A80" s="58"/>
      <c r="B80" s="66" t="s">
        <v>93</v>
      </c>
      <c r="C80" s="19"/>
      <c r="D80" s="17"/>
      <c r="E80" s="21"/>
      <c r="F80" s="16"/>
      <c r="G80" s="16"/>
      <c r="H80" s="89">
        <f>SUM(H57:H79)</f>
        <v>178.16664663999998</v>
      </c>
      <c r="I80" s="16"/>
      <c r="J80" s="26"/>
      <c r="L80" s="22"/>
      <c r="M80" s="23"/>
      <c r="N80" s="24"/>
    </row>
    <row r="81" spans="1:14" ht="15.75" hidden="1" customHeight="1">
      <c r="A81" s="58">
        <v>19</v>
      </c>
      <c r="B81" s="59" t="s">
        <v>94</v>
      </c>
      <c r="C81" s="19"/>
      <c r="D81" s="17"/>
      <c r="E81" s="91"/>
      <c r="F81" s="16">
        <v>1</v>
      </c>
      <c r="G81" s="16">
        <v>22892</v>
      </c>
      <c r="H81" s="89">
        <f>G81*F81/1000</f>
        <v>22.891999999999999</v>
      </c>
      <c r="I81" s="16">
        <f>G81</f>
        <v>22892</v>
      </c>
      <c r="J81" s="26"/>
      <c r="L81" s="22"/>
      <c r="M81" s="23"/>
      <c r="N81" s="24"/>
    </row>
    <row r="82" spans="1:14" ht="15.75" customHeight="1">
      <c r="A82" s="208" t="s">
        <v>120</v>
      </c>
      <c r="B82" s="213"/>
      <c r="C82" s="213"/>
      <c r="D82" s="213"/>
      <c r="E82" s="213"/>
      <c r="F82" s="213"/>
      <c r="G82" s="213"/>
      <c r="H82" s="213"/>
      <c r="I82" s="214"/>
      <c r="J82" s="26"/>
      <c r="L82" s="22"/>
      <c r="M82" s="23"/>
      <c r="N82" s="24"/>
    </row>
    <row r="83" spans="1:14" ht="15.75" customHeight="1">
      <c r="A83" s="58">
        <v>13</v>
      </c>
      <c r="B83" s="36" t="s">
        <v>116</v>
      </c>
      <c r="C83" s="42" t="s">
        <v>52</v>
      </c>
      <c r="D83" s="61"/>
      <c r="E83" s="39">
        <v>2566.6</v>
      </c>
      <c r="F83" s="39">
        <f>SUM(E83*12)</f>
        <v>30799.199999999997</v>
      </c>
      <c r="G83" s="39">
        <v>3.1</v>
      </c>
      <c r="H83" s="119">
        <f>SUM(F83*G83/1000)</f>
        <v>95.477519999999984</v>
      </c>
      <c r="I83" s="16">
        <f>F83/12*G83</f>
        <v>7956.46</v>
      </c>
      <c r="J83" s="26"/>
      <c r="L83" s="22"/>
      <c r="M83" s="23"/>
      <c r="N83" s="24"/>
    </row>
    <row r="84" spans="1:14" ht="31.5" customHeight="1">
      <c r="A84" s="58">
        <v>14</v>
      </c>
      <c r="B84" s="41" t="s">
        <v>70</v>
      </c>
      <c r="C84" s="42"/>
      <c r="D84" s="61"/>
      <c r="E84" s="116">
        <v>2566.6</v>
      </c>
      <c r="F84" s="39">
        <f>E84*12</f>
        <v>30799.199999999997</v>
      </c>
      <c r="G84" s="39">
        <v>3.5</v>
      </c>
      <c r="H84" s="119">
        <f>F84*G84/1000</f>
        <v>107.79719999999999</v>
      </c>
      <c r="I84" s="16">
        <f>F84/12*G84</f>
        <v>8983.1</v>
      </c>
      <c r="J84" s="26"/>
      <c r="L84" s="22"/>
      <c r="M84" s="23"/>
      <c r="N84" s="24"/>
    </row>
    <row r="85" spans="1:14" ht="15.75" customHeight="1">
      <c r="A85" s="58"/>
      <c r="B85" s="45" t="s">
        <v>72</v>
      </c>
      <c r="C85" s="19"/>
      <c r="D85" s="52"/>
      <c r="E85" s="16"/>
      <c r="F85" s="16"/>
      <c r="G85" s="16"/>
      <c r="H85" s="89">
        <f>H84</f>
        <v>107.79719999999999</v>
      </c>
      <c r="I85" s="96">
        <f>I84+I83+I72+I61+I57+I54+I53+I41+I40++I37+I38+I18+I17+I16</f>
        <v>59208.693545000002</v>
      </c>
      <c r="J85" s="26"/>
      <c r="L85" s="22"/>
      <c r="M85" s="23"/>
      <c r="N85" s="24"/>
    </row>
    <row r="86" spans="1:14" ht="15.75" customHeight="1">
      <c r="A86" s="215" t="s">
        <v>56</v>
      </c>
      <c r="B86" s="216"/>
      <c r="C86" s="216"/>
      <c r="D86" s="216"/>
      <c r="E86" s="216"/>
      <c r="F86" s="216"/>
      <c r="G86" s="216"/>
      <c r="H86" s="216"/>
      <c r="I86" s="217"/>
      <c r="J86" s="26"/>
      <c r="L86" s="22"/>
      <c r="M86" s="23"/>
      <c r="N86" s="24"/>
    </row>
    <row r="87" spans="1:14" ht="28.5" customHeight="1">
      <c r="A87" s="58">
        <v>15</v>
      </c>
      <c r="B87" s="120" t="s">
        <v>159</v>
      </c>
      <c r="C87" s="64" t="s">
        <v>92</v>
      </c>
      <c r="D87" s="140"/>
      <c r="E87" s="39"/>
      <c r="F87" s="168">
        <f>48*0.599/1000</f>
        <v>2.8752E-2</v>
      </c>
      <c r="G87" s="158">
        <v>21369.24</v>
      </c>
      <c r="H87" s="119"/>
      <c r="I87" s="130">
        <f>G87*0.599*12/1000</f>
        <v>153.60209712</v>
      </c>
      <c r="J87" s="26"/>
      <c r="L87" s="22"/>
      <c r="M87" s="23"/>
      <c r="N87" s="24"/>
    </row>
    <row r="88" spans="1:14" ht="18" customHeight="1">
      <c r="A88" s="58">
        <v>16</v>
      </c>
      <c r="B88" s="120" t="s">
        <v>243</v>
      </c>
      <c r="C88" s="64" t="s">
        <v>28</v>
      </c>
      <c r="D88" s="140"/>
      <c r="E88" s="39"/>
      <c r="F88" s="39">
        <f>2.65+2.65+2.65+2.65+2.65+2.65+2.65+2.65</f>
        <v>21.2</v>
      </c>
      <c r="G88" s="39">
        <v>241.69</v>
      </c>
      <c r="H88" s="119"/>
      <c r="I88" s="130">
        <f>G88*2.65*2</f>
        <v>1280.9569999999999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34"/>
      <c r="H89" s="46"/>
      <c r="I89" s="34">
        <f>SUM(I87:I88)</f>
        <v>1434.5590971199999</v>
      </c>
      <c r="J89" s="26"/>
      <c r="L89" s="22"/>
      <c r="M89" s="23"/>
      <c r="N89" s="24"/>
    </row>
    <row r="90" spans="1:14" ht="15.75" customHeight="1">
      <c r="A90" s="30"/>
      <c r="B90" s="52" t="s">
        <v>71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134</v>
      </c>
      <c r="C91" s="37"/>
      <c r="D91" s="37"/>
      <c r="E91" s="37"/>
      <c r="F91" s="37"/>
      <c r="G91" s="49"/>
      <c r="H91" s="38"/>
      <c r="I91" s="34">
        <f>I85+I89</f>
        <v>60643.252642120002</v>
      </c>
      <c r="J91" s="26"/>
      <c r="L91" s="22"/>
      <c r="M91" s="23"/>
      <c r="N91" s="24"/>
    </row>
    <row r="92" spans="1:14" ht="15.75" customHeight="1">
      <c r="A92" s="200" t="s">
        <v>295</v>
      </c>
      <c r="B92" s="200"/>
      <c r="C92" s="200"/>
      <c r="D92" s="200"/>
      <c r="E92" s="200"/>
      <c r="F92" s="200"/>
      <c r="G92" s="200"/>
      <c r="H92" s="200"/>
      <c r="I92" s="200"/>
      <c r="J92" s="26"/>
      <c r="L92" s="22"/>
      <c r="M92" s="23"/>
      <c r="N92" s="24"/>
    </row>
    <row r="93" spans="1:14" ht="15.75" customHeight="1">
      <c r="A93" s="12"/>
      <c r="B93" s="218" t="s">
        <v>296</v>
      </c>
      <c r="C93" s="218"/>
      <c r="D93" s="218"/>
      <c r="E93" s="218"/>
      <c r="F93" s="218"/>
      <c r="G93" s="218"/>
      <c r="H93" s="127"/>
      <c r="I93" s="4"/>
      <c r="J93" s="26"/>
      <c r="L93" s="22"/>
    </row>
    <row r="94" spans="1:14" ht="15.75" customHeight="1">
      <c r="A94" s="65"/>
      <c r="B94" s="202" t="s">
        <v>6</v>
      </c>
      <c r="C94" s="202"/>
      <c r="D94" s="202"/>
      <c r="E94" s="202"/>
      <c r="F94" s="202"/>
      <c r="G94" s="202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219" t="s">
        <v>7</v>
      </c>
      <c r="B96" s="219"/>
      <c r="C96" s="219"/>
      <c r="D96" s="219"/>
      <c r="E96" s="219"/>
      <c r="F96" s="219"/>
      <c r="G96" s="219"/>
      <c r="H96" s="219"/>
      <c r="I96" s="219"/>
    </row>
    <row r="97" spans="1:22" ht="15.75" customHeight="1">
      <c r="A97" s="219" t="s">
        <v>8</v>
      </c>
      <c r="B97" s="219"/>
      <c r="C97" s="219"/>
      <c r="D97" s="219"/>
      <c r="E97" s="219"/>
      <c r="F97" s="219"/>
      <c r="G97" s="219"/>
      <c r="H97" s="219"/>
      <c r="I97" s="21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200" t="s">
        <v>9</v>
      </c>
      <c r="B98" s="200"/>
      <c r="C98" s="200"/>
      <c r="D98" s="200"/>
      <c r="E98" s="200"/>
      <c r="F98" s="200"/>
      <c r="G98" s="200"/>
      <c r="H98" s="200"/>
      <c r="I98" s="200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198"/>
      <c r="S99" s="198"/>
      <c r="T99" s="198"/>
      <c r="U99" s="198"/>
    </row>
    <row r="100" spans="1:22" ht="15.75" customHeight="1">
      <c r="A100" s="199" t="s">
        <v>10</v>
      </c>
      <c r="B100" s="199"/>
      <c r="C100" s="199"/>
      <c r="D100" s="199"/>
      <c r="E100" s="199"/>
      <c r="F100" s="199"/>
      <c r="G100" s="199"/>
      <c r="H100" s="199"/>
      <c r="I100" s="199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200" t="s">
        <v>11</v>
      </c>
      <c r="B102" s="200"/>
      <c r="C102" s="201" t="s">
        <v>190</v>
      </c>
      <c r="D102" s="201"/>
      <c r="E102" s="201"/>
      <c r="F102" s="67"/>
      <c r="I102" s="126"/>
    </row>
    <row r="103" spans="1:22" ht="15.75" customHeight="1">
      <c r="A103" s="65"/>
      <c r="B103" s="53"/>
      <c r="C103" s="202" t="s">
        <v>12</v>
      </c>
      <c r="D103" s="202"/>
      <c r="E103" s="202"/>
      <c r="F103" s="27"/>
      <c r="I103" s="124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200" t="s">
        <v>14</v>
      </c>
      <c r="B105" s="200"/>
      <c r="C105" s="203"/>
      <c r="D105" s="203"/>
      <c r="E105" s="203"/>
      <c r="F105" s="68"/>
      <c r="I105" s="126"/>
    </row>
    <row r="106" spans="1:22" ht="15.75" customHeight="1">
      <c r="A106" s="122"/>
      <c r="C106" s="198" t="s">
        <v>12</v>
      </c>
      <c r="D106" s="198"/>
      <c r="E106" s="198"/>
      <c r="F106" s="122"/>
      <c r="I106" s="124" t="s">
        <v>13</v>
      </c>
    </row>
    <row r="107" spans="1:22" ht="15.75" customHeight="1">
      <c r="A107" s="5" t="s">
        <v>15</v>
      </c>
    </row>
    <row r="108" spans="1:22">
      <c r="A108" s="204" t="s">
        <v>16</v>
      </c>
      <c r="B108" s="204"/>
      <c r="C108" s="204"/>
      <c r="D108" s="204"/>
      <c r="E108" s="204"/>
      <c r="F108" s="204"/>
      <c r="G108" s="204"/>
      <c r="H108" s="204"/>
      <c r="I108" s="204"/>
    </row>
    <row r="109" spans="1:22" ht="45" customHeight="1">
      <c r="A109" s="197" t="s">
        <v>17</v>
      </c>
      <c r="B109" s="197"/>
      <c r="C109" s="197"/>
      <c r="D109" s="197"/>
      <c r="E109" s="197"/>
      <c r="F109" s="197"/>
      <c r="G109" s="197"/>
      <c r="H109" s="197"/>
      <c r="I109" s="197"/>
    </row>
    <row r="110" spans="1:22" ht="30" customHeight="1">
      <c r="A110" s="197" t="s">
        <v>18</v>
      </c>
      <c r="B110" s="197"/>
      <c r="C110" s="197"/>
      <c r="D110" s="197"/>
      <c r="E110" s="197"/>
      <c r="F110" s="197"/>
      <c r="G110" s="197"/>
      <c r="H110" s="197"/>
      <c r="I110" s="197"/>
    </row>
    <row r="111" spans="1:22" ht="30" customHeight="1">
      <c r="A111" s="197" t="s">
        <v>22</v>
      </c>
      <c r="B111" s="197"/>
      <c r="C111" s="197"/>
      <c r="D111" s="197"/>
      <c r="E111" s="197"/>
      <c r="F111" s="197"/>
      <c r="G111" s="197"/>
      <c r="H111" s="197"/>
      <c r="I111" s="197"/>
    </row>
    <row r="112" spans="1:22" ht="15" customHeight="1">
      <c r="A112" s="197" t="s">
        <v>21</v>
      </c>
      <c r="B112" s="197"/>
      <c r="C112" s="197"/>
      <c r="D112" s="197"/>
      <c r="E112" s="197"/>
      <c r="F112" s="197"/>
      <c r="G112" s="197"/>
      <c r="H112" s="197"/>
      <c r="I112" s="197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8:I28"/>
    <mergeCell ref="A44:I44"/>
    <mergeCell ref="A55:I55"/>
    <mergeCell ref="A82:I82"/>
    <mergeCell ref="A86:I86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topLeftCell="A84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153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297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44561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298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 ht="15.75" customHeight="1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36" t="s">
        <v>75</v>
      </c>
      <c r="C16" s="163" t="s">
        <v>83</v>
      </c>
      <c r="D16" s="36" t="s">
        <v>164</v>
      </c>
      <c r="E16" s="116">
        <v>66.2</v>
      </c>
      <c r="F16" s="35">
        <f>SUM(E16*156/100)</f>
        <v>103.27200000000001</v>
      </c>
      <c r="G16" s="35">
        <v>481.7</v>
      </c>
      <c r="H16" s="77">
        <f t="shared" ref="H16:H25" si="0">SUM(F16*G16/1000)</f>
        <v>49.746122399999997</v>
      </c>
      <c r="I16" s="16">
        <f>F16/12*G16</f>
        <v>4145.5101999999997</v>
      </c>
      <c r="J16" s="10"/>
      <c r="K16" s="10"/>
      <c r="L16" s="10"/>
      <c r="M16" s="10"/>
    </row>
    <row r="17" spans="1:13" ht="15.75" customHeight="1">
      <c r="A17" s="30">
        <v>2</v>
      </c>
      <c r="B17" s="36" t="s">
        <v>76</v>
      </c>
      <c r="C17" s="163" t="s">
        <v>83</v>
      </c>
      <c r="D17" s="36" t="s">
        <v>165</v>
      </c>
      <c r="E17" s="116">
        <v>198.7</v>
      </c>
      <c r="F17" s="35">
        <f>SUM(E17*104/100)</f>
        <v>206.648</v>
      </c>
      <c r="G17" s="35">
        <v>380.58</v>
      </c>
      <c r="H17" s="77">
        <f t="shared" si="0"/>
        <v>78.646095840000001</v>
      </c>
      <c r="I17" s="16">
        <f>F17/12*G17</f>
        <v>6553.8413199999995</v>
      </c>
      <c r="J17" s="10"/>
      <c r="K17" s="10"/>
      <c r="L17" s="10"/>
      <c r="M17" s="10"/>
    </row>
    <row r="18" spans="1:13" ht="15.75" customHeight="1">
      <c r="A18" s="30">
        <v>3</v>
      </c>
      <c r="B18" s="36" t="s">
        <v>77</v>
      </c>
      <c r="C18" s="163" t="s">
        <v>83</v>
      </c>
      <c r="D18" s="36" t="s">
        <v>172</v>
      </c>
      <c r="E18" s="116">
        <f>SUM(E16+E17)</f>
        <v>264.89999999999998</v>
      </c>
      <c r="F18" s="35">
        <f>SUM(E18*18/100)</f>
        <v>47.681999999999995</v>
      </c>
      <c r="G18" s="35">
        <v>889.97</v>
      </c>
      <c r="H18" s="77">
        <f t="shared" si="0"/>
        <v>42.435549539999997</v>
      </c>
      <c r="I18" s="16">
        <f>F18/18*G18</f>
        <v>2357.5305299999995</v>
      </c>
      <c r="J18" s="10"/>
      <c r="K18" s="10"/>
      <c r="L18" s="10"/>
      <c r="M18" s="10"/>
    </row>
    <row r="19" spans="1:13" ht="15.75" hidden="1" customHeight="1">
      <c r="A19" s="30">
        <v>4</v>
      </c>
      <c r="B19" s="36" t="s">
        <v>84</v>
      </c>
      <c r="C19" s="163" t="s">
        <v>83</v>
      </c>
      <c r="D19" s="59" t="s">
        <v>85</v>
      </c>
      <c r="E19" s="116">
        <v>40</v>
      </c>
      <c r="F19" s="35">
        <f>SUM(E19/100)</f>
        <v>0.4</v>
      </c>
      <c r="G19" s="35">
        <v>1965.89</v>
      </c>
      <c r="H19" s="77">
        <f t="shared" si="0"/>
        <v>0.78635600000000005</v>
      </c>
      <c r="I19" s="16">
        <v>0</v>
      </c>
      <c r="J19" s="10"/>
      <c r="K19" s="10"/>
      <c r="L19" s="10"/>
      <c r="M19" s="10"/>
    </row>
    <row r="20" spans="1:13" ht="15.75" customHeight="1">
      <c r="A20" s="30">
        <v>4</v>
      </c>
      <c r="B20" s="36" t="s">
        <v>86</v>
      </c>
      <c r="C20" s="163" t="s">
        <v>83</v>
      </c>
      <c r="D20" s="59" t="s">
        <v>299</v>
      </c>
      <c r="E20" s="116">
        <v>10.5</v>
      </c>
      <c r="F20" s="35">
        <f>SUM(E20*12/100)</f>
        <v>1.26</v>
      </c>
      <c r="G20" s="35">
        <v>848.17</v>
      </c>
      <c r="H20" s="77">
        <f t="shared" si="0"/>
        <v>1.0686941999999999</v>
      </c>
      <c r="I20" s="16">
        <f>G20*F20/12</f>
        <v>89.057849999999988</v>
      </c>
      <c r="J20" s="10"/>
      <c r="K20" s="10"/>
      <c r="L20" s="10"/>
      <c r="M20" s="10"/>
    </row>
    <row r="21" spans="1:13" ht="15.75" customHeight="1">
      <c r="A21" s="30">
        <v>5</v>
      </c>
      <c r="B21" s="36" t="s">
        <v>87</v>
      </c>
      <c r="C21" s="163" t="s">
        <v>83</v>
      </c>
      <c r="D21" s="59" t="s">
        <v>299</v>
      </c>
      <c r="E21" s="116">
        <v>2.7</v>
      </c>
      <c r="F21" s="35">
        <f>SUM(E21*12/100)</f>
        <v>0.32400000000000007</v>
      </c>
      <c r="G21" s="35">
        <v>523.94000000000005</v>
      </c>
      <c r="H21" s="77">
        <f t="shared" si="0"/>
        <v>0.16975656000000006</v>
      </c>
      <c r="I21" s="16">
        <f>G21*F21/12</f>
        <v>14.146380000000006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36" t="s">
        <v>88</v>
      </c>
      <c r="C22" s="163" t="s">
        <v>50</v>
      </c>
      <c r="D22" s="59" t="s">
        <v>85</v>
      </c>
      <c r="E22" s="116">
        <v>357</v>
      </c>
      <c r="F22" s="35">
        <f t="shared" ref="F22:F25" si="1">SUM(E22/100)</f>
        <v>3.57</v>
      </c>
      <c r="G22" s="35">
        <v>1045.18</v>
      </c>
      <c r="H22" s="77">
        <f t="shared" si="0"/>
        <v>3.7312926000000002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36" t="s">
        <v>89</v>
      </c>
      <c r="C23" s="163" t="s">
        <v>50</v>
      </c>
      <c r="D23" s="59" t="s">
        <v>85</v>
      </c>
      <c r="E23" s="183">
        <v>38.64</v>
      </c>
      <c r="F23" s="35">
        <f t="shared" si="1"/>
        <v>0.38640000000000002</v>
      </c>
      <c r="G23" s="35">
        <v>1045.18</v>
      </c>
      <c r="H23" s="77">
        <f t="shared" si="0"/>
        <v>0.40385755200000006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36" t="s">
        <v>90</v>
      </c>
      <c r="C24" s="163" t="s">
        <v>50</v>
      </c>
      <c r="D24" s="60" t="s">
        <v>85</v>
      </c>
      <c r="E24" s="20">
        <v>15</v>
      </c>
      <c r="F24" s="177">
        <f t="shared" si="1"/>
        <v>0.15</v>
      </c>
      <c r="G24" s="35">
        <v>1037.97</v>
      </c>
      <c r="H24" s="77">
        <f t="shared" si="0"/>
        <v>0.15569550000000001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36" t="s">
        <v>91</v>
      </c>
      <c r="C25" s="163" t="s">
        <v>50</v>
      </c>
      <c r="D25" s="59" t="s">
        <v>85</v>
      </c>
      <c r="E25" s="184">
        <v>6.38</v>
      </c>
      <c r="F25" s="35">
        <f t="shared" si="1"/>
        <v>6.3799999999999996E-2</v>
      </c>
      <c r="G25" s="35">
        <v>959.59</v>
      </c>
      <c r="H25" s="77">
        <f t="shared" si="0"/>
        <v>6.1221841999999999E-2</v>
      </c>
      <c r="I25" s="16">
        <v>0</v>
      </c>
      <c r="J25" s="10"/>
      <c r="K25" s="10"/>
      <c r="L25" s="10"/>
      <c r="M25" s="10"/>
    </row>
    <row r="26" spans="1:13" ht="15.75" hidden="1" customHeight="1">
      <c r="A26" s="30">
        <v>5</v>
      </c>
      <c r="B26" s="82" t="s">
        <v>24</v>
      </c>
      <c r="C26" s="74" t="s">
        <v>25</v>
      </c>
      <c r="D26" s="59"/>
      <c r="E26" s="75">
        <v>2566.6</v>
      </c>
      <c r="F26" s="76">
        <f>SUM(E26*12)</f>
        <v>30799.199999999997</v>
      </c>
      <c r="G26" s="76">
        <v>2.4500000000000002</v>
      </c>
      <c r="H26" s="77">
        <f t="shared" ref="H26" si="2">SUM(F26*G26/1000)</f>
        <v>75.458039999999997</v>
      </c>
      <c r="I26" s="92">
        <f>F26/12*G26</f>
        <v>6288.17</v>
      </c>
      <c r="J26" s="25"/>
      <c r="K26" s="10"/>
      <c r="L26" s="10"/>
      <c r="M26" s="10"/>
    </row>
    <row r="27" spans="1:13" ht="15.75" customHeight="1">
      <c r="A27" s="205" t="s">
        <v>151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hidden="1" customHeight="1">
      <c r="A28" s="37"/>
      <c r="B28" s="66" t="s">
        <v>127</v>
      </c>
      <c r="C28" s="182"/>
      <c r="D28" s="182"/>
      <c r="E28" s="182"/>
      <c r="F28" s="182"/>
      <c r="G28" s="182"/>
      <c r="H28" s="182"/>
      <c r="I28" s="182"/>
      <c r="J28" s="25"/>
      <c r="K28" s="10"/>
      <c r="L28" s="10"/>
      <c r="M28" s="10"/>
    </row>
    <row r="29" spans="1:13" ht="15.75" hidden="1" customHeight="1">
      <c r="A29" s="128">
        <v>6</v>
      </c>
      <c r="B29" s="59" t="s">
        <v>128</v>
      </c>
      <c r="C29" s="74" t="s">
        <v>92</v>
      </c>
      <c r="D29" s="59" t="s">
        <v>131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3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hidden="1" customHeight="1">
      <c r="A30" s="30">
        <v>7</v>
      </c>
      <c r="B30" s="59" t="s">
        <v>129</v>
      </c>
      <c r="C30" s="74" t="s">
        <v>92</v>
      </c>
      <c r="D30" s="59" t="s">
        <v>132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3"/>
        <v>1.5372318780000001</v>
      </c>
      <c r="I30" s="92">
        <f t="shared" ref="I30:I32" si="4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3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>
        <v>8</v>
      </c>
      <c r="B32" s="59" t="s">
        <v>130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3"/>
        <v>3.841416666666666</v>
      </c>
      <c r="I32" s="16">
        <f t="shared" si="4"/>
        <v>640.23611111111109</v>
      </c>
      <c r="J32" s="25"/>
      <c r="K32" s="10"/>
      <c r="L32" s="10"/>
      <c r="M32" s="10"/>
    </row>
    <row r="33" spans="1:13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3" ht="15.75" hidden="1" customHeight="1">
      <c r="A34" s="71"/>
      <c r="B34" s="59" t="s">
        <v>103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3" ht="15.75" customHeight="1">
      <c r="A35" s="37"/>
      <c r="B35" s="66" t="s">
        <v>5</v>
      </c>
      <c r="C35" s="182"/>
      <c r="D35" s="182"/>
      <c r="E35" s="182"/>
      <c r="F35" s="182"/>
      <c r="G35" s="182"/>
      <c r="H35" s="182"/>
      <c r="I35" s="182"/>
      <c r="J35" s="25"/>
      <c r="K35" s="10"/>
      <c r="L35" s="10"/>
      <c r="M35" s="10"/>
    </row>
    <row r="36" spans="1:13" ht="15.75" hidden="1" customHeight="1">
      <c r="A36" s="110">
        <v>5</v>
      </c>
      <c r="B36" s="185" t="s">
        <v>300</v>
      </c>
      <c r="C36" s="163" t="s">
        <v>30</v>
      </c>
      <c r="D36" s="36"/>
      <c r="E36" s="116"/>
      <c r="F36" s="35">
        <v>3</v>
      </c>
      <c r="G36" s="35">
        <v>2007</v>
      </c>
      <c r="H36" s="77">
        <f t="shared" ref="H36:H42" si="5">SUM(F36*G36/1000)</f>
        <v>6.0209999999999999</v>
      </c>
      <c r="I36" s="111">
        <f>G36*0.4</f>
        <v>802.80000000000007</v>
      </c>
      <c r="J36" s="25"/>
      <c r="K36" s="10"/>
      <c r="L36" s="10"/>
      <c r="M36" s="10"/>
    </row>
    <row r="37" spans="1:13" ht="15.75" customHeight="1">
      <c r="A37" s="30">
        <v>6</v>
      </c>
      <c r="B37" s="185" t="s">
        <v>135</v>
      </c>
      <c r="C37" s="186" t="s">
        <v>52</v>
      </c>
      <c r="D37" s="36" t="s">
        <v>307</v>
      </c>
      <c r="E37" s="116">
        <v>58.1</v>
      </c>
      <c r="F37" s="187">
        <f>E37*24</f>
        <v>1394.4</v>
      </c>
      <c r="G37" s="35">
        <v>4.12</v>
      </c>
      <c r="H37" s="77">
        <f>G37*F37/1000</f>
        <v>5.7449280000000007</v>
      </c>
      <c r="I37" s="16">
        <f t="shared" ref="I37:I40" si="6">F37/6*G37</f>
        <v>957.48800000000006</v>
      </c>
      <c r="J37" s="25"/>
      <c r="K37" s="10"/>
      <c r="L37" s="10"/>
      <c r="M37" s="10"/>
    </row>
    <row r="38" spans="1:13" ht="15.75" hidden="1" customHeight="1">
      <c r="A38" s="30">
        <v>8</v>
      </c>
      <c r="B38" s="36" t="s">
        <v>301</v>
      </c>
      <c r="C38" s="163" t="s">
        <v>106</v>
      </c>
      <c r="D38" s="36" t="s">
        <v>302</v>
      </c>
      <c r="E38" s="116"/>
      <c r="F38" s="187">
        <v>13</v>
      </c>
      <c r="G38" s="35">
        <v>357</v>
      </c>
      <c r="H38" s="77">
        <f>G38*F38/1000</f>
        <v>4.641</v>
      </c>
      <c r="I38" s="16">
        <f t="shared" si="6"/>
        <v>773.5</v>
      </c>
      <c r="J38" s="25"/>
      <c r="K38" s="10"/>
      <c r="L38" s="10"/>
      <c r="M38" s="10"/>
    </row>
    <row r="39" spans="1:13" ht="15.75" customHeight="1">
      <c r="A39" s="30">
        <v>7</v>
      </c>
      <c r="B39" s="36" t="s">
        <v>303</v>
      </c>
      <c r="C39" s="163" t="s">
        <v>80</v>
      </c>
      <c r="D39" s="36" t="s">
        <v>308</v>
      </c>
      <c r="E39" s="35">
        <v>58.1</v>
      </c>
      <c r="F39" s="187">
        <f>SUM(E39*156/10)</f>
        <v>906.36</v>
      </c>
      <c r="G39" s="35">
        <v>9.4499999999999993</v>
      </c>
      <c r="H39" s="77">
        <f t="shared" si="5"/>
        <v>8.5651019999999995</v>
      </c>
      <c r="I39" s="16">
        <f t="shared" si="6"/>
        <v>1427.5169999999998</v>
      </c>
      <c r="J39" s="25"/>
      <c r="K39" s="10"/>
      <c r="L39" s="10"/>
      <c r="M39" s="10"/>
    </row>
    <row r="40" spans="1:13" ht="47.25" customHeight="1">
      <c r="A40" s="30">
        <v>8</v>
      </c>
      <c r="B40" s="36" t="s">
        <v>309</v>
      </c>
      <c r="C40" s="163" t="s">
        <v>92</v>
      </c>
      <c r="D40" s="36" t="s">
        <v>307</v>
      </c>
      <c r="E40" s="35">
        <v>58.1</v>
      </c>
      <c r="F40" s="187">
        <f>SUM(E40*24/1000)</f>
        <v>1.3944000000000001</v>
      </c>
      <c r="G40" s="35">
        <v>8998.15</v>
      </c>
      <c r="H40" s="77">
        <f t="shared" si="5"/>
        <v>12.547020360000001</v>
      </c>
      <c r="I40" s="16">
        <f t="shared" si="6"/>
        <v>2091.1700599999999</v>
      </c>
      <c r="J40" s="25"/>
      <c r="K40" s="10"/>
      <c r="L40" s="10"/>
      <c r="M40" s="10"/>
    </row>
    <row r="41" spans="1:13" ht="15.75" hidden="1" customHeight="1">
      <c r="A41" s="30">
        <v>9</v>
      </c>
      <c r="B41" s="36" t="s">
        <v>108</v>
      </c>
      <c r="C41" s="163" t="s">
        <v>50</v>
      </c>
      <c r="D41" s="36" t="s">
        <v>304</v>
      </c>
      <c r="E41" s="35">
        <v>58.1</v>
      </c>
      <c r="F41" s="187">
        <f>SUM(E41*12/100)</f>
        <v>6.9720000000000004</v>
      </c>
      <c r="G41" s="35">
        <v>371.4</v>
      </c>
      <c r="H41" s="77">
        <f t="shared" si="5"/>
        <v>2.5894007999999999</v>
      </c>
      <c r="I41" s="16">
        <f>F41/7.5*G41</f>
        <v>345.25344000000001</v>
      </c>
      <c r="J41" s="25"/>
      <c r="K41" s="10"/>
      <c r="L41" s="10"/>
      <c r="M41" s="10"/>
    </row>
    <row r="42" spans="1:13" ht="15.75" hidden="1" customHeight="1">
      <c r="A42" s="30">
        <v>10</v>
      </c>
      <c r="B42" s="185" t="s">
        <v>62</v>
      </c>
      <c r="C42" s="186" t="s">
        <v>31</v>
      </c>
      <c r="D42" s="185"/>
      <c r="E42" s="164"/>
      <c r="F42" s="187">
        <v>0.3</v>
      </c>
      <c r="G42" s="187">
        <v>900</v>
      </c>
      <c r="H42" s="77">
        <f t="shared" si="5"/>
        <v>0.27</v>
      </c>
      <c r="I42" s="16">
        <f>F42/7.5*G42</f>
        <v>36</v>
      </c>
      <c r="J42" s="25"/>
      <c r="K42" s="10"/>
    </row>
    <row r="43" spans="1:13" ht="31.5" customHeight="1">
      <c r="A43" s="30">
        <v>9</v>
      </c>
      <c r="B43" s="188" t="s">
        <v>305</v>
      </c>
      <c r="C43" s="186" t="s">
        <v>50</v>
      </c>
      <c r="D43" s="185" t="s">
        <v>306</v>
      </c>
      <c r="E43" s="164">
        <v>3.6</v>
      </c>
      <c r="F43" s="187">
        <f>E43*12/1000</f>
        <v>4.3200000000000002E-2</v>
      </c>
      <c r="G43" s="187">
        <v>21369.24</v>
      </c>
      <c r="H43" s="179"/>
      <c r="I43" s="180">
        <f>G43*F43/6</f>
        <v>153.85852800000001</v>
      </c>
      <c r="J43" s="25"/>
      <c r="K43" s="10"/>
    </row>
    <row r="44" spans="1:13" ht="15.75" customHeight="1">
      <c r="A44" s="208" t="s">
        <v>118</v>
      </c>
      <c r="B44" s="233"/>
      <c r="C44" s="233"/>
      <c r="D44" s="233"/>
      <c r="E44" s="233"/>
      <c r="F44" s="233"/>
      <c r="G44" s="233"/>
      <c r="H44" s="233"/>
      <c r="I44" s="234"/>
      <c r="J44" s="26"/>
    </row>
    <row r="45" spans="1:13" ht="15.75" hidden="1" customHeight="1">
      <c r="A45" s="30">
        <v>12</v>
      </c>
      <c r="B45" s="59" t="s">
        <v>109</v>
      </c>
      <c r="C45" s="74" t="s">
        <v>92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92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92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customHeight="1">
      <c r="A49" s="30">
        <v>10</v>
      </c>
      <c r="B49" s="36" t="s">
        <v>53</v>
      </c>
      <c r="C49" s="163" t="s">
        <v>92</v>
      </c>
      <c r="D49" s="36" t="s">
        <v>172</v>
      </c>
      <c r="E49" s="116">
        <v>891.8</v>
      </c>
      <c r="F49" s="35">
        <f>SUM(E49*5/1000)</f>
        <v>4.4589999999999996</v>
      </c>
      <c r="G49" s="39">
        <v>898.48</v>
      </c>
      <c r="H49" s="77">
        <f t="shared" si="7"/>
        <v>4.0063223199999998</v>
      </c>
      <c r="I49" s="16">
        <f>F49/5*G49</f>
        <v>801.26446399999998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110</v>
      </c>
      <c r="C50" s="74" t="s">
        <v>92</v>
      </c>
      <c r="D50" s="59" t="s">
        <v>40</v>
      </c>
      <c r="E50" s="75">
        <f>E49</f>
        <v>891.8</v>
      </c>
      <c r="F50" s="76">
        <f>SUM(E50*2/1000)</f>
        <v>1.7835999999999999</v>
      </c>
      <c r="G50" s="16">
        <v>1591.6</v>
      </c>
      <c r="H50" s="77">
        <f t="shared" si="7"/>
        <v>2.8387777599999997</v>
      </c>
      <c r="I50" s="16">
        <f>F50/2*G50</f>
        <v>1419.3888799999997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111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hidden="1" customHeight="1">
      <c r="A53" s="30">
        <v>10</v>
      </c>
      <c r="B53" s="59" t="s">
        <v>112</v>
      </c>
      <c r="C53" s="74" t="s">
        <v>79</v>
      </c>
      <c r="D53" s="165">
        <v>44172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11</v>
      </c>
      <c r="B54" s="59" t="s">
        <v>39</v>
      </c>
      <c r="C54" s="74" t="s">
        <v>79</v>
      </c>
      <c r="D54" s="165">
        <v>44172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7.25" customHeight="1">
      <c r="A55" s="208" t="s">
        <v>119</v>
      </c>
      <c r="B55" s="235"/>
      <c r="C55" s="235"/>
      <c r="D55" s="235"/>
      <c r="E55" s="235"/>
      <c r="F55" s="235"/>
      <c r="G55" s="235"/>
      <c r="H55" s="235"/>
      <c r="I55" s="236"/>
      <c r="J55" s="26"/>
      <c r="L55" s="22"/>
      <c r="M55" s="23"/>
      <c r="N55" s="24"/>
    </row>
    <row r="56" spans="1:14" ht="15.75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customHeight="1">
      <c r="A57" s="58">
        <v>11</v>
      </c>
      <c r="B57" s="36" t="s">
        <v>113</v>
      </c>
      <c r="C57" s="163" t="s">
        <v>83</v>
      </c>
      <c r="D57" s="36" t="s">
        <v>114</v>
      </c>
      <c r="E57" s="116">
        <v>5.3</v>
      </c>
      <c r="F57" s="35">
        <f>SUM(E57*6/100)</f>
        <v>0.31799999999999995</v>
      </c>
      <c r="G57" s="39">
        <v>2399.1</v>
      </c>
      <c r="H57" s="77">
        <f>SUM(F57*G57/1000)</f>
        <v>0.76291379999999986</v>
      </c>
      <c r="I57" s="16">
        <f>G57*0.183</f>
        <v>439.03529999999995</v>
      </c>
      <c r="J57" s="26"/>
      <c r="L57" s="22"/>
      <c r="M57" s="23"/>
      <c r="N57" s="24"/>
    </row>
    <row r="58" spans="1:14" ht="34.5" customHeight="1">
      <c r="A58" s="58">
        <v>12</v>
      </c>
      <c r="B58" s="62" t="s">
        <v>310</v>
      </c>
      <c r="C58" s="56" t="s">
        <v>102</v>
      </c>
      <c r="D58" s="62" t="s">
        <v>311</v>
      </c>
      <c r="E58" s="118">
        <v>4.0999999999999996</v>
      </c>
      <c r="F58" s="189">
        <f>E58*12/100</f>
        <v>0.49199999999999994</v>
      </c>
      <c r="G58" s="39">
        <v>2399.1</v>
      </c>
      <c r="H58" s="77">
        <f t="shared" ref="H58" si="10">SUM(F58*G58/1000)</f>
        <v>1.1803571999999998</v>
      </c>
      <c r="I58" s="16">
        <f>G58*F58/6</f>
        <v>196.72619999999995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115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13</v>
      </c>
      <c r="B61" s="62" t="s">
        <v>138</v>
      </c>
      <c r="C61" s="56" t="s">
        <v>139</v>
      </c>
      <c r="D61" s="62" t="s">
        <v>172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100</v>
      </c>
      <c r="I62" s="16"/>
      <c r="J62" s="26"/>
      <c r="L62" s="22"/>
      <c r="M62" s="23"/>
      <c r="N62" s="24"/>
    </row>
    <row r="63" spans="1:14" ht="15.75" hidden="1" customHeight="1">
      <c r="A63" s="58">
        <v>13</v>
      </c>
      <c r="B63" s="17" t="s">
        <v>44</v>
      </c>
      <c r="C63" s="19" t="s">
        <v>79</v>
      </c>
      <c r="D63" s="83"/>
      <c r="E63" s="21">
        <v>5</v>
      </c>
      <c r="F63" s="76">
        <f>E63</f>
        <v>5</v>
      </c>
      <c r="G63" s="16">
        <v>291.68</v>
      </c>
      <c r="H63" s="89">
        <f t="shared" ref="H63:H73" si="12">SUM(F63*G63/1000)</f>
        <v>1.4584000000000001</v>
      </c>
      <c r="I63" s="16">
        <f>G63*2</f>
        <v>583.36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79</v>
      </c>
      <c r="D64" s="83" t="s">
        <v>60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95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96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97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98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30.75" customHeight="1">
      <c r="A71" s="58">
        <v>14</v>
      </c>
      <c r="B71" s="190" t="s">
        <v>312</v>
      </c>
      <c r="C71" s="42" t="s">
        <v>29</v>
      </c>
      <c r="D71" s="41" t="s">
        <v>299</v>
      </c>
      <c r="E71" s="20">
        <v>1</v>
      </c>
      <c r="F71" s="177">
        <f>E71*12</f>
        <v>12</v>
      </c>
      <c r="G71" s="39">
        <v>1902</v>
      </c>
      <c r="H71" s="89"/>
      <c r="I71" s="16">
        <f>G71*F71/12</f>
        <v>1902</v>
      </c>
      <c r="J71" s="26"/>
      <c r="L71" s="22"/>
      <c r="M71" s="23"/>
      <c r="N71" s="24"/>
    </row>
    <row r="72" spans="1:14" ht="20.25" customHeight="1">
      <c r="A72" s="58"/>
      <c r="B72" s="66" t="s">
        <v>186</v>
      </c>
      <c r="C72" s="42"/>
      <c r="D72" s="191"/>
      <c r="E72" s="20"/>
      <c r="F72" s="177"/>
      <c r="G72" s="39"/>
      <c r="H72" s="89"/>
      <c r="I72" s="16"/>
      <c r="J72" s="26"/>
      <c r="L72" s="22"/>
      <c r="M72" s="23"/>
      <c r="N72" s="24"/>
    </row>
    <row r="73" spans="1:14" ht="15.75" customHeight="1">
      <c r="A73" s="58">
        <v>15</v>
      </c>
      <c r="B73" s="17" t="s">
        <v>140</v>
      </c>
      <c r="C73" s="30" t="s">
        <v>141</v>
      </c>
      <c r="D73" s="129"/>
      <c r="E73" s="21">
        <v>2566.6</v>
      </c>
      <c r="F73" s="76">
        <f>SUM(E73)*12</f>
        <v>30799.199999999997</v>
      </c>
      <c r="G73" s="39">
        <v>2.7</v>
      </c>
      <c r="H73" s="89">
        <f t="shared" si="12"/>
        <v>83.157839999999993</v>
      </c>
      <c r="I73" s="16">
        <f>F73/12*G73</f>
        <v>6929.8200000000006</v>
      </c>
      <c r="J73" s="26"/>
      <c r="L73" s="22"/>
      <c r="M73" s="23"/>
      <c r="N73" s="24"/>
    </row>
    <row r="74" spans="1:14" ht="15.75" customHeight="1">
      <c r="A74" s="58"/>
      <c r="B74" s="66" t="s">
        <v>313</v>
      </c>
      <c r="C74" s="19"/>
      <c r="D74" s="17"/>
      <c r="E74" s="21"/>
      <c r="F74" s="16"/>
      <c r="G74" s="16"/>
      <c r="H74" s="89" t="s">
        <v>100</v>
      </c>
      <c r="I74" s="16"/>
      <c r="J74" s="26"/>
      <c r="L74" s="22"/>
      <c r="M74" s="23"/>
      <c r="N74" s="24"/>
    </row>
    <row r="75" spans="1:14" ht="31.5" customHeight="1">
      <c r="A75" s="58">
        <v>16</v>
      </c>
      <c r="B75" s="41" t="s">
        <v>314</v>
      </c>
      <c r="C75" s="42" t="s">
        <v>29</v>
      </c>
      <c r="D75" s="41"/>
      <c r="E75" s="20">
        <v>1</v>
      </c>
      <c r="F75" s="35">
        <f>E75*12</f>
        <v>12</v>
      </c>
      <c r="G75" s="39">
        <v>442</v>
      </c>
      <c r="H75" s="119">
        <f>G75*F75/1000</f>
        <v>5.3040000000000003</v>
      </c>
      <c r="I75" s="16">
        <f>G75*F75/12</f>
        <v>442</v>
      </c>
      <c r="J75" s="26"/>
      <c r="L75" s="22"/>
      <c r="M75" s="23"/>
      <c r="N75" s="24"/>
    </row>
    <row r="76" spans="1:14" ht="15.75" customHeight="1">
      <c r="A76" s="58"/>
      <c r="B76" s="95" t="s">
        <v>68</v>
      </c>
      <c r="C76" s="19"/>
      <c r="D76" s="17"/>
      <c r="E76" s="21"/>
      <c r="F76" s="16"/>
      <c r="G76" s="16" t="s">
        <v>100</v>
      </c>
      <c r="H76" s="89" t="s">
        <v>100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99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5">SUM(F77*G77/1000)</f>
        <v>3.6190900000000004</v>
      </c>
      <c r="I77" s="16">
        <v>0</v>
      </c>
      <c r="J77" s="26"/>
      <c r="L77" s="22"/>
      <c r="M77" s="23"/>
      <c r="N77" s="24"/>
    </row>
    <row r="78" spans="1:14" ht="15.75" customHeight="1">
      <c r="A78" s="58">
        <v>17</v>
      </c>
      <c r="B78" s="36" t="s">
        <v>101</v>
      </c>
      <c r="C78" s="192" t="s">
        <v>30</v>
      </c>
      <c r="D78" s="193" t="s">
        <v>329</v>
      </c>
      <c r="E78" s="20">
        <v>2</v>
      </c>
      <c r="F78" s="194">
        <f>E78</f>
        <v>2</v>
      </c>
      <c r="G78" s="194">
        <v>1872</v>
      </c>
      <c r="H78" s="119"/>
      <c r="I78" s="16">
        <f>G78*1</f>
        <v>1872</v>
      </c>
      <c r="J78" s="26"/>
      <c r="L78" s="22"/>
      <c r="M78" s="23"/>
      <c r="N78" s="24"/>
    </row>
    <row r="79" spans="1:14" ht="15.75" hidden="1" customHeight="1">
      <c r="A79" s="58"/>
      <c r="B79" s="66" t="s">
        <v>93</v>
      </c>
      <c r="C79" s="19"/>
      <c r="D79" s="17"/>
      <c r="E79" s="21"/>
      <c r="F79" s="16"/>
      <c r="G79" s="16"/>
      <c r="H79" s="89">
        <f>SUM(H57:H77)</f>
        <v>189.86110784000002</v>
      </c>
      <c r="I79" s="16"/>
      <c r="J79" s="26"/>
      <c r="L79" s="22"/>
      <c r="M79" s="23"/>
      <c r="N79" s="24"/>
    </row>
    <row r="80" spans="1:14" ht="16.5" hidden="1" customHeight="1">
      <c r="A80" s="58">
        <v>14</v>
      </c>
      <c r="B80" s="59" t="s">
        <v>94</v>
      </c>
      <c r="C80" s="19"/>
      <c r="D80" s="17"/>
      <c r="E80" s="91"/>
      <c r="F80" s="16">
        <v>1</v>
      </c>
      <c r="G80" s="16">
        <v>3602</v>
      </c>
      <c r="H80" s="89">
        <f>G80*F80/1000</f>
        <v>3.6019999999999999</v>
      </c>
      <c r="I80" s="16">
        <f>G80</f>
        <v>3602</v>
      </c>
      <c r="J80" s="26"/>
      <c r="L80" s="22"/>
      <c r="M80" s="23"/>
      <c r="N80" s="24"/>
    </row>
    <row r="81" spans="1:14" ht="15.75" customHeight="1">
      <c r="A81" s="208" t="s">
        <v>120</v>
      </c>
      <c r="B81" s="237"/>
      <c r="C81" s="237"/>
      <c r="D81" s="237"/>
      <c r="E81" s="237"/>
      <c r="F81" s="237"/>
      <c r="G81" s="237"/>
      <c r="H81" s="237"/>
      <c r="I81" s="238"/>
      <c r="J81" s="26"/>
      <c r="L81" s="22"/>
      <c r="M81" s="23"/>
      <c r="N81" s="24"/>
    </row>
    <row r="82" spans="1:14" ht="15.75" customHeight="1">
      <c r="A82" s="58">
        <v>18</v>
      </c>
      <c r="B82" s="41" t="s">
        <v>315</v>
      </c>
      <c r="C82" s="195" t="s">
        <v>52</v>
      </c>
      <c r="D82" s="41" t="s">
        <v>316</v>
      </c>
      <c r="E82" s="181">
        <v>2566.6</v>
      </c>
      <c r="F82" s="39">
        <f>E82*12</f>
        <v>30799.199999999997</v>
      </c>
      <c r="G82" s="196">
        <v>3.93</v>
      </c>
      <c r="H82" s="119">
        <f>SUM(F82*G82/1000)</f>
        <v>121.04085600000001</v>
      </c>
      <c r="I82" s="16">
        <f>F82/12*G82</f>
        <v>10086.737999999999</v>
      </c>
      <c r="J82" s="26"/>
      <c r="L82" s="22"/>
      <c r="M82" s="23"/>
      <c r="N82" s="24"/>
    </row>
    <row r="83" spans="1:14" ht="31.5" customHeight="1">
      <c r="A83" s="58">
        <v>19</v>
      </c>
      <c r="B83" s="41" t="s">
        <v>317</v>
      </c>
      <c r="C83" s="42" t="s">
        <v>52</v>
      </c>
      <c r="D83" s="140"/>
      <c r="E83" s="116">
        <v>2566.6</v>
      </c>
      <c r="F83" s="39">
        <f>E83*12</f>
        <v>30799.199999999997</v>
      </c>
      <c r="G83" s="39">
        <v>3.6</v>
      </c>
      <c r="H83" s="119">
        <f>F83*G83/1000</f>
        <v>110.87711999999999</v>
      </c>
      <c r="I83" s="16">
        <f>F83/12*G83</f>
        <v>9239.76</v>
      </c>
      <c r="J83" s="26"/>
      <c r="L83" s="22"/>
      <c r="M83" s="23"/>
      <c r="N83" s="24"/>
    </row>
    <row r="84" spans="1:14" ht="31.5" customHeight="1">
      <c r="A84" s="58">
        <v>20</v>
      </c>
      <c r="B84" s="41" t="s">
        <v>318</v>
      </c>
      <c r="C84" s="42" t="s">
        <v>52</v>
      </c>
      <c r="D84" s="140"/>
      <c r="E84" s="181">
        <v>2566.6</v>
      </c>
      <c r="F84" s="39">
        <f>E84*1</f>
        <v>2566.6</v>
      </c>
      <c r="G84" s="39">
        <v>3.3</v>
      </c>
      <c r="H84" s="119"/>
      <c r="I84" s="16">
        <f>G84*F84/1</f>
        <v>8469.7799999999988</v>
      </c>
      <c r="J84" s="26"/>
      <c r="L84" s="22"/>
      <c r="M84" s="23"/>
      <c r="N84" s="24"/>
    </row>
    <row r="85" spans="1:14" ht="15.75" customHeight="1">
      <c r="A85" s="58"/>
      <c r="B85" s="45" t="s">
        <v>72</v>
      </c>
      <c r="C85" s="19"/>
      <c r="D85" s="52"/>
      <c r="E85" s="16"/>
      <c r="F85" s="16"/>
      <c r="G85" s="16"/>
      <c r="H85" s="89">
        <f>H83</f>
        <v>110.87711999999999</v>
      </c>
      <c r="I85" s="96">
        <f>I84+I83+I82+I78+I75+I73+I71+I61+I58+I57+I49+I43+I40+I39+I37+I18+I17+I16+I21+I20</f>
        <v>58236.443831999975</v>
      </c>
      <c r="J85" s="26"/>
      <c r="L85" s="22"/>
      <c r="M85" s="23"/>
      <c r="N85" s="24"/>
    </row>
    <row r="86" spans="1:14" ht="15.75" customHeight="1">
      <c r="A86" s="215" t="s">
        <v>56</v>
      </c>
      <c r="B86" s="216"/>
      <c r="C86" s="216"/>
      <c r="D86" s="216"/>
      <c r="E86" s="216"/>
      <c r="F86" s="216"/>
      <c r="G86" s="216"/>
      <c r="H86" s="216"/>
      <c r="I86" s="217"/>
      <c r="J86" s="26"/>
      <c r="L86" s="22"/>
      <c r="M86" s="23"/>
      <c r="N86" s="24"/>
    </row>
    <row r="87" spans="1:14" ht="20.25" customHeight="1">
      <c r="A87" s="58">
        <v>21</v>
      </c>
      <c r="B87" s="172" t="s">
        <v>206</v>
      </c>
      <c r="C87" s="30" t="s">
        <v>158</v>
      </c>
      <c r="D87" s="140"/>
      <c r="E87" s="39"/>
      <c r="F87" s="39">
        <v>0.3</v>
      </c>
      <c r="G87" s="39">
        <v>3537.07</v>
      </c>
      <c r="H87" s="119"/>
      <c r="I87" s="130">
        <f>G87*0.8</f>
        <v>2829.6560000000004</v>
      </c>
      <c r="J87" s="26"/>
      <c r="L87" s="22"/>
      <c r="M87" s="23"/>
      <c r="N87" s="24"/>
    </row>
    <row r="88" spans="1:14" ht="15.75" customHeight="1">
      <c r="A88" s="58">
        <v>22</v>
      </c>
      <c r="B88" s="120" t="s">
        <v>184</v>
      </c>
      <c r="C88" s="64" t="s">
        <v>319</v>
      </c>
      <c r="D88" s="140" t="s">
        <v>166</v>
      </c>
      <c r="E88" s="39"/>
      <c r="F88" s="39">
        <v>0.01</v>
      </c>
      <c r="G88" s="39">
        <v>28224.75</v>
      </c>
      <c r="H88" s="119"/>
      <c r="I88" s="130">
        <v>0</v>
      </c>
      <c r="J88" s="26"/>
      <c r="L88" s="22"/>
      <c r="M88" s="23"/>
      <c r="N88" s="24"/>
    </row>
    <row r="89" spans="1:14" ht="28.5" customHeight="1">
      <c r="A89" s="58">
        <v>23</v>
      </c>
      <c r="B89" s="120" t="s">
        <v>320</v>
      </c>
      <c r="C89" s="173" t="s">
        <v>80</v>
      </c>
      <c r="D89" s="140" t="s">
        <v>327</v>
      </c>
      <c r="E89" s="39"/>
      <c r="F89" s="39">
        <v>0.03</v>
      </c>
      <c r="G89" s="39">
        <v>11110.37</v>
      </c>
      <c r="H89" s="119"/>
      <c r="I89" s="130">
        <f>G89*0.03</f>
        <v>333.31110000000001</v>
      </c>
      <c r="J89" s="26"/>
      <c r="L89" s="22"/>
      <c r="M89" s="23"/>
      <c r="N89" s="24"/>
    </row>
    <row r="90" spans="1:14" ht="28.5" customHeight="1">
      <c r="A90" s="58">
        <v>24</v>
      </c>
      <c r="B90" s="120" t="s">
        <v>321</v>
      </c>
      <c r="C90" s="64" t="s">
        <v>80</v>
      </c>
      <c r="D90" s="140" t="s">
        <v>326</v>
      </c>
      <c r="E90" s="39"/>
      <c r="F90" s="39">
        <v>0.95</v>
      </c>
      <c r="G90" s="39">
        <v>8968.52</v>
      </c>
      <c r="H90" s="119"/>
      <c r="I90" s="130">
        <f>G90*0.95</f>
        <v>8520.0939999999991</v>
      </c>
      <c r="J90" s="26"/>
      <c r="L90" s="22"/>
      <c r="M90" s="23"/>
      <c r="N90" s="24"/>
    </row>
    <row r="91" spans="1:14" ht="28.5" customHeight="1">
      <c r="A91" s="58">
        <v>25</v>
      </c>
      <c r="B91" s="120" t="s">
        <v>322</v>
      </c>
      <c r="C91" s="64" t="s">
        <v>323</v>
      </c>
      <c r="D91" s="140" t="s">
        <v>223</v>
      </c>
      <c r="E91" s="39"/>
      <c r="F91" s="39">
        <v>1</v>
      </c>
      <c r="G91" s="39">
        <v>643.53</v>
      </c>
      <c r="H91" s="119"/>
      <c r="I91" s="130">
        <f>G91*1</f>
        <v>643.53</v>
      </c>
      <c r="J91" s="26"/>
      <c r="L91" s="22"/>
      <c r="M91" s="23"/>
      <c r="N91" s="24"/>
    </row>
    <row r="92" spans="1:14" ht="19.5" customHeight="1">
      <c r="A92" s="58">
        <v>26</v>
      </c>
      <c r="B92" s="120" t="s">
        <v>324</v>
      </c>
      <c r="C92" s="64" t="s">
        <v>117</v>
      </c>
      <c r="D92" s="140"/>
      <c r="E92" s="39"/>
      <c r="F92" s="39">
        <v>1</v>
      </c>
      <c r="G92" s="39">
        <v>344.83</v>
      </c>
      <c r="H92" s="119"/>
      <c r="I92" s="130">
        <f>G92*1</f>
        <v>344.83</v>
      </c>
      <c r="J92" s="26"/>
      <c r="L92" s="22"/>
      <c r="M92" s="23"/>
      <c r="N92" s="24"/>
    </row>
    <row r="93" spans="1:14" ht="28.5" customHeight="1">
      <c r="A93" s="58">
        <v>27</v>
      </c>
      <c r="B93" s="120" t="s">
        <v>325</v>
      </c>
      <c r="C93" s="64" t="s">
        <v>156</v>
      </c>
      <c r="D93" s="140" t="s">
        <v>328</v>
      </c>
      <c r="E93" s="39"/>
      <c r="F93" s="39">
        <v>0.1</v>
      </c>
      <c r="G93" s="39">
        <v>723.09</v>
      </c>
      <c r="H93" s="119"/>
      <c r="I93" s="130">
        <f>G93*0.1</f>
        <v>72.309000000000012</v>
      </c>
      <c r="J93" s="26"/>
      <c r="L93" s="22"/>
      <c r="M93" s="23"/>
      <c r="N93" s="24"/>
    </row>
    <row r="94" spans="1:14" ht="28.5" customHeight="1">
      <c r="A94" s="58">
        <v>28</v>
      </c>
      <c r="B94" s="120" t="s">
        <v>280</v>
      </c>
      <c r="C94" s="64" t="s">
        <v>160</v>
      </c>
      <c r="D94" s="140" t="s">
        <v>330</v>
      </c>
      <c r="E94" s="39"/>
      <c r="F94" s="39">
        <v>4</v>
      </c>
      <c r="G94" s="39">
        <v>1584.54</v>
      </c>
      <c r="H94" s="119"/>
      <c r="I94" s="130">
        <f>G94*4</f>
        <v>6338.16</v>
      </c>
      <c r="J94" s="26"/>
      <c r="L94" s="22"/>
      <c r="M94" s="23"/>
      <c r="N94" s="24"/>
    </row>
    <row r="95" spans="1:14" ht="15.75" customHeight="1">
      <c r="A95" s="30"/>
      <c r="B95" s="50" t="s">
        <v>49</v>
      </c>
      <c r="C95" s="46"/>
      <c r="D95" s="57"/>
      <c r="E95" s="46">
        <v>1</v>
      </c>
      <c r="F95" s="46"/>
      <c r="G95" s="34"/>
      <c r="H95" s="46"/>
      <c r="I95" s="34">
        <f>SUM(I87:I94)</f>
        <v>19081.890099999997</v>
      </c>
      <c r="J95" s="26"/>
      <c r="L95" s="22"/>
      <c r="M95" s="23"/>
      <c r="N95" s="24"/>
    </row>
    <row r="96" spans="1:14" ht="15.75" customHeight="1">
      <c r="A96" s="30"/>
      <c r="B96" s="52" t="s">
        <v>71</v>
      </c>
      <c r="C96" s="18"/>
      <c r="D96" s="18"/>
      <c r="E96" s="47"/>
      <c r="F96" s="48"/>
      <c r="G96" s="20"/>
      <c r="H96" s="72"/>
      <c r="I96" s="21">
        <v>0</v>
      </c>
      <c r="J96" s="26"/>
      <c r="L96" s="22"/>
      <c r="M96" s="23"/>
      <c r="N96" s="24"/>
    </row>
    <row r="97" spans="1:22" ht="15.75" customHeight="1">
      <c r="A97" s="73"/>
      <c r="B97" s="51" t="s">
        <v>134</v>
      </c>
      <c r="C97" s="37"/>
      <c r="D97" s="37"/>
      <c r="E97" s="37"/>
      <c r="F97" s="37"/>
      <c r="G97" s="49"/>
      <c r="H97" s="38"/>
      <c r="I97" s="34">
        <f>I85+I95</f>
        <v>77318.33393199998</v>
      </c>
      <c r="J97" s="26"/>
      <c r="L97" s="22"/>
      <c r="M97" s="23"/>
      <c r="N97" s="24"/>
    </row>
    <row r="98" spans="1:22" ht="15.75" customHeight="1">
      <c r="A98" s="200" t="s">
        <v>331</v>
      </c>
      <c r="B98" s="200"/>
      <c r="C98" s="200"/>
      <c r="D98" s="200"/>
      <c r="E98" s="200"/>
      <c r="F98" s="200"/>
      <c r="G98" s="200"/>
      <c r="H98" s="200"/>
      <c r="I98" s="200"/>
      <c r="J98" s="26"/>
      <c r="L98" s="22"/>
      <c r="M98" s="23"/>
      <c r="N98" s="24"/>
    </row>
    <row r="99" spans="1:22" ht="15.75" customHeight="1">
      <c r="A99" s="12"/>
      <c r="B99" s="218" t="s">
        <v>332</v>
      </c>
      <c r="C99" s="218"/>
      <c r="D99" s="218"/>
      <c r="E99" s="218"/>
      <c r="F99" s="218"/>
      <c r="G99" s="218"/>
      <c r="H99" s="127"/>
      <c r="I99" s="4"/>
      <c r="J99" s="26"/>
      <c r="L99" s="22"/>
    </row>
    <row r="100" spans="1:22" ht="15.75" customHeight="1">
      <c r="A100" s="65"/>
      <c r="B100" s="202" t="s">
        <v>6</v>
      </c>
      <c r="C100" s="202"/>
      <c r="D100" s="202"/>
      <c r="E100" s="202"/>
      <c r="F100" s="202"/>
      <c r="G100" s="202"/>
      <c r="H100" s="27"/>
      <c r="I100" s="54"/>
    </row>
    <row r="101" spans="1:22" ht="15.75" customHeight="1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22" ht="15.75" customHeight="1">
      <c r="A102" s="219" t="s">
        <v>7</v>
      </c>
      <c r="B102" s="219"/>
      <c r="C102" s="219"/>
      <c r="D102" s="219"/>
      <c r="E102" s="219"/>
      <c r="F102" s="219"/>
      <c r="G102" s="219"/>
      <c r="H102" s="219"/>
      <c r="I102" s="219"/>
    </row>
    <row r="103" spans="1:22" ht="15.75" customHeight="1">
      <c r="A103" s="219" t="s">
        <v>8</v>
      </c>
      <c r="B103" s="219"/>
      <c r="C103" s="219"/>
      <c r="D103" s="219"/>
      <c r="E103" s="219"/>
      <c r="F103" s="219"/>
      <c r="G103" s="219"/>
      <c r="H103" s="219"/>
      <c r="I103" s="21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11"/>
    </row>
    <row r="104" spans="1:22" ht="15.75" customHeight="1">
      <c r="A104" s="200" t="s">
        <v>9</v>
      </c>
      <c r="B104" s="200"/>
      <c r="C104" s="200"/>
      <c r="D104" s="200"/>
      <c r="E104" s="200"/>
      <c r="F104" s="200"/>
      <c r="G104" s="200"/>
      <c r="H104" s="200"/>
      <c r="I104" s="200"/>
      <c r="J104" s="28"/>
      <c r="K104" s="28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2" ht="15.75" customHeight="1">
      <c r="A105" s="14"/>
      <c r="B105" s="53"/>
      <c r="C105" s="53"/>
      <c r="D105" s="53"/>
      <c r="E105" s="53"/>
      <c r="F105" s="53"/>
      <c r="G105" s="53"/>
      <c r="H105" s="53"/>
      <c r="I105" s="53"/>
      <c r="J105" s="6"/>
      <c r="K105" s="6"/>
      <c r="L105" s="6"/>
      <c r="M105" s="6"/>
      <c r="N105" s="6"/>
      <c r="O105" s="6"/>
      <c r="P105" s="6"/>
      <c r="Q105" s="6"/>
      <c r="R105" s="198"/>
      <c r="S105" s="198"/>
      <c r="T105" s="198"/>
      <c r="U105" s="198"/>
    </row>
    <row r="106" spans="1:22" ht="15.75" customHeight="1">
      <c r="A106" s="199" t="s">
        <v>10</v>
      </c>
      <c r="B106" s="199"/>
      <c r="C106" s="199"/>
      <c r="D106" s="199"/>
      <c r="E106" s="199"/>
      <c r="F106" s="199"/>
      <c r="G106" s="199"/>
      <c r="H106" s="199"/>
      <c r="I106" s="199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2" ht="15.75" customHeight="1">
      <c r="A107" s="5"/>
      <c r="B107" s="53"/>
      <c r="C107" s="53"/>
      <c r="D107" s="53"/>
      <c r="E107" s="53"/>
      <c r="F107" s="53"/>
      <c r="G107" s="53"/>
      <c r="H107" s="53"/>
      <c r="I107" s="53"/>
    </row>
    <row r="108" spans="1:22" ht="15.75" customHeight="1">
      <c r="A108" s="200" t="s">
        <v>11</v>
      </c>
      <c r="B108" s="200"/>
      <c r="C108" s="201" t="s">
        <v>190</v>
      </c>
      <c r="D108" s="201"/>
      <c r="E108" s="201"/>
      <c r="F108" s="67"/>
      <c r="I108" s="126"/>
    </row>
    <row r="109" spans="1:22" ht="15.75" customHeight="1">
      <c r="A109" s="65"/>
      <c r="B109" s="53"/>
      <c r="C109" s="202" t="s">
        <v>12</v>
      </c>
      <c r="D109" s="202"/>
      <c r="E109" s="202"/>
      <c r="F109" s="27"/>
      <c r="I109" s="124" t="s">
        <v>13</v>
      </c>
    </row>
    <row r="110" spans="1:22" ht="15.75" customHeight="1">
      <c r="A110" s="28"/>
      <c r="B110" s="53"/>
      <c r="C110" s="15"/>
      <c r="D110" s="15"/>
      <c r="G110" s="15"/>
      <c r="H110" s="15"/>
    </row>
    <row r="111" spans="1:22" ht="15.75" customHeight="1">
      <c r="A111" s="200" t="s">
        <v>14</v>
      </c>
      <c r="B111" s="200"/>
      <c r="C111" s="203"/>
      <c r="D111" s="203"/>
      <c r="E111" s="203"/>
      <c r="F111" s="68"/>
      <c r="I111" s="126"/>
    </row>
    <row r="112" spans="1:22" ht="15.75" customHeight="1">
      <c r="A112" s="122"/>
      <c r="C112" s="198" t="s">
        <v>12</v>
      </c>
      <c r="D112" s="198"/>
      <c r="E112" s="198"/>
      <c r="F112" s="122"/>
      <c r="I112" s="124" t="s">
        <v>13</v>
      </c>
    </row>
    <row r="113" spans="1:9" ht="15.75" customHeight="1">
      <c r="A113" s="5" t="s">
        <v>15</v>
      </c>
    </row>
    <row r="114" spans="1:9">
      <c r="A114" s="204" t="s">
        <v>16</v>
      </c>
      <c r="B114" s="204"/>
      <c r="C114" s="204"/>
      <c r="D114" s="204"/>
      <c r="E114" s="204"/>
      <c r="F114" s="204"/>
      <c r="G114" s="204"/>
      <c r="H114" s="204"/>
      <c r="I114" s="204"/>
    </row>
    <row r="115" spans="1:9" ht="45" customHeight="1">
      <c r="A115" s="197" t="s">
        <v>17</v>
      </c>
      <c r="B115" s="197"/>
      <c r="C115" s="197"/>
      <c r="D115" s="197"/>
      <c r="E115" s="197"/>
      <c r="F115" s="197"/>
      <c r="G115" s="197"/>
      <c r="H115" s="197"/>
      <c r="I115" s="197"/>
    </row>
    <row r="116" spans="1:9" ht="30" customHeight="1">
      <c r="A116" s="197" t="s">
        <v>18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30" customHeight="1">
      <c r="A117" s="197" t="s">
        <v>22</v>
      </c>
      <c r="B117" s="197"/>
      <c r="C117" s="197"/>
      <c r="D117" s="197"/>
      <c r="E117" s="197"/>
      <c r="F117" s="197"/>
      <c r="G117" s="197"/>
      <c r="H117" s="197"/>
      <c r="I117" s="197"/>
    </row>
    <row r="118" spans="1:9" ht="15" customHeight="1">
      <c r="A118" s="197" t="s">
        <v>21</v>
      </c>
      <c r="B118" s="197"/>
      <c r="C118" s="197"/>
      <c r="D118" s="197"/>
      <c r="E118" s="197"/>
      <c r="F118" s="197"/>
      <c r="G118" s="197"/>
      <c r="H118" s="197"/>
      <c r="I118" s="197"/>
    </row>
  </sheetData>
  <autoFilter ref="I15:I101"/>
  <mergeCells count="31">
    <mergeCell ref="A118:I118"/>
    <mergeCell ref="R105:U105"/>
    <mergeCell ref="A106:I106"/>
    <mergeCell ref="A108:B108"/>
    <mergeCell ref="C108:E108"/>
    <mergeCell ref="C109:E109"/>
    <mergeCell ref="A111:B111"/>
    <mergeCell ref="C111:E111"/>
    <mergeCell ref="C112:E112"/>
    <mergeCell ref="A114:I114"/>
    <mergeCell ref="A115:I115"/>
    <mergeCell ref="A116:I116"/>
    <mergeCell ref="A117:I117"/>
    <mergeCell ref="A104:I104"/>
    <mergeCell ref="A15:I15"/>
    <mergeCell ref="A27:I27"/>
    <mergeCell ref="A44:I44"/>
    <mergeCell ref="A55:I55"/>
    <mergeCell ref="A81:I81"/>
    <mergeCell ref="A86:I86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70" zoomScaleNormal="100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122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203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 t="s">
        <v>204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71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151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hidden="1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128</v>
      </c>
      <c r="C29" s="74" t="s">
        <v>92</v>
      </c>
      <c r="D29" s="59" t="s">
        <v>131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129</v>
      </c>
      <c r="C30" s="74" t="s">
        <v>92</v>
      </c>
      <c r="D30" s="59" t="s">
        <v>132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130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103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7.25" customHeight="1">
      <c r="A36" s="110">
        <v>4</v>
      </c>
      <c r="B36" s="59" t="s">
        <v>26</v>
      </c>
      <c r="C36" s="74" t="s">
        <v>30</v>
      </c>
      <c r="D36" s="59" t="s">
        <v>205</v>
      </c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>G36*0.3</f>
        <v>600.9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135</v>
      </c>
      <c r="C37" s="74" t="s">
        <v>28</v>
      </c>
      <c r="D37" s="59" t="s">
        <v>168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ref="I37:I40" si="4">F37/6*G37</f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105</v>
      </c>
      <c r="C38" s="74" t="s">
        <v>106</v>
      </c>
      <c r="D38" s="59" t="s">
        <v>60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4"/>
        <v>1307.4099999999999</v>
      </c>
      <c r="J38" s="25"/>
      <c r="K38" s="10"/>
      <c r="L38" s="10"/>
      <c r="M38" s="10"/>
    </row>
    <row r="39" spans="1:14" ht="15.75" customHeight="1">
      <c r="A39" s="30">
        <v>6</v>
      </c>
      <c r="B39" s="59" t="s">
        <v>61</v>
      </c>
      <c r="C39" s="74" t="s">
        <v>28</v>
      </c>
      <c r="D39" s="59" t="s">
        <v>169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7</v>
      </c>
      <c r="B40" s="59" t="s">
        <v>73</v>
      </c>
      <c r="C40" s="74" t="s">
        <v>92</v>
      </c>
      <c r="D40" s="59" t="s">
        <v>170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hidden="1" customHeight="1">
      <c r="A41" s="30">
        <v>8</v>
      </c>
      <c r="B41" s="59" t="s">
        <v>108</v>
      </c>
      <c r="C41" s="74" t="s">
        <v>92</v>
      </c>
      <c r="D41" s="59" t="s">
        <v>171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hidden="1" customHeight="1">
      <c r="A42" s="30">
        <v>9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F42/7.5*G42</f>
        <v>51.990933333333338</v>
      </c>
      <c r="J42" s="25"/>
      <c r="K42" s="10"/>
    </row>
    <row r="43" spans="1:14" ht="15.75" customHeight="1">
      <c r="A43" s="208" t="s">
        <v>118</v>
      </c>
      <c r="B43" s="209"/>
      <c r="C43" s="209"/>
      <c r="D43" s="209"/>
      <c r="E43" s="209"/>
      <c r="F43" s="209"/>
      <c r="G43" s="209"/>
      <c r="H43" s="209"/>
      <c r="I43" s="210"/>
      <c r="J43" s="26"/>
    </row>
    <row r="44" spans="1:14" ht="15.75" hidden="1" customHeight="1">
      <c r="A44" s="30"/>
      <c r="B44" s="59" t="s">
        <v>109</v>
      </c>
      <c r="C44" s="74" t="s">
        <v>92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92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92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customHeight="1">
      <c r="A48" s="30">
        <v>8</v>
      </c>
      <c r="B48" s="59" t="s">
        <v>53</v>
      </c>
      <c r="C48" s="74" t="s">
        <v>92</v>
      </c>
      <c r="D48" s="59" t="s">
        <v>172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110</v>
      </c>
      <c r="C49" s="74" t="s">
        <v>92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111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7.25" customHeight="1">
      <c r="A52" s="58">
        <v>9</v>
      </c>
      <c r="B52" s="59" t="s">
        <v>112</v>
      </c>
      <c r="C52" s="74" t="s">
        <v>79</v>
      </c>
      <c r="D52" s="165">
        <v>44228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6.5" customHeight="1">
      <c r="A53" s="58">
        <v>10</v>
      </c>
      <c r="B53" s="59" t="s">
        <v>39</v>
      </c>
      <c r="C53" s="74" t="s">
        <v>79</v>
      </c>
      <c r="D53" s="165">
        <v>44228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208" t="s">
        <v>119</v>
      </c>
      <c r="B54" s="211"/>
      <c r="C54" s="211"/>
      <c r="D54" s="211"/>
      <c r="E54" s="211"/>
      <c r="F54" s="211"/>
      <c r="G54" s="211"/>
      <c r="H54" s="211"/>
      <c r="I54" s="212"/>
      <c r="J54" s="26"/>
      <c r="L54" s="22"/>
      <c r="M54" s="23"/>
      <c r="N54" s="24"/>
    </row>
    <row r="55" spans="1:14" ht="15.75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1.5" customHeight="1">
      <c r="A56" s="58">
        <v>11</v>
      </c>
      <c r="B56" s="59" t="s">
        <v>113</v>
      </c>
      <c r="C56" s="74" t="s">
        <v>83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G56*0.16</f>
        <v>388.98879999999997</v>
      </c>
      <c r="J56" s="26"/>
      <c r="L56" s="22"/>
      <c r="M56" s="23"/>
      <c r="N56" s="24"/>
    </row>
    <row r="57" spans="1:14" ht="15.75" hidden="1" customHeight="1">
      <c r="A57" s="58">
        <v>14</v>
      </c>
      <c r="B57" s="83" t="s">
        <v>101</v>
      </c>
      <c r="C57" s="84" t="s">
        <v>102</v>
      </c>
      <c r="D57" s="83" t="s">
        <v>60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G57*1.5</f>
        <v>2373.0749999999998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115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12</v>
      </c>
      <c r="B60" s="62" t="s">
        <v>138</v>
      </c>
      <c r="C60" s="56" t="s">
        <v>139</v>
      </c>
      <c r="D60" s="62" t="s">
        <v>172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100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79</v>
      </c>
      <c r="D62" s="83">
        <v>1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f>G62*1</f>
        <v>291.68</v>
      </c>
      <c r="J62" s="26"/>
      <c r="L62" s="22"/>
      <c r="M62" s="23"/>
      <c r="N62" s="24"/>
    </row>
    <row r="63" spans="1:14" ht="15.75" customHeight="1">
      <c r="A63" s="58">
        <v>13</v>
      </c>
      <c r="B63" s="17" t="s">
        <v>45</v>
      </c>
      <c r="C63" s="19" t="s">
        <v>79</v>
      </c>
      <c r="D63" s="83" t="s">
        <v>172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f>G63*1</f>
        <v>100.01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95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96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97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98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141"/>
      <c r="B69" s="138" t="s">
        <v>54</v>
      </c>
      <c r="C69" s="137" t="s">
        <v>55</v>
      </c>
      <c r="D69" s="138" t="s">
        <v>51</v>
      </c>
      <c r="E69" s="139">
        <v>3</v>
      </c>
      <c r="F69" s="88">
        <f t="shared" si="12"/>
        <v>3</v>
      </c>
      <c r="G69" s="92">
        <v>65.42</v>
      </c>
      <c r="H69" s="142">
        <f t="shared" si="11"/>
        <v>0.19625999999999999</v>
      </c>
      <c r="I69" s="92">
        <v>0</v>
      </c>
      <c r="J69" s="26"/>
      <c r="L69" s="22"/>
      <c r="M69" s="23"/>
      <c r="N69" s="24"/>
    </row>
    <row r="70" spans="1:14" ht="32.25" customHeight="1">
      <c r="A70" s="30">
        <v>14</v>
      </c>
      <c r="B70" s="17" t="s">
        <v>140</v>
      </c>
      <c r="C70" s="30" t="s">
        <v>141</v>
      </c>
      <c r="D70" s="17"/>
      <c r="E70" s="21">
        <v>2566.6</v>
      </c>
      <c r="F70" s="16">
        <f>SUM(E70)*12</f>
        <v>30799.199999999997</v>
      </c>
      <c r="G70" s="16">
        <v>2.2799999999999998</v>
      </c>
      <c r="H70" s="16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30"/>
      <c r="B71" s="66" t="s">
        <v>64</v>
      </c>
      <c r="C71" s="19"/>
      <c r="D71" s="17"/>
      <c r="E71" s="21"/>
      <c r="F71" s="16"/>
      <c r="G71" s="16"/>
      <c r="H71" s="16" t="s">
        <v>100</v>
      </c>
      <c r="I71" s="16"/>
      <c r="J71" s="26"/>
      <c r="L71" s="22"/>
      <c r="M71" s="23"/>
      <c r="N71" s="24"/>
    </row>
    <row r="72" spans="1:14" ht="31.5" hidden="1" customHeight="1">
      <c r="A72" s="30"/>
      <c r="B72" s="41" t="s">
        <v>142</v>
      </c>
      <c r="C72" s="42" t="s">
        <v>29</v>
      </c>
      <c r="D72" s="41"/>
      <c r="E72" s="20">
        <v>1</v>
      </c>
      <c r="F72" s="39">
        <f t="shared" ref="F72:F75" si="13">E72</f>
        <v>1</v>
      </c>
      <c r="G72" s="39">
        <v>1543.4</v>
      </c>
      <c r="H72" s="3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9">
        <f>E73</f>
        <v>1</v>
      </c>
      <c r="G73" s="39">
        <v>1118.72</v>
      </c>
      <c r="H73" s="3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30">
        <v>17</v>
      </c>
      <c r="B74" s="41" t="s">
        <v>65</v>
      </c>
      <c r="C74" s="42" t="s">
        <v>67</v>
      </c>
      <c r="D74" s="41"/>
      <c r="E74" s="20">
        <v>3</v>
      </c>
      <c r="F74" s="39">
        <f>E74/10</f>
        <v>0.3</v>
      </c>
      <c r="G74" s="39">
        <v>657.87</v>
      </c>
      <c r="H74" s="39">
        <f t="shared" ref="H74" si="14">SUM(F74*G74/1000)</f>
        <v>0.19736099999999998</v>
      </c>
      <c r="I74" s="16">
        <f>G74*0.1</f>
        <v>65.787000000000006</v>
      </c>
      <c r="J74" s="26"/>
      <c r="L74" s="22"/>
      <c r="M74" s="23"/>
      <c r="N74" s="24"/>
    </row>
    <row r="75" spans="1:14" ht="15.75" hidden="1" customHeight="1">
      <c r="A75" s="30"/>
      <c r="B75" s="120" t="s">
        <v>143</v>
      </c>
      <c r="C75" s="64" t="s">
        <v>79</v>
      </c>
      <c r="D75" s="41"/>
      <c r="E75" s="20">
        <v>1</v>
      </c>
      <c r="F75" s="39">
        <f t="shared" si="13"/>
        <v>1</v>
      </c>
      <c r="G75" s="39">
        <v>130.96</v>
      </c>
      <c r="H75" s="3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30"/>
      <c r="B76" s="95" t="s">
        <v>68</v>
      </c>
      <c r="C76" s="19"/>
      <c r="D76" s="17"/>
      <c r="E76" s="21"/>
      <c r="F76" s="16"/>
      <c r="G76" s="16" t="s">
        <v>100</v>
      </c>
      <c r="H76" s="16" t="s">
        <v>100</v>
      </c>
      <c r="I76" s="16"/>
      <c r="J76" s="26"/>
      <c r="L76" s="22"/>
      <c r="M76" s="23"/>
      <c r="N76" s="24"/>
    </row>
    <row r="77" spans="1:14" ht="15.75" hidden="1" customHeight="1">
      <c r="A77" s="30">
        <v>18</v>
      </c>
      <c r="B77" s="43" t="s">
        <v>99</v>
      </c>
      <c r="C77" s="44" t="s">
        <v>69</v>
      </c>
      <c r="D77" s="63"/>
      <c r="E77" s="121"/>
      <c r="F77" s="40">
        <v>1</v>
      </c>
      <c r="G77" s="40">
        <v>3619.09</v>
      </c>
      <c r="H77" s="39">
        <f t="shared" ref="H77" si="15">SUM(F77*G77/1000)</f>
        <v>3.6190900000000004</v>
      </c>
      <c r="I77" s="16">
        <f>G77*0.12</f>
        <v>434.29079999999999</v>
      </c>
      <c r="J77" s="26"/>
      <c r="L77" s="22"/>
      <c r="M77" s="23"/>
      <c r="N77" s="24"/>
    </row>
    <row r="78" spans="1:14" ht="15.75" hidden="1" customHeight="1">
      <c r="A78" s="30"/>
      <c r="B78" s="66" t="s">
        <v>93</v>
      </c>
      <c r="C78" s="19"/>
      <c r="D78" s="17"/>
      <c r="E78" s="21"/>
      <c r="F78" s="16"/>
      <c r="G78" s="16"/>
      <c r="H78" s="16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30">
        <v>19</v>
      </c>
      <c r="B79" s="17" t="s">
        <v>94</v>
      </c>
      <c r="C79" s="19"/>
      <c r="D79" s="17"/>
      <c r="E79" s="21"/>
      <c r="F79" s="16">
        <v>1</v>
      </c>
      <c r="G79" s="16">
        <v>22892</v>
      </c>
      <c r="H79" s="16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227" t="s">
        <v>120</v>
      </c>
      <c r="B80" s="228"/>
      <c r="C80" s="228"/>
      <c r="D80" s="228"/>
      <c r="E80" s="228"/>
      <c r="F80" s="228"/>
      <c r="G80" s="228"/>
      <c r="H80" s="228"/>
      <c r="I80" s="228"/>
      <c r="J80" s="26"/>
      <c r="L80" s="22"/>
      <c r="M80" s="23"/>
      <c r="N80" s="24"/>
    </row>
    <row r="81" spans="1:14" ht="15.75" customHeight="1">
      <c r="A81" s="128">
        <v>15</v>
      </c>
      <c r="B81" s="143" t="s">
        <v>116</v>
      </c>
      <c r="C81" s="144" t="s">
        <v>52</v>
      </c>
      <c r="D81" s="145"/>
      <c r="E81" s="146">
        <v>2566.6</v>
      </c>
      <c r="F81" s="146">
        <f>SUM(E81*12)</f>
        <v>30799.199999999997</v>
      </c>
      <c r="G81" s="146">
        <v>3.1</v>
      </c>
      <c r="H81" s="147">
        <f>SUM(F81*G81/1000)</f>
        <v>95.477519999999984</v>
      </c>
      <c r="I81" s="111">
        <f>F81/12*G81</f>
        <v>7956.46</v>
      </c>
      <c r="J81" s="26"/>
      <c r="L81" s="22"/>
      <c r="M81" s="23"/>
      <c r="N81" s="24"/>
    </row>
    <row r="82" spans="1:14" ht="31.5" customHeight="1">
      <c r="A82" s="58">
        <v>16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I82+I81+I70+I63+I60+I56+I53+I52+I48+I40+I39+I37+I36+I18+I17+I16</f>
        <v>63537.454298999997</v>
      </c>
      <c r="J83" s="26"/>
      <c r="L83" s="22"/>
      <c r="M83" s="23"/>
      <c r="N83" s="24"/>
    </row>
    <row r="84" spans="1:14" ht="15.75" customHeight="1">
      <c r="A84" s="215" t="s">
        <v>56</v>
      </c>
      <c r="B84" s="216"/>
      <c r="C84" s="216"/>
      <c r="D84" s="216"/>
      <c r="E84" s="216"/>
      <c r="F84" s="216"/>
      <c r="G84" s="216"/>
      <c r="H84" s="216"/>
      <c r="I84" s="217"/>
      <c r="J84" s="26"/>
      <c r="L84" s="22"/>
      <c r="M84" s="23"/>
      <c r="N84" s="24"/>
    </row>
    <row r="85" spans="1:14" ht="31.5" customHeight="1">
      <c r="A85" s="58">
        <v>17</v>
      </c>
      <c r="B85" s="120" t="s">
        <v>159</v>
      </c>
      <c r="C85" s="64" t="s">
        <v>92</v>
      </c>
      <c r="D85" s="41"/>
      <c r="E85" s="20"/>
      <c r="F85" s="39">
        <v>2</v>
      </c>
      <c r="G85" s="158">
        <v>21369.24</v>
      </c>
      <c r="H85" s="119">
        <f t="shared" ref="H85" si="16">G85*F85/1000</f>
        <v>42.738480000000003</v>
      </c>
      <c r="I85" s="16">
        <f>G85*0.599*12/1000</f>
        <v>153.60209712</v>
      </c>
      <c r="J85" s="26"/>
      <c r="L85" s="22"/>
      <c r="M85" s="23"/>
      <c r="N85" s="24"/>
    </row>
    <row r="86" spans="1:14" ht="15" customHeight="1">
      <c r="A86" s="58">
        <v>18</v>
      </c>
      <c r="B86" s="120" t="s">
        <v>145</v>
      </c>
      <c r="C86" s="64" t="s">
        <v>79</v>
      </c>
      <c r="D86" s="140"/>
      <c r="E86" s="39"/>
      <c r="F86" s="39">
        <v>3</v>
      </c>
      <c r="G86" s="39">
        <v>224.48</v>
      </c>
      <c r="H86" s="119"/>
      <c r="I86" s="16">
        <f>G86*1</f>
        <v>224.48</v>
      </c>
      <c r="J86" s="26"/>
      <c r="L86" s="22"/>
      <c r="M86" s="23"/>
      <c r="N86" s="24"/>
    </row>
    <row r="87" spans="1:14" ht="30.75" customHeight="1">
      <c r="A87" s="58">
        <v>19</v>
      </c>
      <c r="B87" s="120" t="s">
        <v>183</v>
      </c>
      <c r="C87" s="64" t="s">
        <v>36</v>
      </c>
      <c r="D87" s="140" t="s">
        <v>172</v>
      </c>
      <c r="E87" s="39"/>
      <c r="F87" s="39">
        <v>0.01</v>
      </c>
      <c r="G87" s="39">
        <v>4233.72</v>
      </c>
      <c r="H87" s="119"/>
      <c r="I87" s="16">
        <v>0</v>
      </c>
      <c r="J87" s="26"/>
      <c r="L87" s="22"/>
      <c r="M87" s="23"/>
      <c r="N87" s="24"/>
    </row>
    <row r="88" spans="1:14" ht="15.75" customHeight="1">
      <c r="A88" s="58">
        <v>20</v>
      </c>
      <c r="B88" s="172" t="s">
        <v>206</v>
      </c>
      <c r="C88" s="30" t="s">
        <v>158</v>
      </c>
      <c r="D88" s="140" t="s">
        <v>210</v>
      </c>
      <c r="E88" s="39"/>
      <c r="F88" s="39">
        <v>2.25</v>
      </c>
      <c r="G88" s="39">
        <v>3537.07</v>
      </c>
      <c r="H88" s="119"/>
      <c r="I88" s="16">
        <f>G88*2.25</f>
        <v>7958.4075000000003</v>
      </c>
      <c r="J88" s="26"/>
      <c r="L88" s="22"/>
      <c r="M88" s="23"/>
      <c r="N88" s="24"/>
    </row>
    <row r="89" spans="1:14" ht="30.75" customHeight="1">
      <c r="A89" s="58">
        <v>21</v>
      </c>
      <c r="B89" s="120" t="s">
        <v>207</v>
      </c>
      <c r="C89" s="64" t="s">
        <v>117</v>
      </c>
      <c r="D89" s="140" t="s">
        <v>209</v>
      </c>
      <c r="E89" s="39"/>
      <c r="F89" s="39">
        <v>1</v>
      </c>
      <c r="G89" s="39">
        <v>949.97</v>
      </c>
      <c r="H89" s="119"/>
      <c r="I89" s="16">
        <f>G89*1</f>
        <v>949.97</v>
      </c>
      <c r="J89" s="26"/>
      <c r="L89" s="22"/>
      <c r="M89" s="23"/>
      <c r="N89" s="24"/>
    </row>
    <row r="90" spans="1:14" ht="15.75" customHeight="1">
      <c r="A90" s="58">
        <v>22</v>
      </c>
      <c r="B90" s="120" t="s">
        <v>208</v>
      </c>
      <c r="C90" s="64" t="s">
        <v>158</v>
      </c>
      <c r="D90" s="140"/>
      <c r="E90" s="39"/>
      <c r="F90" s="39">
        <v>0.5</v>
      </c>
      <c r="G90" s="39">
        <v>672.88</v>
      </c>
      <c r="H90" s="119"/>
      <c r="I90" s="16">
        <f>G90*0.5</f>
        <v>336.44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SUM(I85:I90)</f>
        <v>9622.8995971200002</v>
      </c>
      <c r="J91" s="26"/>
      <c r="L91" s="22"/>
      <c r="M91" s="23"/>
      <c r="N91" s="24"/>
    </row>
    <row r="92" spans="1:14" ht="15.75" customHeight="1">
      <c r="A92" s="30"/>
      <c r="B92" s="52" t="s">
        <v>71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134</v>
      </c>
      <c r="C93" s="37"/>
      <c r="D93" s="37"/>
      <c r="E93" s="37"/>
      <c r="F93" s="37"/>
      <c r="G93" s="49"/>
      <c r="H93" s="38"/>
      <c r="I93" s="34">
        <f>I83+I91</f>
        <v>73160.353896119996</v>
      </c>
      <c r="J93" s="26"/>
      <c r="L93" s="22"/>
      <c r="M93" s="23"/>
      <c r="N93" s="24"/>
    </row>
    <row r="94" spans="1:14" ht="15.75" customHeight="1">
      <c r="A94" s="200" t="s">
        <v>284</v>
      </c>
      <c r="B94" s="200"/>
      <c r="C94" s="200"/>
      <c r="D94" s="200"/>
      <c r="E94" s="200"/>
      <c r="F94" s="200"/>
      <c r="G94" s="200"/>
      <c r="H94" s="200"/>
      <c r="I94" s="200"/>
      <c r="J94" s="26"/>
      <c r="L94" s="22"/>
      <c r="M94" s="23"/>
      <c r="N94" s="24"/>
    </row>
    <row r="95" spans="1:14" ht="15.75" customHeight="1">
      <c r="A95" s="12"/>
      <c r="B95" s="218" t="s">
        <v>285</v>
      </c>
      <c r="C95" s="218"/>
      <c r="D95" s="218"/>
      <c r="E95" s="218"/>
      <c r="F95" s="218"/>
      <c r="G95" s="218"/>
      <c r="H95" s="131"/>
      <c r="I95" s="4"/>
      <c r="J95" s="26"/>
      <c r="L95" s="22"/>
    </row>
    <row r="96" spans="1:14" ht="15.75" customHeight="1">
      <c r="A96" s="65"/>
      <c r="B96" s="202" t="s">
        <v>6</v>
      </c>
      <c r="C96" s="202"/>
      <c r="D96" s="202"/>
      <c r="E96" s="202"/>
      <c r="F96" s="202"/>
      <c r="G96" s="202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22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200" t="s">
        <v>9</v>
      </c>
      <c r="B100" s="200"/>
      <c r="C100" s="200"/>
      <c r="D100" s="200"/>
      <c r="E100" s="200"/>
      <c r="F100" s="200"/>
      <c r="G100" s="200"/>
      <c r="H100" s="200"/>
      <c r="I100" s="200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198"/>
      <c r="S101" s="198"/>
      <c r="T101" s="198"/>
      <c r="U101" s="198"/>
    </row>
    <row r="102" spans="1:22" ht="15.75" customHeight="1">
      <c r="A102" s="199" t="s">
        <v>10</v>
      </c>
      <c r="B102" s="199"/>
      <c r="C102" s="199"/>
      <c r="D102" s="199"/>
      <c r="E102" s="199"/>
      <c r="F102" s="199"/>
      <c r="G102" s="199"/>
      <c r="H102" s="199"/>
      <c r="I102" s="199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200" t="s">
        <v>11</v>
      </c>
      <c r="B104" s="200"/>
      <c r="C104" s="201" t="s">
        <v>190</v>
      </c>
      <c r="D104" s="201"/>
      <c r="E104" s="201"/>
      <c r="F104" s="67"/>
      <c r="I104" s="134"/>
    </row>
    <row r="105" spans="1:22" ht="15.75" customHeight="1">
      <c r="A105" s="65"/>
      <c r="B105" s="53"/>
      <c r="C105" s="202" t="s">
        <v>12</v>
      </c>
      <c r="D105" s="202"/>
      <c r="E105" s="202"/>
      <c r="F105" s="27"/>
      <c r="I105" s="132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200" t="s">
        <v>14</v>
      </c>
      <c r="B107" s="200"/>
      <c r="C107" s="203"/>
      <c r="D107" s="203"/>
      <c r="E107" s="203"/>
      <c r="F107" s="68"/>
      <c r="I107" s="134"/>
    </row>
    <row r="108" spans="1:22" ht="15.75" customHeight="1">
      <c r="A108" s="135"/>
      <c r="C108" s="198" t="s">
        <v>12</v>
      </c>
      <c r="D108" s="198"/>
      <c r="E108" s="198"/>
      <c r="F108" s="135"/>
      <c r="I108" s="132" t="s">
        <v>13</v>
      </c>
    </row>
    <row r="109" spans="1:22" ht="15.75" customHeight="1">
      <c r="A109" s="5" t="s">
        <v>15</v>
      </c>
    </row>
    <row r="110" spans="1:22">
      <c r="A110" s="204" t="s">
        <v>16</v>
      </c>
      <c r="B110" s="204"/>
      <c r="C110" s="204"/>
      <c r="D110" s="204"/>
      <c r="E110" s="204"/>
      <c r="F110" s="204"/>
      <c r="G110" s="204"/>
      <c r="H110" s="204"/>
      <c r="I110" s="204"/>
    </row>
    <row r="111" spans="1:22" ht="45" customHeight="1">
      <c r="A111" s="197" t="s">
        <v>17</v>
      </c>
      <c r="B111" s="197"/>
      <c r="C111" s="197"/>
      <c r="D111" s="197"/>
      <c r="E111" s="197"/>
      <c r="F111" s="197"/>
      <c r="G111" s="197"/>
      <c r="H111" s="197"/>
      <c r="I111" s="197"/>
    </row>
    <row r="112" spans="1:22" ht="30" customHeight="1">
      <c r="A112" s="197" t="s">
        <v>18</v>
      </c>
      <c r="B112" s="197"/>
      <c r="C112" s="197"/>
      <c r="D112" s="197"/>
      <c r="E112" s="197"/>
      <c r="F112" s="197"/>
      <c r="G112" s="197"/>
      <c r="H112" s="197"/>
      <c r="I112" s="197"/>
    </row>
    <row r="113" spans="1:9" ht="30" customHeight="1">
      <c r="A113" s="197" t="s">
        <v>22</v>
      </c>
      <c r="B113" s="197"/>
      <c r="C113" s="197"/>
      <c r="D113" s="197"/>
      <c r="E113" s="197"/>
      <c r="F113" s="197"/>
      <c r="G113" s="197"/>
      <c r="H113" s="197"/>
      <c r="I113" s="197"/>
    </row>
    <row r="114" spans="1:9" ht="15" customHeight="1">
      <c r="A114" s="197" t="s">
        <v>21</v>
      </c>
      <c r="B114" s="197"/>
      <c r="C114" s="197"/>
      <c r="D114" s="197"/>
      <c r="E114" s="197"/>
      <c r="F114" s="197"/>
      <c r="G114" s="197"/>
      <c r="H114" s="197"/>
      <c r="I114" s="197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7:I27"/>
    <mergeCell ref="A43:I43"/>
    <mergeCell ref="A54:I54"/>
    <mergeCell ref="A80:I80"/>
    <mergeCell ref="A84:I84"/>
    <mergeCell ref="A94:I94"/>
    <mergeCell ref="B95:G95"/>
    <mergeCell ref="B96:G96"/>
    <mergeCell ref="A98:I98"/>
    <mergeCell ref="A99:I99"/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zoomScale="60" zoomScaleNormal="100" workbookViewId="0">
      <selection activeCell="B85" sqref="B85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123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211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44286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71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hidden="1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128</v>
      </c>
      <c r="C29" s="74" t="s">
        <v>92</v>
      </c>
      <c r="D29" s="59" t="s">
        <v>131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129</v>
      </c>
      <c r="C30" s="74" t="s">
        <v>92</v>
      </c>
      <c r="D30" s="59" t="s">
        <v>132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130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103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customHeight="1">
      <c r="A36" s="110">
        <v>4</v>
      </c>
      <c r="B36" s="59" t="s">
        <v>26</v>
      </c>
      <c r="C36" s="74" t="s">
        <v>30</v>
      </c>
      <c r="D36" s="59" t="s">
        <v>212</v>
      </c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>G36*2.6</f>
        <v>5207.8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135</v>
      </c>
      <c r="C37" s="74" t="s">
        <v>28</v>
      </c>
      <c r="D37" s="59"/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ref="I37:I40" si="4">F37/6*G37</f>
        <v>801.1350900000001</v>
      </c>
      <c r="J37" s="25"/>
      <c r="K37" s="10"/>
      <c r="L37" s="10"/>
      <c r="M37" s="10"/>
    </row>
    <row r="38" spans="1:14" ht="17.25" customHeight="1">
      <c r="A38" s="30">
        <v>6</v>
      </c>
      <c r="B38" s="59" t="s">
        <v>105</v>
      </c>
      <c r="C38" s="74" t="s">
        <v>106</v>
      </c>
      <c r="D38" s="59" t="s">
        <v>174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>G38*26</f>
        <v>7844.4599999999991</v>
      </c>
      <c r="J38" s="25"/>
      <c r="K38" s="10"/>
      <c r="L38" s="10"/>
      <c r="M38" s="10"/>
    </row>
    <row r="39" spans="1:14" ht="15.75" customHeight="1">
      <c r="A39" s="30">
        <v>7</v>
      </c>
      <c r="B39" s="59" t="s">
        <v>61</v>
      </c>
      <c r="C39" s="74" t="s">
        <v>28</v>
      </c>
      <c r="D39" s="59" t="s">
        <v>169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8</v>
      </c>
      <c r="B40" s="59" t="s">
        <v>73</v>
      </c>
      <c r="C40" s="74" t="s">
        <v>92</v>
      </c>
      <c r="D40" s="59" t="s">
        <v>170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customHeight="1">
      <c r="A41" s="30">
        <v>9</v>
      </c>
      <c r="B41" s="59" t="s">
        <v>108</v>
      </c>
      <c r="C41" s="74" t="s">
        <v>92</v>
      </c>
      <c r="D41" s="59"/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G41*F41/20*1</f>
        <v>32.666725</v>
      </c>
      <c r="J41" s="25"/>
      <c r="K41" s="10"/>
      <c r="L41" s="10"/>
      <c r="M41" s="10"/>
    </row>
    <row r="42" spans="1:14" ht="15.75" customHeight="1">
      <c r="A42" s="30">
        <v>10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G42*F42/20*1</f>
        <v>19.496600000000001</v>
      </c>
      <c r="J42" s="25"/>
      <c r="K42" s="10"/>
    </row>
    <row r="43" spans="1:14" ht="15.75" hidden="1" customHeight="1">
      <c r="A43" s="208" t="s">
        <v>118</v>
      </c>
      <c r="B43" s="209"/>
      <c r="C43" s="209"/>
      <c r="D43" s="209"/>
      <c r="E43" s="209"/>
      <c r="F43" s="209"/>
      <c r="G43" s="209"/>
      <c r="H43" s="209"/>
      <c r="I43" s="210"/>
      <c r="J43" s="26"/>
    </row>
    <row r="44" spans="1:14" ht="15.75" hidden="1" customHeight="1">
      <c r="A44" s="30"/>
      <c r="B44" s="59" t="s">
        <v>109</v>
      </c>
      <c r="C44" s="74" t="s">
        <v>92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92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92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hidden="1" customHeight="1">
      <c r="A48" s="30"/>
      <c r="B48" s="59" t="s">
        <v>53</v>
      </c>
      <c r="C48" s="74" t="s">
        <v>92</v>
      </c>
      <c r="D48" s="59" t="s">
        <v>133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110</v>
      </c>
      <c r="C49" s="74" t="s">
        <v>92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111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5.75" hidden="1" customHeight="1">
      <c r="A52" s="58"/>
      <c r="B52" s="59" t="s">
        <v>112</v>
      </c>
      <c r="C52" s="74" t="s">
        <v>79</v>
      </c>
      <c r="D52" s="59" t="s">
        <v>63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79</v>
      </c>
      <c r="D53" s="59" t="s">
        <v>63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208" t="s">
        <v>78</v>
      </c>
      <c r="B54" s="211"/>
      <c r="C54" s="211"/>
      <c r="D54" s="211"/>
      <c r="E54" s="211"/>
      <c r="F54" s="211"/>
      <c r="G54" s="211"/>
      <c r="H54" s="211"/>
      <c r="I54" s="212"/>
      <c r="J54" s="26"/>
      <c r="L54" s="22"/>
      <c r="M54" s="23"/>
      <c r="N54" s="24"/>
    </row>
    <row r="55" spans="1:14" ht="14.25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28.5" customHeight="1">
      <c r="A56" s="58">
        <v>11</v>
      </c>
      <c r="B56" s="59" t="s">
        <v>113</v>
      </c>
      <c r="C56" s="74" t="s">
        <v>83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G56*0.3</f>
        <v>729.35399999999993</v>
      </c>
      <c r="J56" s="26"/>
      <c r="L56" s="22"/>
      <c r="M56" s="23"/>
      <c r="N56" s="24"/>
    </row>
    <row r="57" spans="1:14" ht="14.25" customHeight="1">
      <c r="A57" s="58">
        <v>12</v>
      </c>
      <c r="B57" s="83" t="s">
        <v>101</v>
      </c>
      <c r="C57" s="84" t="s">
        <v>102</v>
      </c>
      <c r="D57" s="83" t="s">
        <v>214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G57*4.5</f>
        <v>7119.2249999999995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8.75" customHeight="1">
      <c r="A59" s="70">
        <v>13</v>
      </c>
      <c r="B59" s="62" t="s">
        <v>115</v>
      </c>
      <c r="C59" s="56" t="s">
        <v>50</v>
      </c>
      <c r="D59" s="62" t="s">
        <v>213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f>G59*F59</f>
        <v>1996.3311200000001</v>
      </c>
      <c r="J59" s="26"/>
      <c r="L59" s="22"/>
      <c r="M59" s="23"/>
      <c r="N59" s="24"/>
    </row>
    <row r="60" spans="1:14" ht="15.75" customHeight="1">
      <c r="A60" s="30">
        <v>14</v>
      </c>
      <c r="B60" s="62" t="s">
        <v>138</v>
      </c>
      <c r="C60" s="56" t="s">
        <v>139</v>
      </c>
      <c r="D60" s="62" t="s">
        <v>172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100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79</v>
      </c>
      <c r="D63" s="83" t="s">
        <v>60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95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96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97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98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141"/>
      <c r="B69" s="138" t="s">
        <v>54</v>
      </c>
      <c r="C69" s="137" t="s">
        <v>55</v>
      </c>
      <c r="D69" s="138" t="s">
        <v>51</v>
      </c>
      <c r="E69" s="139">
        <v>3</v>
      </c>
      <c r="F69" s="88">
        <f t="shared" si="12"/>
        <v>3</v>
      </c>
      <c r="G69" s="92">
        <v>65.42</v>
      </c>
      <c r="H69" s="142">
        <f t="shared" si="11"/>
        <v>0.19625999999999999</v>
      </c>
      <c r="I69" s="92">
        <v>0</v>
      </c>
      <c r="J69" s="26"/>
      <c r="L69" s="22"/>
      <c r="M69" s="23"/>
      <c r="N69" s="24"/>
    </row>
    <row r="70" spans="1:14" ht="15.75" customHeight="1">
      <c r="A70" s="58">
        <v>15</v>
      </c>
      <c r="B70" s="17" t="s">
        <v>140</v>
      </c>
      <c r="C70" s="30" t="s">
        <v>141</v>
      </c>
      <c r="D70" s="148"/>
      <c r="E70" s="21">
        <v>2566.6</v>
      </c>
      <c r="F70" s="149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100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142</v>
      </c>
      <c r="C72" s="42" t="s">
        <v>29</v>
      </c>
      <c r="D72" s="41"/>
      <c r="E72" s="20">
        <v>1</v>
      </c>
      <c r="F72" s="150">
        <f t="shared" ref="F72:F75" si="13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150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150">
        <f>E74/10</f>
        <v>0.3</v>
      </c>
      <c r="G74" s="39">
        <v>657.87</v>
      </c>
      <c r="H74" s="119">
        <f t="shared" ref="H74" si="14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143</v>
      </c>
      <c r="C75" s="64" t="s">
        <v>79</v>
      </c>
      <c r="D75" s="41"/>
      <c r="E75" s="20">
        <v>1</v>
      </c>
      <c r="F75" s="150">
        <f t="shared" si="13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customHeight="1">
      <c r="A76" s="58"/>
      <c r="B76" s="95" t="s">
        <v>68</v>
      </c>
      <c r="C76" s="19"/>
      <c r="D76" s="17"/>
      <c r="E76" s="21"/>
      <c r="F76" s="16"/>
      <c r="G76" s="16" t="s">
        <v>100</v>
      </c>
      <c r="H76" s="89" t="s">
        <v>100</v>
      </c>
      <c r="I76" s="16"/>
      <c r="J76" s="26"/>
      <c r="L76" s="22"/>
      <c r="M76" s="23"/>
      <c r="N76" s="24"/>
    </row>
    <row r="77" spans="1:14" ht="15.75" customHeight="1">
      <c r="A77" s="58">
        <v>16</v>
      </c>
      <c r="B77" s="43" t="s">
        <v>99</v>
      </c>
      <c r="C77" s="44" t="s">
        <v>69</v>
      </c>
      <c r="D77" s="63" t="s">
        <v>223</v>
      </c>
      <c r="E77" s="121"/>
      <c r="F77" s="40">
        <v>1</v>
      </c>
      <c r="G77" s="40">
        <v>3619.09</v>
      </c>
      <c r="H77" s="119">
        <f t="shared" ref="H77" si="15">SUM(F77*G77/1000)</f>
        <v>3.6190900000000004</v>
      </c>
      <c r="I77" s="16">
        <f>G77*0.12</f>
        <v>434.29079999999999</v>
      </c>
      <c r="J77" s="26"/>
      <c r="L77" s="22"/>
      <c r="M77" s="23"/>
      <c r="N77" s="24"/>
    </row>
    <row r="78" spans="1:14" ht="15.75" hidden="1" customHeight="1">
      <c r="A78" s="58"/>
      <c r="B78" s="66" t="s">
        <v>93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16</v>
      </c>
      <c r="B79" s="148" t="s">
        <v>94</v>
      </c>
      <c r="C79" s="19"/>
      <c r="D79" s="17"/>
      <c r="E79" s="15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205" t="s">
        <v>125</v>
      </c>
      <c r="B80" s="229"/>
      <c r="C80" s="229"/>
      <c r="D80" s="229"/>
      <c r="E80" s="229"/>
      <c r="F80" s="229"/>
      <c r="G80" s="229"/>
      <c r="H80" s="229"/>
      <c r="I80" s="230"/>
      <c r="J80" s="26"/>
      <c r="L80" s="22"/>
      <c r="M80" s="23"/>
      <c r="N80" s="24"/>
    </row>
    <row r="81" spans="1:14" ht="15.75" customHeight="1">
      <c r="A81" s="128">
        <v>17</v>
      </c>
      <c r="B81" s="143" t="s">
        <v>116</v>
      </c>
      <c r="C81" s="144" t="s">
        <v>52</v>
      </c>
      <c r="D81" s="145"/>
      <c r="E81" s="146">
        <v>2566.6</v>
      </c>
      <c r="F81" s="146">
        <f>SUM(E81*12)</f>
        <v>30799.199999999997</v>
      </c>
      <c r="G81" s="146">
        <v>3.1</v>
      </c>
      <c r="H81" s="147">
        <f>SUM(F81*G81/1000)</f>
        <v>95.477519999999984</v>
      </c>
      <c r="I81" s="111">
        <f>F81/12*G81</f>
        <v>7956.46</v>
      </c>
      <c r="J81" s="26"/>
      <c r="L81" s="22"/>
      <c r="M81" s="23"/>
      <c r="N81" s="24"/>
    </row>
    <row r="82" spans="1:14" ht="31.5" customHeight="1">
      <c r="A82" s="58">
        <v>18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I82+I81+I77+I70+I60+I59+I57+I56+I42+I41+I40+I37+I39+I36+I18+I17+I16+I38</f>
        <v>59759.028989999999</v>
      </c>
      <c r="J83" s="26"/>
      <c r="L83" s="22"/>
      <c r="M83" s="23"/>
      <c r="N83" s="24"/>
    </row>
    <row r="84" spans="1:14" ht="15.75" customHeight="1">
      <c r="A84" s="215" t="s">
        <v>56</v>
      </c>
      <c r="B84" s="216"/>
      <c r="C84" s="216"/>
      <c r="D84" s="216"/>
      <c r="E84" s="216"/>
      <c r="F84" s="216"/>
      <c r="G84" s="216"/>
      <c r="H84" s="216"/>
      <c r="I84" s="217"/>
      <c r="J84" s="26"/>
      <c r="L84" s="22"/>
      <c r="M84" s="23"/>
      <c r="N84" s="24"/>
    </row>
    <row r="85" spans="1:14" ht="31.5" customHeight="1">
      <c r="A85" s="58">
        <v>19</v>
      </c>
      <c r="B85" s="120" t="s">
        <v>159</v>
      </c>
      <c r="C85" s="64" t="s">
        <v>92</v>
      </c>
      <c r="D85" s="41"/>
      <c r="E85" s="20"/>
      <c r="F85" s="39">
        <v>2</v>
      </c>
      <c r="G85" s="158">
        <v>21369.24</v>
      </c>
      <c r="H85" s="119">
        <f t="shared" ref="H85" si="16">G85*F85/1000</f>
        <v>42.738480000000003</v>
      </c>
      <c r="I85" s="16">
        <f>G85*0.599*12/1000</f>
        <v>153.60209712</v>
      </c>
      <c r="J85" s="26"/>
      <c r="L85" s="22"/>
      <c r="M85" s="23"/>
      <c r="N85" s="24"/>
    </row>
    <row r="86" spans="1:14" ht="16.5" customHeight="1">
      <c r="A86" s="58">
        <v>20</v>
      </c>
      <c r="B86" s="120" t="s">
        <v>145</v>
      </c>
      <c r="C86" s="64" t="s">
        <v>79</v>
      </c>
      <c r="D86" s="140"/>
      <c r="E86" s="39"/>
      <c r="F86" s="39">
        <v>5</v>
      </c>
      <c r="G86" s="39">
        <v>224.48</v>
      </c>
      <c r="H86" s="119"/>
      <c r="I86" s="115">
        <f>G86*2</f>
        <v>448.96</v>
      </c>
      <c r="J86" s="26"/>
      <c r="L86" s="22"/>
      <c r="M86" s="23"/>
      <c r="N86" s="24"/>
    </row>
    <row r="87" spans="1:14" ht="17.25" customHeight="1">
      <c r="A87" s="58">
        <v>21</v>
      </c>
      <c r="B87" s="120" t="s">
        <v>215</v>
      </c>
      <c r="C87" s="64" t="s">
        <v>79</v>
      </c>
      <c r="D87" s="140"/>
      <c r="E87" s="39"/>
      <c r="F87" s="39">
        <v>1</v>
      </c>
      <c r="G87" s="39">
        <v>536.67999999999995</v>
      </c>
      <c r="H87" s="119"/>
      <c r="I87" s="115">
        <f>G87*1</f>
        <v>536.67999999999995</v>
      </c>
      <c r="J87" s="26"/>
      <c r="L87" s="22"/>
      <c r="M87" s="23"/>
      <c r="N87" s="24"/>
    </row>
    <row r="88" spans="1:14" ht="31.5" customHeight="1">
      <c r="A88" s="58">
        <v>22</v>
      </c>
      <c r="B88" s="120" t="s">
        <v>181</v>
      </c>
      <c r="C88" s="64" t="s">
        <v>117</v>
      </c>
      <c r="D88" s="41" t="s">
        <v>225</v>
      </c>
      <c r="E88" s="39"/>
      <c r="F88" s="39">
        <v>2</v>
      </c>
      <c r="G88" s="39">
        <v>614.47</v>
      </c>
      <c r="H88" s="119"/>
      <c r="I88" s="115">
        <f>G88*2</f>
        <v>1228.94</v>
      </c>
      <c r="J88" s="26"/>
      <c r="L88" s="22"/>
      <c r="M88" s="23"/>
      <c r="N88" s="24"/>
    </row>
    <row r="89" spans="1:14" ht="18" customHeight="1">
      <c r="A89" s="58">
        <v>23</v>
      </c>
      <c r="B89" s="120" t="s">
        <v>216</v>
      </c>
      <c r="C89" s="64" t="s">
        <v>50</v>
      </c>
      <c r="D89" s="140" t="s">
        <v>197</v>
      </c>
      <c r="E89" s="39"/>
      <c r="F89" s="39">
        <v>5.0000000000000001E-3</v>
      </c>
      <c r="G89" s="39">
        <v>85495.8</v>
      </c>
      <c r="H89" s="119"/>
      <c r="I89" s="115">
        <f>G89*0.005</f>
        <v>427.47900000000004</v>
      </c>
      <c r="J89" s="26"/>
      <c r="L89" s="22"/>
      <c r="M89" s="23"/>
      <c r="N89" s="24"/>
    </row>
    <row r="90" spans="1:14" ht="17.25" customHeight="1">
      <c r="A90" s="58">
        <v>24</v>
      </c>
      <c r="B90" s="120" t="s">
        <v>217</v>
      </c>
      <c r="C90" s="173" t="s">
        <v>218</v>
      </c>
      <c r="D90" s="140"/>
      <c r="E90" s="39"/>
      <c r="F90" s="39">
        <v>1</v>
      </c>
      <c r="G90" s="39">
        <v>408.76</v>
      </c>
      <c r="H90" s="119"/>
      <c r="I90" s="115">
        <f>G90*1</f>
        <v>408.76</v>
      </c>
      <c r="J90" s="26"/>
      <c r="L90" s="22"/>
      <c r="M90" s="23"/>
      <c r="N90" s="24"/>
    </row>
    <row r="91" spans="1:14" ht="17.25" customHeight="1">
      <c r="A91" s="58">
        <v>25</v>
      </c>
      <c r="B91" s="174" t="s">
        <v>219</v>
      </c>
      <c r="C91" s="175" t="s">
        <v>220</v>
      </c>
      <c r="D91" s="140" t="s">
        <v>224</v>
      </c>
      <c r="E91" s="39"/>
      <c r="F91" s="39">
        <f>1/3</f>
        <v>0.33333333333333331</v>
      </c>
      <c r="G91" s="39">
        <v>1325.15</v>
      </c>
      <c r="H91" s="119"/>
      <c r="I91" s="115">
        <f>G91*1/3</f>
        <v>441.7166666666667</v>
      </c>
      <c r="J91" s="26"/>
      <c r="L91" s="22"/>
      <c r="M91" s="23"/>
      <c r="N91" s="24"/>
    </row>
    <row r="92" spans="1:14" ht="17.25" customHeight="1">
      <c r="A92" s="58">
        <v>26</v>
      </c>
      <c r="B92" s="120" t="s">
        <v>221</v>
      </c>
      <c r="C92" s="64" t="s">
        <v>222</v>
      </c>
      <c r="D92" s="140"/>
      <c r="E92" s="39"/>
      <c r="F92" s="39">
        <v>0.5</v>
      </c>
      <c r="G92" s="39">
        <v>1366.66</v>
      </c>
      <c r="H92" s="119"/>
      <c r="I92" s="115">
        <f>G92*0.5</f>
        <v>683.33</v>
      </c>
      <c r="J92" s="26"/>
      <c r="L92" s="22"/>
      <c r="M92" s="23"/>
      <c r="N92" s="24"/>
    </row>
    <row r="93" spans="1:14" ht="15.75" customHeight="1">
      <c r="A93" s="30"/>
      <c r="B93" s="50" t="s">
        <v>49</v>
      </c>
      <c r="C93" s="46"/>
      <c r="D93" s="57"/>
      <c r="E93" s="46">
        <v>1</v>
      </c>
      <c r="F93" s="46"/>
      <c r="G93" s="34"/>
      <c r="H93" s="46"/>
      <c r="I93" s="34">
        <f>SUM(I85:I92)</f>
        <v>4329.4677637866671</v>
      </c>
      <c r="J93" s="26"/>
      <c r="L93" s="22"/>
      <c r="M93" s="23"/>
      <c r="N93" s="24"/>
    </row>
    <row r="94" spans="1:14" ht="15.75" customHeight="1">
      <c r="A94" s="30"/>
      <c r="B94" s="52" t="s">
        <v>71</v>
      </c>
      <c r="C94" s="18"/>
      <c r="D94" s="18"/>
      <c r="E94" s="47"/>
      <c r="F94" s="48"/>
      <c r="G94" s="20"/>
      <c r="H94" s="72"/>
      <c r="I94" s="21">
        <v>0</v>
      </c>
      <c r="J94" s="26"/>
      <c r="L94" s="22"/>
      <c r="M94" s="23"/>
      <c r="N94" s="24"/>
    </row>
    <row r="95" spans="1:14" ht="15.75" customHeight="1">
      <c r="A95" s="73"/>
      <c r="B95" s="51" t="s">
        <v>134</v>
      </c>
      <c r="C95" s="37"/>
      <c r="D95" s="37"/>
      <c r="E95" s="37"/>
      <c r="F95" s="37"/>
      <c r="G95" s="49"/>
      <c r="H95" s="38"/>
      <c r="I95" s="34">
        <f>I83+I93</f>
        <v>64088.496753786669</v>
      </c>
      <c r="J95" s="26"/>
      <c r="L95" s="22"/>
      <c r="M95" s="23"/>
      <c r="N95" s="24"/>
    </row>
    <row r="96" spans="1:14" ht="15.75" customHeight="1">
      <c r="A96" s="200" t="s">
        <v>226</v>
      </c>
      <c r="B96" s="200"/>
      <c r="C96" s="200"/>
      <c r="D96" s="200"/>
      <c r="E96" s="200"/>
      <c r="F96" s="200"/>
      <c r="G96" s="200"/>
      <c r="H96" s="200"/>
      <c r="I96" s="200"/>
      <c r="J96" s="26"/>
      <c r="L96" s="22"/>
      <c r="M96" s="23"/>
      <c r="N96" s="24"/>
    </row>
    <row r="97" spans="1:22" ht="15.75" customHeight="1">
      <c r="A97" s="12"/>
      <c r="B97" s="218" t="s">
        <v>227</v>
      </c>
      <c r="C97" s="218"/>
      <c r="D97" s="218"/>
      <c r="E97" s="218"/>
      <c r="F97" s="218"/>
      <c r="G97" s="218"/>
      <c r="H97" s="102"/>
      <c r="I97" s="4"/>
      <c r="J97" s="26"/>
      <c r="L97" s="22"/>
    </row>
    <row r="98" spans="1:22" ht="15.75" customHeight="1">
      <c r="A98" s="65"/>
      <c r="B98" s="202" t="s">
        <v>6</v>
      </c>
      <c r="C98" s="202"/>
      <c r="D98" s="202"/>
      <c r="E98" s="202"/>
      <c r="F98" s="202"/>
      <c r="G98" s="202"/>
      <c r="H98" s="27"/>
      <c r="I98" s="54"/>
    </row>
    <row r="99" spans="1:22" ht="15.75" customHeight="1">
      <c r="A99" s="155"/>
      <c r="B99" s="156"/>
      <c r="C99" s="157"/>
      <c r="D99" s="55"/>
      <c r="E99" s="55"/>
      <c r="F99" s="55"/>
      <c r="G99" s="55"/>
      <c r="H99" s="55"/>
      <c r="I99" s="55"/>
    </row>
    <row r="100" spans="1:22" ht="15.75" customHeight="1">
      <c r="A100" s="219" t="s">
        <v>7</v>
      </c>
      <c r="B100" s="219"/>
      <c r="C100" s="219"/>
      <c r="D100" s="219"/>
      <c r="E100" s="219"/>
      <c r="F100" s="219"/>
      <c r="G100" s="219"/>
      <c r="H100" s="219"/>
      <c r="I100" s="219"/>
    </row>
    <row r="101" spans="1:22" ht="15.75" customHeight="1">
      <c r="A101" s="219" t="s">
        <v>8</v>
      </c>
      <c r="B101" s="219"/>
      <c r="C101" s="219"/>
      <c r="D101" s="219"/>
      <c r="E101" s="219"/>
      <c r="F101" s="219"/>
      <c r="G101" s="219"/>
      <c r="H101" s="219"/>
      <c r="I101" s="21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200" t="s">
        <v>9</v>
      </c>
      <c r="B102" s="200"/>
      <c r="C102" s="200"/>
      <c r="D102" s="200"/>
      <c r="E102" s="200"/>
      <c r="F102" s="200"/>
      <c r="G102" s="200"/>
      <c r="H102" s="200"/>
      <c r="I102" s="200"/>
      <c r="J102" s="28"/>
      <c r="K102" s="28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 customHeight="1">
      <c r="A103" s="14"/>
      <c r="B103" s="53"/>
      <c r="C103" s="53"/>
      <c r="D103" s="53"/>
      <c r="E103" s="53"/>
      <c r="F103" s="53"/>
      <c r="G103" s="53"/>
      <c r="H103" s="53"/>
      <c r="I103" s="53"/>
      <c r="J103" s="6"/>
      <c r="K103" s="6"/>
      <c r="L103" s="6"/>
      <c r="M103" s="6"/>
      <c r="N103" s="6"/>
      <c r="O103" s="6"/>
      <c r="P103" s="6"/>
      <c r="Q103" s="6"/>
      <c r="R103" s="198"/>
      <c r="S103" s="198"/>
      <c r="T103" s="198"/>
      <c r="U103" s="198"/>
    </row>
    <row r="104" spans="1:22" ht="15.75" customHeight="1">
      <c r="A104" s="199" t="s">
        <v>10</v>
      </c>
      <c r="B104" s="199"/>
      <c r="C104" s="199"/>
      <c r="D104" s="199"/>
      <c r="E104" s="199"/>
      <c r="F104" s="199"/>
      <c r="G104" s="199"/>
      <c r="H104" s="199"/>
      <c r="I104" s="199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2" ht="15.75" customHeight="1">
      <c r="A105" s="5"/>
      <c r="B105" s="53"/>
      <c r="C105" s="53"/>
      <c r="D105" s="53"/>
      <c r="E105" s="53"/>
      <c r="F105" s="53"/>
      <c r="G105" s="53"/>
      <c r="H105" s="53"/>
      <c r="I105" s="53"/>
    </row>
    <row r="106" spans="1:22" ht="15.75" customHeight="1">
      <c r="A106" s="200" t="s">
        <v>11</v>
      </c>
      <c r="B106" s="200"/>
      <c r="C106" s="201" t="s">
        <v>190</v>
      </c>
      <c r="D106" s="201"/>
      <c r="E106" s="201"/>
      <c r="F106" s="67"/>
      <c r="I106" s="101"/>
    </row>
    <row r="107" spans="1:22" ht="15.75" customHeight="1">
      <c r="A107" s="65"/>
      <c r="B107" s="53"/>
      <c r="C107" s="202" t="s">
        <v>12</v>
      </c>
      <c r="D107" s="202"/>
      <c r="E107" s="202"/>
      <c r="F107" s="27"/>
      <c r="I107" s="99" t="s">
        <v>13</v>
      </c>
    </row>
    <row r="108" spans="1:22" ht="15.75" customHeight="1">
      <c r="A108" s="28"/>
      <c r="B108" s="53"/>
      <c r="C108" s="15"/>
      <c r="D108" s="15"/>
      <c r="G108" s="15"/>
      <c r="H108" s="15"/>
    </row>
    <row r="109" spans="1:22" ht="15.75" customHeight="1">
      <c r="A109" s="200" t="s">
        <v>14</v>
      </c>
      <c r="B109" s="200"/>
      <c r="C109" s="203"/>
      <c r="D109" s="203"/>
      <c r="E109" s="203"/>
      <c r="F109" s="68"/>
      <c r="I109" s="101"/>
    </row>
    <row r="110" spans="1:22" ht="15.75" customHeight="1">
      <c r="A110" s="97"/>
      <c r="C110" s="198" t="s">
        <v>12</v>
      </c>
      <c r="D110" s="198"/>
      <c r="E110" s="198"/>
      <c r="F110" s="97"/>
      <c r="I110" s="99" t="s">
        <v>13</v>
      </c>
    </row>
    <row r="111" spans="1:22" ht="15.75" customHeight="1">
      <c r="A111" s="5" t="s">
        <v>15</v>
      </c>
    </row>
    <row r="112" spans="1:22">
      <c r="A112" s="204" t="s">
        <v>16</v>
      </c>
      <c r="B112" s="204"/>
      <c r="C112" s="204"/>
      <c r="D112" s="204"/>
      <c r="E112" s="204"/>
      <c r="F112" s="204"/>
      <c r="G112" s="204"/>
      <c r="H112" s="204"/>
      <c r="I112" s="204"/>
    </row>
    <row r="113" spans="1:9" ht="45" customHeight="1">
      <c r="A113" s="197" t="s">
        <v>17</v>
      </c>
      <c r="B113" s="197"/>
      <c r="C113" s="197"/>
      <c r="D113" s="197"/>
      <c r="E113" s="197"/>
      <c r="F113" s="197"/>
      <c r="G113" s="197"/>
      <c r="H113" s="197"/>
      <c r="I113" s="197"/>
    </row>
    <row r="114" spans="1:9" ht="30" customHeight="1">
      <c r="A114" s="197" t="s">
        <v>18</v>
      </c>
      <c r="B114" s="197"/>
      <c r="C114" s="197"/>
      <c r="D114" s="197"/>
      <c r="E114" s="197"/>
      <c r="F114" s="197"/>
      <c r="G114" s="197"/>
      <c r="H114" s="197"/>
      <c r="I114" s="197"/>
    </row>
    <row r="115" spans="1:9" ht="30" customHeight="1">
      <c r="A115" s="197" t="s">
        <v>22</v>
      </c>
      <c r="B115" s="197"/>
      <c r="C115" s="197"/>
      <c r="D115" s="197"/>
      <c r="E115" s="197"/>
      <c r="F115" s="197"/>
      <c r="G115" s="197"/>
      <c r="H115" s="197"/>
      <c r="I115" s="197"/>
    </row>
    <row r="116" spans="1:9" ht="15" customHeight="1">
      <c r="A116" s="197" t="s">
        <v>21</v>
      </c>
      <c r="B116" s="197"/>
      <c r="C116" s="197"/>
      <c r="D116" s="197"/>
      <c r="E116" s="197"/>
      <c r="F116" s="197"/>
      <c r="G116" s="197"/>
      <c r="H116" s="197"/>
      <c r="I116" s="197"/>
    </row>
  </sheetData>
  <autoFilter ref="I15:I99"/>
  <mergeCells count="31">
    <mergeCell ref="A116:I116"/>
    <mergeCell ref="A109:B109"/>
    <mergeCell ref="C109:E109"/>
    <mergeCell ref="C110:E110"/>
    <mergeCell ref="A112:I112"/>
    <mergeCell ref="A113:I113"/>
    <mergeCell ref="A114:I114"/>
    <mergeCell ref="R103:U103"/>
    <mergeCell ref="A104:I104"/>
    <mergeCell ref="A106:B106"/>
    <mergeCell ref="C106:E106"/>
    <mergeCell ref="A115:I115"/>
    <mergeCell ref="C107:E107"/>
    <mergeCell ref="A101:I101"/>
    <mergeCell ref="A102:I102"/>
    <mergeCell ref="A15:I15"/>
    <mergeCell ref="A27:I27"/>
    <mergeCell ref="A43:I43"/>
    <mergeCell ref="A54:I54"/>
    <mergeCell ref="A80:I80"/>
    <mergeCell ref="A84:I84"/>
    <mergeCell ref="A96:I96"/>
    <mergeCell ref="B97:G97"/>
    <mergeCell ref="B98:G98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zoomScale="60" zoomScaleNormal="100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124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228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44316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229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G16*F16/156*11</f>
        <v>1674.8600000000001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170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G17*F17/104*6</f>
        <v>2742.06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71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71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205" t="s">
        <v>74</v>
      </c>
      <c r="B28" s="206"/>
      <c r="C28" s="206"/>
      <c r="D28" s="206"/>
      <c r="E28" s="206"/>
      <c r="F28" s="206"/>
      <c r="G28" s="206"/>
      <c r="H28" s="206"/>
      <c r="I28" s="207"/>
      <c r="J28" s="25"/>
      <c r="K28" s="10"/>
      <c r="L28" s="10"/>
      <c r="M28" s="10"/>
    </row>
    <row r="29" spans="1:13" ht="15.75" hidden="1" customHeight="1">
      <c r="A29" s="113"/>
      <c r="B29" s="66" t="s">
        <v>127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14"/>
      <c r="B30" s="59" t="s">
        <v>128</v>
      </c>
      <c r="C30" s="74" t="s">
        <v>92</v>
      </c>
      <c r="D30" s="59" t="s">
        <v>131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111">
        <v>0</v>
      </c>
      <c r="J30" s="25"/>
      <c r="K30" s="10"/>
      <c r="L30" s="10"/>
      <c r="M30" s="10"/>
    </row>
    <row r="31" spans="1:13" ht="31.5" hidden="1" customHeight="1">
      <c r="A31" s="30"/>
      <c r="B31" s="59" t="s">
        <v>129</v>
      </c>
      <c r="C31" s="74" t="s">
        <v>92</v>
      </c>
      <c r="D31" s="59" t="s">
        <v>132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27</v>
      </c>
      <c r="C32" s="74" t="s">
        <v>92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1"/>
      <c r="B33" s="59" t="s">
        <v>130</v>
      </c>
      <c r="C33" s="74" t="s">
        <v>29</v>
      </c>
      <c r="D33" s="59" t="s">
        <v>58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1"/>
      <c r="B34" s="59" t="s">
        <v>59</v>
      </c>
      <c r="C34" s="74" t="s">
        <v>31</v>
      </c>
      <c r="D34" s="59" t="s">
        <v>60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103</v>
      </c>
      <c r="C35" s="74" t="s">
        <v>30</v>
      </c>
      <c r="D35" s="59" t="s">
        <v>60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hidden="1" customHeight="1">
      <c r="A37" s="110">
        <v>6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4">SUM(F37*G37/1000)</f>
        <v>6.0090000000000003</v>
      </c>
      <c r="I37" s="111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4</v>
      </c>
      <c r="B38" s="59" t="s">
        <v>135</v>
      </c>
      <c r="C38" s="74" t="s">
        <v>28</v>
      </c>
      <c r="D38" s="59" t="s">
        <v>231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>G38*F38/30*3</f>
        <v>480.68105400000002</v>
      </c>
      <c r="J38" s="25"/>
      <c r="K38" s="10"/>
      <c r="L38" s="10"/>
      <c r="M38" s="10"/>
    </row>
    <row r="39" spans="1:13" ht="16.5" hidden="1" customHeight="1">
      <c r="A39" s="30">
        <v>6</v>
      </c>
      <c r="B39" s="59" t="s">
        <v>105</v>
      </c>
      <c r="C39" s="74" t="s">
        <v>106</v>
      </c>
      <c r="D39" s="59" t="s">
        <v>174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>G39*F39/155*23</f>
        <v>1164.0166451612902</v>
      </c>
      <c r="J39" s="25"/>
      <c r="K39" s="10"/>
      <c r="L39" s="10"/>
      <c r="M39" s="10"/>
    </row>
    <row r="40" spans="1:13" ht="15.75" customHeight="1">
      <c r="A40" s="30">
        <v>5</v>
      </c>
      <c r="B40" s="59" t="s">
        <v>61</v>
      </c>
      <c r="C40" s="74" t="s">
        <v>28</v>
      </c>
      <c r="D40" s="59" t="s">
        <v>230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4"/>
        <v>4.1427101100000003</v>
      </c>
      <c r="I40" s="16">
        <f>G40*F40/155*23</f>
        <v>614.72472600000003</v>
      </c>
      <c r="J40" s="25"/>
      <c r="K40" s="10"/>
      <c r="L40" s="10"/>
      <c r="M40" s="10"/>
    </row>
    <row r="41" spans="1:13" ht="47.25" customHeight="1">
      <c r="A41" s="30">
        <v>6</v>
      </c>
      <c r="B41" s="59" t="s">
        <v>73</v>
      </c>
      <c r="C41" s="74" t="s">
        <v>92</v>
      </c>
      <c r="D41" s="59" t="s">
        <v>170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hidden="1" customHeight="1">
      <c r="A42" s="30">
        <v>9</v>
      </c>
      <c r="B42" s="59" t="s">
        <v>108</v>
      </c>
      <c r="C42" s="74" t="s">
        <v>92</v>
      </c>
      <c r="D42" s="59" t="s">
        <v>171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4"/>
        <v>0.65333449999999993</v>
      </c>
      <c r="I42" s="16">
        <f>F42/7.5*1.5*G42</f>
        <v>130.66689999999997</v>
      </c>
      <c r="J42" s="25"/>
      <c r="K42" s="10"/>
      <c r="L42" s="10"/>
      <c r="M42" s="10"/>
    </row>
    <row r="43" spans="1:13" ht="15" hidden="1" customHeight="1">
      <c r="A43" s="30">
        <v>10</v>
      </c>
      <c r="B43" s="59" t="s">
        <v>62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4"/>
        <v>0.389932</v>
      </c>
      <c r="I43" s="16">
        <f>F43/7.5*1.5*G43</f>
        <v>77.986400000000003</v>
      </c>
      <c r="J43" s="25"/>
      <c r="K43" s="10"/>
    </row>
    <row r="44" spans="1:13" ht="19.5" hidden="1" customHeight="1">
      <c r="A44" s="208" t="s">
        <v>118</v>
      </c>
      <c r="B44" s="209"/>
      <c r="C44" s="209"/>
      <c r="D44" s="209"/>
      <c r="E44" s="209"/>
      <c r="F44" s="209"/>
      <c r="G44" s="209"/>
      <c r="H44" s="209"/>
      <c r="I44" s="210"/>
      <c r="J44" s="26"/>
    </row>
    <row r="45" spans="1:13" ht="23.25" hidden="1" customHeight="1">
      <c r="A45" s="30"/>
      <c r="B45" s="59" t="s">
        <v>109</v>
      </c>
      <c r="C45" s="74" t="s">
        <v>92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27" hidden="1" customHeight="1">
      <c r="A46" s="70"/>
      <c r="B46" s="59" t="s">
        <v>34</v>
      </c>
      <c r="C46" s="74" t="s">
        <v>92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6"/>
        <v>4.5114615755999994</v>
      </c>
      <c r="I46" s="16">
        <f t="shared" si="7"/>
        <v>2255.7307877999997</v>
      </c>
      <c r="J46" s="26"/>
    </row>
    <row r="47" spans="1:13" ht="35.25" hidden="1" customHeight="1">
      <c r="A47" s="69"/>
      <c r="B47" s="59" t="s">
        <v>35</v>
      </c>
      <c r="C47" s="74" t="s">
        <v>92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6"/>
        <v>3.2221747648000005</v>
      </c>
      <c r="I47" s="16">
        <f t="shared" si="7"/>
        <v>1611.0873824000003</v>
      </c>
      <c r="J47" s="26"/>
    </row>
    <row r="48" spans="1:13" ht="29.25" hidden="1" customHeight="1">
      <c r="A48" s="30"/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6"/>
        <v>0.16393723199999999</v>
      </c>
      <c r="I48" s="16">
        <f>F48/2*G48</f>
        <v>81.968615999999997</v>
      </c>
      <c r="J48" s="26"/>
    </row>
    <row r="49" spans="1:14" ht="31.5" hidden="1" customHeight="1">
      <c r="A49" s="30"/>
      <c r="B49" s="59" t="s">
        <v>53</v>
      </c>
      <c r="C49" s="74" t="s">
        <v>92</v>
      </c>
      <c r="D49" s="59" t="s">
        <v>133</v>
      </c>
      <c r="E49" s="75">
        <v>2566.6</v>
      </c>
      <c r="F49" s="76">
        <f>SUM(E49*5/1000)</f>
        <v>12.833</v>
      </c>
      <c r="G49" s="16">
        <v>1803.69</v>
      </c>
      <c r="H49" s="77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0" hidden="1" customHeight="1">
      <c r="A50" s="30">
        <v>12</v>
      </c>
      <c r="B50" s="59" t="s">
        <v>110</v>
      </c>
      <c r="C50" s="74" t="s">
        <v>92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28.5" hidden="1" customHeight="1">
      <c r="A51" s="58">
        <v>13</v>
      </c>
      <c r="B51" s="59" t="s">
        <v>111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8.75" hidden="1" customHeight="1">
      <c r="A52" s="58">
        <v>14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28.5" hidden="1" customHeight="1">
      <c r="A53" s="58"/>
      <c r="B53" s="59" t="s">
        <v>112</v>
      </c>
      <c r="C53" s="74" t="s">
        <v>79</v>
      </c>
      <c r="D53" s="59" t="s">
        <v>63</v>
      </c>
      <c r="E53" s="75">
        <v>60</v>
      </c>
      <c r="F53" s="76">
        <f>E53*3</f>
        <v>180</v>
      </c>
      <c r="G53" s="16">
        <v>185.08</v>
      </c>
      <c r="H53" s="77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30.75" hidden="1" customHeight="1">
      <c r="A54" s="58">
        <v>14</v>
      </c>
      <c r="B54" s="59" t="s">
        <v>39</v>
      </c>
      <c r="C54" s="74" t="s">
        <v>79</v>
      </c>
      <c r="D54" s="59" t="s">
        <v>63</v>
      </c>
      <c r="E54" s="75">
        <v>120</v>
      </c>
      <c r="F54" s="76">
        <f>SUM(E54)*3</f>
        <v>360</v>
      </c>
      <c r="G54" s="16">
        <v>86.15</v>
      </c>
      <c r="H54" s="77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208" t="s">
        <v>78</v>
      </c>
      <c r="B55" s="211"/>
      <c r="C55" s="211"/>
      <c r="D55" s="211"/>
      <c r="E55" s="211"/>
      <c r="F55" s="211"/>
      <c r="G55" s="211"/>
      <c r="H55" s="211"/>
      <c r="I55" s="212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15</v>
      </c>
      <c r="B57" s="59" t="s">
        <v>113</v>
      </c>
      <c r="C57" s="74" t="s">
        <v>83</v>
      </c>
      <c r="D57" s="59" t="s">
        <v>114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9</v>
      </c>
      <c r="B58" s="83" t="s">
        <v>101</v>
      </c>
      <c r="C58" s="84" t="s">
        <v>102</v>
      </c>
      <c r="D58" s="83" t="s">
        <v>173</v>
      </c>
      <c r="E58" s="85"/>
      <c r="F58" s="86">
        <v>2</v>
      </c>
      <c r="G58" s="16">
        <v>1582.05</v>
      </c>
      <c r="H58" s="77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115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7</v>
      </c>
      <c r="B61" s="62" t="s">
        <v>138</v>
      </c>
      <c r="C61" s="160" t="s">
        <v>139</v>
      </c>
      <c r="D61" s="41" t="s">
        <v>172</v>
      </c>
      <c r="E61" s="161">
        <v>100</v>
      </c>
      <c r="F61" s="35">
        <f>SUM(E61)*12</f>
        <v>1200</v>
      </c>
      <c r="G61" s="39">
        <v>1.4</v>
      </c>
      <c r="H61" s="117">
        <f t="shared" si="10"/>
        <v>1.68</v>
      </c>
      <c r="I61" s="16">
        <f>576/12*G61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162"/>
      <c r="E62" s="85"/>
      <c r="F62" s="88"/>
      <c r="G62" s="88"/>
      <c r="H62" s="86" t="s">
        <v>100</v>
      </c>
      <c r="I62" s="16"/>
      <c r="J62" s="26"/>
      <c r="L62" s="22"/>
      <c r="M62" s="23"/>
      <c r="N62" s="24"/>
    </row>
    <row r="63" spans="1:14" ht="15.75" hidden="1" customHeight="1">
      <c r="A63" s="58">
        <v>14</v>
      </c>
      <c r="B63" s="17" t="s">
        <v>44</v>
      </c>
      <c r="C63" s="19" t="s">
        <v>79</v>
      </c>
      <c r="D63" s="83" t="s">
        <v>60</v>
      </c>
      <c r="E63" s="21">
        <v>5</v>
      </c>
      <c r="F63" s="76">
        <f>E63</f>
        <v>5</v>
      </c>
      <c r="G63" s="16">
        <v>291.68</v>
      </c>
      <c r="H63" s="89">
        <f t="shared" ref="H63:H73" si="11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customHeight="1">
      <c r="A64" s="58">
        <v>8</v>
      </c>
      <c r="B64" s="17" t="s">
        <v>45</v>
      </c>
      <c r="C64" s="19" t="s">
        <v>79</v>
      </c>
      <c r="D64" s="83" t="s">
        <v>166</v>
      </c>
      <c r="E64" s="21">
        <v>5</v>
      </c>
      <c r="F64" s="76">
        <f>E64</f>
        <v>5</v>
      </c>
      <c r="G64" s="16">
        <v>100.01</v>
      </c>
      <c r="H64" s="89">
        <f t="shared" si="11"/>
        <v>0.50004999999999999</v>
      </c>
      <c r="I64" s="16">
        <f>G64*2</f>
        <v>200.02</v>
      </c>
      <c r="J64" s="26"/>
      <c r="L64" s="22"/>
      <c r="M64" s="23"/>
      <c r="N64" s="24"/>
    </row>
    <row r="65" spans="1:14" ht="15.75" hidden="1" customHeight="1">
      <c r="A65" s="58"/>
      <c r="B65" s="17" t="s">
        <v>46</v>
      </c>
      <c r="C65" s="19" t="s">
        <v>95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47</v>
      </c>
      <c r="C66" s="19" t="s">
        <v>96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97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90" t="s">
        <v>98</v>
      </c>
      <c r="C69" s="19" t="s">
        <v>31</v>
      </c>
      <c r="D69" s="17"/>
      <c r="E69" s="75">
        <f>E68</f>
        <v>9.6</v>
      </c>
      <c r="F69" s="76">
        <f t="shared" ref="F69:F70" si="12">E69</f>
        <v>9.6</v>
      </c>
      <c r="G69" s="16">
        <v>46.04</v>
      </c>
      <c r="H69" s="89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8"/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2"/>
        <v>3</v>
      </c>
      <c r="G70" s="16">
        <v>65.42</v>
      </c>
      <c r="H70" s="89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hidden="1" customHeight="1">
      <c r="A71" s="58"/>
      <c r="B71" s="66" t="s">
        <v>43</v>
      </c>
      <c r="C71" s="19"/>
      <c r="D71" s="22"/>
      <c r="E71" s="21"/>
      <c r="F71" s="76"/>
      <c r="G71" s="16"/>
      <c r="H71" s="89"/>
      <c r="I71" s="16"/>
      <c r="J71" s="26"/>
      <c r="L71" s="22"/>
      <c r="M71" s="23"/>
      <c r="N71" s="24"/>
    </row>
    <row r="72" spans="1:14" ht="15.75" customHeight="1">
      <c r="A72" s="58"/>
      <c r="B72" s="66" t="s">
        <v>186</v>
      </c>
      <c r="C72" s="19"/>
      <c r="D72" s="22"/>
      <c r="E72" s="21"/>
      <c r="F72" s="76"/>
      <c r="G72" s="16"/>
      <c r="H72" s="89"/>
      <c r="I72" s="16"/>
      <c r="J72" s="26"/>
      <c r="L72" s="22"/>
      <c r="M72" s="23"/>
      <c r="N72" s="24"/>
    </row>
    <row r="73" spans="1:14" ht="15.75" customHeight="1">
      <c r="A73" s="58">
        <v>9</v>
      </c>
      <c r="B73" s="17" t="s">
        <v>140</v>
      </c>
      <c r="C73" s="30" t="s">
        <v>141</v>
      </c>
      <c r="D73" s="83"/>
      <c r="E73" s="21">
        <v>2566.6</v>
      </c>
      <c r="F73" s="76">
        <f>SUM(E73)*12</f>
        <v>30799.199999999997</v>
      </c>
      <c r="G73" s="16">
        <v>2.2799999999999998</v>
      </c>
      <c r="H73" s="89">
        <f t="shared" si="11"/>
        <v>70.22217599999999</v>
      </c>
      <c r="I73" s="16">
        <f>F73/12*G73</f>
        <v>5851.847999999999</v>
      </c>
      <c r="J73" s="26"/>
      <c r="L73" s="22"/>
      <c r="M73" s="23"/>
      <c r="N73" s="24"/>
    </row>
    <row r="74" spans="1:14" ht="15.75" hidden="1" customHeight="1">
      <c r="A74" s="58"/>
      <c r="B74" s="66" t="s">
        <v>64</v>
      </c>
      <c r="C74" s="19"/>
      <c r="D74" s="17"/>
      <c r="E74" s="21"/>
      <c r="F74" s="16"/>
      <c r="G74" s="16"/>
      <c r="H74" s="89" t="s">
        <v>100</v>
      </c>
      <c r="I74" s="16"/>
      <c r="J74" s="26"/>
      <c r="L74" s="22"/>
      <c r="M74" s="23"/>
      <c r="N74" s="24"/>
    </row>
    <row r="75" spans="1:14" ht="31.5" hidden="1" customHeight="1">
      <c r="A75" s="58"/>
      <c r="B75" s="41" t="s">
        <v>142</v>
      </c>
      <c r="C75" s="42" t="s">
        <v>29</v>
      </c>
      <c r="D75" s="41"/>
      <c r="E75" s="20">
        <v>1</v>
      </c>
      <c r="F75" s="35">
        <f t="shared" ref="F75:F78" si="13">E75</f>
        <v>1</v>
      </c>
      <c r="G75" s="39">
        <v>1543.4</v>
      </c>
      <c r="H75" s="119">
        <f>G75*F75/1000</f>
        <v>1.5434000000000001</v>
      </c>
      <c r="I75" s="16">
        <v>0</v>
      </c>
      <c r="J75" s="26"/>
      <c r="L75" s="22"/>
      <c r="M75" s="23"/>
      <c r="N75" s="24"/>
    </row>
    <row r="76" spans="1:14" ht="15.75" hidden="1" customHeight="1">
      <c r="A76" s="30"/>
      <c r="B76" s="41" t="s">
        <v>66</v>
      </c>
      <c r="C76" s="42" t="s">
        <v>29</v>
      </c>
      <c r="D76" s="41"/>
      <c r="E76" s="20">
        <v>1</v>
      </c>
      <c r="F76" s="35">
        <f>E76</f>
        <v>1</v>
      </c>
      <c r="G76" s="39">
        <v>1118.72</v>
      </c>
      <c r="H76" s="119">
        <f>F76*G76/1000</f>
        <v>1.1187199999999999</v>
      </c>
      <c r="I76" s="16">
        <v>0</v>
      </c>
      <c r="J76" s="26"/>
      <c r="L76" s="22"/>
      <c r="M76" s="23"/>
      <c r="N76" s="24"/>
    </row>
    <row r="77" spans="1:14" ht="15.75" hidden="1" customHeight="1">
      <c r="A77" s="70"/>
      <c r="B77" s="41" t="s">
        <v>65</v>
      </c>
      <c r="C77" s="42" t="s">
        <v>67</v>
      </c>
      <c r="D77" s="41"/>
      <c r="E77" s="20">
        <v>3</v>
      </c>
      <c r="F77" s="35">
        <f>E77/10</f>
        <v>0.3</v>
      </c>
      <c r="G77" s="39">
        <v>657.87</v>
      </c>
      <c r="H77" s="119">
        <f t="shared" ref="H77" si="14">SUM(F77*G77/1000)</f>
        <v>0.19736099999999998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120" t="s">
        <v>143</v>
      </c>
      <c r="C78" s="64" t="s">
        <v>79</v>
      </c>
      <c r="D78" s="41"/>
      <c r="E78" s="20">
        <v>1</v>
      </c>
      <c r="F78" s="35">
        <f t="shared" si="13"/>
        <v>1</v>
      </c>
      <c r="G78" s="39">
        <v>130.96</v>
      </c>
      <c r="H78" s="119">
        <f>G78*F78/1000</f>
        <v>0.13096000000000002</v>
      </c>
      <c r="I78" s="16">
        <v>0</v>
      </c>
      <c r="J78" s="26"/>
      <c r="L78" s="22"/>
      <c r="M78" s="23"/>
      <c r="N78" s="24"/>
    </row>
    <row r="79" spans="1:14" ht="15.75" customHeight="1">
      <c r="A79" s="58"/>
      <c r="B79" s="95" t="s">
        <v>68</v>
      </c>
      <c r="C79" s="19"/>
      <c r="D79" s="17"/>
      <c r="E79" s="21"/>
      <c r="F79" s="16"/>
      <c r="G79" s="16" t="s">
        <v>100</v>
      </c>
      <c r="H79" s="89" t="s">
        <v>100</v>
      </c>
      <c r="I79" s="16"/>
      <c r="J79" s="26"/>
      <c r="L79" s="22"/>
      <c r="M79" s="23"/>
      <c r="N79" s="24"/>
    </row>
    <row r="80" spans="1:14" ht="15.75" customHeight="1">
      <c r="A80" s="58">
        <v>10</v>
      </c>
      <c r="B80" s="43" t="s">
        <v>99</v>
      </c>
      <c r="C80" s="44" t="s">
        <v>69</v>
      </c>
      <c r="D80" s="63" t="s">
        <v>237</v>
      </c>
      <c r="E80" s="121"/>
      <c r="F80" s="40">
        <v>1</v>
      </c>
      <c r="G80" s="40">
        <v>3619.09</v>
      </c>
      <c r="H80" s="119">
        <f t="shared" ref="H80" si="15">SUM(F80*G80/1000)</f>
        <v>3.6190900000000004</v>
      </c>
      <c r="I80" s="16">
        <f>G80*0.06</f>
        <v>217.1454</v>
      </c>
      <c r="J80" s="26"/>
      <c r="L80" s="22"/>
      <c r="M80" s="23"/>
      <c r="N80" s="24"/>
    </row>
    <row r="81" spans="1:14" ht="15.75" hidden="1" customHeight="1">
      <c r="A81" s="58"/>
      <c r="B81" s="66" t="s">
        <v>93</v>
      </c>
      <c r="C81" s="19"/>
      <c r="D81" s="17"/>
      <c r="E81" s="21"/>
      <c r="F81" s="16"/>
      <c r="G81" s="16"/>
      <c r="H81" s="89">
        <f>SUM(H57:H80)</f>
        <v>179.04024663999999</v>
      </c>
      <c r="I81" s="16"/>
      <c r="J81" s="26"/>
      <c r="L81" s="22"/>
      <c r="M81" s="23"/>
      <c r="N81" s="24"/>
    </row>
    <row r="82" spans="1:14" ht="15.75" hidden="1" customHeight="1">
      <c r="A82" s="58">
        <v>19</v>
      </c>
      <c r="B82" s="59" t="s">
        <v>94</v>
      </c>
      <c r="C82" s="19"/>
      <c r="D82" s="17"/>
      <c r="E82" s="91"/>
      <c r="F82" s="16">
        <v>1</v>
      </c>
      <c r="G82" s="16">
        <v>22892</v>
      </c>
      <c r="H82" s="89">
        <f>G82*F82/1000</f>
        <v>22.891999999999999</v>
      </c>
      <c r="I82" s="16">
        <f>G82</f>
        <v>22892</v>
      </c>
      <c r="J82" s="26"/>
      <c r="L82" s="22"/>
      <c r="M82" s="23"/>
      <c r="N82" s="24"/>
    </row>
    <row r="83" spans="1:14" ht="15.75" customHeight="1">
      <c r="A83" s="208" t="s">
        <v>125</v>
      </c>
      <c r="B83" s="213"/>
      <c r="C83" s="213"/>
      <c r="D83" s="213"/>
      <c r="E83" s="213"/>
      <c r="F83" s="213"/>
      <c r="G83" s="213"/>
      <c r="H83" s="213"/>
      <c r="I83" s="214"/>
      <c r="J83" s="26"/>
      <c r="L83" s="22"/>
      <c r="M83" s="23"/>
      <c r="N83" s="24"/>
    </row>
    <row r="84" spans="1:14" ht="15.75" customHeight="1">
      <c r="A84" s="58">
        <v>11</v>
      </c>
      <c r="B84" s="36" t="s">
        <v>116</v>
      </c>
      <c r="C84" s="42" t="s">
        <v>52</v>
      </c>
      <c r="D84" s="61"/>
      <c r="E84" s="39">
        <v>2566.6</v>
      </c>
      <c r="F84" s="39">
        <f>SUM(E84*12)</f>
        <v>30799.199999999997</v>
      </c>
      <c r="G84" s="39">
        <v>3.1</v>
      </c>
      <c r="H84" s="119">
        <f>SUM(F84*G84/1000)</f>
        <v>95.477519999999984</v>
      </c>
      <c r="I84" s="16">
        <f>F84/12*G84</f>
        <v>7956.46</v>
      </c>
      <c r="J84" s="26"/>
      <c r="L84" s="22"/>
      <c r="M84" s="23"/>
      <c r="N84" s="24"/>
    </row>
    <row r="85" spans="1:14" ht="31.5" customHeight="1">
      <c r="A85" s="58">
        <v>12</v>
      </c>
      <c r="B85" s="41" t="s">
        <v>70</v>
      </c>
      <c r="C85" s="42"/>
      <c r="D85" s="61"/>
      <c r="E85" s="116">
        <v>2566.6</v>
      </c>
      <c r="F85" s="39">
        <f>E85*12</f>
        <v>30799.199999999997</v>
      </c>
      <c r="G85" s="39">
        <v>3.5</v>
      </c>
      <c r="H85" s="119">
        <f>F85*G85/1000</f>
        <v>107.79719999999999</v>
      </c>
      <c r="I85" s="16">
        <f>F85/12*G85</f>
        <v>8983.1</v>
      </c>
      <c r="J85" s="26"/>
      <c r="L85" s="22"/>
      <c r="M85" s="23"/>
      <c r="N85" s="24"/>
    </row>
    <row r="86" spans="1:14" ht="15.75" customHeight="1">
      <c r="A86" s="58"/>
      <c r="B86" s="45" t="s">
        <v>72</v>
      </c>
      <c r="C86" s="19"/>
      <c r="D86" s="52"/>
      <c r="E86" s="16"/>
      <c r="F86" s="16"/>
      <c r="G86" s="16"/>
      <c r="H86" s="89">
        <f>H85</f>
        <v>107.79719999999999</v>
      </c>
      <c r="I86" s="96">
        <f>I85+I84+I80+I73+I64+I61++I41+I40+I38+I18+I17+I16</f>
        <v>34873.17581666667</v>
      </c>
      <c r="J86" s="26"/>
      <c r="L86" s="22"/>
      <c r="M86" s="23"/>
      <c r="N86" s="24"/>
    </row>
    <row r="87" spans="1:14" ht="15.75" customHeight="1">
      <c r="A87" s="215" t="s">
        <v>56</v>
      </c>
      <c r="B87" s="216"/>
      <c r="C87" s="216"/>
      <c r="D87" s="216"/>
      <c r="E87" s="216"/>
      <c r="F87" s="216"/>
      <c r="G87" s="216"/>
      <c r="H87" s="216"/>
      <c r="I87" s="217"/>
      <c r="J87" s="26"/>
      <c r="L87" s="22"/>
      <c r="M87" s="23"/>
      <c r="N87" s="24"/>
    </row>
    <row r="88" spans="1:14" ht="33" customHeight="1">
      <c r="A88" s="58">
        <v>13</v>
      </c>
      <c r="B88" s="120" t="s">
        <v>159</v>
      </c>
      <c r="C88" s="64" t="s">
        <v>92</v>
      </c>
      <c r="D88" s="41"/>
      <c r="E88" s="20"/>
      <c r="F88" s="39">
        <v>2</v>
      </c>
      <c r="G88" s="158">
        <v>21369.24</v>
      </c>
      <c r="H88" s="119">
        <f t="shared" ref="H88" si="16">G88*F88/1000</f>
        <v>42.738480000000003</v>
      </c>
      <c r="I88" s="16">
        <f>G88*0.599*6/1000</f>
        <v>76.801048559999998</v>
      </c>
      <c r="J88" s="26"/>
      <c r="L88" s="22"/>
      <c r="M88" s="23"/>
      <c r="N88" s="24"/>
    </row>
    <row r="89" spans="1:14" ht="16.5" customHeight="1">
      <c r="A89" s="58">
        <v>14</v>
      </c>
      <c r="B89" s="120" t="s">
        <v>232</v>
      </c>
      <c r="C89" s="64" t="s">
        <v>52</v>
      </c>
      <c r="D89" s="140"/>
      <c r="E89" s="39"/>
      <c r="F89" s="168">
        <v>0.8</v>
      </c>
      <c r="G89" s="39">
        <v>80.5</v>
      </c>
      <c r="H89" s="154"/>
      <c r="I89" s="115">
        <f>G89*0.8</f>
        <v>64.400000000000006</v>
      </c>
      <c r="J89" s="26"/>
      <c r="L89" s="22"/>
      <c r="M89" s="23"/>
      <c r="N89" s="24"/>
    </row>
    <row r="90" spans="1:14" ht="18" customHeight="1">
      <c r="A90" s="58">
        <v>15</v>
      </c>
      <c r="B90" s="120" t="s">
        <v>233</v>
      </c>
      <c r="C90" s="64" t="s">
        <v>52</v>
      </c>
      <c r="D90" s="140"/>
      <c r="E90" s="39"/>
      <c r="F90" s="168">
        <v>0.8</v>
      </c>
      <c r="G90" s="39">
        <v>652.149</v>
      </c>
      <c r="H90" s="154"/>
      <c r="I90" s="115">
        <f>G90*0.8</f>
        <v>521.7192</v>
      </c>
      <c r="J90" s="26"/>
      <c r="L90" s="22"/>
      <c r="M90" s="23"/>
      <c r="N90" s="24"/>
    </row>
    <row r="91" spans="1:14" ht="18" customHeight="1">
      <c r="A91" s="58">
        <v>16</v>
      </c>
      <c r="B91" s="120" t="s">
        <v>234</v>
      </c>
      <c r="C91" s="64" t="s">
        <v>79</v>
      </c>
      <c r="D91" s="140"/>
      <c r="E91" s="39"/>
      <c r="F91" s="168">
        <v>1</v>
      </c>
      <c r="G91" s="39">
        <v>210</v>
      </c>
      <c r="H91" s="154"/>
      <c r="I91" s="115">
        <f>G91*1</f>
        <v>210</v>
      </c>
      <c r="J91" s="26"/>
      <c r="L91" s="22"/>
      <c r="M91" s="23"/>
      <c r="N91" s="24"/>
    </row>
    <row r="92" spans="1:14" ht="18" customHeight="1">
      <c r="A92" s="58">
        <v>17</v>
      </c>
      <c r="B92" s="120" t="s">
        <v>145</v>
      </c>
      <c r="C92" s="64" t="s">
        <v>79</v>
      </c>
      <c r="D92" s="140"/>
      <c r="E92" s="39"/>
      <c r="F92" s="39">
        <v>7</v>
      </c>
      <c r="G92" s="39">
        <v>224.48</v>
      </c>
      <c r="H92" s="154"/>
      <c r="I92" s="115">
        <f>G92*2</f>
        <v>448.96</v>
      </c>
      <c r="J92" s="26"/>
      <c r="L92" s="22"/>
      <c r="M92" s="23"/>
      <c r="N92" s="24"/>
    </row>
    <row r="93" spans="1:14" ht="18" customHeight="1">
      <c r="A93" s="58">
        <v>18</v>
      </c>
      <c r="B93" s="120" t="s">
        <v>208</v>
      </c>
      <c r="C93" s="64" t="s">
        <v>158</v>
      </c>
      <c r="D93" s="140" t="s">
        <v>238</v>
      </c>
      <c r="E93" s="39"/>
      <c r="F93" s="39">
        <v>2.5</v>
      </c>
      <c r="G93" s="39">
        <v>672.88</v>
      </c>
      <c r="H93" s="154"/>
      <c r="I93" s="115">
        <f>G93*2</f>
        <v>1345.76</v>
      </c>
      <c r="J93" s="26"/>
      <c r="L93" s="22"/>
      <c r="M93" s="23"/>
      <c r="N93" s="24"/>
    </row>
    <row r="94" spans="1:14" ht="18" customHeight="1">
      <c r="A94" s="58">
        <v>19</v>
      </c>
      <c r="B94" s="120" t="s">
        <v>235</v>
      </c>
      <c r="C94" s="64" t="s">
        <v>50</v>
      </c>
      <c r="D94" s="140" t="s">
        <v>240</v>
      </c>
      <c r="E94" s="39"/>
      <c r="F94" s="168">
        <v>4.0000000000000001E-3</v>
      </c>
      <c r="G94" s="39">
        <v>60434.25</v>
      </c>
      <c r="H94" s="154"/>
      <c r="I94" s="115">
        <f>G94*0.004</f>
        <v>241.73699999999999</v>
      </c>
      <c r="J94" s="26"/>
      <c r="L94" s="22"/>
      <c r="M94" s="23"/>
      <c r="N94" s="24"/>
    </row>
    <row r="95" spans="1:14" ht="32.25" customHeight="1">
      <c r="A95" s="58">
        <v>20</v>
      </c>
      <c r="B95" s="120" t="s">
        <v>236</v>
      </c>
      <c r="C95" s="64" t="s">
        <v>79</v>
      </c>
      <c r="D95" s="140"/>
      <c r="E95" s="39"/>
      <c r="F95" s="39">
        <v>1</v>
      </c>
      <c r="G95" s="39">
        <v>98.55</v>
      </c>
      <c r="H95" s="154"/>
      <c r="I95" s="115">
        <f>G95*1</f>
        <v>98.55</v>
      </c>
      <c r="J95" s="26"/>
      <c r="L95" s="22"/>
      <c r="M95" s="23"/>
      <c r="N95" s="24"/>
    </row>
    <row r="96" spans="1:14" ht="33" customHeight="1">
      <c r="A96" s="58">
        <v>21</v>
      </c>
      <c r="B96" s="120" t="s">
        <v>183</v>
      </c>
      <c r="C96" s="64" t="s">
        <v>36</v>
      </c>
      <c r="D96" s="140" t="s">
        <v>239</v>
      </c>
      <c r="E96" s="39"/>
      <c r="F96" s="39">
        <v>0.04</v>
      </c>
      <c r="G96" s="39">
        <v>4233.72</v>
      </c>
      <c r="H96" s="154"/>
      <c r="I96" s="115">
        <v>0</v>
      </c>
      <c r="J96" s="26"/>
      <c r="L96" s="22"/>
      <c r="M96" s="23"/>
      <c r="N96" s="24"/>
    </row>
    <row r="97" spans="1:22" ht="18" customHeight="1">
      <c r="A97" s="58">
        <v>22</v>
      </c>
      <c r="B97" s="120" t="s">
        <v>184</v>
      </c>
      <c r="C97" s="64" t="s">
        <v>38</v>
      </c>
      <c r="D97" s="140" t="s">
        <v>172</v>
      </c>
      <c r="E97" s="39"/>
      <c r="F97" s="39">
        <v>0.01</v>
      </c>
      <c r="G97" s="39">
        <v>28224.75</v>
      </c>
      <c r="H97" s="154"/>
      <c r="I97" s="115">
        <v>0</v>
      </c>
      <c r="J97" s="26"/>
      <c r="L97" s="22"/>
      <c r="M97" s="23"/>
      <c r="N97" s="24"/>
    </row>
    <row r="98" spans="1:22" ht="35.25" customHeight="1">
      <c r="A98" s="58"/>
      <c r="B98" s="120" t="s">
        <v>161</v>
      </c>
      <c r="C98" s="64" t="s">
        <v>162</v>
      </c>
      <c r="D98" s="140" t="s">
        <v>254</v>
      </c>
      <c r="E98" s="39"/>
      <c r="F98" s="39">
        <v>1</v>
      </c>
      <c r="G98" s="39">
        <v>64.040000000000006</v>
      </c>
      <c r="H98" s="154"/>
      <c r="I98" s="115">
        <f>G98*1</f>
        <v>64.040000000000006</v>
      </c>
      <c r="J98" s="26"/>
      <c r="L98" s="22"/>
      <c r="M98" s="23"/>
      <c r="N98" s="24"/>
    </row>
    <row r="99" spans="1:22" ht="15.75" customHeight="1">
      <c r="A99" s="30"/>
      <c r="B99" s="50" t="s">
        <v>49</v>
      </c>
      <c r="C99" s="46"/>
      <c r="D99" s="57"/>
      <c r="E99" s="46">
        <v>1</v>
      </c>
      <c r="F99" s="46"/>
      <c r="G99" s="152"/>
      <c r="H99" s="153" t="s">
        <v>156</v>
      </c>
      <c r="I99" s="34">
        <f>SUM(I88:I98)</f>
        <v>3071.9672485600004</v>
      </c>
      <c r="J99" s="26"/>
      <c r="L99" s="22"/>
      <c r="M99" s="23"/>
      <c r="N99" s="24"/>
    </row>
    <row r="100" spans="1:22" ht="15.75" customHeight="1">
      <c r="A100" s="30"/>
      <c r="B100" s="52" t="s">
        <v>71</v>
      </c>
      <c r="C100" s="18"/>
      <c r="D100" s="18"/>
      <c r="E100" s="47"/>
      <c r="F100" s="48"/>
      <c r="G100" s="20"/>
      <c r="H100" s="72"/>
      <c r="I100" s="21">
        <v>0</v>
      </c>
      <c r="J100" s="26"/>
      <c r="L100" s="22"/>
      <c r="M100" s="23"/>
      <c r="N100" s="24"/>
    </row>
    <row r="101" spans="1:22" ht="15.75" customHeight="1">
      <c r="A101" s="73"/>
      <c r="B101" s="51" t="s">
        <v>134</v>
      </c>
      <c r="C101" s="37"/>
      <c r="D101" s="37"/>
      <c r="E101" s="37"/>
      <c r="F101" s="37"/>
      <c r="G101" s="49"/>
      <c r="H101" s="38"/>
      <c r="I101" s="34">
        <f>I86+I99</f>
        <v>37945.143065226672</v>
      </c>
      <c r="J101" s="26"/>
      <c r="L101" s="22"/>
      <c r="M101" s="23"/>
      <c r="N101" s="24"/>
    </row>
    <row r="102" spans="1:22" ht="15.75" customHeight="1">
      <c r="A102" s="231" t="s">
        <v>255</v>
      </c>
      <c r="B102" s="231"/>
      <c r="C102" s="231"/>
      <c r="D102" s="231"/>
      <c r="E102" s="231"/>
      <c r="F102" s="231"/>
      <c r="G102" s="231"/>
      <c r="H102" s="231"/>
      <c r="I102" s="231"/>
      <c r="J102" s="26"/>
      <c r="L102" s="22"/>
      <c r="M102" s="23"/>
      <c r="N102" s="24"/>
    </row>
    <row r="103" spans="1:22" ht="15.75" customHeight="1">
      <c r="A103" s="12"/>
      <c r="B103" s="232" t="s">
        <v>256</v>
      </c>
      <c r="C103" s="232"/>
      <c r="D103" s="232"/>
      <c r="E103" s="232"/>
      <c r="F103" s="232"/>
      <c r="G103" s="232"/>
      <c r="H103" s="102"/>
      <c r="I103" s="4"/>
      <c r="J103" s="26"/>
      <c r="L103" s="22"/>
    </row>
    <row r="104" spans="1:22" ht="15.75" customHeight="1">
      <c r="A104" s="65"/>
      <c r="B104" s="202" t="s">
        <v>6</v>
      </c>
      <c r="C104" s="202"/>
      <c r="D104" s="202"/>
      <c r="E104" s="202"/>
      <c r="F104" s="202"/>
      <c r="G104" s="202"/>
      <c r="H104" s="27"/>
      <c r="I104" s="54"/>
    </row>
    <row r="105" spans="1:22" ht="15.75" customHeight="1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22" ht="15.75" customHeight="1">
      <c r="A106" s="219" t="s">
        <v>7</v>
      </c>
      <c r="B106" s="219"/>
      <c r="C106" s="219"/>
      <c r="D106" s="219"/>
      <c r="E106" s="219"/>
      <c r="F106" s="219"/>
      <c r="G106" s="219"/>
      <c r="H106" s="219"/>
      <c r="I106" s="219"/>
    </row>
    <row r="107" spans="1:22" ht="15.75" customHeight="1">
      <c r="A107" s="219" t="s">
        <v>8</v>
      </c>
      <c r="B107" s="219"/>
      <c r="C107" s="219"/>
      <c r="D107" s="219"/>
      <c r="E107" s="219"/>
      <c r="F107" s="219"/>
      <c r="G107" s="219"/>
      <c r="H107" s="219"/>
      <c r="I107" s="21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11"/>
    </row>
    <row r="108" spans="1:22" ht="15.75" customHeight="1">
      <c r="A108" s="200" t="s">
        <v>9</v>
      </c>
      <c r="B108" s="200"/>
      <c r="C108" s="200"/>
      <c r="D108" s="200"/>
      <c r="E108" s="200"/>
      <c r="F108" s="200"/>
      <c r="G108" s="200"/>
      <c r="H108" s="200"/>
      <c r="I108" s="200"/>
      <c r="J108" s="28"/>
      <c r="K108" s="28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2" ht="15.75" customHeight="1">
      <c r="A109" s="14"/>
      <c r="B109" s="53"/>
      <c r="C109" s="53"/>
      <c r="D109" s="53"/>
      <c r="E109" s="53"/>
      <c r="F109" s="53"/>
      <c r="G109" s="53"/>
      <c r="H109" s="53"/>
      <c r="I109" s="53"/>
      <c r="J109" s="6"/>
      <c r="K109" s="6"/>
      <c r="L109" s="6"/>
      <c r="M109" s="6"/>
      <c r="N109" s="6"/>
      <c r="O109" s="6"/>
      <c r="P109" s="6"/>
      <c r="Q109" s="6"/>
      <c r="R109" s="198"/>
      <c r="S109" s="198"/>
      <c r="T109" s="198"/>
      <c r="U109" s="198"/>
    </row>
    <row r="110" spans="1:22" ht="15.75" customHeight="1">
      <c r="A110" s="199" t="s">
        <v>10</v>
      </c>
      <c r="B110" s="199"/>
      <c r="C110" s="199"/>
      <c r="D110" s="199"/>
      <c r="E110" s="199"/>
      <c r="F110" s="199"/>
      <c r="G110" s="199"/>
      <c r="H110" s="199"/>
      <c r="I110" s="199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2" ht="15.75" customHeight="1">
      <c r="A111" s="5"/>
      <c r="B111" s="53"/>
      <c r="C111" s="53"/>
      <c r="D111" s="53"/>
      <c r="E111" s="53"/>
      <c r="F111" s="53"/>
      <c r="G111" s="53"/>
      <c r="H111" s="53"/>
      <c r="I111" s="53"/>
    </row>
    <row r="112" spans="1:22" ht="15.75" customHeight="1">
      <c r="A112" s="200" t="s">
        <v>11</v>
      </c>
      <c r="B112" s="200"/>
      <c r="C112" s="201" t="s">
        <v>190</v>
      </c>
      <c r="D112" s="201"/>
      <c r="E112" s="201"/>
      <c r="F112" s="67"/>
      <c r="I112" s="101"/>
    </row>
    <row r="113" spans="1:9" ht="15.75" customHeight="1">
      <c r="A113" s="65"/>
      <c r="B113" s="53"/>
      <c r="C113" s="202" t="s">
        <v>12</v>
      </c>
      <c r="D113" s="202"/>
      <c r="E113" s="202"/>
      <c r="F113" s="27"/>
      <c r="I113" s="99" t="s">
        <v>13</v>
      </c>
    </row>
    <row r="114" spans="1:9" ht="15.75" customHeight="1">
      <c r="A114" s="28"/>
      <c r="B114" s="53"/>
      <c r="C114" s="15"/>
      <c r="D114" s="15"/>
      <c r="G114" s="15"/>
      <c r="H114" s="15"/>
    </row>
    <row r="115" spans="1:9" ht="15.75" customHeight="1">
      <c r="A115" s="200" t="s">
        <v>14</v>
      </c>
      <c r="B115" s="200"/>
      <c r="C115" s="203"/>
      <c r="D115" s="203"/>
      <c r="E115" s="203"/>
      <c r="F115" s="68"/>
      <c r="I115" s="101"/>
    </row>
    <row r="116" spans="1:9" ht="15.75" customHeight="1">
      <c r="A116" s="97"/>
      <c r="C116" s="198" t="s">
        <v>12</v>
      </c>
      <c r="D116" s="198"/>
      <c r="E116" s="198"/>
      <c r="F116" s="97"/>
      <c r="I116" s="99" t="s">
        <v>13</v>
      </c>
    </row>
    <row r="117" spans="1:9" ht="15.75" customHeight="1">
      <c r="A117" s="5" t="s">
        <v>15</v>
      </c>
    </row>
    <row r="118" spans="1:9">
      <c r="A118" s="204" t="s">
        <v>16</v>
      </c>
      <c r="B118" s="204"/>
      <c r="C118" s="204"/>
      <c r="D118" s="204"/>
      <c r="E118" s="204"/>
      <c r="F118" s="204"/>
      <c r="G118" s="204"/>
      <c r="H118" s="204"/>
      <c r="I118" s="204"/>
    </row>
    <row r="119" spans="1:9" ht="45" customHeight="1">
      <c r="A119" s="197" t="s">
        <v>17</v>
      </c>
      <c r="B119" s="197"/>
      <c r="C119" s="197"/>
      <c r="D119" s="197"/>
      <c r="E119" s="197"/>
      <c r="F119" s="197"/>
      <c r="G119" s="197"/>
      <c r="H119" s="197"/>
      <c r="I119" s="197"/>
    </row>
    <row r="120" spans="1:9" ht="30" customHeight="1">
      <c r="A120" s="197" t="s">
        <v>18</v>
      </c>
      <c r="B120" s="197"/>
      <c r="C120" s="197"/>
      <c r="D120" s="197"/>
      <c r="E120" s="197"/>
      <c r="F120" s="197"/>
      <c r="G120" s="197"/>
      <c r="H120" s="197"/>
      <c r="I120" s="197"/>
    </row>
    <row r="121" spans="1:9" ht="30" customHeight="1">
      <c r="A121" s="197" t="s">
        <v>22</v>
      </c>
      <c r="B121" s="197"/>
      <c r="C121" s="197"/>
      <c r="D121" s="197"/>
      <c r="E121" s="197"/>
      <c r="F121" s="197"/>
      <c r="G121" s="197"/>
      <c r="H121" s="197"/>
      <c r="I121" s="197"/>
    </row>
    <row r="122" spans="1:9" ht="15" customHeight="1">
      <c r="A122" s="197" t="s">
        <v>21</v>
      </c>
      <c r="B122" s="197"/>
      <c r="C122" s="197"/>
      <c r="D122" s="197"/>
      <c r="E122" s="197"/>
      <c r="F122" s="197"/>
      <c r="G122" s="197"/>
      <c r="H122" s="197"/>
      <c r="I122" s="197"/>
    </row>
  </sheetData>
  <autoFilter ref="I15:I105"/>
  <mergeCells count="31">
    <mergeCell ref="A122:I122"/>
    <mergeCell ref="R109:U109"/>
    <mergeCell ref="A110:I110"/>
    <mergeCell ref="A112:B112"/>
    <mergeCell ref="C112:E112"/>
    <mergeCell ref="C113:E113"/>
    <mergeCell ref="A115:B115"/>
    <mergeCell ref="C115:E115"/>
    <mergeCell ref="C116:E116"/>
    <mergeCell ref="A118:I118"/>
    <mergeCell ref="A119:I119"/>
    <mergeCell ref="A120:I120"/>
    <mergeCell ref="A121:I121"/>
    <mergeCell ref="A108:I108"/>
    <mergeCell ref="A15:I15"/>
    <mergeCell ref="A28:I28"/>
    <mergeCell ref="A44:I44"/>
    <mergeCell ref="A55:I55"/>
    <mergeCell ref="A83:I83"/>
    <mergeCell ref="A87:I87"/>
    <mergeCell ref="A102:I102"/>
    <mergeCell ref="B103:G103"/>
    <mergeCell ref="B104:G104"/>
    <mergeCell ref="A106:I106"/>
    <mergeCell ref="A107:I10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topLeftCell="A51" zoomScaleNormal="100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0.14062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144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241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44347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18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172</v>
      </c>
      <c r="E19" s="75">
        <v>40</v>
      </c>
      <c r="F19" s="76">
        <f>SUM(E19/10)</f>
        <v>4</v>
      </c>
      <c r="G19" s="76">
        <v>223.17</v>
      </c>
      <c r="H19" s="77">
        <f t="shared" ref="H19:H25" si="1">SUM(F19*G19/1000)</f>
        <v>0.89267999999999992</v>
      </c>
      <c r="I19" s="16">
        <f>F19*G19</f>
        <v>892.68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86</v>
      </c>
      <c r="C20" s="74" t="s">
        <v>83</v>
      </c>
      <c r="D20" s="59" t="s">
        <v>172</v>
      </c>
      <c r="E20" s="75">
        <v>10.5</v>
      </c>
      <c r="F20" s="76">
        <f>SUM(E20*2/100)</f>
        <v>0.21</v>
      </c>
      <c r="G20" s="76">
        <v>285.76</v>
      </c>
      <c r="H20" s="77">
        <f t="shared" si="1"/>
        <v>6.0009599999999996E-2</v>
      </c>
      <c r="I20" s="16">
        <f t="shared" ref="I20:I21" si="2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87</v>
      </c>
      <c r="C21" s="74" t="s">
        <v>83</v>
      </c>
      <c r="D21" s="59" t="s">
        <v>172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1"/>
        <v>1.5305760000000002E-2</v>
      </c>
      <c r="I21" s="16">
        <f t="shared" si="2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172</v>
      </c>
      <c r="E22" s="75">
        <v>357</v>
      </c>
      <c r="F22" s="76">
        <f t="shared" ref="F22:F25" si="3">SUM(E22/100)</f>
        <v>3.57</v>
      </c>
      <c r="G22" s="76">
        <v>353.14</v>
      </c>
      <c r="H22" s="77">
        <f t="shared" si="1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172</v>
      </c>
      <c r="E23" s="78">
        <v>38.64</v>
      </c>
      <c r="F23" s="76">
        <f t="shared" si="3"/>
        <v>0.38640000000000002</v>
      </c>
      <c r="G23" s="76">
        <v>58.08</v>
      </c>
      <c r="H23" s="77">
        <f t="shared" si="1"/>
        <v>2.2442112E-2</v>
      </c>
      <c r="I23" s="16">
        <f t="shared" ref="I23:I25" si="4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175</v>
      </c>
      <c r="E24" s="21">
        <v>15</v>
      </c>
      <c r="F24" s="79">
        <f t="shared" si="3"/>
        <v>0.15</v>
      </c>
      <c r="G24" s="76">
        <v>511.12</v>
      </c>
      <c r="H24" s="77">
        <f t="shared" si="1"/>
        <v>7.6667999999999986E-2</v>
      </c>
      <c r="I24" s="16">
        <f t="shared" si="4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176</v>
      </c>
      <c r="E25" s="80">
        <v>6.38</v>
      </c>
      <c r="F25" s="76">
        <f t="shared" si="3"/>
        <v>6.3799999999999996E-2</v>
      </c>
      <c r="G25" s="76">
        <v>683.05</v>
      </c>
      <c r="H25" s="77">
        <f t="shared" si="1"/>
        <v>4.3578589999999993E-2</v>
      </c>
      <c r="I25" s="16">
        <f t="shared" si="4"/>
        <v>43.578589999999991</v>
      </c>
      <c r="J25" s="10"/>
      <c r="K25" s="10"/>
      <c r="L25" s="10"/>
      <c r="M25" s="10"/>
    </row>
    <row r="26" spans="1:13" ht="15.75" hidden="1" customHeight="1">
      <c r="A26" s="30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ref="H26" si="5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6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6"/>
        <v>1.5372318780000001</v>
      </c>
      <c r="I30" s="92">
        <f t="shared" ref="I30" si="7">F30/6*G30</f>
        <v>256.20531299999999</v>
      </c>
      <c r="J30" s="25"/>
      <c r="K30" s="10"/>
      <c r="L30" s="10"/>
      <c r="M30" s="10"/>
    </row>
    <row r="31" spans="1:13" ht="15.75" customHeight="1">
      <c r="A31" s="71">
        <v>6</v>
      </c>
      <c r="B31" s="59" t="s">
        <v>27</v>
      </c>
      <c r="C31" s="74" t="s">
        <v>92</v>
      </c>
      <c r="D31" s="59" t="s">
        <v>177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6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8">SUM(F35*G35/1000)</f>
        <v>6.0090000000000003</v>
      </c>
      <c r="I35" s="111">
        <f t="shared" ref="I35:I41" si="9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9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9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8"/>
        <v>4.1427101100000003</v>
      </c>
      <c r="I38" s="16">
        <f t="shared" si="9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8"/>
        <v>15.47729386</v>
      </c>
      <c r="I39" s="16">
        <f t="shared" si="9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8"/>
        <v>0.65333449999999993</v>
      </c>
      <c r="I40" s="16">
        <f t="shared" si="9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8"/>
        <v>0.389932</v>
      </c>
      <c r="I41" s="16">
        <f t="shared" si="9"/>
        <v>64.988666666666674</v>
      </c>
      <c r="J41" s="25"/>
      <c r="K41" s="10"/>
    </row>
    <row r="42" spans="1:14" ht="15.75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15.75" customHeight="1">
      <c r="A43" s="30">
        <v>7</v>
      </c>
      <c r="B43" s="59" t="s">
        <v>109</v>
      </c>
      <c r="C43" s="74" t="s">
        <v>92</v>
      </c>
      <c r="D43" s="59" t="s">
        <v>172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10">SUM(F43*G43/1000)</f>
        <v>3.0159784199999997</v>
      </c>
      <c r="I43" s="16">
        <f t="shared" ref="I43:I45" si="11">F43/2*G43</f>
        <v>1507.98921</v>
      </c>
      <c r="J43" s="26"/>
    </row>
    <row r="44" spans="1:14" ht="15.75" customHeight="1">
      <c r="A44" s="30">
        <v>8</v>
      </c>
      <c r="B44" s="59" t="s">
        <v>34</v>
      </c>
      <c r="C44" s="74" t="s">
        <v>92</v>
      </c>
      <c r="D44" s="59" t="s">
        <v>172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10"/>
        <v>4.5114615755999994</v>
      </c>
      <c r="I44" s="16">
        <f t="shared" si="11"/>
        <v>2255.7307877999997</v>
      </c>
      <c r="J44" s="26"/>
    </row>
    <row r="45" spans="1:14" ht="15.75" customHeight="1">
      <c r="A45" s="58">
        <v>9</v>
      </c>
      <c r="B45" s="59" t="s">
        <v>35</v>
      </c>
      <c r="C45" s="74" t="s">
        <v>92</v>
      </c>
      <c r="D45" s="59" t="s">
        <v>172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10"/>
        <v>3.2221747648000005</v>
      </c>
      <c r="I45" s="16">
        <f t="shared" si="11"/>
        <v>1611.0873824000003</v>
      </c>
      <c r="J45" s="26"/>
    </row>
    <row r="46" spans="1:14" ht="15.75" customHeight="1">
      <c r="A46" s="30">
        <v>10</v>
      </c>
      <c r="B46" s="59" t="s">
        <v>32</v>
      </c>
      <c r="C46" s="74" t="s">
        <v>33</v>
      </c>
      <c r="D46" s="59" t="s">
        <v>172</v>
      </c>
      <c r="E46" s="75">
        <v>85.84</v>
      </c>
      <c r="F46" s="76">
        <f>E46*2/100</f>
        <v>1.7168000000000001</v>
      </c>
      <c r="G46" s="16">
        <v>95.49</v>
      </c>
      <c r="H46" s="77">
        <f t="shared" si="10"/>
        <v>0.16393723199999999</v>
      </c>
      <c r="I46" s="16">
        <f>F46/2*G46</f>
        <v>81.968615999999997</v>
      </c>
      <c r="J46" s="26"/>
    </row>
    <row r="47" spans="1:14" ht="15.75" customHeight="1">
      <c r="A47" s="30">
        <v>11</v>
      </c>
      <c r="B47" s="59" t="s">
        <v>53</v>
      </c>
      <c r="C47" s="74" t="s">
        <v>92</v>
      </c>
      <c r="D47" s="59" t="s">
        <v>172</v>
      </c>
      <c r="E47" s="75">
        <v>2566.6</v>
      </c>
      <c r="F47" s="76">
        <f>SUM(E47*5/1000)</f>
        <v>12.833</v>
      </c>
      <c r="G47" s="16">
        <v>1803.69</v>
      </c>
      <c r="H47" s="77">
        <f t="shared" si="10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3" customHeight="1">
      <c r="A48" s="30">
        <v>12</v>
      </c>
      <c r="B48" s="59" t="s">
        <v>110</v>
      </c>
      <c r="C48" s="74" t="s">
        <v>92</v>
      </c>
      <c r="D48" s="59" t="s">
        <v>172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10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0.75" customHeight="1">
      <c r="A49" s="58">
        <v>13</v>
      </c>
      <c r="B49" s="59" t="s">
        <v>111</v>
      </c>
      <c r="C49" s="74" t="s">
        <v>36</v>
      </c>
      <c r="D49" s="59" t="s">
        <v>172</v>
      </c>
      <c r="E49" s="75">
        <v>16</v>
      </c>
      <c r="F49" s="76">
        <f>SUM(E49*2/100)</f>
        <v>0.32</v>
      </c>
      <c r="G49" s="16">
        <v>4058.32</v>
      </c>
      <c r="H49" s="77">
        <f t="shared" si="10"/>
        <v>1.2986624000000002</v>
      </c>
      <c r="I49" s="16">
        <f t="shared" ref="I49:I50" si="12">F49/2*G49</f>
        <v>649.33120000000008</v>
      </c>
      <c r="J49" s="26"/>
      <c r="L49" s="22"/>
      <c r="M49" s="23"/>
      <c r="N49" s="24"/>
    </row>
    <row r="50" spans="1:14" ht="15" customHeight="1">
      <c r="A50" s="58">
        <v>14</v>
      </c>
      <c r="B50" s="59" t="s">
        <v>37</v>
      </c>
      <c r="C50" s="74" t="s">
        <v>38</v>
      </c>
      <c r="D50" s="59" t="s">
        <v>172</v>
      </c>
      <c r="E50" s="75">
        <v>1</v>
      </c>
      <c r="F50" s="76">
        <v>0.02</v>
      </c>
      <c r="G50" s="16">
        <v>7412.92</v>
      </c>
      <c r="H50" s="77">
        <f t="shared" si="10"/>
        <v>0.14825839999999998</v>
      </c>
      <c r="I50" s="16">
        <f t="shared" si="12"/>
        <v>74.129199999999997</v>
      </c>
      <c r="J50" s="26"/>
      <c r="L50" s="22"/>
      <c r="M50" s="23"/>
      <c r="N50" s="24"/>
    </row>
    <row r="51" spans="1:14" ht="15.75" customHeight="1">
      <c r="A51" s="58">
        <v>15</v>
      </c>
      <c r="B51" s="59" t="s">
        <v>112</v>
      </c>
      <c r="C51" s="74" t="s">
        <v>79</v>
      </c>
      <c r="D51" s="165">
        <v>44342</v>
      </c>
      <c r="E51" s="75">
        <v>60</v>
      </c>
      <c r="F51" s="76">
        <f>E51*3</f>
        <v>180</v>
      </c>
      <c r="G51" s="16">
        <v>185.08</v>
      </c>
      <c r="H51" s="77">
        <f t="shared" si="10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customHeight="1">
      <c r="A52" s="58">
        <v>16</v>
      </c>
      <c r="B52" s="59" t="s">
        <v>39</v>
      </c>
      <c r="C52" s="74" t="s">
        <v>79</v>
      </c>
      <c r="D52" s="165">
        <v>44342</v>
      </c>
      <c r="E52" s="75">
        <v>120</v>
      </c>
      <c r="F52" s="76">
        <f>SUM(E52)*3</f>
        <v>360</v>
      </c>
      <c r="G52" s="16">
        <v>86.15</v>
      </c>
      <c r="H52" s="77">
        <f t="shared" si="10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119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8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9.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23</v>
      </c>
      <c r="B56" s="83" t="s">
        <v>101</v>
      </c>
      <c r="C56" s="84" t="s">
        <v>102</v>
      </c>
      <c r="D56" s="83" t="s">
        <v>178</v>
      </c>
      <c r="E56" s="85"/>
      <c r="F56" s="86">
        <v>2</v>
      </c>
      <c r="G56" s="16">
        <v>1582.05</v>
      </c>
      <c r="H56" s="77">
        <f t="shared" ref="H56" si="13">SUM(F56*G56/1000)</f>
        <v>3.1640999999999999</v>
      </c>
      <c r="I56" s="16">
        <f>G56*2</f>
        <v>3164.1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4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17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f>SUM(E59)*12</f>
        <v>1200</v>
      </c>
      <c r="G59" s="39">
        <v>1.4</v>
      </c>
      <c r="H59" s="117">
        <f t="shared" si="14"/>
        <v>1.68</v>
      </c>
      <c r="I59" s="16">
        <f>576/12*G59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79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5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5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26</v>
      </c>
      <c r="B63" s="17" t="s">
        <v>46</v>
      </c>
      <c r="C63" s="19" t="s">
        <v>95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5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27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5"/>
        <v>2.1795841199999999</v>
      </c>
      <c r="I64" s="16">
        <f t="shared" ref="I64:I67" si="16">F64*G64</f>
        <v>2179.58412</v>
      </c>
      <c r="J64" s="26"/>
      <c r="L64" s="22"/>
      <c r="M64" s="23"/>
      <c r="N64" s="24"/>
    </row>
    <row r="65" spans="1:14" ht="15.75" hidden="1" customHeight="1">
      <c r="A65" s="58">
        <v>28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5"/>
        <v>59.860680000000002</v>
      </c>
      <c r="I65" s="16">
        <f t="shared" si="16"/>
        <v>59860.68</v>
      </c>
      <c r="J65" s="26"/>
      <c r="L65" s="22"/>
      <c r="M65" s="23"/>
      <c r="N65" s="24"/>
    </row>
    <row r="66" spans="1:14" ht="15.75" hidden="1" customHeight="1">
      <c r="A66" s="58">
        <v>29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5"/>
        <v>0.40905599999999998</v>
      </c>
      <c r="I66" s="16">
        <f t="shared" si="16"/>
        <v>409.05599999999998</v>
      </c>
      <c r="J66" s="26"/>
      <c r="L66" s="22"/>
      <c r="M66" s="23"/>
      <c r="N66" s="24"/>
    </row>
    <row r="67" spans="1:14" ht="15.75" hidden="1" customHeight="1">
      <c r="A67" s="58">
        <v>30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7">E67</f>
        <v>9.6</v>
      </c>
      <c r="G67" s="16">
        <v>46.04</v>
      </c>
      <c r="H67" s="89">
        <f t="shared" si="15"/>
        <v>0.44198399999999999</v>
      </c>
      <c r="I67" s="16">
        <f t="shared" si="16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7"/>
        <v>3</v>
      </c>
      <c r="G68" s="16">
        <v>65.42</v>
      </c>
      <c r="H68" s="89">
        <f t="shared" si="15"/>
        <v>0.19625999999999999</v>
      </c>
      <c r="I68" s="16">
        <v>0</v>
      </c>
      <c r="J68" s="26"/>
      <c r="L68" s="22"/>
      <c r="M68" s="23"/>
      <c r="N68" s="24"/>
    </row>
    <row r="69" spans="1:14" ht="29.25" customHeight="1">
      <c r="A69" s="58">
        <v>18</v>
      </c>
      <c r="B69" s="17" t="s">
        <v>140</v>
      </c>
      <c r="C69" s="30" t="s">
        <v>141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5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100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142</v>
      </c>
      <c r="C71" s="42" t="s">
        <v>29</v>
      </c>
      <c r="D71" s="41"/>
      <c r="E71" s="20">
        <v>1</v>
      </c>
      <c r="F71" s="35">
        <f t="shared" ref="F71:F74" si="18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9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143</v>
      </c>
      <c r="C74" s="64" t="s">
        <v>79</v>
      </c>
      <c r="D74" s="41"/>
      <c r="E74" s="20">
        <v>1</v>
      </c>
      <c r="F74" s="35">
        <f t="shared" si="18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68</v>
      </c>
      <c r="C75" s="19"/>
      <c r="D75" s="17"/>
      <c r="E75" s="21"/>
      <c r="F75" s="16"/>
      <c r="G75" s="16" t="s">
        <v>100</v>
      </c>
      <c r="H75" s="89" t="s">
        <v>100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99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20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93</v>
      </c>
      <c r="C77" s="19"/>
      <c r="D77" s="17"/>
      <c r="E77" s="21"/>
      <c r="F77" s="16"/>
      <c r="G77" s="16"/>
      <c r="H77" s="89">
        <f>SUM(H55:H76)</f>
        <v>179.04024663999999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94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208" t="s">
        <v>120</v>
      </c>
      <c r="B79" s="213"/>
      <c r="C79" s="213"/>
      <c r="D79" s="213"/>
      <c r="E79" s="213"/>
      <c r="F79" s="213"/>
      <c r="G79" s="213"/>
      <c r="H79" s="213"/>
      <c r="I79" s="214"/>
      <c r="J79" s="26"/>
      <c r="L79" s="22"/>
      <c r="M79" s="23"/>
      <c r="N79" s="24"/>
    </row>
    <row r="80" spans="1:14" ht="15.75" customHeight="1">
      <c r="A80" s="58">
        <v>19</v>
      </c>
      <c r="B80" s="36" t="s">
        <v>116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20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I81+I80+I69+I59+I52+I51+I50+I49+I48+I47+I46+I45+I44+I43+I31+I30+I29+I18+I17+I16</f>
        <v>69772.724429199996</v>
      </c>
      <c r="J82" s="26"/>
      <c r="L82" s="22"/>
      <c r="M82" s="23"/>
      <c r="N82" s="24"/>
    </row>
    <row r="83" spans="1:14" ht="15.75" customHeight="1">
      <c r="A83" s="215" t="s">
        <v>56</v>
      </c>
      <c r="B83" s="216"/>
      <c r="C83" s="216"/>
      <c r="D83" s="216"/>
      <c r="E83" s="216"/>
      <c r="F83" s="216"/>
      <c r="G83" s="216"/>
      <c r="H83" s="216"/>
      <c r="I83" s="217"/>
      <c r="J83" s="26"/>
      <c r="L83" s="22"/>
      <c r="M83" s="23"/>
      <c r="N83" s="24"/>
    </row>
    <row r="84" spans="1:14" ht="28.5" customHeight="1">
      <c r="A84" s="58">
        <v>21</v>
      </c>
      <c r="B84" s="120" t="s">
        <v>181</v>
      </c>
      <c r="C84" s="64" t="s">
        <v>117</v>
      </c>
      <c r="D84" s="140" t="s">
        <v>245</v>
      </c>
      <c r="E84" s="39"/>
      <c r="F84" s="39">
        <v>3</v>
      </c>
      <c r="G84" s="39">
        <v>614.47</v>
      </c>
      <c r="H84" s="119"/>
      <c r="I84" s="130">
        <f>G84*1</f>
        <v>614.47</v>
      </c>
      <c r="J84" s="26"/>
      <c r="L84" s="22"/>
      <c r="M84" s="23"/>
      <c r="N84" s="24"/>
    </row>
    <row r="85" spans="1:14" ht="35.25" customHeight="1">
      <c r="A85" s="58">
        <v>22</v>
      </c>
      <c r="B85" s="120" t="s">
        <v>207</v>
      </c>
      <c r="C85" s="64" t="s">
        <v>117</v>
      </c>
      <c r="D85" s="140" t="s">
        <v>209</v>
      </c>
      <c r="E85" s="39"/>
      <c r="F85" s="39">
        <v>2</v>
      </c>
      <c r="G85" s="39">
        <v>949.97</v>
      </c>
      <c r="H85" s="119"/>
      <c r="I85" s="130">
        <f>G85*1</f>
        <v>949.97</v>
      </c>
      <c r="J85" s="26"/>
      <c r="L85" s="22"/>
      <c r="M85" s="23"/>
      <c r="N85" s="24"/>
    </row>
    <row r="86" spans="1:14" ht="33" customHeight="1">
      <c r="A86" s="58">
        <v>23</v>
      </c>
      <c r="B86" s="120" t="s">
        <v>236</v>
      </c>
      <c r="C86" s="64" t="s">
        <v>79</v>
      </c>
      <c r="D86" s="140"/>
      <c r="E86" s="39"/>
      <c r="F86" s="39">
        <v>2</v>
      </c>
      <c r="G86" s="39">
        <v>98.55</v>
      </c>
      <c r="H86" s="119"/>
      <c r="I86" s="130">
        <f>G86*1</f>
        <v>98.55</v>
      </c>
      <c r="J86" s="26"/>
      <c r="L86" s="22"/>
      <c r="M86" s="23"/>
      <c r="N86" s="24"/>
    </row>
    <row r="87" spans="1:14" ht="29.25" customHeight="1">
      <c r="A87" s="58">
        <v>24</v>
      </c>
      <c r="B87" s="120" t="s">
        <v>242</v>
      </c>
      <c r="C87" s="64" t="s">
        <v>160</v>
      </c>
      <c r="D87" s="140" t="s">
        <v>244</v>
      </c>
      <c r="E87" s="39"/>
      <c r="F87" s="39">
        <v>0.5</v>
      </c>
      <c r="G87" s="39">
        <v>1504.51</v>
      </c>
      <c r="H87" s="119"/>
      <c r="I87" s="130">
        <f>G87*0.5</f>
        <v>752.255</v>
      </c>
      <c r="J87" s="26"/>
      <c r="L87" s="22"/>
      <c r="M87" s="23"/>
      <c r="N87" s="24"/>
    </row>
    <row r="88" spans="1:14" ht="19.5" customHeight="1">
      <c r="A88" s="58">
        <v>25</v>
      </c>
      <c r="B88" s="120" t="s">
        <v>243</v>
      </c>
      <c r="C88" s="64" t="s">
        <v>28</v>
      </c>
      <c r="D88" s="140"/>
      <c r="E88" s="39"/>
      <c r="F88" s="39">
        <v>2.65</v>
      </c>
      <c r="G88" s="39">
        <v>241.69</v>
      </c>
      <c r="H88" s="119"/>
      <c r="I88" s="130">
        <f>G88*2.65</f>
        <v>640.47849999999994</v>
      </c>
      <c r="J88" s="26"/>
      <c r="L88" s="22"/>
      <c r="M88" s="23"/>
      <c r="N88" s="24"/>
    </row>
    <row r="89" spans="1:14" ht="30" customHeight="1">
      <c r="A89" s="58">
        <v>26</v>
      </c>
      <c r="B89" s="120" t="s">
        <v>183</v>
      </c>
      <c r="C89" s="64" t="s">
        <v>36</v>
      </c>
      <c r="D89" s="140" t="s">
        <v>172</v>
      </c>
      <c r="E89" s="39"/>
      <c r="F89" s="39">
        <v>0.05</v>
      </c>
      <c r="G89" s="39">
        <v>4233.72</v>
      </c>
      <c r="H89" s="119"/>
      <c r="I89" s="130">
        <v>0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SUM(I84:I89)</f>
        <v>3055.7235000000001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134</v>
      </c>
      <c r="C92" s="37"/>
      <c r="D92" s="37"/>
      <c r="E92" s="37"/>
      <c r="F92" s="37"/>
      <c r="G92" s="49"/>
      <c r="H92" s="38"/>
      <c r="I92" s="34">
        <f>I82+I90</f>
        <v>72828.447929199989</v>
      </c>
      <c r="J92" s="26"/>
      <c r="L92" s="22"/>
      <c r="M92" s="23"/>
      <c r="N92" s="24"/>
    </row>
    <row r="93" spans="1:14" ht="15.75" customHeight="1">
      <c r="A93" s="200" t="s">
        <v>246</v>
      </c>
      <c r="B93" s="200"/>
      <c r="C93" s="200"/>
      <c r="D93" s="200"/>
      <c r="E93" s="200"/>
      <c r="F93" s="200"/>
      <c r="G93" s="200"/>
      <c r="H93" s="200"/>
      <c r="I93" s="200"/>
      <c r="J93" s="26"/>
      <c r="L93" s="22"/>
      <c r="M93" s="23"/>
      <c r="N93" s="24"/>
    </row>
    <row r="94" spans="1:14" ht="15.75" customHeight="1">
      <c r="A94" s="12"/>
      <c r="B94" s="218" t="s">
        <v>247</v>
      </c>
      <c r="C94" s="218"/>
      <c r="D94" s="218"/>
      <c r="E94" s="218"/>
      <c r="F94" s="218"/>
      <c r="G94" s="218"/>
      <c r="H94" s="102"/>
      <c r="I94" s="4"/>
      <c r="J94" s="26"/>
      <c r="L94" s="22"/>
    </row>
    <row r="95" spans="1:14" ht="15.75" customHeight="1">
      <c r="A95" s="65"/>
      <c r="B95" s="202" t="s">
        <v>6</v>
      </c>
      <c r="C95" s="202"/>
      <c r="D95" s="202"/>
      <c r="E95" s="202"/>
      <c r="F95" s="202"/>
      <c r="G95" s="202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219" t="s">
        <v>7</v>
      </c>
      <c r="B97" s="219"/>
      <c r="C97" s="219"/>
      <c r="D97" s="219"/>
      <c r="E97" s="219"/>
      <c r="F97" s="219"/>
      <c r="G97" s="219"/>
      <c r="H97" s="219"/>
      <c r="I97" s="219"/>
    </row>
    <row r="98" spans="1:22" ht="15.75" customHeight="1">
      <c r="A98" s="219" t="s">
        <v>8</v>
      </c>
      <c r="B98" s="219"/>
      <c r="C98" s="219"/>
      <c r="D98" s="219"/>
      <c r="E98" s="219"/>
      <c r="F98" s="219"/>
      <c r="G98" s="219"/>
      <c r="H98" s="219"/>
      <c r="I98" s="21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198"/>
      <c r="S100" s="198"/>
      <c r="T100" s="198"/>
      <c r="U100" s="198"/>
    </row>
    <row r="101" spans="1:22" ht="15.75" customHeight="1">
      <c r="A101" s="199" t="s">
        <v>10</v>
      </c>
      <c r="B101" s="199"/>
      <c r="C101" s="199"/>
      <c r="D101" s="199"/>
      <c r="E101" s="199"/>
      <c r="F101" s="199"/>
      <c r="G101" s="199"/>
      <c r="H101" s="199"/>
      <c r="I101" s="199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200" t="s">
        <v>11</v>
      </c>
      <c r="B103" s="200"/>
      <c r="C103" s="201" t="s">
        <v>190</v>
      </c>
      <c r="D103" s="201"/>
      <c r="E103" s="201"/>
      <c r="F103" s="67"/>
      <c r="I103" s="101"/>
    </row>
    <row r="104" spans="1:22" ht="15.75" customHeight="1">
      <c r="A104" s="65"/>
      <c r="B104" s="53"/>
      <c r="C104" s="202" t="s">
        <v>12</v>
      </c>
      <c r="D104" s="202"/>
      <c r="E104" s="202"/>
      <c r="F104" s="27"/>
      <c r="I104" s="99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200" t="s">
        <v>14</v>
      </c>
      <c r="B106" s="200"/>
      <c r="C106" s="203"/>
      <c r="D106" s="203"/>
      <c r="E106" s="203"/>
      <c r="F106" s="68"/>
      <c r="I106" s="101"/>
    </row>
    <row r="107" spans="1:22" ht="15.75" customHeight="1">
      <c r="A107" s="97"/>
      <c r="C107" s="198" t="s">
        <v>12</v>
      </c>
      <c r="D107" s="198"/>
      <c r="E107" s="198"/>
      <c r="F107" s="97"/>
      <c r="I107" s="99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7" t="s">
        <v>17</v>
      </c>
      <c r="B110" s="197"/>
      <c r="C110" s="197"/>
      <c r="D110" s="197"/>
      <c r="E110" s="197"/>
      <c r="F110" s="197"/>
      <c r="G110" s="197"/>
      <c r="H110" s="197"/>
      <c r="I110" s="197"/>
    </row>
    <row r="111" spans="1:22" ht="30" customHeight="1">
      <c r="A111" s="197" t="s">
        <v>18</v>
      </c>
      <c r="B111" s="197"/>
      <c r="C111" s="197"/>
      <c r="D111" s="197"/>
      <c r="E111" s="197"/>
      <c r="F111" s="197"/>
      <c r="G111" s="197"/>
      <c r="H111" s="197"/>
      <c r="I111" s="197"/>
    </row>
    <row r="112" spans="1:22" ht="30" customHeight="1">
      <c r="A112" s="197" t="s">
        <v>22</v>
      </c>
      <c r="B112" s="197"/>
      <c r="C112" s="197"/>
      <c r="D112" s="197"/>
      <c r="E112" s="197"/>
      <c r="F112" s="197"/>
      <c r="G112" s="197"/>
      <c r="H112" s="197"/>
      <c r="I112" s="197"/>
    </row>
    <row r="113" spans="1:9" ht="15" customHeight="1">
      <c r="A113" s="197" t="s">
        <v>21</v>
      </c>
      <c r="B113" s="197"/>
      <c r="C113" s="197"/>
      <c r="D113" s="197"/>
      <c r="E113" s="197"/>
      <c r="F113" s="197"/>
      <c r="G113" s="197"/>
      <c r="H113" s="197"/>
      <c r="I113" s="197"/>
    </row>
  </sheetData>
  <autoFilter ref="I15:I96"/>
  <mergeCells count="31"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7:I27"/>
    <mergeCell ref="A42:I42"/>
    <mergeCell ref="A53:I53"/>
    <mergeCell ref="A79:I79"/>
    <mergeCell ref="A83:I83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0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topLeftCell="A57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146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248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44377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249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customHeight="1">
      <c r="A19" s="30">
        <v>4</v>
      </c>
      <c r="B19" s="59" t="s">
        <v>84</v>
      </c>
      <c r="C19" s="74" t="s">
        <v>81</v>
      </c>
      <c r="D19" s="59" t="s">
        <v>172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f>G19*F19</f>
        <v>892.68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86</v>
      </c>
      <c r="C20" s="74" t="s">
        <v>83</v>
      </c>
      <c r="D20" s="59" t="s">
        <v>172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87</v>
      </c>
      <c r="C21" s="74" t="s">
        <v>83</v>
      </c>
      <c r="D21" s="59" t="s">
        <v>172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172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f>G22*F22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172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f>G23*F23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175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f>G24*F24</f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185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f>G25*F25</f>
        <v>43.578589999999991</v>
      </c>
      <c r="J25" s="10"/>
      <c r="K25" s="10"/>
      <c r="L25" s="10"/>
      <c r="M25" s="10"/>
    </row>
    <row r="26" spans="1:13" ht="15.75" hidden="1" customHeight="1">
      <c r="A26" s="30">
        <v>11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3.75" customHeight="1">
      <c r="A30" s="30">
        <v>6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92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4">SUM(F35*G35/1000)</f>
        <v>6.0090000000000003</v>
      </c>
      <c r="I35" s="111">
        <f t="shared" ref="I35:I41" si="5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5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5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4"/>
        <v>4.1427101100000003</v>
      </c>
      <c r="I38" s="16">
        <f t="shared" si="5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4"/>
        <v>15.47729386</v>
      </c>
      <c r="I39" s="16">
        <f t="shared" si="5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4"/>
        <v>0.65333449999999993</v>
      </c>
      <c r="I40" s="16">
        <f t="shared" si="5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4"/>
        <v>0.389932</v>
      </c>
      <c r="I41" s="16">
        <f t="shared" si="5"/>
        <v>64.988666666666674</v>
      </c>
      <c r="J41" s="25"/>
      <c r="K41" s="10"/>
    </row>
    <row r="42" spans="1:14" ht="15.75" hidden="1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15.75" hidden="1" customHeight="1">
      <c r="A43" s="30">
        <v>17</v>
      </c>
      <c r="B43" s="59" t="s">
        <v>109</v>
      </c>
      <c r="C43" s="74" t="s">
        <v>92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6">SUM(F43*G43/1000)</f>
        <v>3.0159784199999997</v>
      </c>
      <c r="I43" s="16">
        <f t="shared" ref="I43:I45" si="7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92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6"/>
        <v>4.5114615755999994</v>
      </c>
      <c r="I44" s="16">
        <f t="shared" si="7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92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6"/>
        <v>3.2221747648000005</v>
      </c>
      <c r="I45" s="16">
        <f t="shared" si="7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6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92</v>
      </c>
      <c r="D47" s="59" t="s">
        <v>133</v>
      </c>
      <c r="E47" s="75">
        <v>2566.6</v>
      </c>
      <c r="F47" s="76">
        <f>SUM(E47*5/1000)</f>
        <v>12.833</v>
      </c>
      <c r="G47" s="16">
        <v>1803.69</v>
      </c>
      <c r="H47" s="77">
        <f t="shared" si="6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110</v>
      </c>
      <c r="C48" s="74" t="s">
        <v>92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6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111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6"/>
        <v>1.2986624000000002</v>
      </c>
      <c r="I49" s="16">
        <f t="shared" ref="I49:I50" si="8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6"/>
        <v>0.14825839999999998</v>
      </c>
      <c r="I50" s="16">
        <f t="shared" si="8"/>
        <v>74.129199999999997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112</v>
      </c>
      <c r="C51" s="74" t="s">
        <v>79</v>
      </c>
      <c r="D51" s="165">
        <v>43987</v>
      </c>
      <c r="E51" s="75">
        <v>60</v>
      </c>
      <c r="F51" s="76">
        <f>E51*3</f>
        <v>180</v>
      </c>
      <c r="G51" s="16">
        <v>185.08</v>
      </c>
      <c r="H51" s="77">
        <f t="shared" si="6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15</v>
      </c>
      <c r="B52" s="59" t="s">
        <v>39</v>
      </c>
      <c r="C52" s="74" t="s">
        <v>79</v>
      </c>
      <c r="D52" s="165">
        <v>43987</v>
      </c>
      <c r="E52" s="75">
        <v>120</v>
      </c>
      <c r="F52" s="76">
        <f>SUM(E52)*3</f>
        <v>360</v>
      </c>
      <c r="G52" s="16">
        <v>86.15</v>
      </c>
      <c r="H52" s="77">
        <f t="shared" si="6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119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101</v>
      </c>
      <c r="C56" s="84" t="s">
        <v>102</v>
      </c>
      <c r="D56" s="83" t="s">
        <v>60</v>
      </c>
      <c r="E56" s="85"/>
      <c r="F56" s="86">
        <v>2</v>
      </c>
      <c r="G56" s="16">
        <v>1582.05</v>
      </c>
      <c r="H56" s="77">
        <f t="shared" ref="H56" si="9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0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v>576</v>
      </c>
      <c r="G59" s="39">
        <v>1.4</v>
      </c>
      <c r="H59" s="117">
        <f t="shared" si="10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79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70" si="11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1"/>
        <v>0.50004999999999999</v>
      </c>
      <c r="I62" s="16">
        <v>0</v>
      </c>
      <c r="J62" s="26"/>
      <c r="L62" s="22"/>
      <c r="M62" s="23"/>
      <c r="N62" s="24"/>
    </row>
    <row r="63" spans="1:14" ht="15.75" customHeight="1">
      <c r="A63" s="58">
        <v>8</v>
      </c>
      <c r="B63" s="17" t="s">
        <v>46</v>
      </c>
      <c r="C63" s="19" t="s">
        <v>95</v>
      </c>
      <c r="D63" s="17" t="s">
        <v>177</v>
      </c>
      <c r="E63" s="75">
        <v>10059</v>
      </c>
      <c r="F63" s="16">
        <f>SUM(E63/100)</f>
        <v>100.59</v>
      </c>
      <c r="G63" s="16">
        <v>278.24</v>
      </c>
      <c r="H63" s="89">
        <f t="shared" si="11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customHeight="1">
      <c r="A64" s="58">
        <v>9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1"/>
        <v>2.1795841199999999</v>
      </c>
      <c r="I64" s="16">
        <f t="shared" ref="I64:I67" si="12">F64*G64</f>
        <v>2179.58412</v>
      </c>
      <c r="J64" s="26"/>
      <c r="L64" s="22"/>
      <c r="M64" s="23"/>
      <c r="N64" s="24"/>
    </row>
    <row r="65" spans="1:14" ht="15.75" customHeight="1">
      <c r="A65" s="58">
        <v>10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1"/>
        <v>59.860680000000002</v>
      </c>
      <c r="I65" s="16">
        <f t="shared" si="12"/>
        <v>59860.68</v>
      </c>
      <c r="J65" s="26"/>
      <c r="L65" s="22"/>
      <c r="M65" s="23"/>
      <c r="N65" s="24"/>
    </row>
    <row r="66" spans="1:14" ht="15.75" customHeight="1">
      <c r="A66" s="58">
        <v>11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1"/>
        <v>0.40905599999999998</v>
      </c>
      <c r="I66" s="16">
        <f t="shared" si="12"/>
        <v>409.05599999999998</v>
      </c>
      <c r="J66" s="26"/>
      <c r="L66" s="22"/>
      <c r="M66" s="23"/>
      <c r="N66" s="24"/>
    </row>
    <row r="67" spans="1:14" ht="15.75" customHeight="1">
      <c r="A67" s="58">
        <v>12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3">E67</f>
        <v>9.6</v>
      </c>
      <c r="G67" s="16">
        <v>46.04</v>
      </c>
      <c r="H67" s="89">
        <f t="shared" si="11"/>
        <v>0.44198399999999999</v>
      </c>
      <c r="I67" s="16">
        <f t="shared" si="12"/>
        <v>441.98399999999998</v>
      </c>
      <c r="J67" s="26"/>
      <c r="L67" s="22"/>
      <c r="M67" s="23"/>
      <c r="N67" s="24"/>
    </row>
    <row r="68" spans="1:14" ht="22.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3"/>
        <v>3</v>
      </c>
      <c r="G68" s="16">
        <v>65.42</v>
      </c>
      <c r="H68" s="89">
        <f t="shared" si="11"/>
        <v>0.19625999999999999</v>
      </c>
      <c r="I68" s="16">
        <v>0</v>
      </c>
      <c r="J68" s="26"/>
      <c r="L68" s="22"/>
      <c r="M68" s="23"/>
      <c r="N68" s="24"/>
    </row>
    <row r="69" spans="1:14" ht="18.75" customHeight="1">
      <c r="A69" s="58"/>
      <c r="B69" s="170" t="s">
        <v>186</v>
      </c>
      <c r="C69" s="19"/>
      <c r="D69" s="169"/>
      <c r="E69" s="21"/>
      <c r="F69" s="76"/>
      <c r="G69" s="16"/>
      <c r="H69" s="89"/>
      <c r="I69" s="16"/>
      <c r="J69" s="26"/>
      <c r="L69" s="22"/>
      <c r="M69" s="23"/>
      <c r="N69" s="24"/>
    </row>
    <row r="70" spans="1:14" ht="29.25" customHeight="1">
      <c r="A70" s="58">
        <v>13</v>
      </c>
      <c r="B70" s="17" t="s">
        <v>140</v>
      </c>
      <c r="C70" s="30" t="s">
        <v>141</v>
      </c>
      <c r="D70" s="129"/>
      <c r="E70" s="21">
        <v>2566.6</v>
      </c>
      <c r="F70" s="76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100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142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143</v>
      </c>
      <c r="C75" s="64" t="s">
        <v>79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100</v>
      </c>
      <c r="H76" s="89" t="s">
        <v>100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99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93</v>
      </c>
      <c r="C78" s="19"/>
      <c r="D78" s="17"/>
      <c r="E78" s="21"/>
      <c r="F78" s="16"/>
      <c r="G78" s="16"/>
      <c r="H78" s="89">
        <f>SUM(H55:H77)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94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208" t="s">
        <v>120</v>
      </c>
      <c r="B80" s="213"/>
      <c r="C80" s="213"/>
      <c r="D80" s="213"/>
      <c r="E80" s="213"/>
      <c r="F80" s="213"/>
      <c r="G80" s="213"/>
      <c r="H80" s="213"/>
      <c r="I80" s="214"/>
      <c r="J80" s="26"/>
      <c r="L80" s="22"/>
      <c r="M80" s="23"/>
      <c r="N80" s="24"/>
    </row>
    <row r="81" spans="1:22" ht="15.75" customHeight="1">
      <c r="A81" s="58">
        <v>14</v>
      </c>
      <c r="B81" s="36" t="s">
        <v>116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22" ht="31.5" customHeight="1">
      <c r="A82" s="58">
        <v>15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22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I82+I81+I70+I67+I66+I65+I64+I63+I59+I30+I29+I19+I18+I17+I16</f>
        <v>124602.99874099999</v>
      </c>
      <c r="J83" s="26"/>
      <c r="L83" s="22"/>
      <c r="M83" s="23"/>
      <c r="N83" s="24"/>
    </row>
    <row r="84" spans="1:22" ht="15.75" customHeight="1">
      <c r="A84" s="215" t="s">
        <v>56</v>
      </c>
      <c r="B84" s="216"/>
      <c r="C84" s="216"/>
      <c r="D84" s="216"/>
      <c r="E84" s="216"/>
      <c r="F84" s="216"/>
      <c r="G84" s="216"/>
      <c r="H84" s="216"/>
      <c r="I84" s="217"/>
      <c r="J84" s="26"/>
      <c r="L84" s="22"/>
      <c r="M84" s="23"/>
      <c r="N84" s="24"/>
    </row>
    <row r="85" spans="1:22" ht="17.25" customHeight="1">
      <c r="A85" s="58">
        <v>16</v>
      </c>
      <c r="B85" s="120" t="s">
        <v>243</v>
      </c>
      <c r="C85" s="64" t="s">
        <v>28</v>
      </c>
      <c r="D85" s="140"/>
      <c r="E85" s="39"/>
      <c r="F85" s="39">
        <f>2.65+2.65</f>
        <v>5.3</v>
      </c>
      <c r="G85" s="39">
        <v>241.69</v>
      </c>
      <c r="H85" s="119"/>
      <c r="I85" s="130">
        <f>G85*2.65</f>
        <v>640.47849999999994</v>
      </c>
      <c r="J85" s="26"/>
      <c r="L85" s="22"/>
      <c r="M85" s="23"/>
      <c r="N85" s="24"/>
    </row>
    <row r="86" spans="1:22" ht="18" customHeight="1">
      <c r="A86" s="58">
        <v>17</v>
      </c>
      <c r="B86" s="174" t="s">
        <v>250</v>
      </c>
      <c r="C86" s="175" t="s">
        <v>251</v>
      </c>
      <c r="D86" s="140"/>
      <c r="E86" s="39"/>
      <c r="F86" s="39">
        <v>1</v>
      </c>
      <c r="G86" s="39">
        <v>180299.75</v>
      </c>
      <c r="H86" s="119"/>
      <c r="I86" s="130">
        <f>G86*1</f>
        <v>180299.75</v>
      </c>
      <c r="J86" s="26"/>
      <c r="L86" s="22"/>
      <c r="M86" s="23"/>
      <c r="N86" s="24"/>
    </row>
    <row r="87" spans="1:22" ht="18" customHeight="1">
      <c r="A87" s="58">
        <v>18</v>
      </c>
      <c r="B87" s="120" t="s">
        <v>184</v>
      </c>
      <c r="C87" s="64" t="s">
        <v>38</v>
      </c>
      <c r="D87" s="140" t="s">
        <v>166</v>
      </c>
      <c r="E87" s="39"/>
      <c r="F87" s="39">
        <v>0.03</v>
      </c>
      <c r="G87" s="39">
        <v>28224.75</v>
      </c>
      <c r="H87" s="119"/>
      <c r="I87" s="130">
        <v>0</v>
      </c>
      <c r="J87" s="26"/>
      <c r="L87" s="22"/>
      <c r="M87" s="23"/>
      <c r="N87" s="24"/>
    </row>
    <row r="88" spans="1:22" ht="15.75" customHeight="1">
      <c r="A88" s="30"/>
      <c r="B88" s="50" t="s">
        <v>49</v>
      </c>
      <c r="C88" s="46"/>
      <c r="D88" s="57"/>
      <c r="E88" s="46">
        <v>1</v>
      </c>
      <c r="F88" s="46"/>
      <c r="G88" s="34"/>
      <c r="H88" s="46"/>
      <c r="I88" s="34">
        <f>SUM(I85:I87)</f>
        <v>180940.2285</v>
      </c>
      <c r="J88" s="26"/>
      <c r="L88" s="22"/>
      <c r="M88" s="23"/>
      <c r="N88" s="24"/>
    </row>
    <row r="89" spans="1:22" ht="15.75" customHeight="1">
      <c r="A89" s="30"/>
      <c r="B89" s="52" t="s">
        <v>71</v>
      </c>
      <c r="C89" s="18"/>
      <c r="D89" s="18"/>
      <c r="E89" s="47"/>
      <c r="F89" s="48"/>
      <c r="G89" s="20"/>
      <c r="H89" s="72"/>
      <c r="I89" s="21">
        <v>0</v>
      </c>
      <c r="J89" s="26"/>
      <c r="L89" s="22"/>
      <c r="M89" s="23"/>
      <c r="N89" s="24"/>
    </row>
    <row r="90" spans="1:22" ht="15.75" customHeight="1">
      <c r="A90" s="73"/>
      <c r="B90" s="51" t="s">
        <v>134</v>
      </c>
      <c r="C90" s="37"/>
      <c r="D90" s="37"/>
      <c r="E90" s="37"/>
      <c r="F90" s="37"/>
      <c r="G90" s="49"/>
      <c r="H90" s="38"/>
      <c r="I90" s="34">
        <f>I83+I88</f>
        <v>305543.22724099999</v>
      </c>
      <c r="J90" s="26"/>
      <c r="L90" s="22"/>
      <c r="M90" s="23"/>
      <c r="N90" s="24"/>
    </row>
    <row r="91" spans="1:22" ht="15.75" customHeight="1">
      <c r="A91" s="200" t="s">
        <v>252</v>
      </c>
      <c r="B91" s="200"/>
      <c r="C91" s="200"/>
      <c r="D91" s="200"/>
      <c r="E91" s="200"/>
      <c r="F91" s="200"/>
      <c r="G91" s="200"/>
      <c r="H91" s="200"/>
      <c r="I91" s="200"/>
      <c r="J91" s="26"/>
      <c r="L91" s="22"/>
      <c r="M91" s="23"/>
      <c r="N91" s="24"/>
    </row>
    <row r="92" spans="1:22" ht="15.75" customHeight="1">
      <c r="A92" s="12"/>
      <c r="B92" s="218" t="s">
        <v>253</v>
      </c>
      <c r="C92" s="218"/>
      <c r="D92" s="218"/>
      <c r="E92" s="218"/>
      <c r="F92" s="218"/>
      <c r="G92" s="218"/>
      <c r="H92" s="103"/>
      <c r="I92" s="4"/>
      <c r="J92" s="26"/>
      <c r="L92" s="22"/>
    </row>
    <row r="93" spans="1:22" ht="15.75" customHeight="1">
      <c r="A93" s="65"/>
      <c r="B93" s="202" t="s">
        <v>6</v>
      </c>
      <c r="C93" s="202"/>
      <c r="D93" s="202"/>
      <c r="E93" s="202"/>
      <c r="F93" s="202"/>
      <c r="G93" s="202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219" t="s">
        <v>7</v>
      </c>
      <c r="B95" s="219"/>
      <c r="C95" s="219"/>
      <c r="D95" s="219"/>
      <c r="E95" s="219"/>
      <c r="F95" s="219"/>
      <c r="G95" s="219"/>
      <c r="H95" s="219"/>
      <c r="I95" s="219"/>
    </row>
    <row r="96" spans="1:22" ht="15.75" customHeight="1">
      <c r="A96" s="219" t="s">
        <v>8</v>
      </c>
      <c r="B96" s="219"/>
      <c r="C96" s="219"/>
      <c r="D96" s="219"/>
      <c r="E96" s="219"/>
      <c r="F96" s="219"/>
      <c r="G96" s="219"/>
      <c r="H96" s="219"/>
      <c r="I96" s="21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200" t="s">
        <v>9</v>
      </c>
      <c r="B97" s="200"/>
      <c r="C97" s="200"/>
      <c r="D97" s="200"/>
      <c r="E97" s="200"/>
      <c r="F97" s="200"/>
      <c r="G97" s="200"/>
      <c r="H97" s="200"/>
      <c r="I97" s="200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198"/>
      <c r="S98" s="198"/>
      <c r="T98" s="198"/>
      <c r="U98" s="198"/>
    </row>
    <row r="99" spans="1:21" ht="15.75" customHeight="1">
      <c r="A99" s="199" t="s">
        <v>10</v>
      </c>
      <c r="B99" s="199"/>
      <c r="C99" s="199"/>
      <c r="D99" s="199"/>
      <c r="E99" s="199"/>
      <c r="F99" s="199"/>
      <c r="G99" s="199"/>
      <c r="H99" s="199"/>
      <c r="I99" s="199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200" t="s">
        <v>11</v>
      </c>
      <c r="B101" s="200"/>
      <c r="C101" s="201" t="s">
        <v>190</v>
      </c>
      <c r="D101" s="201"/>
      <c r="E101" s="201"/>
      <c r="F101" s="67"/>
      <c r="I101" s="106"/>
    </row>
    <row r="102" spans="1:21" ht="15.75" customHeight="1">
      <c r="A102" s="65"/>
      <c r="B102" s="53"/>
      <c r="C102" s="202" t="s">
        <v>12</v>
      </c>
      <c r="D102" s="202"/>
      <c r="E102" s="202"/>
      <c r="F102" s="27"/>
      <c r="I102" s="104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200" t="s">
        <v>14</v>
      </c>
      <c r="B104" s="200"/>
      <c r="C104" s="203"/>
      <c r="D104" s="203"/>
      <c r="E104" s="203"/>
      <c r="F104" s="68"/>
      <c r="I104" s="106"/>
    </row>
    <row r="105" spans="1:21" ht="15.75" customHeight="1">
      <c r="A105" s="107"/>
      <c r="C105" s="198" t="s">
        <v>12</v>
      </c>
      <c r="D105" s="198"/>
      <c r="E105" s="198"/>
      <c r="F105" s="107"/>
      <c r="I105" s="104" t="s">
        <v>13</v>
      </c>
    </row>
    <row r="106" spans="1:21" ht="15.75" customHeight="1">
      <c r="A106" s="5" t="s">
        <v>15</v>
      </c>
    </row>
    <row r="107" spans="1:21">
      <c r="A107" s="204" t="s">
        <v>16</v>
      </c>
      <c r="B107" s="204"/>
      <c r="C107" s="204"/>
      <c r="D107" s="204"/>
      <c r="E107" s="204"/>
      <c r="F107" s="204"/>
      <c r="G107" s="204"/>
      <c r="H107" s="204"/>
      <c r="I107" s="204"/>
    </row>
    <row r="108" spans="1:21" ht="45" customHeight="1">
      <c r="A108" s="197" t="s">
        <v>17</v>
      </c>
      <c r="B108" s="197"/>
      <c r="C108" s="197"/>
      <c r="D108" s="197"/>
      <c r="E108" s="197"/>
      <c r="F108" s="197"/>
      <c r="G108" s="197"/>
      <c r="H108" s="197"/>
      <c r="I108" s="197"/>
    </row>
    <row r="109" spans="1:21" ht="30" customHeight="1">
      <c r="A109" s="197" t="s">
        <v>18</v>
      </c>
      <c r="B109" s="197"/>
      <c r="C109" s="197"/>
      <c r="D109" s="197"/>
      <c r="E109" s="197"/>
      <c r="F109" s="197"/>
      <c r="G109" s="197"/>
      <c r="H109" s="197"/>
      <c r="I109" s="197"/>
    </row>
    <row r="110" spans="1:21" ht="30" customHeight="1">
      <c r="A110" s="197" t="s">
        <v>22</v>
      </c>
      <c r="B110" s="197"/>
      <c r="C110" s="197"/>
      <c r="D110" s="197"/>
      <c r="E110" s="197"/>
      <c r="F110" s="197"/>
      <c r="G110" s="197"/>
      <c r="H110" s="197"/>
      <c r="I110" s="197"/>
    </row>
    <row r="111" spans="1:21" ht="15" customHeight="1">
      <c r="A111" s="197" t="s">
        <v>21</v>
      </c>
      <c r="B111" s="197"/>
      <c r="C111" s="197"/>
      <c r="D111" s="197"/>
      <c r="E111" s="197"/>
      <c r="F111" s="197"/>
      <c r="G111" s="197"/>
      <c r="H111" s="197"/>
      <c r="I111" s="197"/>
    </row>
  </sheetData>
  <autoFilter ref="I15:I94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7:I27"/>
    <mergeCell ref="A42:I42"/>
    <mergeCell ref="A53:I53"/>
    <mergeCell ref="A80:I80"/>
    <mergeCell ref="A84:I84"/>
    <mergeCell ref="A91:I91"/>
    <mergeCell ref="B92:G92"/>
    <mergeCell ref="B93:G93"/>
    <mergeCell ref="A95:I95"/>
    <mergeCell ref="A96:I96"/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view="pageBreakPreview" topLeftCell="A70" zoomScale="60" zoomScaleNormal="100" workbookViewId="0">
      <selection activeCell="G111" sqref="G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5703125" customWidth="1"/>
    <col min="5" max="5" width="18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147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257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44408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customHeight="1">
      <c r="A20" s="30">
        <v>4</v>
      </c>
      <c r="B20" s="59" t="s">
        <v>86</v>
      </c>
      <c r="C20" s="74" t="s">
        <v>83</v>
      </c>
      <c r="D20" s="59" t="s">
        <v>172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customHeight="1">
      <c r="A21" s="30">
        <v>5</v>
      </c>
      <c r="B21" s="59" t="s">
        <v>87</v>
      </c>
      <c r="C21" s="74" t="s">
        <v>83</v>
      </c>
      <c r="D21" s="59" t="s">
        <v>172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customHeight="1">
      <c r="A22" s="30">
        <v>6</v>
      </c>
      <c r="B22" s="59" t="s">
        <v>88</v>
      </c>
      <c r="C22" s="74" t="s">
        <v>50</v>
      </c>
      <c r="D22" s="59" t="s">
        <v>265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f>G22*F22</f>
        <v>1260.7097999999999</v>
      </c>
      <c r="J22" s="10"/>
      <c r="K22" s="10"/>
      <c r="L22" s="10"/>
      <c r="M22" s="10"/>
    </row>
    <row r="23" spans="1:13" ht="15.75" customHeight="1">
      <c r="A23" s="30">
        <v>7</v>
      </c>
      <c r="B23" s="59" t="s">
        <v>89</v>
      </c>
      <c r="C23" s="74" t="s">
        <v>50</v>
      </c>
      <c r="D23" s="59" t="s">
        <v>265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f>G23*F23</f>
        <v>22.442112000000002</v>
      </c>
      <c r="J23" s="10"/>
      <c r="K23" s="10"/>
      <c r="L23" s="10"/>
      <c r="M23" s="10"/>
    </row>
    <row r="24" spans="1:13" ht="15.75" customHeight="1">
      <c r="A24" s="30">
        <v>8</v>
      </c>
      <c r="B24" s="36" t="s">
        <v>90</v>
      </c>
      <c r="C24" s="163" t="s">
        <v>50</v>
      </c>
      <c r="D24" s="60" t="s">
        <v>172</v>
      </c>
      <c r="E24" s="20">
        <v>15</v>
      </c>
      <c r="F24" s="177">
        <f t="shared" ref="F24" si="2">SUM(E24/100)</f>
        <v>0.15</v>
      </c>
      <c r="G24" s="35">
        <v>511.12</v>
      </c>
      <c r="H24" s="77">
        <f t="shared" si="0"/>
        <v>7.6667999999999986E-2</v>
      </c>
      <c r="I24" s="16">
        <f>G24*F24</f>
        <v>76.667999999999992</v>
      </c>
      <c r="J24" s="10"/>
      <c r="K24" s="10"/>
      <c r="L24" s="10"/>
      <c r="M24" s="10"/>
    </row>
    <row r="25" spans="1:13" ht="15.75" customHeight="1">
      <c r="A25" s="30">
        <v>9</v>
      </c>
      <c r="B25" s="59" t="s">
        <v>91</v>
      </c>
      <c r="C25" s="74" t="s">
        <v>50</v>
      </c>
      <c r="D25" s="59" t="s">
        <v>175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f>G25*F25</f>
        <v>43.578589999999991</v>
      </c>
      <c r="J25" s="10"/>
      <c r="K25" s="10"/>
      <c r="L25" s="10"/>
      <c r="M25" s="10"/>
    </row>
    <row r="26" spans="1:13" ht="15.75" hidden="1" customHeight="1">
      <c r="A26" s="30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10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3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11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3"/>
        <v>1.5372318780000001</v>
      </c>
      <c r="I30" s="16">
        <f t="shared" ref="I30" si="4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3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hidden="1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15.75" hidden="1" customHeight="1">
      <c r="A43" s="30">
        <v>17</v>
      </c>
      <c r="B43" s="59" t="s">
        <v>109</v>
      </c>
      <c r="C43" s="74" t="s">
        <v>92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92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92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92</v>
      </c>
      <c r="D47" s="59" t="s">
        <v>133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110</v>
      </c>
      <c r="C48" s="74" t="s">
        <v>92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111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112</v>
      </c>
      <c r="C51" s="74" t="s">
        <v>79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79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78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6.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7.2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6.5" hidden="1" customHeight="1">
      <c r="A56" s="58">
        <v>7</v>
      </c>
      <c r="B56" s="83" t="s">
        <v>101</v>
      </c>
      <c r="C56" s="84" t="s">
        <v>102</v>
      </c>
      <c r="D56" s="83" t="s">
        <v>180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G56*4.5</f>
        <v>7119.2249999999995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12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hidden="1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79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70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8</v>
      </c>
      <c r="B63" s="17" t="s">
        <v>46</v>
      </c>
      <c r="C63" s="19" t="s">
        <v>95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9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10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11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12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171"/>
      <c r="B69" s="170" t="s">
        <v>186</v>
      </c>
      <c r="C69" s="19"/>
      <c r="D69" s="169"/>
      <c r="E69" s="21"/>
      <c r="F69" s="76"/>
      <c r="G69" s="16"/>
      <c r="H69" s="89"/>
      <c r="I69" s="16"/>
      <c r="J69" s="26"/>
      <c r="L69" s="22"/>
      <c r="M69" s="23"/>
      <c r="N69" s="24"/>
    </row>
    <row r="70" spans="1:14" ht="33" customHeight="1">
      <c r="A70" s="58">
        <v>13</v>
      </c>
      <c r="B70" s="17" t="s">
        <v>140</v>
      </c>
      <c r="C70" s="30" t="s">
        <v>141</v>
      </c>
      <c r="D70" s="129"/>
      <c r="E70" s="21">
        <v>2566.6</v>
      </c>
      <c r="F70" s="76">
        <f>SUM(E70)*12</f>
        <v>30799.199999999997</v>
      </c>
      <c r="G70" s="16">
        <v>2.2799999999999998</v>
      </c>
      <c r="H70" s="89">
        <f t="shared" si="12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100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142</v>
      </c>
      <c r="C72" s="42" t="s">
        <v>29</v>
      </c>
      <c r="D72" s="41"/>
      <c r="E72" s="20">
        <v>1</v>
      </c>
      <c r="F72" s="35">
        <f t="shared" ref="F72:F75" si="15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6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143</v>
      </c>
      <c r="C75" s="64" t="s">
        <v>79</v>
      </c>
      <c r="D75" s="41"/>
      <c r="E75" s="20">
        <v>1</v>
      </c>
      <c r="F75" s="35">
        <f t="shared" si="15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100</v>
      </c>
      <c r="H76" s="89" t="s">
        <v>100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99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7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93</v>
      </c>
      <c r="C78" s="19"/>
      <c r="D78" s="17"/>
      <c r="E78" s="21"/>
      <c r="F78" s="16"/>
      <c r="G78" s="16"/>
      <c r="H78" s="89">
        <f>SUM(H55:H77)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14</v>
      </c>
      <c r="B79" s="59" t="s">
        <v>94</v>
      </c>
      <c r="C79" s="19"/>
      <c r="D79" s="17"/>
      <c r="E79" s="91"/>
      <c r="F79" s="16">
        <v>1</v>
      </c>
      <c r="G79" s="16">
        <v>6684</v>
      </c>
      <c r="H79" s="89">
        <f>G79*F79/1000</f>
        <v>6.6840000000000002</v>
      </c>
      <c r="I79" s="16">
        <f>G79</f>
        <v>6684</v>
      </c>
      <c r="J79" s="26"/>
      <c r="L79" s="22"/>
      <c r="M79" s="23"/>
      <c r="N79" s="24"/>
    </row>
    <row r="80" spans="1:14" ht="15.75" customHeight="1">
      <c r="A80" s="208" t="s">
        <v>125</v>
      </c>
      <c r="B80" s="213"/>
      <c r="C80" s="213"/>
      <c r="D80" s="213"/>
      <c r="E80" s="213"/>
      <c r="F80" s="213"/>
      <c r="G80" s="213"/>
      <c r="H80" s="213"/>
      <c r="I80" s="214"/>
      <c r="J80" s="26"/>
      <c r="L80" s="22"/>
      <c r="M80" s="23"/>
      <c r="N80" s="24"/>
    </row>
    <row r="81" spans="1:14" ht="15.75" customHeight="1">
      <c r="A81" s="58">
        <v>14</v>
      </c>
      <c r="B81" s="36" t="s">
        <v>116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15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I82+I81+I70+I59+I30+I29+I25+I24+I23+I22+I21+I20+I18+I17+I16</f>
        <v>34271.909203000003</v>
      </c>
      <c r="J83" s="26"/>
      <c r="L83" s="22"/>
      <c r="M83" s="23"/>
      <c r="N83" s="24"/>
    </row>
    <row r="84" spans="1:14" ht="15.75" customHeight="1">
      <c r="A84" s="215" t="s">
        <v>56</v>
      </c>
      <c r="B84" s="216"/>
      <c r="C84" s="216"/>
      <c r="D84" s="216"/>
      <c r="E84" s="216"/>
      <c r="F84" s="216"/>
      <c r="G84" s="216"/>
      <c r="H84" s="216"/>
      <c r="I84" s="217"/>
      <c r="J84" s="26"/>
      <c r="L84" s="22"/>
      <c r="M84" s="23"/>
      <c r="N84" s="24"/>
    </row>
    <row r="85" spans="1:14" ht="19.5" customHeight="1">
      <c r="A85" s="30">
        <v>16</v>
      </c>
      <c r="B85" s="178" t="s">
        <v>258</v>
      </c>
      <c r="C85" s="64" t="s">
        <v>79</v>
      </c>
      <c r="D85" s="140" t="s">
        <v>269</v>
      </c>
      <c r="E85" s="39"/>
      <c r="F85" s="168">
        <v>1</v>
      </c>
      <c r="G85" s="39">
        <v>224.24</v>
      </c>
      <c r="H85" s="166"/>
      <c r="I85" s="167">
        <f>G85*1</f>
        <v>224.24</v>
      </c>
      <c r="J85" s="26"/>
      <c r="L85" s="22"/>
      <c r="M85" s="23"/>
      <c r="N85" s="24"/>
    </row>
    <row r="86" spans="1:14" ht="17.25" customHeight="1">
      <c r="A86" s="30">
        <v>17</v>
      </c>
      <c r="B86" s="120" t="s">
        <v>259</v>
      </c>
      <c r="C86" s="64" t="s">
        <v>117</v>
      </c>
      <c r="D86" s="140"/>
      <c r="E86" s="39"/>
      <c r="F86" s="39">
        <v>1</v>
      </c>
      <c r="G86" s="39">
        <v>138.44999999999999</v>
      </c>
      <c r="H86" s="166"/>
      <c r="I86" s="167">
        <f>G86*1</f>
        <v>138.44999999999999</v>
      </c>
      <c r="J86" s="26"/>
      <c r="L86" s="22"/>
      <c r="M86" s="23"/>
      <c r="N86" s="24"/>
    </row>
    <row r="87" spans="1:14" ht="18.75" customHeight="1">
      <c r="A87" s="30">
        <v>18</v>
      </c>
      <c r="B87" s="120" t="s">
        <v>216</v>
      </c>
      <c r="C87" s="64" t="s">
        <v>50</v>
      </c>
      <c r="D87" s="140" t="s">
        <v>266</v>
      </c>
      <c r="E87" s="39"/>
      <c r="F87" s="39">
        <f>0.005+0.0012</f>
        <v>6.1999999999999998E-3</v>
      </c>
      <c r="G87" s="39">
        <v>85495.8</v>
      </c>
      <c r="H87" s="166"/>
      <c r="I87" s="167">
        <f>G87*0.012</f>
        <v>1025.9496000000001</v>
      </c>
      <c r="J87" s="26"/>
      <c r="L87" s="22"/>
      <c r="M87" s="23"/>
      <c r="N87" s="24"/>
    </row>
    <row r="88" spans="1:14" ht="18" customHeight="1">
      <c r="A88" s="30">
        <v>19</v>
      </c>
      <c r="B88" s="120" t="s">
        <v>235</v>
      </c>
      <c r="C88" s="64" t="s">
        <v>50</v>
      </c>
      <c r="D88" s="140" t="s">
        <v>266</v>
      </c>
      <c r="E88" s="39"/>
      <c r="F88" s="168">
        <f>0.004+0.012</f>
        <v>1.6E-2</v>
      </c>
      <c r="G88" s="39">
        <v>60434.25</v>
      </c>
      <c r="H88" s="166"/>
      <c r="I88" s="167">
        <f>G88*0.012</f>
        <v>725.21100000000001</v>
      </c>
      <c r="J88" s="26"/>
      <c r="L88" s="22"/>
      <c r="M88" s="23"/>
      <c r="N88" s="24"/>
    </row>
    <row r="89" spans="1:14" ht="15.75" customHeight="1">
      <c r="A89" s="30">
        <v>20</v>
      </c>
      <c r="B89" s="120" t="s">
        <v>217</v>
      </c>
      <c r="C89" s="173" t="s">
        <v>218</v>
      </c>
      <c r="D89" s="140" t="s">
        <v>267</v>
      </c>
      <c r="E89" s="39"/>
      <c r="F89" s="39">
        <v>2</v>
      </c>
      <c r="G89" s="39">
        <v>408.76</v>
      </c>
      <c r="H89" s="166"/>
      <c r="I89" s="167">
        <f>G89*1</f>
        <v>408.76</v>
      </c>
      <c r="J89" s="26"/>
      <c r="L89" s="22"/>
      <c r="M89" s="23"/>
      <c r="N89" s="24"/>
    </row>
    <row r="90" spans="1:14" ht="15.75" customHeight="1">
      <c r="A90" s="30">
        <v>21</v>
      </c>
      <c r="B90" s="174" t="s">
        <v>260</v>
      </c>
      <c r="C90" s="175" t="s">
        <v>251</v>
      </c>
      <c r="D90" s="140" t="s">
        <v>262</v>
      </c>
      <c r="E90" s="39"/>
      <c r="F90" s="39">
        <v>2</v>
      </c>
      <c r="G90" s="39">
        <v>180299.75</v>
      </c>
      <c r="H90" s="166"/>
      <c r="I90" s="167">
        <f>G90*1</f>
        <v>180299.75</v>
      </c>
      <c r="J90" s="26"/>
      <c r="L90" s="22"/>
      <c r="M90" s="23"/>
      <c r="N90" s="24"/>
    </row>
    <row r="91" spans="1:14" ht="35.25" customHeight="1">
      <c r="A91" s="30">
        <v>22</v>
      </c>
      <c r="B91" s="120" t="s">
        <v>261</v>
      </c>
      <c r="C91" s="64" t="s">
        <v>29</v>
      </c>
      <c r="D91" s="41" t="s">
        <v>279</v>
      </c>
      <c r="E91" s="39"/>
      <c r="F91" s="39">
        <v>1</v>
      </c>
      <c r="G91" s="39">
        <v>244.17</v>
      </c>
      <c r="H91" s="166"/>
      <c r="I91" s="167">
        <f>G91*3</f>
        <v>732.51</v>
      </c>
      <c r="J91" s="26"/>
      <c r="L91" s="22"/>
      <c r="M91" s="23"/>
      <c r="N91" s="24"/>
    </row>
    <row r="92" spans="1:14" ht="15.75" customHeight="1">
      <c r="A92" s="30">
        <v>23</v>
      </c>
      <c r="B92" s="120" t="s">
        <v>221</v>
      </c>
      <c r="C92" s="64" t="s">
        <v>222</v>
      </c>
      <c r="D92" s="140"/>
      <c r="E92" s="39"/>
      <c r="F92" s="39">
        <v>1</v>
      </c>
      <c r="G92" s="39">
        <v>1366.66</v>
      </c>
      <c r="H92" s="166"/>
      <c r="I92" s="167">
        <f>G92*0.5</f>
        <v>683.33</v>
      </c>
      <c r="J92" s="26"/>
      <c r="L92" s="22"/>
      <c r="M92" s="23"/>
      <c r="N92" s="24"/>
    </row>
    <row r="93" spans="1:14" ht="15.75" customHeight="1">
      <c r="A93" s="30">
        <v>24</v>
      </c>
      <c r="B93" s="120" t="s">
        <v>263</v>
      </c>
      <c r="C93" s="64" t="s">
        <v>158</v>
      </c>
      <c r="D93" s="140" t="s">
        <v>268</v>
      </c>
      <c r="E93" s="39"/>
      <c r="F93" s="39">
        <v>2</v>
      </c>
      <c r="G93" s="39">
        <v>2006</v>
      </c>
      <c r="H93" s="166"/>
      <c r="I93" s="167">
        <f>G93*2</f>
        <v>4012</v>
      </c>
      <c r="J93" s="26"/>
      <c r="L93" s="22"/>
      <c r="M93" s="23"/>
      <c r="N93" s="24"/>
    </row>
    <row r="94" spans="1:14" ht="15.75" customHeight="1">
      <c r="A94" s="30">
        <v>25</v>
      </c>
      <c r="B94" s="178" t="s">
        <v>264</v>
      </c>
      <c r="C94" s="64" t="s">
        <v>52</v>
      </c>
      <c r="D94" s="140" t="s">
        <v>197</v>
      </c>
      <c r="E94" s="39"/>
      <c r="F94" s="39">
        <v>0.9</v>
      </c>
      <c r="G94" s="39">
        <v>763.67</v>
      </c>
      <c r="H94" s="166"/>
      <c r="I94" s="167">
        <f>G94*0.9</f>
        <v>687.303</v>
      </c>
      <c r="J94" s="26"/>
      <c r="L94" s="22"/>
      <c r="M94" s="23"/>
      <c r="N94" s="24"/>
    </row>
    <row r="95" spans="1:14" ht="15.75" customHeight="1">
      <c r="A95" s="30">
        <v>26</v>
      </c>
      <c r="B95" s="120" t="s">
        <v>243</v>
      </c>
      <c r="C95" s="64" t="s">
        <v>28</v>
      </c>
      <c r="D95" s="140"/>
      <c r="E95" s="39"/>
      <c r="F95" s="39">
        <f>2.65+2.65+2.65</f>
        <v>7.9499999999999993</v>
      </c>
      <c r="G95" s="39">
        <v>241.69</v>
      </c>
      <c r="H95" s="166"/>
      <c r="I95" s="167">
        <f>G95*2.65</f>
        <v>640.47849999999994</v>
      </c>
      <c r="J95" s="26"/>
      <c r="L95" s="22"/>
      <c r="M95" s="23"/>
      <c r="N95" s="24"/>
    </row>
    <row r="96" spans="1:14" ht="15.75" customHeight="1">
      <c r="A96" s="30">
        <v>27</v>
      </c>
      <c r="B96" s="120" t="s">
        <v>184</v>
      </c>
      <c r="C96" s="64" t="s">
        <v>38</v>
      </c>
      <c r="D96" s="140" t="s">
        <v>172</v>
      </c>
      <c r="E96" s="39"/>
      <c r="F96" s="39">
        <v>0.04</v>
      </c>
      <c r="G96" s="39">
        <v>28224.75</v>
      </c>
      <c r="H96" s="166"/>
      <c r="I96" s="167">
        <v>0</v>
      </c>
      <c r="J96" s="26"/>
      <c r="L96" s="22"/>
      <c r="M96" s="23"/>
      <c r="N96" s="24"/>
    </row>
    <row r="97" spans="1:22" ht="33.75" customHeight="1">
      <c r="A97" s="30">
        <v>28</v>
      </c>
      <c r="B97" s="120" t="s">
        <v>280</v>
      </c>
      <c r="C97" s="64" t="s">
        <v>160</v>
      </c>
      <c r="D97" s="140" t="s">
        <v>281</v>
      </c>
      <c r="E97" s="39"/>
      <c r="F97" s="39">
        <v>0.5</v>
      </c>
      <c r="G97" s="39">
        <v>1584.54</v>
      </c>
      <c r="H97" s="166"/>
      <c r="I97" s="167">
        <f>G97*0.5</f>
        <v>792.27</v>
      </c>
      <c r="J97" s="26"/>
      <c r="L97" s="22"/>
      <c r="M97" s="23"/>
      <c r="N97" s="24"/>
    </row>
    <row r="98" spans="1:22" ht="15.75" customHeight="1">
      <c r="A98" s="166"/>
      <c r="B98" s="50" t="s">
        <v>49</v>
      </c>
      <c r="C98" s="46"/>
      <c r="D98" s="57"/>
      <c r="E98" s="46">
        <v>1</v>
      </c>
      <c r="F98" s="46"/>
      <c r="G98" s="34"/>
      <c r="H98" s="46"/>
      <c r="I98" s="34">
        <f>SUM(I85:I97)</f>
        <v>190370.25210000001</v>
      </c>
      <c r="J98" s="26"/>
      <c r="L98" s="22"/>
      <c r="M98" s="23"/>
      <c r="N98" s="24"/>
    </row>
    <row r="99" spans="1:22" ht="15.75" customHeight="1">
      <c r="A99" s="30"/>
      <c r="B99" s="52" t="s">
        <v>71</v>
      </c>
      <c r="C99" s="18"/>
      <c r="D99" s="18"/>
      <c r="E99" s="47"/>
      <c r="F99" s="48"/>
      <c r="G99" s="20"/>
      <c r="H99" s="72"/>
      <c r="I99" s="21">
        <v>0</v>
      </c>
      <c r="J99" s="26"/>
      <c r="L99" s="22"/>
      <c r="M99" s="23"/>
      <c r="N99" s="24"/>
    </row>
    <row r="100" spans="1:22" ht="15.75" customHeight="1">
      <c r="A100" s="73"/>
      <c r="B100" s="51" t="s">
        <v>134</v>
      </c>
      <c r="C100" s="37"/>
      <c r="D100" s="37"/>
      <c r="E100" s="37"/>
      <c r="F100" s="37"/>
      <c r="G100" s="49"/>
      <c r="H100" s="38"/>
      <c r="I100" s="34">
        <f>I98+I83</f>
        <v>224642.161303</v>
      </c>
      <c r="J100" s="26"/>
      <c r="L100" s="22"/>
      <c r="M100" s="23"/>
      <c r="N100" s="24"/>
    </row>
    <row r="101" spans="1:22" ht="15.75" customHeight="1">
      <c r="A101" s="200" t="s">
        <v>282</v>
      </c>
      <c r="B101" s="200"/>
      <c r="C101" s="200"/>
      <c r="D101" s="200"/>
      <c r="E101" s="200"/>
      <c r="F101" s="200"/>
      <c r="G101" s="200"/>
      <c r="H101" s="200"/>
      <c r="I101" s="200"/>
      <c r="J101" s="26"/>
      <c r="L101" s="22"/>
      <c r="M101" s="23"/>
      <c r="N101" s="24"/>
    </row>
    <row r="102" spans="1:22" ht="15.75" customHeight="1">
      <c r="A102" s="12"/>
      <c r="B102" s="218" t="s">
        <v>283</v>
      </c>
      <c r="C102" s="218"/>
      <c r="D102" s="218"/>
      <c r="E102" s="218"/>
      <c r="F102" s="218"/>
      <c r="G102" s="218"/>
      <c r="H102" s="103"/>
      <c r="I102" s="4"/>
      <c r="J102" s="26"/>
      <c r="L102" s="22"/>
    </row>
    <row r="103" spans="1:22" ht="15.75" customHeight="1">
      <c r="A103" s="65"/>
      <c r="B103" s="202" t="s">
        <v>6</v>
      </c>
      <c r="C103" s="202"/>
      <c r="D103" s="202"/>
      <c r="E103" s="202"/>
      <c r="F103" s="202"/>
      <c r="G103" s="202"/>
      <c r="H103" s="27"/>
      <c r="I103" s="54"/>
    </row>
    <row r="104" spans="1:22" ht="15.75" customHeight="1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22" ht="15.75" customHeight="1">
      <c r="A105" s="219" t="s">
        <v>7</v>
      </c>
      <c r="B105" s="219"/>
      <c r="C105" s="219"/>
      <c r="D105" s="219"/>
      <c r="E105" s="219"/>
      <c r="F105" s="219"/>
      <c r="G105" s="219"/>
      <c r="H105" s="219"/>
      <c r="I105" s="219"/>
    </row>
    <row r="106" spans="1:22" ht="15.75" customHeight="1">
      <c r="A106" s="219" t="s">
        <v>8</v>
      </c>
      <c r="B106" s="219"/>
      <c r="C106" s="219"/>
      <c r="D106" s="219"/>
      <c r="E106" s="219"/>
      <c r="F106" s="219"/>
      <c r="G106" s="219"/>
      <c r="H106" s="219"/>
      <c r="I106" s="21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11"/>
    </row>
    <row r="107" spans="1:22" ht="15.75" customHeight="1">
      <c r="A107" s="200" t="s">
        <v>9</v>
      </c>
      <c r="B107" s="200"/>
      <c r="C107" s="200"/>
      <c r="D107" s="200"/>
      <c r="E107" s="200"/>
      <c r="F107" s="200"/>
      <c r="G107" s="200"/>
      <c r="H107" s="200"/>
      <c r="I107" s="200"/>
      <c r="J107" s="28"/>
      <c r="K107" s="28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2" ht="15.75" customHeight="1">
      <c r="A108" s="14"/>
      <c r="B108" s="53"/>
      <c r="C108" s="53"/>
      <c r="D108" s="53"/>
      <c r="E108" s="53"/>
      <c r="F108" s="53"/>
      <c r="G108" s="53"/>
      <c r="H108" s="53"/>
      <c r="I108" s="53"/>
      <c r="J108" s="6"/>
      <c r="K108" s="6"/>
      <c r="L108" s="6"/>
      <c r="M108" s="6"/>
      <c r="N108" s="6"/>
      <c r="O108" s="6"/>
      <c r="P108" s="6"/>
      <c r="Q108" s="6"/>
      <c r="R108" s="198"/>
      <c r="S108" s="198"/>
      <c r="T108" s="198"/>
      <c r="U108" s="198"/>
    </row>
    <row r="109" spans="1:22" ht="15.75" customHeight="1">
      <c r="A109" s="199" t="s">
        <v>10</v>
      </c>
      <c r="B109" s="199"/>
      <c r="C109" s="199"/>
      <c r="D109" s="199"/>
      <c r="E109" s="199"/>
      <c r="F109" s="199"/>
      <c r="G109" s="199"/>
      <c r="H109" s="199"/>
      <c r="I109" s="199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1:22" ht="15.75" customHeight="1">
      <c r="A110" s="5"/>
      <c r="B110" s="53"/>
      <c r="C110" s="53"/>
      <c r="D110" s="53"/>
      <c r="E110" s="53"/>
      <c r="F110" s="53"/>
      <c r="G110" s="53"/>
      <c r="H110" s="53"/>
      <c r="I110" s="53"/>
    </row>
    <row r="111" spans="1:22" ht="15.75" customHeight="1">
      <c r="A111" s="200" t="s">
        <v>11</v>
      </c>
      <c r="B111" s="200"/>
      <c r="C111" s="201" t="s">
        <v>190</v>
      </c>
      <c r="D111" s="201"/>
      <c r="E111" s="201"/>
      <c r="F111" s="67"/>
      <c r="I111" s="106"/>
    </row>
    <row r="112" spans="1:22" ht="15.75" customHeight="1">
      <c r="A112" s="65"/>
      <c r="B112" s="53"/>
      <c r="C112" s="202" t="s">
        <v>12</v>
      </c>
      <c r="D112" s="202"/>
      <c r="E112" s="202"/>
      <c r="F112" s="27"/>
      <c r="I112" s="104" t="s">
        <v>13</v>
      </c>
    </row>
    <row r="113" spans="1:9" ht="15.75" customHeight="1">
      <c r="A113" s="28"/>
      <c r="B113" s="53"/>
      <c r="C113" s="15"/>
      <c r="D113" s="15"/>
      <c r="G113" s="15"/>
      <c r="H113" s="15"/>
    </row>
    <row r="114" spans="1:9" ht="15.75" customHeight="1">
      <c r="A114" s="200" t="s">
        <v>14</v>
      </c>
      <c r="B114" s="200"/>
      <c r="C114" s="203"/>
      <c r="D114" s="203"/>
      <c r="E114" s="203"/>
      <c r="F114" s="68"/>
      <c r="I114" s="106"/>
    </row>
    <row r="115" spans="1:9" ht="15.75" customHeight="1">
      <c r="A115" s="107"/>
      <c r="C115" s="198" t="s">
        <v>12</v>
      </c>
      <c r="D115" s="198"/>
      <c r="E115" s="198"/>
      <c r="F115" s="107"/>
      <c r="I115" s="104" t="s">
        <v>13</v>
      </c>
    </row>
    <row r="116" spans="1:9" ht="15.75" customHeight="1">
      <c r="A116" s="5" t="s">
        <v>15</v>
      </c>
    </row>
    <row r="117" spans="1:9">
      <c r="A117" s="204" t="s">
        <v>16</v>
      </c>
      <c r="B117" s="204"/>
      <c r="C117" s="204"/>
      <c r="D117" s="204"/>
      <c r="E117" s="204"/>
      <c r="F117" s="204"/>
      <c r="G117" s="204"/>
      <c r="H117" s="204"/>
      <c r="I117" s="204"/>
    </row>
    <row r="118" spans="1:9" ht="45" customHeight="1">
      <c r="A118" s="197" t="s">
        <v>17</v>
      </c>
      <c r="B118" s="197"/>
      <c r="C118" s="197"/>
      <c r="D118" s="197"/>
      <c r="E118" s="197"/>
      <c r="F118" s="197"/>
      <c r="G118" s="197"/>
      <c r="H118" s="197"/>
      <c r="I118" s="197"/>
    </row>
    <row r="119" spans="1:9" ht="30" customHeight="1">
      <c r="A119" s="197" t="s">
        <v>18</v>
      </c>
      <c r="B119" s="197"/>
      <c r="C119" s="197"/>
      <c r="D119" s="197"/>
      <c r="E119" s="197"/>
      <c r="F119" s="197"/>
      <c r="G119" s="197"/>
      <c r="H119" s="197"/>
      <c r="I119" s="197"/>
    </row>
    <row r="120" spans="1:9" ht="30" customHeight="1">
      <c r="A120" s="197" t="s">
        <v>22</v>
      </c>
      <c r="B120" s="197"/>
      <c r="C120" s="197"/>
      <c r="D120" s="197"/>
      <c r="E120" s="197"/>
      <c r="F120" s="197"/>
      <c r="G120" s="197"/>
      <c r="H120" s="197"/>
      <c r="I120" s="197"/>
    </row>
    <row r="121" spans="1:9" ht="15" customHeight="1">
      <c r="A121" s="197" t="s">
        <v>21</v>
      </c>
      <c r="B121" s="197"/>
      <c r="C121" s="197"/>
      <c r="D121" s="197"/>
      <c r="E121" s="197"/>
      <c r="F121" s="197"/>
      <c r="G121" s="197"/>
      <c r="H121" s="197"/>
      <c r="I121" s="197"/>
    </row>
  </sheetData>
  <autoFilter ref="I15:I104"/>
  <mergeCells count="31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2:I42"/>
    <mergeCell ref="A53:I53"/>
    <mergeCell ref="A80:I80"/>
    <mergeCell ref="A84:I84"/>
    <mergeCell ref="A101:I101"/>
    <mergeCell ref="B102:G102"/>
    <mergeCell ref="B103:G103"/>
    <mergeCell ref="A105:I105"/>
    <mergeCell ref="A106:I106"/>
    <mergeCell ref="A121:I121"/>
    <mergeCell ref="R108:U108"/>
    <mergeCell ref="A109:I109"/>
    <mergeCell ref="A111:B111"/>
    <mergeCell ref="C111:E111"/>
    <mergeCell ref="C112:E112"/>
    <mergeCell ref="A114:B114"/>
    <mergeCell ref="C114:E114"/>
    <mergeCell ref="C115:E115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topLeftCell="A69"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148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270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44439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86</v>
      </c>
      <c r="C20" s="74" t="s">
        <v>83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87</v>
      </c>
      <c r="C21" s="74" t="s">
        <v>83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30">
        <v>4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4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5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hidden="1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15.75" hidden="1" customHeight="1">
      <c r="A43" s="30">
        <v>17</v>
      </c>
      <c r="B43" s="59" t="s">
        <v>109</v>
      </c>
      <c r="C43" s="74" t="s">
        <v>92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92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92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92</v>
      </c>
      <c r="D47" s="59" t="s">
        <v>133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110</v>
      </c>
      <c r="C48" s="74" t="s">
        <v>92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111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112</v>
      </c>
      <c r="C51" s="74" t="s">
        <v>79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79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78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101</v>
      </c>
      <c r="C56" s="84" t="s">
        <v>102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6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79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95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7</v>
      </c>
      <c r="B69" s="17" t="s">
        <v>140</v>
      </c>
      <c r="C69" s="30" t="s">
        <v>141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100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142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143</v>
      </c>
      <c r="C74" s="64" t="s">
        <v>79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68</v>
      </c>
      <c r="C75" s="19"/>
      <c r="D75" s="17"/>
      <c r="E75" s="21"/>
      <c r="F75" s="16"/>
      <c r="G75" s="16" t="s">
        <v>100</v>
      </c>
      <c r="H75" s="89" t="s">
        <v>100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99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93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94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208" t="s">
        <v>125</v>
      </c>
      <c r="B79" s="213"/>
      <c r="C79" s="213"/>
      <c r="D79" s="213"/>
      <c r="E79" s="213"/>
      <c r="F79" s="213"/>
      <c r="G79" s="213"/>
      <c r="H79" s="213"/>
      <c r="I79" s="214"/>
      <c r="J79" s="26"/>
      <c r="L79" s="22"/>
      <c r="M79" s="23"/>
      <c r="N79" s="24"/>
    </row>
    <row r="80" spans="1:14" ht="15.75" customHeight="1">
      <c r="A80" s="58">
        <v>8</v>
      </c>
      <c r="B80" s="36" t="s">
        <v>116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22" ht="31.5" customHeight="1">
      <c r="A81" s="58">
        <v>9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22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I81+I80+I69+I59+I30+I29+I18+I17+I16</f>
        <v>32830.853020999995</v>
      </c>
      <c r="J82" s="26"/>
      <c r="L82" s="22"/>
      <c r="M82" s="23"/>
      <c r="N82" s="24"/>
    </row>
    <row r="83" spans="1:22" ht="15.75" customHeight="1">
      <c r="A83" s="215" t="s">
        <v>56</v>
      </c>
      <c r="B83" s="216"/>
      <c r="C83" s="216"/>
      <c r="D83" s="216"/>
      <c r="E83" s="216"/>
      <c r="F83" s="216"/>
      <c r="G83" s="216"/>
      <c r="H83" s="216"/>
      <c r="I83" s="217"/>
      <c r="J83" s="26"/>
      <c r="L83" s="22"/>
      <c r="M83" s="23"/>
      <c r="N83" s="24"/>
    </row>
    <row r="84" spans="1:22" ht="18.75" customHeight="1">
      <c r="A84" s="58">
        <v>10</v>
      </c>
      <c r="B84" s="120" t="s">
        <v>184</v>
      </c>
      <c r="C84" s="64" t="s">
        <v>38</v>
      </c>
      <c r="D84" s="140" t="s">
        <v>172</v>
      </c>
      <c r="E84" s="39"/>
      <c r="F84" s="39">
        <v>0.05</v>
      </c>
      <c r="G84" s="39">
        <v>28224.75</v>
      </c>
      <c r="H84" s="176"/>
      <c r="I84" s="115">
        <v>0</v>
      </c>
      <c r="J84" s="26"/>
      <c r="L84" s="22"/>
      <c r="M84" s="23"/>
      <c r="N84" s="24"/>
    </row>
    <row r="85" spans="1:22" ht="15.75" customHeight="1">
      <c r="A85" s="30"/>
      <c r="B85" s="50" t="s">
        <v>49</v>
      </c>
      <c r="C85" s="46"/>
      <c r="D85" s="57"/>
      <c r="E85" s="46">
        <v>1</v>
      </c>
      <c r="F85" s="46"/>
      <c r="G85" s="34"/>
      <c r="H85" s="46"/>
      <c r="I85" s="34">
        <f>SUM(I84:I84)</f>
        <v>0</v>
      </c>
      <c r="J85" s="26"/>
      <c r="L85" s="22"/>
      <c r="M85" s="23"/>
      <c r="N85" s="24"/>
    </row>
    <row r="86" spans="1:22" ht="15.75" customHeight="1">
      <c r="A86" s="30"/>
      <c r="B86" s="52" t="s">
        <v>71</v>
      </c>
      <c r="C86" s="18"/>
      <c r="D86" s="18"/>
      <c r="E86" s="47"/>
      <c r="F86" s="48"/>
      <c r="G86" s="20"/>
      <c r="H86" s="72"/>
      <c r="I86" s="21">
        <v>0</v>
      </c>
      <c r="J86" s="26"/>
      <c r="L86" s="22"/>
      <c r="M86" s="23"/>
      <c r="N86" s="24"/>
    </row>
    <row r="87" spans="1:22" ht="15.75" customHeight="1">
      <c r="A87" s="73"/>
      <c r="B87" s="51" t="s">
        <v>134</v>
      </c>
      <c r="C87" s="37"/>
      <c r="D87" s="37"/>
      <c r="E87" s="37"/>
      <c r="F87" s="37"/>
      <c r="G87" s="49"/>
      <c r="H87" s="38"/>
      <c r="I87" s="34">
        <f>I82+I85</f>
        <v>32830.853020999995</v>
      </c>
      <c r="J87" s="26"/>
      <c r="L87" s="22"/>
      <c r="M87" s="23"/>
      <c r="N87" s="24"/>
    </row>
    <row r="88" spans="1:22" ht="15.75" customHeight="1">
      <c r="A88" s="200" t="s">
        <v>271</v>
      </c>
      <c r="B88" s="200"/>
      <c r="C88" s="200"/>
      <c r="D88" s="200"/>
      <c r="E88" s="200"/>
      <c r="F88" s="200"/>
      <c r="G88" s="200"/>
      <c r="H88" s="200"/>
      <c r="I88" s="200"/>
      <c r="J88" s="26"/>
      <c r="L88" s="22"/>
      <c r="M88" s="23"/>
      <c r="N88" s="24"/>
    </row>
    <row r="89" spans="1:22" ht="15.75" customHeight="1">
      <c r="A89" s="12"/>
      <c r="B89" s="218" t="s">
        <v>272</v>
      </c>
      <c r="C89" s="218"/>
      <c r="D89" s="218"/>
      <c r="E89" s="218"/>
      <c r="F89" s="218"/>
      <c r="G89" s="218"/>
      <c r="H89" s="103"/>
      <c r="I89" s="4"/>
      <c r="J89" s="26"/>
      <c r="L89" s="22"/>
    </row>
    <row r="90" spans="1:22" ht="15.75" customHeight="1">
      <c r="A90" s="65"/>
      <c r="B90" s="202" t="s">
        <v>6</v>
      </c>
      <c r="C90" s="202"/>
      <c r="D90" s="202"/>
      <c r="E90" s="202"/>
      <c r="F90" s="202"/>
      <c r="G90" s="202"/>
      <c r="H90" s="27"/>
      <c r="I90" s="54"/>
    </row>
    <row r="91" spans="1:22" ht="15.75" customHeight="1">
      <c r="A91" s="55"/>
      <c r="B91" s="55"/>
      <c r="C91" s="55"/>
      <c r="D91" s="55"/>
      <c r="E91" s="55"/>
      <c r="F91" s="55"/>
      <c r="G91" s="55"/>
      <c r="H91" s="55"/>
      <c r="I91" s="55"/>
    </row>
    <row r="92" spans="1:22" ht="15.75" customHeight="1">
      <c r="A92" s="219" t="s">
        <v>7</v>
      </c>
      <c r="B92" s="219"/>
      <c r="C92" s="219"/>
      <c r="D92" s="219"/>
      <c r="E92" s="219"/>
      <c r="F92" s="219"/>
      <c r="G92" s="219"/>
      <c r="H92" s="219"/>
      <c r="I92" s="219"/>
    </row>
    <row r="93" spans="1:22" ht="15.75" customHeight="1">
      <c r="A93" s="219" t="s">
        <v>8</v>
      </c>
      <c r="B93" s="219"/>
      <c r="C93" s="219"/>
      <c r="D93" s="219"/>
      <c r="E93" s="219"/>
      <c r="F93" s="219"/>
      <c r="G93" s="219"/>
      <c r="H93" s="219"/>
      <c r="I93" s="21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1"/>
    </row>
    <row r="94" spans="1:22" ht="15.75" customHeight="1">
      <c r="A94" s="200" t="s">
        <v>9</v>
      </c>
      <c r="B94" s="200"/>
      <c r="C94" s="200"/>
      <c r="D94" s="200"/>
      <c r="E94" s="200"/>
      <c r="F94" s="200"/>
      <c r="G94" s="200"/>
      <c r="H94" s="200"/>
      <c r="I94" s="200"/>
      <c r="J94" s="28"/>
      <c r="K94" s="28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 customHeight="1">
      <c r="A95" s="14"/>
      <c r="B95" s="53"/>
      <c r="C95" s="53"/>
      <c r="D95" s="53"/>
      <c r="E95" s="53"/>
      <c r="F95" s="53"/>
      <c r="G95" s="53"/>
      <c r="H95" s="53"/>
      <c r="I95" s="53"/>
      <c r="J95" s="6"/>
      <c r="K95" s="6"/>
      <c r="L95" s="6"/>
      <c r="M95" s="6"/>
      <c r="N95" s="6"/>
      <c r="O95" s="6"/>
      <c r="P95" s="6"/>
      <c r="Q95" s="6"/>
      <c r="R95" s="198"/>
      <c r="S95" s="198"/>
      <c r="T95" s="198"/>
      <c r="U95" s="198"/>
    </row>
    <row r="96" spans="1:22" ht="15.75" customHeight="1">
      <c r="A96" s="199" t="s">
        <v>10</v>
      </c>
      <c r="B96" s="199"/>
      <c r="C96" s="199"/>
      <c r="D96" s="199"/>
      <c r="E96" s="199"/>
      <c r="F96" s="199"/>
      <c r="G96" s="199"/>
      <c r="H96" s="199"/>
      <c r="I96" s="199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9" ht="15.75" customHeight="1">
      <c r="A97" s="5"/>
      <c r="B97" s="53"/>
      <c r="C97" s="53"/>
      <c r="D97" s="53"/>
      <c r="E97" s="53"/>
      <c r="F97" s="53"/>
      <c r="G97" s="53"/>
      <c r="H97" s="53"/>
      <c r="I97" s="53"/>
    </row>
    <row r="98" spans="1:9" ht="15.75" customHeight="1">
      <c r="A98" s="200" t="s">
        <v>11</v>
      </c>
      <c r="B98" s="200"/>
      <c r="C98" s="201" t="s">
        <v>190</v>
      </c>
      <c r="D98" s="201"/>
      <c r="E98" s="201"/>
      <c r="F98" s="67"/>
      <c r="I98" s="106"/>
    </row>
    <row r="99" spans="1:9" ht="15.75" customHeight="1">
      <c r="A99" s="65"/>
      <c r="B99" s="53"/>
      <c r="C99" s="202" t="s">
        <v>12</v>
      </c>
      <c r="D99" s="202"/>
      <c r="E99" s="202"/>
      <c r="F99" s="27"/>
      <c r="I99" s="104" t="s">
        <v>13</v>
      </c>
    </row>
    <row r="100" spans="1:9" ht="15.75" customHeight="1">
      <c r="A100" s="28"/>
      <c r="B100" s="53"/>
      <c r="C100" s="15"/>
      <c r="D100" s="15"/>
      <c r="G100" s="15"/>
      <c r="H100" s="15"/>
    </row>
    <row r="101" spans="1:9" ht="15.75" customHeight="1">
      <c r="A101" s="200" t="s">
        <v>14</v>
      </c>
      <c r="B101" s="200"/>
      <c r="C101" s="203"/>
      <c r="D101" s="203"/>
      <c r="E101" s="203"/>
      <c r="F101" s="68"/>
      <c r="I101" s="106"/>
    </row>
    <row r="102" spans="1:9" ht="15.75" customHeight="1">
      <c r="A102" s="107"/>
      <c r="C102" s="198" t="s">
        <v>12</v>
      </c>
      <c r="D102" s="198"/>
      <c r="E102" s="198"/>
      <c r="F102" s="107"/>
      <c r="I102" s="104" t="s">
        <v>13</v>
      </c>
    </row>
    <row r="103" spans="1:9" ht="15.75" customHeight="1">
      <c r="A103" s="5" t="s">
        <v>15</v>
      </c>
    </row>
    <row r="104" spans="1:9">
      <c r="A104" s="204" t="s">
        <v>16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ht="45" customHeight="1">
      <c r="A105" s="197" t="s">
        <v>17</v>
      </c>
      <c r="B105" s="197"/>
      <c r="C105" s="197"/>
      <c r="D105" s="197"/>
      <c r="E105" s="197"/>
      <c r="F105" s="197"/>
      <c r="G105" s="197"/>
      <c r="H105" s="197"/>
      <c r="I105" s="197"/>
    </row>
    <row r="106" spans="1:9" ht="30" customHeight="1">
      <c r="A106" s="197" t="s">
        <v>18</v>
      </c>
      <c r="B106" s="197"/>
      <c r="C106" s="197"/>
      <c r="D106" s="197"/>
      <c r="E106" s="197"/>
      <c r="F106" s="197"/>
      <c r="G106" s="197"/>
      <c r="H106" s="197"/>
      <c r="I106" s="197"/>
    </row>
    <row r="107" spans="1:9" ht="30" customHeight="1">
      <c r="A107" s="197" t="s">
        <v>22</v>
      </c>
      <c r="B107" s="197"/>
      <c r="C107" s="197"/>
      <c r="D107" s="197"/>
      <c r="E107" s="197"/>
      <c r="F107" s="197"/>
      <c r="G107" s="197"/>
      <c r="H107" s="197"/>
      <c r="I107" s="197"/>
    </row>
    <row r="108" spans="1:9" ht="15" customHeight="1">
      <c r="A108" s="197" t="s">
        <v>21</v>
      </c>
      <c r="B108" s="197"/>
      <c r="C108" s="197"/>
      <c r="D108" s="197"/>
      <c r="E108" s="197"/>
      <c r="F108" s="197"/>
      <c r="G108" s="197"/>
      <c r="H108" s="197"/>
      <c r="I108" s="197"/>
    </row>
  </sheetData>
  <autoFilter ref="I15:I91"/>
  <mergeCells count="31">
    <mergeCell ref="A14:I14"/>
    <mergeCell ref="A3:I3"/>
    <mergeCell ref="A4:I4"/>
    <mergeCell ref="A5:I5"/>
    <mergeCell ref="A8:I8"/>
    <mergeCell ref="A10:I10"/>
    <mergeCell ref="A94:I94"/>
    <mergeCell ref="A15:I15"/>
    <mergeCell ref="A27:I27"/>
    <mergeCell ref="A42:I42"/>
    <mergeCell ref="A53:I53"/>
    <mergeCell ref="A79:I79"/>
    <mergeCell ref="A83:I83"/>
    <mergeCell ref="A88:I88"/>
    <mergeCell ref="B89:G89"/>
    <mergeCell ref="B90:G90"/>
    <mergeCell ref="A92:I92"/>
    <mergeCell ref="A93:I93"/>
    <mergeCell ref="A108:I108"/>
    <mergeCell ref="R95:U95"/>
    <mergeCell ref="A96:I96"/>
    <mergeCell ref="A98:B98"/>
    <mergeCell ref="C98:E98"/>
    <mergeCell ref="C99:E99"/>
    <mergeCell ref="A101:B101"/>
    <mergeCell ref="C101:E101"/>
    <mergeCell ref="C102:E102"/>
    <mergeCell ref="A104:I104"/>
    <mergeCell ref="A105:I105"/>
    <mergeCell ref="A106:I106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topLeftCell="A68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157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222" t="s">
        <v>149</v>
      </c>
      <c r="B3" s="222"/>
      <c r="C3" s="222"/>
      <c r="D3" s="222"/>
      <c r="E3" s="222"/>
      <c r="F3" s="222"/>
      <c r="G3" s="222"/>
      <c r="H3" s="222"/>
      <c r="I3" s="222"/>
      <c r="J3" s="2"/>
      <c r="K3" s="2"/>
      <c r="L3" s="2"/>
      <c r="M3" s="2"/>
    </row>
    <row r="4" spans="1:15" ht="31.5" customHeight="1">
      <c r="A4" s="223" t="s">
        <v>82</v>
      </c>
      <c r="B4" s="223"/>
      <c r="C4" s="223"/>
      <c r="D4" s="223"/>
      <c r="E4" s="223"/>
      <c r="F4" s="223"/>
      <c r="G4" s="223"/>
      <c r="H4" s="223"/>
      <c r="I4" s="223"/>
      <c r="J4" s="3"/>
      <c r="K4" s="3"/>
      <c r="L4" s="3"/>
      <c r="M4" s="3"/>
    </row>
    <row r="5" spans="1:15" ht="15.75" customHeight="1">
      <c r="A5" s="222" t="s">
        <v>273</v>
      </c>
      <c r="B5" s="224"/>
      <c r="C5" s="224"/>
      <c r="D5" s="224"/>
      <c r="E5" s="224"/>
      <c r="F5" s="224"/>
      <c r="G5" s="224"/>
      <c r="H5" s="224"/>
      <c r="I5" s="224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44469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225" t="s">
        <v>188</v>
      </c>
      <c r="B8" s="225"/>
      <c r="C8" s="225"/>
      <c r="D8" s="225"/>
      <c r="E8" s="225"/>
      <c r="F8" s="225"/>
      <c r="G8" s="225"/>
      <c r="H8" s="225"/>
      <c r="I8" s="225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226" t="s">
        <v>154</v>
      </c>
      <c r="B10" s="226"/>
      <c r="C10" s="226"/>
      <c r="D10" s="226"/>
      <c r="E10" s="226"/>
      <c r="F10" s="226"/>
      <c r="G10" s="226"/>
      <c r="H10" s="226"/>
      <c r="I10" s="226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220" t="s">
        <v>126</v>
      </c>
      <c r="B14" s="221"/>
      <c r="C14" s="221"/>
      <c r="D14" s="221"/>
      <c r="E14" s="221"/>
      <c r="F14" s="221"/>
      <c r="G14" s="221"/>
      <c r="H14" s="221"/>
      <c r="I14" s="221"/>
      <c r="J14" s="109"/>
      <c r="K14" s="109"/>
      <c r="L14" s="10"/>
      <c r="M14" s="10"/>
      <c r="N14" s="10"/>
      <c r="O14" s="10"/>
    </row>
    <row r="15" spans="1:15">
      <c r="A15" s="205" t="s">
        <v>4</v>
      </c>
      <c r="B15" s="206"/>
      <c r="C15" s="206"/>
      <c r="D15" s="206"/>
      <c r="E15" s="206"/>
      <c r="F15" s="206"/>
      <c r="G15" s="206"/>
      <c r="H15" s="206"/>
      <c r="I15" s="207"/>
    </row>
    <row r="16" spans="1:15" ht="15.75" customHeight="1">
      <c r="A16" s="30">
        <v>1</v>
      </c>
      <c r="B16" s="59" t="s">
        <v>75</v>
      </c>
      <c r="C16" s="74" t="s">
        <v>83</v>
      </c>
      <c r="D16" s="59" t="s">
        <v>164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83</v>
      </c>
      <c r="D17" s="59" t="s">
        <v>165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83</v>
      </c>
      <c r="D18" s="59" t="s">
        <v>166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84</v>
      </c>
      <c r="C19" s="74" t="s">
        <v>81</v>
      </c>
      <c r="D19" s="59" t="s">
        <v>85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customHeight="1">
      <c r="A20" s="30">
        <v>4</v>
      </c>
      <c r="B20" s="59" t="s">
        <v>86</v>
      </c>
      <c r="C20" s="74" t="s">
        <v>83</v>
      </c>
      <c r="D20" s="59" t="s">
        <v>172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customHeight="1">
      <c r="A21" s="30">
        <v>5</v>
      </c>
      <c r="B21" s="59" t="s">
        <v>87</v>
      </c>
      <c r="C21" s="74" t="s">
        <v>83</v>
      </c>
      <c r="D21" s="59" t="s">
        <v>172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88</v>
      </c>
      <c r="C22" s="74" t="s">
        <v>50</v>
      </c>
      <c r="D22" s="59" t="s">
        <v>85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89</v>
      </c>
      <c r="C23" s="74" t="s">
        <v>50</v>
      </c>
      <c r="D23" s="59" t="s">
        <v>85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90</v>
      </c>
      <c r="C24" s="74" t="s">
        <v>50</v>
      </c>
      <c r="D24" s="60" t="s">
        <v>85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91</v>
      </c>
      <c r="C25" s="74" t="s">
        <v>50</v>
      </c>
      <c r="D25" s="59" t="s">
        <v>85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hidden="1" customHeight="1">
      <c r="A26" s="30">
        <v>6</v>
      </c>
      <c r="B26" s="36" t="s">
        <v>163</v>
      </c>
      <c r="C26" s="163" t="s">
        <v>139</v>
      </c>
      <c r="D26" s="36" t="s">
        <v>167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205" t="s">
        <v>74</v>
      </c>
      <c r="B27" s="206"/>
      <c r="C27" s="206"/>
      <c r="D27" s="206"/>
      <c r="E27" s="206"/>
      <c r="F27" s="206"/>
      <c r="G27" s="206"/>
      <c r="H27" s="206"/>
      <c r="I27" s="207"/>
      <c r="J27" s="25"/>
      <c r="K27" s="10"/>
      <c r="L27" s="10"/>
      <c r="M27" s="10"/>
    </row>
    <row r="28" spans="1:13" ht="15.75" customHeight="1">
      <c r="A28" s="113"/>
      <c r="B28" s="66" t="s">
        <v>127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6</v>
      </c>
      <c r="B29" s="59" t="s">
        <v>128</v>
      </c>
      <c r="C29" s="74" t="s">
        <v>92</v>
      </c>
      <c r="D29" s="59" t="s">
        <v>165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7</v>
      </c>
      <c r="B30" s="59" t="s">
        <v>129</v>
      </c>
      <c r="C30" s="74" t="s">
        <v>92</v>
      </c>
      <c r="D30" s="59" t="s">
        <v>164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92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103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135</v>
      </c>
      <c r="C36" s="74" t="s">
        <v>28</v>
      </c>
      <c r="D36" s="59" t="s">
        <v>104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105</v>
      </c>
      <c r="C37" s="74" t="s">
        <v>106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107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92</v>
      </c>
      <c r="D39" s="59" t="s">
        <v>136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108</v>
      </c>
      <c r="C40" s="74" t="s">
        <v>92</v>
      </c>
      <c r="D40" s="59" t="s">
        <v>137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customHeight="1">
      <c r="A42" s="208" t="s">
        <v>118</v>
      </c>
      <c r="B42" s="209"/>
      <c r="C42" s="209"/>
      <c r="D42" s="209"/>
      <c r="E42" s="209"/>
      <c r="F42" s="209"/>
      <c r="G42" s="209"/>
      <c r="H42" s="209"/>
      <c r="I42" s="210"/>
      <c r="J42" s="26"/>
    </row>
    <row r="43" spans="1:14" ht="15.75" customHeight="1">
      <c r="A43" s="30">
        <v>8</v>
      </c>
      <c r="B43" s="59" t="s">
        <v>109</v>
      </c>
      <c r="C43" s="74" t="s">
        <v>92</v>
      </c>
      <c r="D43" s="59" t="s">
        <v>172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customHeight="1">
      <c r="A44" s="30">
        <v>9</v>
      </c>
      <c r="B44" s="59" t="s">
        <v>34</v>
      </c>
      <c r="C44" s="74" t="s">
        <v>92</v>
      </c>
      <c r="D44" s="59" t="s">
        <v>172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customHeight="1">
      <c r="A45" s="30">
        <v>10</v>
      </c>
      <c r="B45" s="59" t="s">
        <v>35</v>
      </c>
      <c r="C45" s="74" t="s">
        <v>92</v>
      </c>
      <c r="D45" s="59" t="s">
        <v>172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customHeight="1">
      <c r="A46" s="30">
        <v>11</v>
      </c>
      <c r="B46" s="59" t="s">
        <v>32</v>
      </c>
      <c r="C46" s="74" t="s">
        <v>33</v>
      </c>
      <c r="D46" s="59" t="s">
        <v>172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customHeight="1">
      <c r="A47" s="30">
        <v>12</v>
      </c>
      <c r="B47" s="59" t="s">
        <v>53</v>
      </c>
      <c r="C47" s="74" t="s">
        <v>92</v>
      </c>
      <c r="D47" s="59" t="s">
        <v>172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customHeight="1">
      <c r="A48" s="30">
        <v>13</v>
      </c>
      <c r="B48" s="59" t="s">
        <v>110</v>
      </c>
      <c r="C48" s="74" t="s">
        <v>92</v>
      </c>
      <c r="D48" s="59" t="s">
        <v>172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customHeight="1">
      <c r="A49" s="30">
        <v>14</v>
      </c>
      <c r="B49" s="59" t="s">
        <v>111</v>
      </c>
      <c r="C49" s="74" t="s">
        <v>36</v>
      </c>
      <c r="D49" s="59" t="s">
        <v>172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customHeight="1">
      <c r="A50" s="30">
        <v>15</v>
      </c>
      <c r="B50" s="59" t="s">
        <v>37</v>
      </c>
      <c r="C50" s="74" t="s">
        <v>38</v>
      </c>
      <c r="D50" s="59" t="s">
        <v>172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hidden="1" customHeight="1">
      <c r="A51" s="30">
        <v>17</v>
      </c>
      <c r="B51" s="59" t="s">
        <v>112</v>
      </c>
      <c r="C51" s="74" t="s">
        <v>79</v>
      </c>
      <c r="D51" s="165">
        <v>44095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30">
        <v>18</v>
      </c>
      <c r="B52" s="59" t="s">
        <v>39</v>
      </c>
      <c r="C52" s="74" t="s">
        <v>79</v>
      </c>
      <c r="D52" s="165">
        <v>44095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208" t="s">
        <v>119</v>
      </c>
      <c r="B53" s="211"/>
      <c r="C53" s="211"/>
      <c r="D53" s="211"/>
      <c r="E53" s="211"/>
      <c r="F53" s="211"/>
      <c r="G53" s="211"/>
      <c r="H53" s="211"/>
      <c r="I53" s="212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113</v>
      </c>
      <c r="C55" s="74" t="s">
        <v>83</v>
      </c>
      <c r="D55" s="59" t="s">
        <v>114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101</v>
      </c>
      <c r="C56" s="84" t="s">
        <v>102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115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16</v>
      </c>
      <c r="B59" s="62" t="s">
        <v>138</v>
      </c>
      <c r="C59" s="56" t="s">
        <v>139</v>
      </c>
      <c r="D59" s="62" t="s">
        <v>172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100</v>
      </c>
      <c r="I60" s="16"/>
      <c r="J60" s="26"/>
      <c r="L60" s="22"/>
      <c r="M60" s="23"/>
      <c r="N60" s="24"/>
    </row>
    <row r="61" spans="1:14" ht="15.75" hidden="1" customHeight="1">
      <c r="A61" s="58">
        <v>23</v>
      </c>
      <c r="B61" s="17" t="s">
        <v>44</v>
      </c>
      <c r="C61" s="19" t="s">
        <v>79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79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95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96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97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98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customHeight="1">
      <c r="A68" s="58">
        <v>17</v>
      </c>
      <c r="B68" s="17" t="s">
        <v>54</v>
      </c>
      <c r="C68" s="19" t="s">
        <v>55</v>
      </c>
      <c r="D68" s="17" t="s">
        <v>177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15.75" customHeight="1">
      <c r="A69" s="58">
        <v>18</v>
      </c>
      <c r="B69" s="17" t="s">
        <v>140</v>
      </c>
      <c r="C69" s="30" t="s">
        <v>141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100</v>
      </c>
      <c r="I70" s="16"/>
      <c r="J70" s="26"/>
      <c r="L70" s="22"/>
      <c r="M70" s="23"/>
      <c r="N70" s="24"/>
    </row>
    <row r="71" spans="1:14" ht="18.75" hidden="1" customHeight="1">
      <c r="A71" s="58"/>
      <c r="B71" s="41" t="s">
        <v>142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9.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21" hidden="1" customHeight="1">
      <c r="A73" s="30">
        <v>21</v>
      </c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19.5" hidden="1" customHeight="1">
      <c r="A74" s="58">
        <v>22</v>
      </c>
      <c r="B74" s="120" t="s">
        <v>143</v>
      </c>
      <c r="C74" s="64" t="s">
        <v>79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f>G74*1</f>
        <v>130.96</v>
      </c>
      <c r="J74" s="26"/>
      <c r="L74" s="22"/>
      <c r="M74" s="23"/>
      <c r="N74" s="24"/>
    </row>
    <row r="75" spans="1:14" ht="16.5" hidden="1" customHeight="1">
      <c r="A75" s="58"/>
      <c r="B75" s="95" t="s">
        <v>68</v>
      </c>
      <c r="C75" s="19"/>
      <c r="D75" s="17"/>
      <c r="E75" s="21"/>
      <c r="F75" s="16"/>
      <c r="G75" s="16" t="s">
        <v>100</v>
      </c>
      <c r="H75" s="89" t="s">
        <v>100</v>
      </c>
      <c r="I75" s="16"/>
      <c r="J75" s="26"/>
      <c r="L75" s="22"/>
      <c r="M75" s="23"/>
      <c r="N75" s="24"/>
    </row>
    <row r="76" spans="1:14" ht="19.5" hidden="1" customHeight="1">
      <c r="A76" s="58"/>
      <c r="B76" s="43" t="s">
        <v>99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20.25" hidden="1" customHeight="1">
      <c r="A77" s="58"/>
      <c r="B77" s="66" t="s">
        <v>93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6.5" hidden="1" customHeight="1">
      <c r="A78" s="58">
        <v>19</v>
      </c>
      <c r="B78" s="59" t="s">
        <v>94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208" t="s">
        <v>120</v>
      </c>
      <c r="B79" s="213"/>
      <c r="C79" s="213"/>
      <c r="D79" s="213"/>
      <c r="E79" s="213"/>
      <c r="F79" s="213"/>
      <c r="G79" s="213"/>
      <c r="H79" s="213"/>
      <c r="I79" s="214"/>
      <c r="J79" s="26"/>
      <c r="L79" s="22"/>
      <c r="M79" s="23"/>
      <c r="N79" s="24"/>
    </row>
    <row r="80" spans="1:14" ht="15.75" customHeight="1">
      <c r="A80" s="58">
        <v>19</v>
      </c>
      <c r="B80" s="36" t="s">
        <v>116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20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I81+I80+I69+I68+I59+I50+I49+I48+I47+I46+I45+I44+I43+I30+I29+I21+I20+I18+I17+I16</f>
        <v>47959.358411199995</v>
      </c>
      <c r="J82" s="26"/>
      <c r="L82" s="22"/>
      <c r="M82" s="23"/>
      <c r="N82" s="24"/>
    </row>
    <row r="83" spans="1:14" ht="15.75" customHeight="1">
      <c r="A83" s="215" t="s">
        <v>56</v>
      </c>
      <c r="B83" s="216"/>
      <c r="C83" s="216"/>
      <c r="D83" s="216"/>
      <c r="E83" s="216"/>
      <c r="F83" s="216"/>
      <c r="G83" s="216"/>
      <c r="H83" s="216"/>
      <c r="I83" s="217"/>
      <c r="J83" s="26"/>
      <c r="L83" s="22"/>
      <c r="M83" s="23"/>
      <c r="N83" s="24"/>
    </row>
    <row r="84" spans="1:14" ht="17.25" customHeight="1">
      <c r="A84" s="58">
        <v>21</v>
      </c>
      <c r="B84" s="120" t="s">
        <v>274</v>
      </c>
      <c r="C84" s="173" t="s">
        <v>80</v>
      </c>
      <c r="D84" s="140"/>
      <c r="E84" s="39"/>
      <c r="F84" s="168">
        <v>0.08</v>
      </c>
      <c r="G84" s="39">
        <v>4113.16</v>
      </c>
      <c r="H84" s="119"/>
      <c r="I84" s="130">
        <f>G84*0.08</f>
        <v>329.05279999999999</v>
      </c>
      <c r="J84" s="26"/>
      <c r="L84" s="22"/>
      <c r="M84" s="23"/>
      <c r="N84" s="24"/>
    </row>
    <row r="85" spans="1:14" ht="27.75" customHeight="1">
      <c r="A85" s="58">
        <v>22</v>
      </c>
      <c r="B85" s="120" t="s">
        <v>187</v>
      </c>
      <c r="C85" s="64" t="s">
        <v>160</v>
      </c>
      <c r="D85" s="140" t="s">
        <v>277</v>
      </c>
      <c r="E85" s="39"/>
      <c r="F85" s="39">
        <v>3</v>
      </c>
      <c r="G85" s="39">
        <v>1478.55</v>
      </c>
      <c r="H85" s="119"/>
      <c r="I85" s="130">
        <f>G85*1.5</f>
        <v>2217.8249999999998</v>
      </c>
      <c r="J85" s="26"/>
      <c r="L85" s="22"/>
      <c r="M85" s="23"/>
      <c r="N85" s="24"/>
    </row>
    <row r="86" spans="1:14" ht="30.75" customHeight="1">
      <c r="A86" s="58">
        <v>23</v>
      </c>
      <c r="B86" s="120" t="s">
        <v>275</v>
      </c>
      <c r="C86" s="64" t="s">
        <v>160</v>
      </c>
      <c r="D86" s="140" t="s">
        <v>276</v>
      </c>
      <c r="E86" s="39"/>
      <c r="F86" s="39">
        <v>4</v>
      </c>
      <c r="G86" s="39">
        <v>1380.91</v>
      </c>
      <c r="H86" s="119"/>
      <c r="I86" s="130">
        <f>G86*4</f>
        <v>5523.64</v>
      </c>
      <c r="J86" s="26"/>
      <c r="L86" s="22"/>
      <c r="M86" s="23"/>
      <c r="N86" s="24"/>
    </row>
    <row r="87" spans="1:14" ht="30.75" customHeight="1">
      <c r="A87" s="58">
        <v>24</v>
      </c>
      <c r="B87" s="120" t="s">
        <v>161</v>
      </c>
      <c r="C87" s="64" t="s">
        <v>162</v>
      </c>
      <c r="D87" s="140" t="s">
        <v>278</v>
      </c>
      <c r="E87" s="39"/>
      <c r="F87" s="39">
        <v>2</v>
      </c>
      <c r="G87" s="39">
        <v>64.040000000000006</v>
      </c>
      <c r="H87" s="119"/>
      <c r="I87" s="130">
        <f>G87*1</f>
        <v>64.040000000000006</v>
      </c>
      <c r="J87" s="26"/>
      <c r="L87" s="22"/>
      <c r="M87" s="23"/>
      <c r="N87" s="24"/>
    </row>
    <row r="88" spans="1:14" ht="18" customHeight="1">
      <c r="A88" s="58">
        <v>25</v>
      </c>
      <c r="B88" s="120" t="s">
        <v>184</v>
      </c>
      <c r="C88" s="64" t="s">
        <v>38</v>
      </c>
      <c r="D88" s="140" t="s">
        <v>172</v>
      </c>
      <c r="E88" s="39"/>
      <c r="F88" s="39">
        <v>0.06</v>
      </c>
      <c r="G88" s="39">
        <v>28224.75</v>
      </c>
      <c r="H88" s="119"/>
      <c r="I88" s="130">
        <v>0</v>
      </c>
      <c r="J88" s="26"/>
      <c r="L88" s="22"/>
      <c r="M88" s="23"/>
      <c r="N88" s="24"/>
    </row>
    <row r="89" spans="1:14" ht="18" customHeight="1">
      <c r="A89" s="58">
        <v>26</v>
      </c>
      <c r="B89" s="120" t="s">
        <v>243</v>
      </c>
      <c r="C89" s="64" t="s">
        <v>28</v>
      </c>
      <c r="D89" s="140"/>
      <c r="E89" s="39"/>
      <c r="F89" s="39">
        <f>2.65+2.65+2.65+2.65</f>
        <v>10.6</v>
      </c>
      <c r="G89" s="39">
        <v>241.69</v>
      </c>
      <c r="H89" s="119"/>
      <c r="I89" s="130">
        <f>G89*2.65</f>
        <v>640.47849999999994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SUM(I84:I89)</f>
        <v>8775.0362999999998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134</v>
      </c>
      <c r="C92" s="37"/>
      <c r="D92" s="37"/>
      <c r="E92" s="37"/>
      <c r="F92" s="37"/>
      <c r="G92" s="49"/>
      <c r="H92" s="38"/>
      <c r="I92" s="34">
        <f>I82+I90</f>
        <v>56734.394711199995</v>
      </c>
      <c r="J92" s="26"/>
      <c r="L92" s="22"/>
      <c r="M92" s="23"/>
      <c r="N92" s="24"/>
    </row>
    <row r="93" spans="1:14" ht="15.75" customHeight="1">
      <c r="A93" s="200" t="s">
        <v>286</v>
      </c>
      <c r="B93" s="200"/>
      <c r="C93" s="200"/>
      <c r="D93" s="200"/>
      <c r="E93" s="200"/>
      <c r="F93" s="200"/>
      <c r="G93" s="200"/>
      <c r="H93" s="200"/>
      <c r="I93" s="200"/>
      <c r="J93" s="26"/>
      <c r="L93" s="22"/>
      <c r="M93" s="23"/>
      <c r="N93" s="24"/>
    </row>
    <row r="94" spans="1:14" ht="15.75" customHeight="1">
      <c r="A94" s="12"/>
      <c r="B94" s="218" t="s">
        <v>287</v>
      </c>
      <c r="C94" s="218"/>
      <c r="D94" s="218"/>
      <c r="E94" s="218"/>
      <c r="F94" s="218"/>
      <c r="G94" s="218"/>
      <c r="H94" s="103"/>
      <c r="I94" s="4"/>
      <c r="J94" s="26"/>
      <c r="L94" s="22"/>
    </row>
    <row r="95" spans="1:14" ht="15.75" customHeight="1">
      <c r="A95" s="65"/>
      <c r="B95" s="202" t="s">
        <v>6</v>
      </c>
      <c r="C95" s="202"/>
      <c r="D95" s="202"/>
      <c r="E95" s="202"/>
      <c r="F95" s="202"/>
      <c r="G95" s="202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219" t="s">
        <v>7</v>
      </c>
      <c r="B97" s="219"/>
      <c r="C97" s="219"/>
      <c r="D97" s="219"/>
      <c r="E97" s="219"/>
      <c r="F97" s="219"/>
      <c r="G97" s="219"/>
      <c r="H97" s="219"/>
      <c r="I97" s="219"/>
    </row>
    <row r="98" spans="1:22" ht="15.75" customHeight="1">
      <c r="A98" s="219" t="s">
        <v>8</v>
      </c>
      <c r="B98" s="219"/>
      <c r="C98" s="219"/>
      <c r="D98" s="219"/>
      <c r="E98" s="219"/>
      <c r="F98" s="219"/>
      <c r="G98" s="219"/>
      <c r="H98" s="219"/>
      <c r="I98" s="21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198"/>
      <c r="S100" s="198"/>
      <c r="T100" s="198"/>
      <c r="U100" s="198"/>
    </row>
    <row r="101" spans="1:22" ht="15.75" customHeight="1">
      <c r="A101" s="199" t="s">
        <v>10</v>
      </c>
      <c r="B101" s="199"/>
      <c r="C101" s="199"/>
      <c r="D101" s="199"/>
      <c r="E101" s="199"/>
      <c r="F101" s="199"/>
      <c r="G101" s="199"/>
      <c r="H101" s="199"/>
      <c r="I101" s="199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200" t="s">
        <v>11</v>
      </c>
      <c r="B103" s="200"/>
      <c r="C103" s="201" t="s">
        <v>190</v>
      </c>
      <c r="D103" s="201"/>
      <c r="E103" s="201"/>
      <c r="F103" s="67"/>
      <c r="I103" s="106"/>
    </row>
    <row r="104" spans="1:22" ht="15.75" customHeight="1">
      <c r="A104" s="65"/>
      <c r="B104" s="53"/>
      <c r="C104" s="202" t="s">
        <v>12</v>
      </c>
      <c r="D104" s="202"/>
      <c r="E104" s="202"/>
      <c r="F104" s="27"/>
      <c r="I104" s="104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200" t="s">
        <v>14</v>
      </c>
      <c r="B106" s="200"/>
      <c r="C106" s="203"/>
      <c r="D106" s="203"/>
      <c r="E106" s="203"/>
      <c r="F106" s="68"/>
      <c r="I106" s="106"/>
    </row>
    <row r="107" spans="1:22" ht="15.75" customHeight="1">
      <c r="A107" s="107"/>
      <c r="C107" s="198" t="s">
        <v>12</v>
      </c>
      <c r="D107" s="198"/>
      <c r="E107" s="198"/>
      <c r="F107" s="107"/>
      <c r="I107" s="104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7" t="s">
        <v>17</v>
      </c>
      <c r="B110" s="197"/>
      <c r="C110" s="197"/>
      <c r="D110" s="197"/>
      <c r="E110" s="197"/>
      <c r="F110" s="197"/>
      <c r="G110" s="197"/>
      <c r="H110" s="197"/>
      <c r="I110" s="197"/>
    </row>
    <row r="111" spans="1:22" ht="30" customHeight="1">
      <c r="A111" s="197" t="s">
        <v>18</v>
      </c>
      <c r="B111" s="197"/>
      <c r="C111" s="197"/>
      <c r="D111" s="197"/>
      <c r="E111" s="197"/>
      <c r="F111" s="197"/>
      <c r="G111" s="197"/>
      <c r="H111" s="197"/>
      <c r="I111" s="197"/>
    </row>
    <row r="112" spans="1:22" ht="30" customHeight="1">
      <c r="A112" s="197" t="s">
        <v>22</v>
      </c>
      <c r="B112" s="197"/>
      <c r="C112" s="197"/>
      <c r="D112" s="197"/>
      <c r="E112" s="197"/>
      <c r="F112" s="197"/>
      <c r="G112" s="197"/>
      <c r="H112" s="197"/>
      <c r="I112" s="197"/>
    </row>
    <row r="113" spans="1:9" ht="15" customHeight="1">
      <c r="A113" s="197" t="s">
        <v>21</v>
      </c>
      <c r="B113" s="197"/>
      <c r="C113" s="197"/>
      <c r="D113" s="197"/>
      <c r="E113" s="197"/>
      <c r="F113" s="197"/>
      <c r="G113" s="197"/>
      <c r="H113" s="197"/>
      <c r="I113" s="197"/>
    </row>
  </sheetData>
  <autoFilter ref="I15:I96"/>
  <mergeCells count="31">
    <mergeCell ref="A14:I14"/>
    <mergeCell ref="A3:I3"/>
    <mergeCell ref="A4:I4"/>
    <mergeCell ref="A5:I5"/>
    <mergeCell ref="A8:I8"/>
    <mergeCell ref="A10:I10"/>
    <mergeCell ref="A99:I99"/>
    <mergeCell ref="A15:I15"/>
    <mergeCell ref="A27:I27"/>
    <mergeCell ref="A42:I42"/>
    <mergeCell ref="A53:I53"/>
    <mergeCell ref="A79:I79"/>
    <mergeCell ref="A83:I83"/>
    <mergeCell ref="A93:I93"/>
    <mergeCell ref="B94:G94"/>
    <mergeCell ref="B95:G95"/>
    <mergeCell ref="A97:I97"/>
    <mergeCell ref="A98:I98"/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8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2022-01-20T10:36:10Z</cp:lastPrinted>
  <dcterms:created xsi:type="dcterms:W3CDTF">2016-03-25T08:33:47Z</dcterms:created>
  <dcterms:modified xsi:type="dcterms:W3CDTF">2022-01-20T10:36:49Z</dcterms:modified>
</cp:coreProperties>
</file>