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585" yWindow="-30" windowWidth="15480" windowHeight="8145" activeTab="11"/>
  </bookViews>
  <sheets>
    <sheet name="01.20" sheetId="28" r:id="rId1"/>
    <sheet name="02.20" sheetId="29" r:id="rId2"/>
    <sheet name="03.20" sheetId="30" r:id="rId3"/>
    <sheet name="04.20" sheetId="31" r:id="rId4"/>
    <sheet name="05.20" sheetId="32" r:id="rId5"/>
    <sheet name="06.20" sheetId="33" r:id="rId6"/>
    <sheet name="07.20" sheetId="34" r:id="rId7"/>
    <sheet name="08.20" sheetId="35" r:id="rId8"/>
    <sheet name="09.20" sheetId="36" r:id="rId9"/>
    <sheet name="10.20" sheetId="37" r:id="rId10"/>
    <sheet name="11.20" sheetId="38" r:id="rId11"/>
    <sheet name="12.20" sheetId="39" r:id="rId12"/>
  </sheets>
  <definedNames>
    <definedName name="_xlnm._FilterDatabase" localSheetId="0" hidden="1">'01.20'!$I$15:$I$97</definedName>
    <definedName name="_xlnm._FilterDatabase" localSheetId="1" hidden="1">'02.20'!$I$15:$I$99</definedName>
    <definedName name="_xlnm._FilterDatabase" localSheetId="2" hidden="1">'03.20'!$I$15:$I$93</definedName>
    <definedName name="_xlnm._FilterDatabase" localSheetId="3" hidden="1">'04.20'!$I$15:$I$92</definedName>
    <definedName name="_xlnm._FilterDatabase" localSheetId="4" hidden="1">'05.20'!$I$15:$I$94</definedName>
    <definedName name="_xlnm._FilterDatabase" localSheetId="5" hidden="1">'06.20'!$I$15:$I$99</definedName>
    <definedName name="_xlnm._FilterDatabase" localSheetId="6" hidden="1">'07.20'!$I$15:$I$94</definedName>
    <definedName name="_xlnm._FilterDatabase" localSheetId="7" hidden="1">'08.20'!$I$15:$I$94</definedName>
    <definedName name="_xlnm._FilterDatabase" localSheetId="8" hidden="1">'09.20'!$I$15:$I$92</definedName>
    <definedName name="_xlnm._FilterDatabase" localSheetId="9" hidden="1">'10.20'!$I$15:$I$91</definedName>
    <definedName name="_xlnm._FilterDatabase" localSheetId="10" hidden="1">'11.20'!$I$15:$I$95</definedName>
    <definedName name="_xlnm._FilterDatabase" localSheetId="11" hidden="1">'12.20'!$I$15:$I$104</definedName>
    <definedName name="_xlnm.Print_Area" localSheetId="0">'01.20'!$A$1:$I$116</definedName>
    <definedName name="_xlnm.Print_Area" localSheetId="1">'02.20'!$A$1:$I$118</definedName>
    <definedName name="_xlnm.Print_Area" localSheetId="2">'03.20'!$A$1:$I$112</definedName>
    <definedName name="_xlnm.Print_Area" localSheetId="3">'04.20'!$A$1:$I$111</definedName>
    <definedName name="_xlnm.Print_Area" localSheetId="4">'05.20'!$A$1:$I$113</definedName>
    <definedName name="_xlnm.Print_Area" localSheetId="5">'06.20'!$A$1:$I$118</definedName>
    <definedName name="_xlnm.Print_Area" localSheetId="6">'07.20'!$A$1:$I$113</definedName>
    <definedName name="_xlnm.Print_Area" localSheetId="7">'08.20'!$A$1:$I$113</definedName>
    <definedName name="_xlnm.Print_Area" localSheetId="8">'09.20'!$A$1:$I$111</definedName>
    <definedName name="_xlnm.Print_Area" localSheetId="9">'10.20'!$A$1:$I$110</definedName>
    <definedName name="_xlnm.Print_Area" localSheetId="10">'11.20'!$A$1:$I$114</definedName>
    <definedName name="_xlnm.Print_Area" localSheetId="11">'12.20'!$A$1:$I$123</definedName>
  </definedNames>
  <calcPr calcId="124519"/>
</workbook>
</file>

<file path=xl/calcChain.xml><?xml version="1.0" encoding="utf-8"?>
<calcChain xmlns="http://schemas.openxmlformats.org/spreadsheetml/2006/main">
  <c r="I84" i="39"/>
  <c r="I93"/>
  <c r="I100"/>
  <c r="I98"/>
  <c r="I97"/>
  <c r="I96"/>
  <c r="I95"/>
  <c r="I94"/>
  <c r="I92"/>
  <c r="I90"/>
  <c r="I89"/>
  <c r="I63"/>
  <c r="I37"/>
  <c r="I84" i="38"/>
  <c r="I91"/>
  <c r="I90"/>
  <c r="I89"/>
  <c r="I62"/>
  <c r="I87" i="37" l="1"/>
  <c r="I82"/>
  <c r="I60"/>
  <c r="I86"/>
  <c r="I85"/>
  <c r="I90" i="35"/>
  <c r="I89"/>
  <c r="I82" i="36"/>
  <c r="I88"/>
  <c r="I86"/>
  <c r="I85"/>
  <c r="I60"/>
  <c r="I82" i="35"/>
  <c r="I85"/>
  <c r="I83" i="34"/>
  <c r="I90"/>
  <c r="I89"/>
  <c r="I88"/>
  <c r="I87"/>
  <c r="I86"/>
  <c r="I89" i="30" l="1"/>
  <c r="I88"/>
  <c r="I84" i="33" l="1"/>
  <c r="I95"/>
  <c r="I94"/>
  <c r="I93"/>
  <c r="I92"/>
  <c r="I91"/>
  <c r="I90"/>
  <c r="I89"/>
  <c r="I88"/>
  <c r="I87"/>
  <c r="I85" i="32" l="1"/>
  <c r="I82"/>
  <c r="I90"/>
  <c r="I89"/>
  <c r="I88"/>
  <c r="I87"/>
  <c r="I86"/>
  <c r="I56"/>
  <c r="I83" i="31"/>
  <c r="I88"/>
  <c r="I87"/>
  <c r="I86"/>
  <c r="I83" i="30"/>
  <c r="I87"/>
  <c r="I86"/>
  <c r="I61"/>
  <c r="I42"/>
  <c r="I36"/>
  <c r="I56" i="29"/>
  <c r="I84" l="1"/>
  <c r="I95"/>
  <c r="I94"/>
  <c r="I93"/>
  <c r="I92"/>
  <c r="I91"/>
  <c r="I90"/>
  <c r="I89"/>
  <c r="I88"/>
  <c r="I36"/>
  <c r="I83" i="28" l="1"/>
  <c r="I74"/>
  <c r="I73"/>
  <c r="I93"/>
  <c r="I92"/>
  <c r="I91"/>
  <c r="I90"/>
  <c r="I87"/>
  <c r="I86"/>
  <c r="F86"/>
  <c r="I36"/>
  <c r="I87" i="39" l="1"/>
  <c r="F87"/>
  <c r="H87" s="1"/>
  <c r="I43"/>
  <c r="H43"/>
  <c r="F42"/>
  <c r="H42" s="1"/>
  <c r="F41"/>
  <c r="I41" s="1"/>
  <c r="F40"/>
  <c r="H40" s="1"/>
  <c r="I39"/>
  <c r="H39"/>
  <c r="F38"/>
  <c r="I38" s="1"/>
  <c r="H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38"/>
  <c r="I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39" l="1"/>
  <c r="H38"/>
  <c r="H41"/>
  <c r="I40"/>
  <c r="I42"/>
  <c r="I18"/>
  <c r="H18"/>
  <c r="I16"/>
  <c r="I26"/>
  <c r="H17" i="38"/>
  <c r="I18"/>
  <c r="H18"/>
  <c r="I16"/>
  <c r="I26"/>
  <c r="F30" i="37"/>
  <c r="H30" s="1"/>
  <c r="F29"/>
  <c r="I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16" l="1"/>
  <c r="H26"/>
  <c r="H29"/>
  <c r="I30"/>
  <c r="I17"/>
  <c r="I18"/>
  <c r="F26" i="36" l="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30" i="35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6" i="34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3"/>
  <c r="H26" s="1"/>
  <c r="F25"/>
  <c r="F24"/>
  <c r="F23"/>
  <c r="F22"/>
  <c r="F21"/>
  <c r="F20"/>
  <c r="F19"/>
  <c r="E18"/>
  <c r="F18" s="1"/>
  <c r="F17"/>
  <c r="I17" s="1"/>
  <c r="F16"/>
  <c r="H16" s="1"/>
  <c r="F26" i="32"/>
  <c r="H26" s="1"/>
  <c r="E18"/>
  <c r="F18" s="1"/>
  <c r="F17"/>
  <c r="H17" s="1"/>
  <c r="F16"/>
  <c r="I16" s="1"/>
  <c r="F26" i="3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0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9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8"/>
  <c r="I20" i="36" l="1"/>
  <c r="I21"/>
  <c r="H20" i="33"/>
  <c r="I20"/>
  <c r="H22"/>
  <c r="I22"/>
  <c r="H24"/>
  <c r="I24"/>
  <c r="H19"/>
  <c r="I19"/>
  <c r="H21"/>
  <c r="I21"/>
  <c r="H23"/>
  <c r="I23"/>
  <c r="H25"/>
  <c r="I25"/>
  <c r="H17" i="31"/>
  <c r="H17" i="30"/>
  <c r="H17" i="29"/>
  <c r="H17" i="36"/>
  <c r="I18"/>
  <c r="H18"/>
  <c r="I16"/>
  <c r="I26"/>
  <c r="H17" i="35"/>
  <c r="H29"/>
  <c r="I30"/>
  <c r="I18"/>
  <c r="H18"/>
  <c r="I16"/>
  <c r="I26"/>
  <c r="H17" i="34"/>
  <c r="I18"/>
  <c r="H18"/>
  <c r="I16"/>
  <c r="I26"/>
  <c r="H17" i="33"/>
  <c r="I18"/>
  <c r="H18"/>
  <c r="I16"/>
  <c r="I26"/>
  <c r="I26" i="32"/>
  <c r="H18"/>
  <c r="I18"/>
  <c r="H16"/>
  <c r="I17"/>
  <c r="I18" i="31"/>
  <c r="H18"/>
  <c r="I16"/>
  <c r="I26"/>
  <c r="I18" i="30"/>
  <c r="H18"/>
  <c r="I26"/>
  <c r="I16"/>
  <c r="I18" i="29"/>
  <c r="H18"/>
  <c r="I26"/>
  <c r="I16"/>
  <c r="I60" i="32"/>
  <c r="I61" i="31"/>
  <c r="I87" i="29"/>
  <c r="I80" l="1"/>
  <c r="I57"/>
  <c r="I89" i="28"/>
  <c r="I88"/>
  <c r="F63" i="39"/>
  <c r="I86"/>
  <c r="H86"/>
  <c r="I86" i="38"/>
  <c r="H86"/>
  <c r="I43"/>
  <c r="I56" i="37"/>
  <c r="I84"/>
  <c r="H84"/>
  <c r="I84" i="36" l="1"/>
  <c r="H84"/>
  <c r="I84" i="35" l="1"/>
  <c r="H84"/>
  <c r="I85" i="34" l="1"/>
  <c r="H85"/>
  <c r="I86" i="33" l="1"/>
  <c r="H86"/>
  <c r="I56" i="31" l="1"/>
  <c r="I84" i="32"/>
  <c r="H84"/>
  <c r="I85" i="31" l="1"/>
  <c r="H85"/>
  <c r="I42"/>
  <c r="H87" i="29"/>
  <c r="I85" i="30"/>
  <c r="H85"/>
  <c r="I42" i="29" l="1"/>
  <c r="I61" i="28"/>
  <c r="I42"/>
  <c r="I86" i="29" l="1"/>
  <c r="H86"/>
  <c r="I61"/>
  <c r="H86" i="28"/>
  <c r="I85"/>
  <c r="H85"/>
  <c r="I76"/>
  <c r="F83" i="39" l="1"/>
  <c r="I83" s="1"/>
  <c r="F82"/>
  <c r="H82" s="1"/>
  <c r="H80"/>
  <c r="H78"/>
  <c r="H77"/>
  <c r="I76"/>
  <c r="H76"/>
  <c r="H75"/>
  <c r="F74"/>
  <c r="H74" s="1"/>
  <c r="I72"/>
  <c r="H72"/>
  <c r="F70"/>
  <c r="I70" s="1"/>
  <c r="I69"/>
  <c r="F69"/>
  <c r="H69" s="1"/>
  <c r="F68"/>
  <c r="I68" s="1"/>
  <c r="F67"/>
  <c r="H67" s="1"/>
  <c r="F66"/>
  <c r="I66" s="1"/>
  <c r="F65"/>
  <c r="H65" s="1"/>
  <c r="F64"/>
  <c r="I64" s="1"/>
  <c r="H63"/>
  <c r="I62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35"/>
  <c r="H34"/>
  <c r="F33"/>
  <c r="I33" s="1"/>
  <c r="E33"/>
  <c r="F32"/>
  <c r="I32" s="1"/>
  <c r="F31"/>
  <c r="H31" s="1"/>
  <c r="F30"/>
  <c r="I30" s="1"/>
  <c r="F27"/>
  <c r="I27" s="1"/>
  <c r="F87" i="38"/>
  <c r="H87" s="1"/>
  <c r="F83"/>
  <c r="I83" s="1"/>
  <c r="F82"/>
  <c r="I82" s="1"/>
  <c r="H80"/>
  <c r="H78"/>
  <c r="H77"/>
  <c r="I76"/>
  <c r="H76"/>
  <c r="H75"/>
  <c r="F74"/>
  <c r="H74" s="1"/>
  <c r="I72"/>
  <c r="H72"/>
  <c r="F70"/>
  <c r="H70" s="1"/>
  <c r="I69"/>
  <c r="F69"/>
  <c r="H69" s="1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H43"/>
  <c r="F42"/>
  <c r="F41"/>
  <c r="I41" s="1"/>
  <c r="F40"/>
  <c r="H40" s="1"/>
  <c r="I39"/>
  <c r="H39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H42" l="1"/>
  <c r="I42"/>
  <c r="H83"/>
  <c r="H27" i="39"/>
  <c r="H30"/>
  <c r="I31"/>
  <c r="H32"/>
  <c r="H33"/>
  <c r="I45"/>
  <c r="H46"/>
  <c r="I47"/>
  <c r="H48"/>
  <c r="I49"/>
  <c r="H50"/>
  <c r="I51"/>
  <c r="H57"/>
  <c r="H64"/>
  <c r="I65"/>
  <c r="H66"/>
  <c r="I67"/>
  <c r="H68"/>
  <c r="H70"/>
  <c r="I82"/>
  <c r="H83"/>
  <c r="H27" i="38"/>
  <c r="I30"/>
  <c r="H31"/>
  <c r="I32"/>
  <c r="I33"/>
  <c r="H38"/>
  <c r="I40"/>
  <c r="H41"/>
  <c r="H45"/>
  <c r="I46"/>
  <c r="H47"/>
  <c r="I48"/>
  <c r="H49"/>
  <c r="I50"/>
  <c r="H51"/>
  <c r="I57"/>
  <c r="I64"/>
  <c r="H65"/>
  <c r="I66"/>
  <c r="H67"/>
  <c r="I68"/>
  <c r="I70"/>
  <c r="H82"/>
  <c r="I93" l="1"/>
  <c r="I102" i="39"/>
  <c r="F81" i="37" l="1"/>
  <c r="H81" s="1"/>
  <c r="F80"/>
  <c r="I80" s="1"/>
  <c r="H78"/>
  <c r="H76"/>
  <c r="H75"/>
  <c r="I74"/>
  <c r="H74"/>
  <c r="H73"/>
  <c r="F72"/>
  <c r="H72" s="1"/>
  <c r="I70"/>
  <c r="H70"/>
  <c r="F68"/>
  <c r="H68" s="1"/>
  <c r="I67"/>
  <c r="F67"/>
  <c r="H67" s="1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I67" i="36"/>
  <c r="F81"/>
  <c r="H81" s="1"/>
  <c r="F80"/>
  <c r="I80" s="1"/>
  <c r="H78"/>
  <c r="H76"/>
  <c r="H75"/>
  <c r="I74"/>
  <c r="H74"/>
  <c r="H73"/>
  <c r="F72"/>
  <c r="H72" s="1"/>
  <c r="I70"/>
  <c r="H70"/>
  <c r="F68"/>
  <c r="H68" s="1"/>
  <c r="F67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H30" s="1"/>
  <c r="F29"/>
  <c r="I29" s="1"/>
  <c r="F81" i="35"/>
  <c r="H81" s="1"/>
  <c r="F80"/>
  <c r="I80" s="1"/>
  <c r="H78"/>
  <c r="H76"/>
  <c r="H75"/>
  <c r="I74"/>
  <c r="H74"/>
  <c r="H73"/>
  <c r="F72"/>
  <c r="H72" s="1"/>
  <c r="I70"/>
  <c r="H70"/>
  <c r="F68"/>
  <c r="H68" s="1"/>
  <c r="F67"/>
  <c r="I67" s="1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82" i="34"/>
  <c r="I82" s="1"/>
  <c r="F81"/>
  <c r="H81" s="1"/>
  <c r="H79"/>
  <c r="H77"/>
  <c r="H76"/>
  <c r="I75"/>
  <c r="H75"/>
  <c r="H74"/>
  <c r="F73"/>
  <c r="H73" s="1"/>
  <c r="I71"/>
  <c r="H71"/>
  <c r="F69"/>
  <c r="I69" s="1"/>
  <c r="F67"/>
  <c r="H67" s="1"/>
  <c r="F66"/>
  <c r="I66" s="1"/>
  <c r="F65"/>
  <c r="H65" s="1"/>
  <c r="F64"/>
  <c r="I64" s="1"/>
  <c r="F63"/>
  <c r="H63" s="1"/>
  <c r="F62"/>
  <c r="I62" s="1"/>
  <c r="F61"/>
  <c r="H61" s="1"/>
  <c r="F60"/>
  <c r="H60" s="1"/>
  <c r="F58"/>
  <c r="H58" s="1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30"/>
  <c r="I30" s="1"/>
  <c r="F29"/>
  <c r="H29" s="1"/>
  <c r="F83" i="33"/>
  <c r="I83" s="1"/>
  <c r="F82"/>
  <c r="H82" s="1"/>
  <c r="H80"/>
  <c r="H78"/>
  <c r="H77"/>
  <c r="I76"/>
  <c r="H76"/>
  <c r="H75"/>
  <c r="F74"/>
  <c r="H74" s="1"/>
  <c r="I72"/>
  <c r="H72"/>
  <c r="F70"/>
  <c r="I70" s="1"/>
  <c r="F68"/>
  <c r="H68" s="1"/>
  <c r="F67"/>
  <c r="I67" s="1"/>
  <c r="F66"/>
  <c r="H66" s="1"/>
  <c r="F65"/>
  <c r="I65" s="1"/>
  <c r="F64"/>
  <c r="H64" s="1"/>
  <c r="F63"/>
  <c r="I63" s="1"/>
  <c r="F62"/>
  <c r="H62" s="1"/>
  <c r="F61"/>
  <c r="H61" s="1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I38"/>
  <c r="H38"/>
  <c r="F37"/>
  <c r="I37" s="1"/>
  <c r="I36"/>
  <c r="H36"/>
  <c r="H34"/>
  <c r="H33"/>
  <c r="F32"/>
  <c r="H32" s="1"/>
  <c r="F31"/>
  <c r="I31" s="1"/>
  <c r="F30"/>
  <c r="H30" s="1"/>
  <c r="F27"/>
  <c r="I27" s="1"/>
  <c r="H88" i="32"/>
  <c r="H87"/>
  <c r="H86"/>
  <c r="H85"/>
  <c r="I70"/>
  <c r="F31"/>
  <c r="H31" s="1"/>
  <c r="F30"/>
  <c r="H30" s="1"/>
  <c r="F29"/>
  <c r="H29" s="1"/>
  <c r="F25"/>
  <c r="I25" s="1"/>
  <c r="F24"/>
  <c r="I24" s="1"/>
  <c r="F23"/>
  <c r="H23" s="1"/>
  <c r="F22"/>
  <c r="H22" s="1"/>
  <c r="F21"/>
  <c r="H21" s="1"/>
  <c r="F20"/>
  <c r="H20" s="1"/>
  <c r="F19"/>
  <c r="H26" i="28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F81" i="32"/>
  <c r="I81" s="1"/>
  <c r="F80"/>
  <c r="I80" s="1"/>
  <c r="H78"/>
  <c r="H76"/>
  <c r="H75"/>
  <c r="I74"/>
  <c r="H74"/>
  <c r="H73"/>
  <c r="F72"/>
  <c r="H72" s="1"/>
  <c r="H70"/>
  <c r="F68"/>
  <c r="I68" s="1"/>
  <c r="F67"/>
  <c r="H67" s="1"/>
  <c r="F66"/>
  <c r="H66" s="1"/>
  <c r="F65"/>
  <c r="H65" s="1"/>
  <c r="F64"/>
  <c r="H64" s="1"/>
  <c r="F63"/>
  <c r="H63" s="1"/>
  <c r="F62"/>
  <c r="H62" s="1"/>
  <c r="F61"/>
  <c r="H61" s="1"/>
  <c r="F60"/>
  <c r="H60" s="1"/>
  <c r="F58"/>
  <c r="H58" s="1"/>
  <c r="H56"/>
  <c r="F55"/>
  <c r="I55" s="1"/>
  <c r="I52"/>
  <c r="F52"/>
  <c r="H52" s="1"/>
  <c r="I51"/>
  <c r="F51"/>
  <c r="H51" s="1"/>
  <c r="I50"/>
  <c r="H50"/>
  <c r="F49"/>
  <c r="I49" s="1"/>
  <c r="F48"/>
  <c r="I48" s="1"/>
  <c r="F47"/>
  <c r="I47" s="1"/>
  <c r="F46"/>
  <c r="H46" s="1"/>
  <c r="F45"/>
  <c r="H45" s="1"/>
  <c r="F44"/>
  <c r="H44" s="1"/>
  <c r="F43"/>
  <c r="H43" s="1"/>
  <c r="I41"/>
  <c r="H41"/>
  <c r="F40"/>
  <c r="I40" s="1"/>
  <c r="F39"/>
  <c r="I39" s="1"/>
  <c r="F38"/>
  <c r="I38" s="1"/>
  <c r="I37"/>
  <c r="H37"/>
  <c r="F36"/>
  <c r="I36" s="1"/>
  <c r="I35"/>
  <c r="H35"/>
  <c r="H33"/>
  <c r="H32"/>
  <c r="I38" i="31"/>
  <c r="F82"/>
  <c r="H82" s="1"/>
  <c r="F81"/>
  <c r="I81" s="1"/>
  <c r="H79"/>
  <c r="H77"/>
  <c r="H76"/>
  <c r="I75"/>
  <c r="H75"/>
  <c r="H74"/>
  <c r="F73"/>
  <c r="H73" s="1"/>
  <c r="H71"/>
  <c r="F69"/>
  <c r="I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I36"/>
  <c r="H36"/>
  <c r="H34"/>
  <c r="H33"/>
  <c r="F31"/>
  <c r="H31" s="1"/>
  <c r="I51" i="30"/>
  <c r="F82"/>
  <c r="I82" s="1"/>
  <c r="F81"/>
  <c r="H81" s="1"/>
  <c r="H79"/>
  <c r="H77"/>
  <c r="H76"/>
  <c r="I75"/>
  <c r="H75"/>
  <c r="H74"/>
  <c r="F73"/>
  <c r="H73" s="1"/>
  <c r="H7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I57"/>
  <c r="H57"/>
  <c r="F56"/>
  <c r="I56" s="1"/>
  <c r="I53"/>
  <c r="F53"/>
  <c r="H53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I41" s="1"/>
  <c r="F40"/>
  <c r="I40" s="1"/>
  <c r="F39"/>
  <c r="H39" s="1"/>
  <c r="H38"/>
  <c r="F37"/>
  <c r="H37" s="1"/>
  <c r="H36"/>
  <c r="H34"/>
  <c r="H33"/>
  <c r="F31"/>
  <c r="H31" s="1"/>
  <c r="F83" i="29"/>
  <c r="I83" s="1"/>
  <c r="F82"/>
  <c r="I82" s="1"/>
  <c r="H80"/>
  <c r="H78"/>
  <c r="H77"/>
  <c r="I76"/>
  <c r="H76"/>
  <c r="H75"/>
  <c r="F74"/>
  <c r="H74" s="1"/>
  <c r="H72"/>
  <c r="F70"/>
  <c r="I70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H57"/>
  <c r="F56"/>
  <c r="H56" s="1"/>
  <c r="I53"/>
  <c r="F53"/>
  <c r="H53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I39" s="1"/>
  <c r="H38"/>
  <c r="F37"/>
  <c r="I37" s="1"/>
  <c r="H36"/>
  <c r="H34"/>
  <c r="H33"/>
  <c r="F31"/>
  <c r="H31" s="1"/>
  <c r="F82" i="28"/>
  <c r="F81"/>
  <c r="H81" s="1"/>
  <c r="H79"/>
  <c r="H77"/>
  <c r="H76"/>
  <c r="I75"/>
  <c r="H75"/>
  <c r="H74"/>
  <c r="F73"/>
  <c r="H73" s="1"/>
  <c r="H7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I57"/>
  <c r="H57"/>
  <c r="F56"/>
  <c r="H56" s="1"/>
  <c r="I53"/>
  <c r="F53"/>
  <c r="H53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F31"/>
  <c r="H31" s="1"/>
  <c r="H40" i="35" l="1"/>
  <c r="H38"/>
  <c r="H41" i="31"/>
  <c r="I41"/>
  <c r="H81"/>
  <c r="H69"/>
  <c r="H41" i="30"/>
  <c r="H41" i="28"/>
  <c r="I41"/>
  <c r="H19" i="32"/>
  <c r="I19"/>
  <c r="H24"/>
  <c r="H25"/>
  <c r="I21"/>
  <c r="I22"/>
  <c r="I31"/>
  <c r="I45"/>
  <c r="I43"/>
  <c r="I62"/>
  <c r="I66"/>
  <c r="I64"/>
  <c r="H81"/>
  <c r="I20"/>
  <c r="I23"/>
  <c r="I29"/>
  <c r="I30"/>
  <c r="I46"/>
  <c r="I44"/>
  <c r="I67"/>
  <c r="I65"/>
  <c r="I63"/>
  <c r="H64" i="34"/>
  <c r="H83" i="29"/>
  <c r="H17" i="28"/>
  <c r="H31" i="37"/>
  <c r="I36"/>
  <c r="H38"/>
  <c r="I39"/>
  <c r="H40"/>
  <c r="I43"/>
  <c r="H44"/>
  <c r="I45"/>
  <c r="H46"/>
  <c r="I47"/>
  <c r="H48"/>
  <c r="I49"/>
  <c r="H55"/>
  <c r="I62"/>
  <c r="H63"/>
  <c r="I64"/>
  <c r="H65"/>
  <c r="I66"/>
  <c r="I68"/>
  <c r="H80"/>
  <c r="I81"/>
  <c r="H29" i="36"/>
  <c r="I30"/>
  <c r="H31"/>
  <c r="I36"/>
  <c r="H38"/>
  <c r="I39"/>
  <c r="H40"/>
  <c r="I43"/>
  <c r="H44"/>
  <c r="I45"/>
  <c r="H46"/>
  <c r="I47"/>
  <c r="H48"/>
  <c r="I49"/>
  <c r="H55"/>
  <c r="I62"/>
  <c r="H63"/>
  <c r="I64"/>
  <c r="H65"/>
  <c r="I66"/>
  <c r="H67"/>
  <c r="I68"/>
  <c r="H80"/>
  <c r="I81"/>
  <c r="H31" i="35"/>
  <c r="I36"/>
  <c r="I39"/>
  <c r="I43"/>
  <c r="H44"/>
  <c r="I45"/>
  <c r="H46"/>
  <c r="I47"/>
  <c r="H48"/>
  <c r="I49"/>
  <c r="H55"/>
  <c r="I62"/>
  <c r="H63"/>
  <c r="I64"/>
  <c r="H65"/>
  <c r="I66"/>
  <c r="H67"/>
  <c r="I68"/>
  <c r="H80"/>
  <c r="I81"/>
  <c r="I29" i="34"/>
  <c r="H30"/>
  <c r="I31"/>
  <c r="H36"/>
  <c r="I38"/>
  <c r="H39"/>
  <c r="I40"/>
  <c r="H43"/>
  <c r="I44"/>
  <c r="H45"/>
  <c r="I46"/>
  <c r="H47"/>
  <c r="I48"/>
  <c r="H49"/>
  <c r="I55"/>
  <c r="H62"/>
  <c r="I63"/>
  <c r="I65"/>
  <c r="H66"/>
  <c r="I67"/>
  <c r="H69"/>
  <c r="I81"/>
  <c r="H82"/>
  <c r="H27" i="33"/>
  <c r="I30"/>
  <c r="H31"/>
  <c r="I32"/>
  <c r="H37"/>
  <c r="I39"/>
  <c r="H40"/>
  <c r="I41"/>
  <c r="H44"/>
  <c r="I45"/>
  <c r="H46"/>
  <c r="I47"/>
  <c r="H48"/>
  <c r="I49"/>
  <c r="H50"/>
  <c r="I56"/>
  <c r="H63"/>
  <c r="I64"/>
  <c r="H65"/>
  <c r="I66"/>
  <c r="H67"/>
  <c r="I68"/>
  <c r="H70"/>
  <c r="I82"/>
  <c r="H83"/>
  <c r="H55" i="32"/>
  <c r="H38"/>
  <c r="H40"/>
  <c r="H48"/>
  <c r="I26" i="28"/>
  <c r="H18"/>
  <c r="I18"/>
  <c r="H16"/>
  <c r="H36" i="32"/>
  <c r="H39"/>
  <c r="H47"/>
  <c r="H49"/>
  <c r="H68"/>
  <c r="H80"/>
  <c r="I37" i="31"/>
  <c r="I39"/>
  <c r="H40"/>
  <c r="H48"/>
  <c r="I49"/>
  <c r="H50"/>
  <c r="I82"/>
  <c r="I49" i="30"/>
  <c r="I50"/>
  <c r="H82"/>
  <c r="I37"/>
  <c r="I39"/>
  <c r="H40"/>
  <c r="H48"/>
  <c r="H56"/>
  <c r="I69"/>
  <c r="I81"/>
  <c r="H37" i="29"/>
  <c r="H39"/>
  <c r="I40"/>
  <c r="H41"/>
  <c r="I48"/>
  <c r="H70"/>
  <c r="H82"/>
  <c r="H40" i="28"/>
  <c r="H48"/>
  <c r="H82"/>
  <c r="I82"/>
  <c r="I81"/>
  <c r="I69"/>
  <c r="I56"/>
  <c r="I37"/>
  <c r="I39"/>
  <c r="I95" l="1"/>
  <c r="I92" i="35"/>
  <c r="I92" i="32"/>
  <c r="I90" i="36"/>
  <c r="I92" i="34"/>
  <c r="I97" i="29"/>
  <c r="I89" i="37"/>
  <c r="I97" i="33"/>
  <c r="I90" i="31"/>
  <c r="I91" i="30"/>
</calcChain>
</file>

<file path=xl/sharedStrings.xml><?xml version="1.0" encoding="utf-8"?>
<sst xmlns="http://schemas.openxmlformats.org/spreadsheetml/2006/main" count="2628" uniqueCount="278">
  <si>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</si>
  <si>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</si>
  <si>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</si>
  <si>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</si>
  <si>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</si>
  <si>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</si>
  <si>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</si>
  <si>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</si>
  <si>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</si>
  <si>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</si>
  <si>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</si>
  <si>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</si>
  <si>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</si>
  <si>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</si>
  <si>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</si>
  <si>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</si>
  <si>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</si>
  <si>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</si>
  <si>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</si>
  <si>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</si>
  <si>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</si>
  <si>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</si>
  <si>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</si>
  <si>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</si>
  <si>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</si>
  <si>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</si>
  <si>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</si>
  <si>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</si>
  <si>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</si>
  <si>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</si>
  <si>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</si>
  <si>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</si>
  <si>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</si>
  <si>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</si>
  <si>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</si>
  <si>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</si>
  <si>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</si>
  <si>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</si>
  <si>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</si>
  <si>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</si>
  <si>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</si>
  <si>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</si>
  <si>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</si>
  <si>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</si>
  <si>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</si>
  <si>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</si>
  <si>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</si>
  <si>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</si>
  <si>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</si>
  <si>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</si>
  <si>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</si>
  <si>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</si>
  <si>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</si>
  <si>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</si>
  <si>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</si>
  <si>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</si>
  <si>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</si>
  <si>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</si>
  <si>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</si>
  <si>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</si>
  <si>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</si>
  <si>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</si>
  <si>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</si>
  <si>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</si>
  <si>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</si>
  <si>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</si>
  <si>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</si>
  <si>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</si>
  <si>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</si>
  <si>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</si>
  <si>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</si>
  <si>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</si>
  <si>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</si>
  <si>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</si>
  <si>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</si>
  <si>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</si>
  <si>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</si>
  <si>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</si>
  <si>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</si>
  <si>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</si>
  <si>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</si>
  <si>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</si>
  <si>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</si>
  <si>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</si>
  <si>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</si>
  <si>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</si>
  <si>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</si>
  <si>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</si>
  <si>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</si>
  <si>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</si>
  <si>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</si>
  <si>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</si>
  <si>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</si>
  <si>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</si>
  <si>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</si>
  <si>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</si>
  <si>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</si>
  <si>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</si>
  <si>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</si>
  <si>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</si>
  <si>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</si>
  <si>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</si>
  <si>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</si>
  <si>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руб/м2 в мес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</si>
  <si>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</si>
  <si>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</si>
  <si>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</si>
  <si>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</si>
  <si>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</si>
  <si>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</si>
  <si>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Прочистка каналов</t>
  </si>
  <si>
    <t>1000м2</t>
  </si>
  <si>
    <t>Вывоз смета,травы,ветвей и т.п.- м/ч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</si>
  <si>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</si>
  <si>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</si>
  <si>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</si>
  <si>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</si>
  <si>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</si>
  <si>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</si>
  <si>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</si>
  <si>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</si>
  <si>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</si>
  <si>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</si>
  <si>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</si>
  <si>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</si>
  <si>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</si>
  <si>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IV. Содержание общего имущества</t>
  </si>
  <si>
    <t>АКТ №1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</si>
  <si>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</si>
  <si>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</si>
  <si>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</si>
  <si>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</si>
  <si>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</si>
  <si>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</si>
  <si>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</si>
  <si>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</si>
  <si>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</si>
  <si>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</si>
  <si>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t>Летняя уборка</t>
  </si>
  <si>
    <t>52 раза в сезон</t>
  </si>
  <si>
    <t>78 раз за сезон</t>
  </si>
  <si>
    <t>Обязательные работы по содержанию общего имущества собственников помещений в многоквартирном доме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</si>
  <si>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</si>
  <si>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</si>
  <si>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</si>
  <si>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24 раз за сезон</t>
  </si>
  <si>
    <t xml:space="preserve">Подметание снега с вход.площадок, конт. площадок </t>
  </si>
  <si>
    <t>18 раз за сезон</t>
  </si>
  <si>
    <t>III. Плановые осмотры и мелкий ремонт</t>
  </si>
  <si>
    <t>5 раз в год</t>
  </si>
  <si>
    <t>V. Прочие услуги</t>
  </si>
  <si>
    <t>Итого затраты за месяц</t>
  </si>
  <si>
    <t>10 м2</t>
  </si>
  <si>
    <t>II. Уборка земельного участка</t>
  </si>
  <si>
    <t>АКТ №11</t>
  </si>
  <si>
    <t>АКТ №12</t>
  </si>
  <si>
    <t>Дератизация</t>
  </si>
  <si>
    <t>м2</t>
  </si>
  <si>
    <t>Очистка канализационной сети внутренней</t>
  </si>
  <si>
    <t>час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</si>
  <si>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</t>
    </r>
  </si>
  <si>
    <t>ООО «Движение»</t>
  </si>
  <si>
    <r>
      <t xml:space="preserve">    Собственники   помещений   в многоквартирном доме, расположенном по адресу: 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09.09.2016г.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</si>
  <si>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Ремонт отдельных мест покрытия из асбоцементных листов обыкновенного профиля</t>
  </si>
  <si>
    <t>Очистка от снега люков водопроводных и канализационных колодцев</t>
  </si>
  <si>
    <t>Осмотр электросетей, армазуры и электрооборудования на лестничных клетках</t>
  </si>
  <si>
    <t>Работа ротенбергера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</si>
  <si>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</si>
  <si>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</si>
  <si>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</t>
  </si>
  <si>
    <t>100шт</t>
  </si>
  <si>
    <t>Испытание сети на напряжение</t>
  </si>
  <si>
    <t>Измерение тока по фазам</t>
  </si>
  <si>
    <t>линия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</si>
  <si>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</si>
  <si>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</si>
  <si>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</si>
  <si>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</si>
  <si>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</si>
  <si>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4 раза</t>
  </si>
  <si>
    <t>25 аз</t>
  </si>
  <si>
    <t>3 раза</t>
  </si>
  <si>
    <t>1 раз</t>
  </si>
  <si>
    <t>1 м/час</t>
  </si>
  <si>
    <t xml:space="preserve">1 раз      </t>
  </si>
  <si>
    <t xml:space="preserve">1 раз   </t>
  </si>
  <si>
    <t>маш/час</t>
  </si>
  <si>
    <t xml:space="preserve">1 раз </t>
  </si>
  <si>
    <t>место</t>
  </si>
  <si>
    <t>Установка хомута диаметром до 50 мм</t>
  </si>
  <si>
    <t>25 раз</t>
  </si>
  <si>
    <t>за период с 01.01.2020 г. по 31.01.2020 г.</t>
  </si>
  <si>
    <t>Смена оконных приборов - ручки</t>
  </si>
  <si>
    <t>Ремонт силового предохранительного шкафа (без стоимости материалов)</t>
  </si>
  <si>
    <t>под.№4 тамбур</t>
  </si>
  <si>
    <t>2 под. м/у 2 и 3 эт.</t>
  </si>
  <si>
    <t>2. Всего за период с 01.01.2020 г. по 31.01.2020 г. выполнено работ (оказано услуг) на общую сумму: 45546,48 руб.</t>
  </si>
  <si>
    <t>( сорок пять тысяч пятьсот сорок шесть рублей 48 копеек)</t>
  </si>
  <si>
    <t>за период с 01.02.2020 г. по 29.02.2020 г.</t>
  </si>
  <si>
    <t>18,20 раз</t>
  </si>
  <si>
    <t>Водоснабжение и канализация</t>
  </si>
  <si>
    <t>Внеплановая проверка дымохода</t>
  </si>
  <si>
    <t>кв.37</t>
  </si>
  <si>
    <t>2. Всего за период с 01.02.2020 г. по 29.02.2020 г. выполнено работ (оказано услуг) на общую сумму: 45826,39 руб.</t>
  </si>
  <si>
    <t>(сорок пять тысяч восемьсот двадцать шесть рублей 39 копеек)</t>
  </si>
  <si>
    <t>за период с 01.03.2020 г. по 31.03.2020 г.</t>
  </si>
  <si>
    <t>25 марта</t>
  </si>
  <si>
    <t>17 марта</t>
  </si>
  <si>
    <t>за период с 01.04.2020 г. по 30.04.2020 г.</t>
  </si>
  <si>
    <t xml:space="preserve">Осмотр водопроводов, канализации, отопления </t>
  </si>
  <si>
    <t>2. Всего за период с 01.04.2020 г. по 30.04.2020 г. выполнено работ (оказано услуг) на общую сумму: 35038,00 руб.</t>
  </si>
  <si>
    <t>(тридцать пять тысяч тридцать восемь рублей 00 копеек)</t>
  </si>
  <si>
    <t>за период с 01.05.2020 г. по 31.05.2020 г.</t>
  </si>
  <si>
    <t>Шифер</t>
  </si>
  <si>
    <t>Демонтаж трубостойки</t>
  </si>
  <si>
    <t>100 м</t>
  </si>
  <si>
    <t>6,3 м2</t>
  </si>
  <si>
    <t>4 шт</t>
  </si>
  <si>
    <t>2. Всего за период с 01.05.2020 г. по 31.05.2020 г. выполнено работ (оказано услуг) на общую сумму: 75243,01 руб.</t>
  </si>
  <si>
    <t>(семьдесят пять тысяч двести сорок три рубля 01 копейка)</t>
  </si>
  <si>
    <t>за период с 01.06.2020 г. по 30.06.2020 г.</t>
  </si>
  <si>
    <t>Укрепление деревянных конструкций домиков слуховых окон</t>
  </si>
  <si>
    <t>Закрыли слуховое окно</t>
  </si>
  <si>
    <t xml:space="preserve">Смена внутренних трубопроводов из м/пласт. труб диаметром до 15 мм </t>
  </si>
  <si>
    <t>1 м</t>
  </si>
  <si>
    <t>ХВС кв.62 -1,5 м</t>
  </si>
  <si>
    <t>подвал, ХВС -1 шт.</t>
  </si>
  <si>
    <t>11 м2-сл.окна</t>
  </si>
  <si>
    <t>7 шт</t>
  </si>
  <si>
    <t>2. Всего за период с 01.06.2020 г. по 30.06.2020 г. выполнено работ (оказано услуг) на общую сумму: 46106,35 руб.</t>
  </si>
  <si>
    <t>(сорок шесть тысяч сто шесть рублей 35 копеек)</t>
  </si>
  <si>
    <t>ВДГО</t>
  </si>
  <si>
    <t>руб</t>
  </si>
  <si>
    <t>2. Всего за период с 01.03.2020 г. по 31.03.2020 г. выполнено работ (оказано услуг) на общую сумму: 55952,09 руб.</t>
  </si>
  <si>
    <t>(пятьдесят пять тысяч девятьсот пятьдесят два рубля 09 копеек)</t>
  </si>
  <si>
    <t>за период с 01.07.2020 г. по 31.07.2020 г.</t>
  </si>
  <si>
    <t>2. Всего за период с 01.07.2020 г. по 31.07.2020 г. выполнено работ (оказано услуг) на общую сумму: 120249,49 руб.</t>
  </si>
  <si>
    <t>(сто двадцать тысяч двести сорок девять рублей 49 копеек)</t>
  </si>
  <si>
    <t>за период с 01.08.2020 г. по 31.08.2020 г.</t>
  </si>
  <si>
    <t>Замена уплотнительных колец</t>
  </si>
  <si>
    <t>3 шт. п/с кв.16</t>
  </si>
  <si>
    <t>за период с 01.09.2020 г. по 30.09.2020 г.</t>
  </si>
  <si>
    <t>5 раз</t>
  </si>
  <si>
    <t>с/о кв.48 - 1 шт.</t>
  </si>
  <si>
    <t>за период с 01.10.2020 г. по 31.10.2020 г.</t>
  </si>
  <si>
    <r>
      <t xml:space="preserve">    Собственники   помещений   в многоквартирном доме, расположенном по адресу: 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09.09.2016г.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</si>
  <si>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Смена внутренних трубопроводов на полиропиленовые трубы PN 25 Dу 20</t>
  </si>
  <si>
    <t>с/0 1 м чердак</t>
  </si>
  <si>
    <t>с/о 2 шт. чердак; кв.23 - шт. п/с</t>
  </si>
  <si>
    <t>2. Всего за период с 01.10.2020 г. по 31.10.2020 г. выполнено работ (оказано услуг) на общую сумму: 35513,39 руб.</t>
  </si>
  <si>
    <t>(тридцать пять тысяч пятьсот тринадцать рублей 39 копеек)</t>
  </si>
  <si>
    <t>генеральный директор Кочанова И.Л.</t>
  </si>
  <si>
    <t>за период с 01.11.2020 г. по 30.11.2020 г.</t>
  </si>
  <si>
    <t>за период с 01.12.2020 г. по 31.12.2020 г.</t>
  </si>
  <si>
    <t>0,4 ч (21 дек)</t>
  </si>
  <si>
    <t>7 раз</t>
  </si>
  <si>
    <t>Смена внутренних трубопроводов на полиропиленовые трубы PN 25 Dу 25</t>
  </si>
  <si>
    <t>Демонтаж полов ( кв.52) для работ ВДИС</t>
  </si>
  <si>
    <t>Восстановление пола после работ ВДИС ( кв.52)</t>
  </si>
  <si>
    <t>Замена бочка на ХВС</t>
  </si>
  <si>
    <t>Ремонт штукатурки внутренних стен по камню и бетону цементно-известковым раствором площадью до 1 м2 толщиной слоя до 20 мм</t>
  </si>
  <si>
    <t>Установка заглушек диаметром трубопроводов до 100 мм</t>
  </si>
  <si>
    <t>заглушка</t>
  </si>
  <si>
    <t>4 м с/о чердак</t>
  </si>
  <si>
    <t>6 шт. с/о чердак</t>
  </si>
  <si>
    <t>ХВС кв.60</t>
  </si>
  <si>
    <t>1 м с/о чердак; 1,5 м с/о кв.30</t>
  </si>
  <si>
    <t>4 м</t>
  </si>
  <si>
    <t>2. Всего за период с 01.08.2020 г. по 31.08.2020 г. выполнено работ (оказано услуг) на общую сумму: 53964,25 руб.</t>
  </si>
  <si>
    <t>(пятьдесят три тысячи девятьсот шестьдесят четыре рубля 25 копеек )</t>
  </si>
  <si>
    <t>2. Всего за период с 01.09.2020 г. по 30.09.2020 г. выполнено работ (оказано услуг) на общую сумму: 47795,13 руб.</t>
  </si>
  <si>
    <t>(сорок семь тысяч семьсот девяносто пять рублей 13 копеек)</t>
  </si>
  <si>
    <t>9 м</t>
  </si>
  <si>
    <t>2. Всего за период с 01.11.2020 г. по 30.11.2020 г. выполнено работ (оказано услуг) на общую сумму: 35812,17 руб.</t>
  </si>
  <si>
    <t>(тридцать пять тысяч восемьсот двенадцать рублей 17 копеек)</t>
  </si>
  <si>
    <t>38 м</t>
  </si>
  <si>
    <t>2. Всего за период с 01.12.2020 г. по 31.12.2020 г. выполнено работ (оказано услуг) на общую сумму: 84434,91 руб.</t>
  </si>
  <si>
    <t>(восемьдесят четыре тысячи четыреста тридцать четыре рубля 91 копейка)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</si>
</sst>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9" fillId="0" borderId="0" xfId="0" applyFont="1"/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8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77" workbookViewId="0">
      <selection activeCell="A92" sqref="A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127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191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43861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hidden="1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142</v>
      </c>
      <c r="C29" s="46" t="s">
        <v>111</v>
      </c>
      <c r="D29" s="37" t="s">
        <v>139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143</v>
      </c>
      <c r="C30" s="46" t="s">
        <v>111</v>
      </c>
      <c r="D30" s="37" t="s">
        <v>140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144</v>
      </c>
      <c r="C32" s="46" t="s">
        <v>29</v>
      </c>
      <c r="D32" s="37" t="s">
        <v>60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61</v>
      </c>
      <c r="C33" s="76" t="s">
        <v>31</v>
      </c>
      <c r="D33" s="69" t="s">
        <v>62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112</v>
      </c>
      <c r="C34" s="76" t="s">
        <v>30</v>
      </c>
      <c r="D34" s="69" t="s">
        <v>62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6.5" customHeight="1">
      <c r="A36" s="38">
        <v>5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G36*0.6</f>
        <v>1140.222</v>
      </c>
      <c r="J36" s="27"/>
      <c r="K36" s="10"/>
      <c r="L36" s="10"/>
      <c r="M36" s="10"/>
    </row>
    <row r="37" spans="1:13" ht="15.75" customHeight="1">
      <c r="A37" s="38">
        <v>6</v>
      </c>
      <c r="B37" s="69" t="s">
        <v>113</v>
      </c>
      <c r="C37" s="76" t="s">
        <v>28</v>
      </c>
      <c r="D37" s="69" t="s">
        <v>179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114</v>
      </c>
      <c r="C38" s="76" t="s">
        <v>115</v>
      </c>
      <c r="D38" s="69" t="s">
        <v>62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7</v>
      </c>
      <c r="B39" s="69" t="s">
        <v>146</v>
      </c>
      <c r="C39" s="76" t="s">
        <v>28</v>
      </c>
      <c r="D39" s="69" t="s">
        <v>180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8</v>
      </c>
      <c r="B40" s="69" t="s">
        <v>75</v>
      </c>
      <c r="C40" s="76" t="s">
        <v>111</v>
      </c>
      <c r="D40" s="69" t="s">
        <v>179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118</v>
      </c>
      <c r="C41" s="76" t="s">
        <v>111</v>
      </c>
      <c r="D41" s="69" t="s">
        <v>181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F41/7.5*G41</f>
        <v>83.346227999999996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63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F42/7.5*G42</f>
        <v>52.958400000000005</v>
      </c>
      <c r="J42" s="27"/>
      <c r="K42" s="10"/>
      <c r="L42" s="10"/>
      <c r="M42" s="10"/>
    </row>
    <row r="43" spans="1:13" ht="15.75" customHeight="1">
      <c r="A43" s="162" t="s">
        <v>148</v>
      </c>
      <c r="B43" s="163"/>
      <c r="C43" s="163"/>
      <c r="D43" s="163"/>
      <c r="E43" s="163"/>
      <c r="F43" s="163"/>
      <c r="G43" s="163"/>
      <c r="H43" s="163"/>
      <c r="I43" s="164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119</v>
      </c>
      <c r="C44" s="76" t="s">
        <v>111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111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111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customHeight="1">
      <c r="A48" s="47">
        <v>9</v>
      </c>
      <c r="B48" s="69" t="s">
        <v>55</v>
      </c>
      <c r="C48" s="76" t="s">
        <v>111</v>
      </c>
      <c r="D48" s="69" t="s">
        <v>182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22</v>
      </c>
      <c r="B49" s="69" t="s">
        <v>120</v>
      </c>
      <c r="C49" s="76" t="s">
        <v>111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v>0</v>
      </c>
      <c r="J49" s="27"/>
      <c r="K49" s="10"/>
      <c r="L49" s="10"/>
      <c r="M49" s="10"/>
    </row>
    <row r="50" spans="1:14" ht="31.5" hidden="1" customHeight="1">
      <c r="A50" s="47">
        <v>23</v>
      </c>
      <c r="B50" s="69" t="s">
        <v>121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v>0</v>
      </c>
      <c r="J50" s="27"/>
      <c r="K50" s="10"/>
    </row>
    <row r="51" spans="1:14" ht="25.5" hidden="1" customHeight="1">
      <c r="A51" s="47">
        <v>24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v>0</v>
      </c>
      <c r="J51" s="75"/>
    </row>
    <row r="52" spans="1:14" ht="23.25" hidden="1" customHeight="1">
      <c r="A52" s="47">
        <v>13</v>
      </c>
      <c r="B52" s="69" t="s">
        <v>122</v>
      </c>
      <c r="C52" s="76" t="s">
        <v>98</v>
      </c>
      <c r="D52" s="69" t="s">
        <v>64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24" hidden="1" customHeight="1">
      <c r="A53" s="47">
        <v>14</v>
      </c>
      <c r="B53" s="69" t="s">
        <v>39</v>
      </c>
      <c r="C53" s="76" t="s">
        <v>98</v>
      </c>
      <c r="D53" s="69" t="s">
        <v>64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3" t="s">
        <v>126</v>
      </c>
      <c r="B54" s="154"/>
      <c r="C54" s="154"/>
      <c r="D54" s="154"/>
      <c r="E54" s="154"/>
      <c r="F54" s="154"/>
      <c r="G54" s="154"/>
      <c r="H54" s="154"/>
      <c r="I54" s="155"/>
      <c r="J54" s="75"/>
    </row>
    <row r="55" spans="1:14" ht="18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2.25" hidden="1" customHeight="1">
      <c r="A56" s="47">
        <v>11</v>
      </c>
      <c r="B56" s="69" t="s">
        <v>123</v>
      </c>
      <c r="C56" s="76" t="s">
        <v>88</v>
      </c>
      <c r="D56" s="69"/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8" hidden="1" customHeight="1">
      <c r="A57" s="47">
        <v>12</v>
      </c>
      <c r="B57" s="88" t="s">
        <v>81</v>
      </c>
      <c r="C57" s="87" t="s">
        <v>30</v>
      </c>
      <c r="D57" s="88" t="s">
        <v>183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</f>
        <v>1501</v>
      </c>
      <c r="J57" s="75"/>
    </row>
    <row r="58" spans="1:14" ht="17.2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13</v>
      </c>
      <c r="B61" s="19" t="s">
        <v>45</v>
      </c>
      <c r="C61" s="21" t="s">
        <v>98</v>
      </c>
      <c r="D61" s="19" t="s">
        <v>182</v>
      </c>
      <c r="E61" s="23">
        <v>1</v>
      </c>
      <c r="F61" s="17">
        <f>SUM(E61)</f>
        <v>1</v>
      </c>
      <c r="G61" s="17">
        <v>276.74</v>
      </c>
      <c r="H61" s="80">
        <f t="shared" ref="H61:H69" si="6">SUM(F61*G61/1000)</f>
        <v>0.27673999999999999</v>
      </c>
      <c r="I61" s="17">
        <f>G61</f>
        <v>276.74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98</v>
      </c>
      <c r="D62" s="19" t="s">
        <v>62</v>
      </c>
      <c r="E62" s="23">
        <v>2</v>
      </c>
      <c r="F62" s="17">
        <f>SUM(E62)</f>
        <v>2</v>
      </c>
      <c r="G62" s="17">
        <v>94.89</v>
      </c>
      <c r="H62" s="80">
        <f t="shared" si="6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99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6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100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6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70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6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101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6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102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6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56</v>
      </c>
      <c r="C68" s="21" t="s">
        <v>57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6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10</v>
      </c>
      <c r="B69" s="19" t="s">
        <v>82</v>
      </c>
      <c r="C69" s="31" t="s">
        <v>103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6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104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105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customHeight="1">
      <c r="A72" s="68"/>
      <c r="B72" s="71" t="s">
        <v>65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customHeight="1">
      <c r="A73" s="68">
        <v>11</v>
      </c>
      <c r="B73" s="19" t="s">
        <v>106</v>
      </c>
      <c r="C73" s="21" t="s">
        <v>107</v>
      </c>
      <c r="D73" s="19" t="s">
        <v>194</v>
      </c>
      <c r="E73" s="23">
        <v>1</v>
      </c>
      <c r="F73" s="17">
        <f>E73</f>
        <v>1</v>
      </c>
      <c r="G73" s="17">
        <v>976.4</v>
      </c>
      <c r="H73" s="80">
        <f t="shared" ref="H73:H75" si="7">SUM(F73*G73/1000)</f>
        <v>0.97639999999999993</v>
      </c>
      <c r="I73" s="17">
        <f>G73*1</f>
        <v>976.4</v>
      </c>
      <c r="J73" s="75"/>
      <c r="L73" s="24"/>
      <c r="M73" s="25"/>
      <c r="N73" s="26"/>
    </row>
    <row r="74" spans="1:14" ht="15.75" customHeight="1">
      <c r="A74" s="68">
        <v>12</v>
      </c>
      <c r="B74" s="19" t="s">
        <v>108</v>
      </c>
      <c r="C74" s="21" t="s">
        <v>109</v>
      </c>
      <c r="D74" s="19"/>
      <c r="E74" s="23">
        <v>1</v>
      </c>
      <c r="F74" s="17">
        <v>1</v>
      </c>
      <c r="G74" s="17">
        <v>735</v>
      </c>
      <c r="H74" s="80">
        <f t="shared" si="7"/>
        <v>0.73499999999999999</v>
      </c>
      <c r="I74" s="17">
        <f>G74*1</f>
        <v>735</v>
      </c>
      <c r="J74" s="75"/>
      <c r="L74" s="24"/>
      <c r="M74" s="25"/>
      <c r="N74" s="26"/>
    </row>
    <row r="75" spans="1:14" ht="15.75" hidden="1" customHeight="1">
      <c r="A75" s="68">
        <v>18</v>
      </c>
      <c r="B75" s="19" t="s">
        <v>66</v>
      </c>
      <c r="C75" s="21" t="s">
        <v>68</v>
      </c>
      <c r="D75" s="19" t="s">
        <v>62</v>
      </c>
      <c r="E75" s="23">
        <v>3</v>
      </c>
      <c r="F75" s="17">
        <v>0.3</v>
      </c>
      <c r="G75" s="17">
        <v>624.16999999999996</v>
      </c>
      <c r="H75" s="80">
        <f t="shared" si="7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>
        <v>17</v>
      </c>
      <c r="B76" s="19" t="s">
        <v>67</v>
      </c>
      <c r="C76" s="21" t="s">
        <v>29</v>
      </c>
      <c r="D76" s="19" t="s">
        <v>62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f>G76</f>
        <v>1061.4100000000001</v>
      </c>
      <c r="J76" s="75"/>
      <c r="L76" s="24"/>
      <c r="M76" s="25"/>
      <c r="N76" s="26"/>
    </row>
    <row r="77" spans="1:14" ht="1.5" customHeight="1">
      <c r="A77" s="68"/>
      <c r="B77" s="19" t="s">
        <v>83</v>
      </c>
      <c r="C77" s="21" t="s">
        <v>29</v>
      </c>
      <c r="D77" s="19" t="s">
        <v>62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69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110</v>
      </c>
      <c r="C79" s="21" t="s">
        <v>70</v>
      </c>
      <c r="D79" s="19"/>
      <c r="E79" s="23"/>
      <c r="F79" s="17">
        <v>1</v>
      </c>
      <c r="G79" s="17">
        <v>3433.68</v>
      </c>
      <c r="H79" s="80">
        <f t="shared" ref="H79" si="8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59" t="s">
        <v>150</v>
      </c>
      <c r="B80" s="160"/>
      <c r="C80" s="160"/>
      <c r="D80" s="160"/>
      <c r="E80" s="160"/>
      <c r="F80" s="160"/>
      <c r="G80" s="160"/>
      <c r="H80" s="160"/>
      <c r="I80" s="161"/>
      <c r="J80" s="75"/>
      <c r="L80" s="24"/>
      <c r="M80" s="25"/>
      <c r="N80" s="26"/>
    </row>
    <row r="81" spans="1:14" ht="15.75" customHeight="1">
      <c r="A81" s="68">
        <v>13</v>
      </c>
      <c r="B81" s="69" t="s">
        <v>125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14" ht="31.5" customHeight="1">
      <c r="A82" s="31">
        <v>14</v>
      </c>
      <c r="B82" s="19" t="s">
        <v>71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14" ht="15.75" customHeight="1">
      <c r="A83" s="61"/>
      <c r="B83" s="45" t="s">
        <v>73</v>
      </c>
      <c r="C83" s="47"/>
      <c r="D83" s="20"/>
      <c r="E83" s="20"/>
      <c r="F83" s="20"/>
      <c r="G83" s="23"/>
      <c r="H83" s="23"/>
      <c r="I83" s="35">
        <f>I82+I81+I69+I48+I40+I39+I37+I36+I26+I18+I17+I16+I74+I73</f>
        <v>41864.711177500001</v>
      </c>
      <c r="J83" s="75"/>
      <c r="L83" s="24"/>
      <c r="M83" s="25"/>
      <c r="N83" s="26"/>
    </row>
    <row r="84" spans="1:14" ht="15.75" customHeight="1">
      <c r="A84" s="156" t="s">
        <v>58</v>
      </c>
      <c r="B84" s="157"/>
      <c r="C84" s="157"/>
      <c r="D84" s="157"/>
      <c r="E84" s="157"/>
      <c r="F84" s="157"/>
      <c r="G84" s="157"/>
      <c r="H84" s="157"/>
      <c r="I84" s="158"/>
      <c r="J84" s="75"/>
      <c r="L84" s="24"/>
      <c r="M84" s="25"/>
      <c r="N84" s="26"/>
    </row>
    <row r="85" spans="1:14" ht="15.75" customHeight="1">
      <c r="A85" s="68">
        <v>15</v>
      </c>
      <c r="B85" s="131" t="s">
        <v>156</v>
      </c>
      <c r="C85" s="132" t="s">
        <v>157</v>
      </c>
      <c r="D85" s="131"/>
      <c r="E85" s="133"/>
      <c r="F85" s="134">
        <v>48</v>
      </c>
      <c r="G85" s="113">
        <v>1.4</v>
      </c>
      <c r="H85" s="90">
        <f>F85*G85/1000</f>
        <v>6.7199999999999982E-2</v>
      </c>
      <c r="I85" s="17">
        <f>G85*48</f>
        <v>67.199999999999989</v>
      </c>
      <c r="J85" s="75"/>
      <c r="L85" s="24"/>
      <c r="M85" s="25"/>
      <c r="N85" s="26"/>
    </row>
    <row r="86" spans="1:14" ht="31.5" customHeight="1">
      <c r="A86" s="68">
        <v>16</v>
      </c>
      <c r="B86" s="117" t="s">
        <v>164</v>
      </c>
      <c r="C86" s="118" t="s">
        <v>28</v>
      </c>
      <c r="D86" s="43"/>
      <c r="E86" s="22"/>
      <c r="F86" s="135">
        <f>0.599*8/1000</f>
        <v>4.7919999999999994E-3</v>
      </c>
      <c r="G86" s="41">
        <v>20547.34</v>
      </c>
      <c r="H86" s="80">
        <f>G86*F86/1000</f>
        <v>9.8462853279999984E-2</v>
      </c>
      <c r="I86" s="96">
        <f>G86*0.599*8/1000</f>
        <v>98.46285327999999</v>
      </c>
      <c r="J86" s="75"/>
      <c r="L86" s="24"/>
      <c r="M86" s="25"/>
      <c r="N86" s="26"/>
    </row>
    <row r="87" spans="1:14" ht="15.75" customHeight="1">
      <c r="A87" s="68">
        <v>17</v>
      </c>
      <c r="B87" s="136" t="s">
        <v>192</v>
      </c>
      <c r="C87" s="120" t="s">
        <v>98</v>
      </c>
      <c r="D87" s="43" t="s">
        <v>195</v>
      </c>
      <c r="E87" s="22"/>
      <c r="F87" s="41">
        <v>1</v>
      </c>
      <c r="G87" s="41">
        <v>144.16999999999999</v>
      </c>
      <c r="H87" s="80"/>
      <c r="I87" s="96">
        <f>G87*1</f>
        <v>144.16999999999999</v>
      </c>
      <c r="J87" s="75"/>
      <c r="L87" s="24"/>
      <c r="M87" s="25"/>
      <c r="N87" s="26"/>
    </row>
    <row r="88" spans="1:14" ht="32.25" customHeight="1">
      <c r="A88" s="68">
        <v>18</v>
      </c>
      <c r="B88" s="117" t="s">
        <v>193</v>
      </c>
      <c r="C88" s="118" t="s">
        <v>98</v>
      </c>
      <c r="D88" s="43"/>
      <c r="E88" s="22"/>
      <c r="F88" s="41">
        <v>1</v>
      </c>
      <c r="G88" s="41">
        <v>2611.16</v>
      </c>
      <c r="H88" s="80"/>
      <c r="I88" s="96">
        <f>G88*1</f>
        <v>2611.16</v>
      </c>
      <c r="J88" s="75"/>
      <c r="L88" s="24"/>
      <c r="M88" s="25"/>
      <c r="N88" s="26"/>
    </row>
    <row r="89" spans="1:14" ht="15.75" customHeight="1">
      <c r="A89" s="68">
        <v>19</v>
      </c>
      <c r="B89" s="117" t="s">
        <v>171</v>
      </c>
      <c r="C89" s="118" t="s">
        <v>98</v>
      </c>
      <c r="D89" s="43"/>
      <c r="E89" s="22"/>
      <c r="F89" s="41">
        <v>1</v>
      </c>
      <c r="G89" s="41">
        <v>98.42</v>
      </c>
      <c r="H89" s="80"/>
      <c r="I89" s="96">
        <f>G89*1</f>
        <v>98.42</v>
      </c>
      <c r="J89" s="75"/>
      <c r="L89" s="24"/>
      <c r="M89" s="25"/>
      <c r="N89" s="26"/>
    </row>
    <row r="90" spans="1:14" ht="15" customHeight="1">
      <c r="A90" s="68">
        <v>20</v>
      </c>
      <c r="B90" s="117" t="s">
        <v>172</v>
      </c>
      <c r="C90" s="118" t="s">
        <v>173</v>
      </c>
      <c r="D90" s="43"/>
      <c r="E90" s="22"/>
      <c r="F90" s="41">
        <v>1</v>
      </c>
      <c r="G90" s="41">
        <v>43.17</v>
      </c>
      <c r="H90" s="80"/>
      <c r="I90" s="96">
        <f>G90*1</f>
        <v>43.17</v>
      </c>
      <c r="J90" s="75"/>
      <c r="L90" s="24"/>
      <c r="M90" s="25"/>
      <c r="N90" s="26"/>
    </row>
    <row r="91" spans="1:14" ht="15" customHeight="1">
      <c r="A91" s="68">
        <v>21</v>
      </c>
      <c r="B91" s="117" t="s">
        <v>37</v>
      </c>
      <c r="C91" s="118" t="s">
        <v>170</v>
      </c>
      <c r="D91" s="43"/>
      <c r="E91" s="22"/>
      <c r="F91" s="41">
        <v>0.03</v>
      </c>
      <c r="G91" s="41">
        <v>8426.7199999999993</v>
      </c>
      <c r="H91" s="80"/>
      <c r="I91" s="96">
        <f>G91*0.03</f>
        <v>252.80159999999998</v>
      </c>
      <c r="J91" s="75"/>
      <c r="L91" s="24"/>
      <c r="M91" s="25"/>
      <c r="N91" s="26"/>
    </row>
    <row r="92" spans="1:14" ht="28.5" customHeight="1">
      <c r="A92" s="68">
        <v>22</v>
      </c>
      <c r="B92" s="117" t="s">
        <v>165</v>
      </c>
      <c r="C92" s="118" t="s">
        <v>36</v>
      </c>
      <c r="D92" s="43"/>
      <c r="E92" s="22"/>
      <c r="F92" s="41">
        <v>0.09</v>
      </c>
      <c r="G92" s="41">
        <v>4070.89</v>
      </c>
      <c r="H92" s="80"/>
      <c r="I92" s="96">
        <f>G92*0.09</f>
        <v>366.38009999999997</v>
      </c>
      <c r="J92" s="75"/>
      <c r="L92" s="24"/>
      <c r="M92" s="25"/>
      <c r="N92" s="26"/>
    </row>
    <row r="93" spans="1:14" ht="15.75" customHeight="1">
      <c r="A93" s="31"/>
      <c r="B93" s="52" t="s">
        <v>50</v>
      </c>
      <c r="C93" s="48"/>
      <c r="D93" s="62"/>
      <c r="E93" s="48">
        <v>1</v>
      </c>
      <c r="F93" s="48"/>
      <c r="G93" s="48"/>
      <c r="H93" s="48"/>
      <c r="I93" s="35">
        <f>SUM(I85:I92)</f>
        <v>3681.7645532799997</v>
      </c>
      <c r="J93" s="75"/>
      <c r="L93" s="24"/>
      <c r="M93" s="25"/>
      <c r="N93" s="26"/>
    </row>
    <row r="94" spans="1:14" ht="15.75" customHeight="1">
      <c r="A94" s="31"/>
      <c r="B94" s="57" t="s">
        <v>72</v>
      </c>
      <c r="C94" s="20"/>
      <c r="D94" s="20"/>
      <c r="E94" s="49"/>
      <c r="F94" s="49"/>
      <c r="G94" s="50"/>
      <c r="H94" s="50"/>
      <c r="I94" s="22">
        <v>0</v>
      </c>
      <c r="J94" s="75"/>
      <c r="L94" s="24"/>
      <c r="M94" s="25"/>
      <c r="N94" s="26"/>
    </row>
    <row r="95" spans="1:14" ht="15.75" customHeight="1">
      <c r="A95" s="63"/>
      <c r="B95" s="53" t="s">
        <v>151</v>
      </c>
      <c r="C95" s="39"/>
      <c r="D95" s="39"/>
      <c r="E95" s="39"/>
      <c r="F95" s="39"/>
      <c r="G95" s="39"/>
      <c r="H95" s="39"/>
      <c r="I95" s="51">
        <f>I83+I93</f>
        <v>45546.475730780003</v>
      </c>
      <c r="J95" s="75"/>
      <c r="L95" s="24"/>
    </row>
    <row r="96" spans="1:14" ht="15.75">
      <c r="A96" s="142" t="s">
        <v>196</v>
      </c>
      <c r="B96" s="142"/>
      <c r="C96" s="142"/>
      <c r="D96" s="142"/>
      <c r="E96" s="142"/>
      <c r="F96" s="142"/>
      <c r="G96" s="142"/>
      <c r="H96" s="142"/>
      <c r="I96" s="142"/>
    </row>
    <row r="97" spans="1:22" ht="15.75">
      <c r="A97" s="12"/>
      <c r="B97" s="152" t="s">
        <v>197</v>
      </c>
      <c r="C97" s="152"/>
      <c r="D97" s="152"/>
      <c r="E97" s="152"/>
      <c r="F97" s="152"/>
      <c r="G97" s="152"/>
      <c r="H97" s="98"/>
      <c r="I97" s="4"/>
    </row>
    <row r="98" spans="1:22" ht="15.75">
      <c r="A98" s="70"/>
      <c r="B98" s="145" t="s">
        <v>6</v>
      </c>
      <c r="C98" s="145"/>
      <c r="D98" s="145"/>
      <c r="E98" s="145"/>
      <c r="F98" s="145"/>
      <c r="G98" s="145"/>
      <c r="H98" s="74"/>
      <c r="I98" s="59"/>
    </row>
    <row r="99" spans="1:22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46" t="s">
        <v>7</v>
      </c>
      <c r="B100" s="146"/>
      <c r="C100" s="146"/>
      <c r="D100" s="146"/>
      <c r="E100" s="146"/>
      <c r="F100" s="146"/>
      <c r="G100" s="146"/>
      <c r="H100" s="146"/>
      <c r="I100" s="146"/>
      <c r="J100" s="29"/>
      <c r="K100" s="29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>
      <c r="A101" s="146" t="s">
        <v>8</v>
      </c>
      <c r="B101" s="146"/>
      <c r="C101" s="146"/>
      <c r="D101" s="146"/>
      <c r="E101" s="146"/>
      <c r="F101" s="146"/>
      <c r="G101" s="146"/>
      <c r="H101" s="146"/>
      <c r="I101" s="146"/>
      <c r="J101" s="4"/>
      <c r="K101" s="4"/>
      <c r="L101" s="4"/>
      <c r="M101" s="4"/>
      <c r="N101" s="4"/>
      <c r="O101" s="4"/>
      <c r="P101" s="4"/>
      <c r="Q101" s="4"/>
      <c r="S101" s="4"/>
      <c r="T101" s="4"/>
      <c r="U101" s="4"/>
    </row>
    <row r="102" spans="1:22" ht="15.75">
      <c r="A102" s="142" t="s">
        <v>9</v>
      </c>
      <c r="B102" s="142"/>
      <c r="C102" s="142"/>
      <c r="D102" s="142"/>
      <c r="E102" s="142"/>
      <c r="F102" s="142"/>
      <c r="G102" s="142"/>
      <c r="H102" s="142"/>
      <c r="I102" s="142"/>
      <c r="J102" s="6"/>
      <c r="K102" s="6"/>
      <c r="L102" s="6"/>
      <c r="M102" s="6"/>
      <c r="N102" s="6"/>
      <c r="O102" s="6"/>
      <c r="P102" s="6"/>
      <c r="Q102" s="6"/>
      <c r="R102" s="144"/>
      <c r="S102" s="144"/>
      <c r="T102" s="144"/>
      <c r="U102" s="144"/>
    </row>
    <row r="103" spans="1:22" ht="15.75">
      <c r="A103" s="13"/>
      <c r="B103" s="58"/>
      <c r="C103" s="58"/>
      <c r="D103" s="58"/>
      <c r="E103" s="58"/>
      <c r="F103" s="58"/>
      <c r="G103" s="58"/>
      <c r="H103" s="58"/>
      <c r="I103" s="58"/>
    </row>
    <row r="104" spans="1:22" ht="15.75">
      <c r="A104" s="148" t="s">
        <v>10</v>
      </c>
      <c r="B104" s="148"/>
      <c r="C104" s="148"/>
      <c r="D104" s="148"/>
      <c r="E104" s="148"/>
      <c r="F104" s="148"/>
      <c r="G104" s="148"/>
      <c r="H104" s="148"/>
      <c r="I104" s="148"/>
    </row>
    <row r="105" spans="1:22" ht="15.75" customHeight="1">
      <c r="A105" s="5"/>
    </row>
    <row r="106" spans="1:22" ht="15.75">
      <c r="A106" s="142" t="s">
        <v>11</v>
      </c>
      <c r="B106" s="142"/>
      <c r="C106" s="147" t="s">
        <v>85</v>
      </c>
      <c r="D106" s="147"/>
      <c r="E106" s="147"/>
      <c r="F106" s="72"/>
      <c r="I106" s="103"/>
    </row>
    <row r="107" spans="1:22">
      <c r="A107" s="104"/>
      <c r="C107" s="141" t="s">
        <v>12</v>
      </c>
      <c r="D107" s="141"/>
      <c r="E107" s="141"/>
      <c r="F107" s="28"/>
      <c r="I107" s="102" t="s">
        <v>13</v>
      </c>
    </row>
    <row r="108" spans="1:22" ht="15.75">
      <c r="A108" s="29"/>
      <c r="C108" s="14"/>
      <c r="D108" s="14"/>
      <c r="G108" s="14"/>
      <c r="H108" s="14"/>
    </row>
    <row r="109" spans="1:22" ht="15.75" customHeight="1">
      <c r="A109" s="142" t="s">
        <v>14</v>
      </c>
      <c r="B109" s="142"/>
      <c r="C109" s="143"/>
      <c r="D109" s="143"/>
      <c r="E109" s="143"/>
      <c r="F109" s="73"/>
      <c r="I109" s="103"/>
    </row>
    <row r="110" spans="1:22">
      <c r="A110" s="104"/>
      <c r="C110" s="144" t="s">
        <v>12</v>
      </c>
      <c r="D110" s="144"/>
      <c r="E110" s="144"/>
      <c r="F110" s="104"/>
      <c r="I110" s="102" t="s">
        <v>13</v>
      </c>
    </row>
    <row r="111" spans="1:22" ht="15.75">
      <c r="A111" s="5" t="s">
        <v>15</v>
      </c>
    </row>
    <row r="112" spans="1:22">
      <c r="A112" s="139" t="s">
        <v>16</v>
      </c>
      <c r="B112" s="139"/>
      <c r="C112" s="139"/>
      <c r="D112" s="139"/>
      <c r="E112" s="139"/>
      <c r="F112" s="139"/>
      <c r="G112" s="139"/>
      <c r="H112" s="139"/>
      <c r="I112" s="139"/>
    </row>
    <row r="113" spans="1:9" ht="45" customHeight="1">
      <c r="A113" s="140" t="s">
        <v>17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30" customHeight="1">
      <c r="A114" s="140" t="s">
        <v>18</v>
      </c>
      <c r="B114" s="140"/>
      <c r="C114" s="140"/>
      <c r="D114" s="140"/>
      <c r="E114" s="140"/>
      <c r="F114" s="140"/>
      <c r="G114" s="140"/>
      <c r="H114" s="140"/>
      <c r="I114" s="140"/>
    </row>
    <row r="115" spans="1:9" ht="30" customHeight="1">
      <c r="A115" s="140" t="s">
        <v>22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15" customHeight="1">
      <c r="A116" s="140" t="s">
        <v>21</v>
      </c>
      <c r="B116" s="140"/>
      <c r="C116" s="140"/>
      <c r="D116" s="140"/>
      <c r="E116" s="140"/>
      <c r="F116" s="140"/>
      <c r="G116" s="140"/>
      <c r="H116" s="140"/>
      <c r="I116" s="140"/>
    </row>
    <row r="118" spans="1:9">
      <c r="A118" s="15"/>
      <c r="B118" s="15"/>
      <c r="C118" s="15"/>
      <c r="D118" s="15"/>
      <c r="E118" s="15"/>
      <c r="F118" s="15"/>
      <c r="G118" s="15"/>
      <c r="H118" s="15"/>
    </row>
  </sheetData>
  <autoFilter ref="I15:I97"/>
  <mergeCells count="31">
    <mergeCell ref="A15:I15"/>
    <mergeCell ref="A14:I14"/>
    <mergeCell ref="A3:I3"/>
    <mergeCell ref="A4:I4"/>
    <mergeCell ref="A5:I5"/>
    <mergeCell ref="A8:I8"/>
    <mergeCell ref="A10:I10"/>
    <mergeCell ref="R102:U102"/>
    <mergeCell ref="A104:I104"/>
    <mergeCell ref="A27:I27"/>
    <mergeCell ref="A96:I96"/>
    <mergeCell ref="B97:G97"/>
    <mergeCell ref="A54:I54"/>
    <mergeCell ref="A84:I84"/>
    <mergeCell ref="A80:I80"/>
    <mergeCell ref="A43:I43"/>
    <mergeCell ref="C107:E107"/>
    <mergeCell ref="A109:B109"/>
    <mergeCell ref="C109:E109"/>
    <mergeCell ref="C110:E110"/>
    <mergeCell ref="B98:G98"/>
    <mergeCell ref="A100:I100"/>
    <mergeCell ref="A101:I101"/>
    <mergeCell ref="A102:I102"/>
    <mergeCell ref="A106:B106"/>
    <mergeCell ref="C106:E106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topLeftCell="A29" workbookViewId="0">
      <selection activeCell="I97" sqref="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137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244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44135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245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153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5</v>
      </c>
      <c r="B29" s="69" t="s">
        <v>142</v>
      </c>
      <c r="C29" s="76" t="s">
        <v>111</v>
      </c>
      <c r="D29" s="69" t="s">
        <v>176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0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6</v>
      </c>
      <c r="B30" s="69" t="s">
        <v>143</v>
      </c>
      <c r="C30" s="76" t="s">
        <v>111</v>
      </c>
      <c r="D30" s="69" t="s">
        <v>175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:H33" si="4">SUM(F31*G31/1000)</f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61</v>
      </c>
      <c r="C32" s="76" t="s">
        <v>31</v>
      </c>
      <c r="D32" s="69" t="s">
        <v>62</v>
      </c>
      <c r="E32" s="77"/>
      <c r="F32" s="78">
        <v>1</v>
      </c>
      <c r="G32" s="78">
        <v>238.07</v>
      </c>
      <c r="H32" s="79">
        <f t="shared" si="4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112</v>
      </c>
      <c r="C33" s="76" t="s">
        <v>30</v>
      </c>
      <c r="D33" s="69" t="s">
        <v>62</v>
      </c>
      <c r="E33" s="77"/>
      <c r="F33" s="78">
        <v>1</v>
      </c>
      <c r="G33" s="78">
        <v>1413.96</v>
      </c>
      <c r="H33" s="79">
        <f t="shared" si="4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5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113</v>
      </c>
      <c r="C36" s="76" t="s">
        <v>28</v>
      </c>
      <c r="D36" s="69" t="s">
        <v>145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114</v>
      </c>
      <c r="C37" s="76" t="s">
        <v>115</v>
      </c>
      <c r="D37" s="69" t="s">
        <v>62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146</v>
      </c>
      <c r="C38" s="76" t="s">
        <v>28</v>
      </c>
      <c r="D38" s="69" t="s">
        <v>116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5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75</v>
      </c>
      <c r="C39" s="76" t="s">
        <v>111</v>
      </c>
      <c r="D39" s="69" t="s">
        <v>117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5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118</v>
      </c>
      <c r="C40" s="76" t="s">
        <v>111</v>
      </c>
      <c r="D40" s="69" t="s">
        <v>147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5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63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5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7.25" hidden="1" customHeight="1">
      <c r="A42" s="162" t="s">
        <v>148</v>
      </c>
      <c r="B42" s="163"/>
      <c r="C42" s="163"/>
      <c r="D42" s="163"/>
      <c r="E42" s="163"/>
      <c r="F42" s="163"/>
      <c r="G42" s="163"/>
      <c r="H42" s="163"/>
      <c r="I42" s="164"/>
      <c r="J42" s="27"/>
      <c r="K42" s="10"/>
      <c r="L42" s="10"/>
      <c r="M42" s="10"/>
    </row>
    <row r="43" spans="1:13" ht="29.25" hidden="1" customHeight="1">
      <c r="A43" s="47">
        <v>9</v>
      </c>
      <c r="B43" s="69" t="s">
        <v>119</v>
      </c>
      <c r="C43" s="76" t="s">
        <v>111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6">SUM(F43*G43/1000)</f>
        <v>2.721961968</v>
      </c>
      <c r="I43" s="17">
        <f t="shared" ref="I43:I45" si="7">F43/2*G43</f>
        <v>1360.980984</v>
      </c>
      <c r="J43" s="27"/>
      <c r="K43" s="10"/>
      <c r="L43" s="10"/>
      <c r="M43" s="10"/>
    </row>
    <row r="44" spans="1:13" ht="27" hidden="1" customHeight="1">
      <c r="A44" s="47">
        <v>10</v>
      </c>
      <c r="B44" s="69" t="s">
        <v>34</v>
      </c>
      <c r="C44" s="76" t="s">
        <v>111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6"/>
        <v>4.2862477871999998</v>
      </c>
      <c r="I44" s="17">
        <f t="shared" si="7"/>
        <v>2143.1238936</v>
      </c>
      <c r="J44" s="27"/>
      <c r="K44" s="10"/>
      <c r="L44" s="10"/>
      <c r="M44" s="10"/>
    </row>
    <row r="45" spans="1:13" ht="30" hidden="1" customHeight="1">
      <c r="A45" s="47">
        <v>11</v>
      </c>
      <c r="B45" s="69" t="s">
        <v>35</v>
      </c>
      <c r="C45" s="76" t="s">
        <v>111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6"/>
        <v>3.0571051328000003</v>
      </c>
      <c r="I45" s="17">
        <f t="shared" si="7"/>
        <v>1528.5525664000002</v>
      </c>
      <c r="J45" s="27"/>
      <c r="K45" s="10"/>
      <c r="L45" s="10"/>
      <c r="M45" s="10"/>
    </row>
    <row r="46" spans="1:13" ht="26.25" hidden="1" customHeight="1">
      <c r="A46" s="47">
        <v>12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6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25.5" hidden="1" customHeight="1">
      <c r="A47" s="47">
        <v>13</v>
      </c>
      <c r="B47" s="69" t="s">
        <v>55</v>
      </c>
      <c r="C47" s="76" t="s">
        <v>111</v>
      </c>
      <c r="D47" s="69" t="s">
        <v>149</v>
      </c>
      <c r="E47" s="77">
        <v>2549.5</v>
      </c>
      <c r="F47" s="78">
        <f>SUM(E47*5/1000)</f>
        <v>12.7475</v>
      </c>
      <c r="G47" s="17">
        <v>1711.28</v>
      </c>
      <c r="H47" s="79">
        <f t="shared" si="6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3" hidden="1" customHeight="1">
      <c r="A48" s="47">
        <v>9</v>
      </c>
      <c r="B48" s="69" t="s">
        <v>120</v>
      </c>
      <c r="C48" s="76" t="s">
        <v>111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6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28.5" hidden="1" customHeight="1">
      <c r="A49" s="47">
        <v>10</v>
      </c>
      <c r="B49" s="69" t="s">
        <v>121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6"/>
        <v>1.2321280000000001</v>
      </c>
      <c r="I49" s="17">
        <f t="shared" ref="I49:I50" si="8">F49/2*G49</f>
        <v>616.06400000000008</v>
      </c>
      <c r="J49" s="27"/>
      <c r="K49" s="10"/>
    </row>
    <row r="50" spans="1:14" ht="25.5" hidden="1" customHeight="1">
      <c r="A50" s="47">
        <v>11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6"/>
        <v>0.1406626</v>
      </c>
      <c r="I50" s="17">
        <f t="shared" si="8"/>
        <v>70.331299999999999</v>
      </c>
      <c r="J50" s="75"/>
    </row>
    <row r="51" spans="1:14" ht="23.25" hidden="1" customHeight="1">
      <c r="A51" s="47">
        <v>17</v>
      </c>
      <c r="B51" s="69" t="s">
        <v>122</v>
      </c>
      <c r="C51" s="76" t="s">
        <v>98</v>
      </c>
      <c r="D51" s="69" t="s">
        <v>64</v>
      </c>
      <c r="E51" s="77">
        <v>64</v>
      </c>
      <c r="F51" s="78">
        <f>E51*3</f>
        <v>192</v>
      </c>
      <c r="G51" s="17">
        <v>175.6</v>
      </c>
      <c r="H51" s="79">
        <f t="shared" si="6"/>
        <v>33.715199999999996</v>
      </c>
      <c r="I51" s="17">
        <f>E51*G51</f>
        <v>11238.4</v>
      </c>
      <c r="J51" s="75"/>
    </row>
    <row r="52" spans="1:14" ht="18.75" hidden="1" customHeight="1">
      <c r="A52" s="47">
        <v>18</v>
      </c>
      <c r="B52" s="69" t="s">
        <v>39</v>
      </c>
      <c r="C52" s="76" t="s">
        <v>98</v>
      </c>
      <c r="D52" s="69" t="s">
        <v>64</v>
      </c>
      <c r="E52" s="77">
        <v>128</v>
      </c>
      <c r="F52" s="78">
        <f>SUM(E52)*3</f>
        <v>384</v>
      </c>
      <c r="G52" s="17">
        <v>81.73</v>
      </c>
      <c r="H52" s="79">
        <f t="shared" si="6"/>
        <v>31.384319999999999</v>
      </c>
      <c r="I52" s="17">
        <f>E52*G52</f>
        <v>10461.44</v>
      </c>
      <c r="J52" s="75"/>
    </row>
    <row r="53" spans="1:14" ht="15.75" customHeight="1">
      <c r="A53" s="153" t="s">
        <v>80</v>
      </c>
      <c r="B53" s="154"/>
      <c r="C53" s="154"/>
      <c r="D53" s="154"/>
      <c r="E53" s="154"/>
      <c r="F53" s="154"/>
      <c r="G53" s="154"/>
      <c r="H53" s="154"/>
      <c r="I53" s="155"/>
      <c r="J53" s="75"/>
    </row>
    <row r="54" spans="1:14" ht="14.2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17.25" hidden="1" customHeight="1">
      <c r="A55" s="47">
        <v>13</v>
      </c>
      <c r="B55" s="69" t="s">
        <v>123</v>
      </c>
      <c r="C55" s="76" t="s">
        <v>88</v>
      </c>
      <c r="D55" s="69" t="s">
        <v>124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7.25" hidden="1" customHeight="1">
      <c r="A56" s="47">
        <v>12</v>
      </c>
      <c r="B56" s="88" t="s">
        <v>81</v>
      </c>
      <c r="C56" s="87" t="s">
        <v>30</v>
      </c>
      <c r="D56" s="88" t="s">
        <v>62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G56*3</f>
        <v>4503</v>
      </c>
      <c r="J56" s="75"/>
    </row>
    <row r="57" spans="1:14" ht="23.2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24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customHeight="1">
      <c r="A60" s="47">
        <v>7</v>
      </c>
      <c r="B60" s="19" t="s">
        <v>45</v>
      </c>
      <c r="C60" s="21" t="s">
        <v>98</v>
      </c>
      <c r="D60" s="19" t="s">
        <v>182</v>
      </c>
      <c r="E60" s="23">
        <v>1</v>
      </c>
      <c r="F60" s="17">
        <f>SUM(E60)</f>
        <v>1</v>
      </c>
      <c r="G60" s="17">
        <v>276.74</v>
      </c>
      <c r="H60" s="80">
        <f t="shared" ref="H60:H68" si="9">SUM(F60*G60/1000)</f>
        <v>0.27673999999999999</v>
      </c>
      <c r="I60" s="17">
        <f>G60*1</f>
        <v>276.74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98</v>
      </c>
      <c r="D61" s="19" t="s">
        <v>62</v>
      </c>
      <c r="E61" s="23">
        <v>2</v>
      </c>
      <c r="F61" s="17">
        <f>SUM(E61)</f>
        <v>2</v>
      </c>
      <c r="G61" s="17">
        <v>94.89</v>
      </c>
      <c r="H61" s="80">
        <f t="shared" si="9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99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9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100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9"/>
        <v>2.0663896399999997</v>
      </c>
      <c r="I63" s="17">
        <f t="shared" ref="I63:I66" si="10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70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9"/>
        <v>56.793660000000003</v>
      </c>
      <c r="I64" s="17">
        <f t="shared" si="10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101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9"/>
        <v>0.44603000000000004</v>
      </c>
      <c r="I65" s="17">
        <f t="shared" si="10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102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9"/>
        <v>0.41613800000000001</v>
      </c>
      <c r="I66" s="17">
        <f t="shared" si="10"/>
        <v>416.13800000000003</v>
      </c>
      <c r="J66" s="75"/>
      <c r="L66" s="24"/>
      <c r="M66" s="25"/>
      <c r="N66" s="26"/>
    </row>
    <row r="67" spans="1:14" ht="15.75" hidden="1" customHeight="1">
      <c r="A67" s="67">
        <v>19</v>
      </c>
      <c r="B67" s="19" t="s">
        <v>56</v>
      </c>
      <c r="C67" s="21" t="s">
        <v>57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9"/>
        <v>0.12414</v>
      </c>
      <c r="I67" s="17">
        <f>G67*2</f>
        <v>124.14</v>
      </c>
      <c r="J67" s="75"/>
      <c r="L67" s="24"/>
      <c r="M67" s="25"/>
      <c r="N67" s="26"/>
    </row>
    <row r="68" spans="1:14" ht="15.75" customHeight="1">
      <c r="A68" s="68">
        <v>8</v>
      </c>
      <c r="B68" s="19" t="s">
        <v>82</v>
      </c>
      <c r="C68" s="31" t="s">
        <v>103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9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104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105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65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106</v>
      </c>
      <c r="C72" s="21" t="s">
        <v>107</v>
      </c>
      <c r="D72" s="19" t="s">
        <v>62</v>
      </c>
      <c r="E72" s="23">
        <v>1</v>
      </c>
      <c r="F72" s="17">
        <f>E72</f>
        <v>1</v>
      </c>
      <c r="G72" s="17">
        <v>976.4</v>
      </c>
      <c r="H72" s="80">
        <f t="shared" ref="H72:H74" si="11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108</v>
      </c>
      <c r="C73" s="21" t="s">
        <v>109</v>
      </c>
      <c r="D73" s="19" t="s">
        <v>62</v>
      </c>
      <c r="E73" s="23">
        <v>1</v>
      </c>
      <c r="F73" s="17">
        <v>1</v>
      </c>
      <c r="G73" s="17">
        <v>735</v>
      </c>
      <c r="H73" s="80">
        <f t="shared" si="11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66</v>
      </c>
      <c r="C74" s="21" t="s">
        <v>68</v>
      </c>
      <c r="D74" s="19" t="s">
        <v>62</v>
      </c>
      <c r="E74" s="23">
        <v>3</v>
      </c>
      <c r="F74" s="17">
        <v>0.3</v>
      </c>
      <c r="G74" s="17">
        <v>624.16999999999996</v>
      </c>
      <c r="H74" s="80">
        <f t="shared" si="11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67</v>
      </c>
      <c r="C75" s="21" t="s">
        <v>29</v>
      </c>
      <c r="D75" s="19" t="s">
        <v>62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83</v>
      </c>
      <c r="C76" s="21" t="s">
        <v>29</v>
      </c>
      <c r="D76" s="19" t="s">
        <v>62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69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110</v>
      </c>
      <c r="C78" s="21" t="s">
        <v>70</v>
      </c>
      <c r="D78" s="19"/>
      <c r="E78" s="23"/>
      <c r="F78" s="17">
        <v>1</v>
      </c>
      <c r="G78" s="17">
        <v>3433.68</v>
      </c>
      <c r="H78" s="80">
        <f t="shared" ref="H78" si="12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59" t="s">
        <v>135</v>
      </c>
      <c r="B79" s="160"/>
      <c r="C79" s="160"/>
      <c r="D79" s="160"/>
      <c r="E79" s="160"/>
      <c r="F79" s="160"/>
      <c r="G79" s="160"/>
      <c r="H79" s="160"/>
      <c r="I79" s="161"/>
      <c r="J79" s="75"/>
      <c r="L79" s="24"/>
      <c r="M79" s="25"/>
      <c r="N79" s="26"/>
    </row>
    <row r="80" spans="1:14" ht="15.75" customHeight="1">
      <c r="A80" s="68">
        <v>9</v>
      </c>
      <c r="B80" s="69" t="s">
        <v>125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22" ht="31.5" customHeight="1">
      <c r="A81" s="31">
        <v>10</v>
      </c>
      <c r="B81" s="19" t="s">
        <v>71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22" ht="15.75" customHeight="1">
      <c r="A82" s="61"/>
      <c r="B82" s="45" t="s">
        <v>73</v>
      </c>
      <c r="C82" s="47"/>
      <c r="D82" s="20"/>
      <c r="E82" s="20"/>
      <c r="F82" s="20"/>
      <c r="G82" s="23"/>
      <c r="H82" s="23"/>
      <c r="I82" s="35">
        <f>I81+I80+I68+I30+I29+I26+I18+I17+I16+I60</f>
        <v>32012.978090000001</v>
      </c>
      <c r="J82" s="75"/>
      <c r="L82" s="24"/>
      <c r="M82" s="25"/>
      <c r="N82" s="26"/>
    </row>
    <row r="83" spans="1:22" ht="15.75" customHeight="1">
      <c r="A83" s="156" t="s">
        <v>58</v>
      </c>
      <c r="B83" s="157"/>
      <c r="C83" s="157"/>
      <c r="D83" s="157"/>
      <c r="E83" s="157"/>
      <c r="F83" s="157"/>
      <c r="G83" s="157"/>
      <c r="H83" s="157"/>
      <c r="I83" s="158"/>
      <c r="J83" s="75"/>
      <c r="L83" s="24"/>
      <c r="M83" s="25"/>
      <c r="N83" s="26"/>
    </row>
    <row r="84" spans="1:22" ht="15.75" customHeight="1">
      <c r="A84" s="68">
        <v>11</v>
      </c>
      <c r="B84" s="19" t="s">
        <v>156</v>
      </c>
      <c r="C84" s="21" t="s">
        <v>157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22" ht="32.25" customHeight="1">
      <c r="A85" s="68">
        <v>12</v>
      </c>
      <c r="B85" s="117" t="s">
        <v>246</v>
      </c>
      <c r="C85" s="118" t="s">
        <v>169</v>
      </c>
      <c r="D85" s="43" t="s">
        <v>247</v>
      </c>
      <c r="E85" s="22"/>
      <c r="F85" s="41">
        <v>1</v>
      </c>
      <c r="G85" s="41">
        <v>1421.68</v>
      </c>
      <c r="H85" s="17"/>
      <c r="I85" s="17">
        <f>G85*1</f>
        <v>1421.68</v>
      </c>
      <c r="J85" s="75"/>
      <c r="L85" s="24"/>
      <c r="M85" s="25"/>
      <c r="N85" s="26"/>
    </row>
    <row r="86" spans="1:22" ht="33.75" customHeight="1">
      <c r="A86" s="68">
        <v>13</v>
      </c>
      <c r="B86" s="117" t="s">
        <v>84</v>
      </c>
      <c r="C86" s="118" t="s">
        <v>86</v>
      </c>
      <c r="D86" s="43" t="s">
        <v>248</v>
      </c>
      <c r="E86" s="22"/>
      <c r="F86" s="41">
        <v>3</v>
      </c>
      <c r="G86" s="41">
        <v>670.51</v>
      </c>
      <c r="H86" s="17"/>
      <c r="I86" s="17">
        <f>G86*3</f>
        <v>2011.53</v>
      </c>
      <c r="J86" s="75"/>
      <c r="L86" s="24"/>
      <c r="M86" s="25"/>
      <c r="N86" s="26"/>
    </row>
    <row r="87" spans="1:22" ht="15.75" customHeight="1">
      <c r="A87" s="31"/>
      <c r="B87" s="52" t="s">
        <v>50</v>
      </c>
      <c r="C87" s="48"/>
      <c r="D87" s="62"/>
      <c r="E87" s="48">
        <v>1</v>
      </c>
      <c r="F87" s="48"/>
      <c r="G87" s="48"/>
      <c r="H87" s="48"/>
      <c r="I87" s="35">
        <f>SUM(I84:I86)</f>
        <v>3500.41</v>
      </c>
      <c r="J87" s="75"/>
      <c r="L87" s="24"/>
      <c r="M87" s="25"/>
      <c r="N87" s="26"/>
    </row>
    <row r="88" spans="1:22" ht="15.75" customHeight="1">
      <c r="A88" s="31"/>
      <c r="B88" s="57" t="s">
        <v>72</v>
      </c>
      <c r="C88" s="20"/>
      <c r="D88" s="20"/>
      <c r="E88" s="49"/>
      <c r="F88" s="49"/>
      <c r="G88" s="50"/>
      <c r="H88" s="50"/>
      <c r="I88" s="22">
        <v>0</v>
      </c>
      <c r="J88" s="75"/>
      <c r="L88" s="24"/>
      <c r="M88" s="25"/>
      <c r="N88" s="26"/>
    </row>
    <row r="89" spans="1:22" ht="15.75" customHeight="1">
      <c r="A89" s="63"/>
      <c r="B89" s="53" t="s">
        <v>151</v>
      </c>
      <c r="C89" s="39"/>
      <c r="D89" s="39"/>
      <c r="E89" s="39"/>
      <c r="F89" s="39"/>
      <c r="G89" s="39"/>
      <c r="H89" s="39"/>
      <c r="I89" s="51">
        <f>I82+I87</f>
        <v>35513.38809</v>
      </c>
      <c r="J89" s="75"/>
      <c r="L89" s="24"/>
    </row>
    <row r="90" spans="1:22" ht="15.75">
      <c r="A90" s="142" t="s">
        <v>249</v>
      </c>
      <c r="B90" s="142"/>
      <c r="C90" s="142"/>
      <c r="D90" s="142"/>
      <c r="E90" s="142"/>
      <c r="F90" s="142"/>
      <c r="G90" s="142"/>
      <c r="H90" s="142"/>
      <c r="I90" s="142"/>
    </row>
    <row r="91" spans="1:22" ht="15.75">
      <c r="A91" s="12"/>
      <c r="B91" s="152" t="s">
        <v>250</v>
      </c>
      <c r="C91" s="152"/>
      <c r="D91" s="152"/>
      <c r="E91" s="152"/>
      <c r="F91" s="152"/>
      <c r="G91" s="152"/>
      <c r="H91" s="98"/>
      <c r="I91" s="4"/>
    </row>
    <row r="92" spans="1:22" ht="15.75">
      <c r="A92" s="70"/>
      <c r="B92" s="145" t="s">
        <v>6</v>
      </c>
      <c r="C92" s="145"/>
      <c r="D92" s="145"/>
      <c r="E92" s="145"/>
      <c r="F92" s="145"/>
      <c r="G92" s="145"/>
      <c r="H92" s="74"/>
      <c r="I92" s="59"/>
    </row>
    <row r="93" spans="1:22" ht="15.75" customHeight="1">
      <c r="A93" s="60"/>
      <c r="B93" s="60"/>
      <c r="C93" s="60"/>
      <c r="D93" s="60"/>
      <c r="E93" s="60"/>
      <c r="F93" s="60"/>
      <c r="G93" s="60"/>
      <c r="H93" s="60"/>
      <c r="I93" s="6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1"/>
    </row>
    <row r="94" spans="1:22" ht="15.75" customHeight="1">
      <c r="A94" s="146" t="s">
        <v>7</v>
      </c>
      <c r="B94" s="146"/>
      <c r="C94" s="146"/>
      <c r="D94" s="146"/>
      <c r="E94" s="146"/>
      <c r="F94" s="146"/>
      <c r="G94" s="146"/>
      <c r="H94" s="146"/>
      <c r="I94" s="146"/>
      <c r="J94" s="29"/>
      <c r="K94" s="29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>
      <c r="A95" s="146" t="s">
        <v>8</v>
      </c>
      <c r="B95" s="146"/>
      <c r="C95" s="146"/>
      <c r="D95" s="146"/>
      <c r="E95" s="146"/>
      <c r="F95" s="146"/>
      <c r="G95" s="146"/>
      <c r="H95" s="146"/>
      <c r="I95" s="146"/>
      <c r="J95" s="4"/>
      <c r="K95" s="4"/>
      <c r="L95" s="4"/>
      <c r="M95" s="4"/>
      <c r="N95" s="4"/>
      <c r="O95" s="4"/>
      <c r="P95" s="4"/>
      <c r="Q95" s="4"/>
      <c r="S95" s="4"/>
      <c r="T95" s="4"/>
      <c r="U95" s="4"/>
    </row>
    <row r="96" spans="1:22" ht="15.75">
      <c r="A96" s="142" t="s">
        <v>9</v>
      </c>
      <c r="B96" s="142"/>
      <c r="C96" s="142"/>
      <c r="D96" s="142"/>
      <c r="E96" s="142"/>
      <c r="F96" s="142"/>
      <c r="G96" s="142"/>
      <c r="H96" s="142"/>
      <c r="I96" s="142"/>
      <c r="J96" s="6"/>
      <c r="K96" s="6"/>
      <c r="L96" s="6"/>
      <c r="M96" s="6"/>
      <c r="N96" s="6"/>
      <c r="O96" s="6"/>
      <c r="P96" s="6"/>
      <c r="Q96" s="6"/>
      <c r="R96" s="144"/>
      <c r="S96" s="144"/>
      <c r="T96" s="144"/>
      <c r="U96" s="144"/>
    </row>
    <row r="97" spans="1:9" ht="15.75">
      <c r="A97" s="13"/>
      <c r="B97" s="58"/>
      <c r="C97" s="58"/>
      <c r="D97" s="58"/>
      <c r="E97" s="58"/>
      <c r="F97" s="58"/>
      <c r="G97" s="58"/>
      <c r="H97" s="58"/>
      <c r="I97" s="58"/>
    </row>
    <row r="98" spans="1:9" ht="15.75">
      <c r="A98" s="148" t="s">
        <v>10</v>
      </c>
      <c r="B98" s="148"/>
      <c r="C98" s="148"/>
      <c r="D98" s="148"/>
      <c r="E98" s="148"/>
      <c r="F98" s="148"/>
      <c r="G98" s="148"/>
      <c r="H98" s="148"/>
      <c r="I98" s="148"/>
    </row>
    <row r="99" spans="1:9" ht="15.75" customHeight="1">
      <c r="A99" s="5"/>
    </row>
    <row r="100" spans="1:9" ht="15.75">
      <c r="A100" s="142" t="s">
        <v>11</v>
      </c>
      <c r="B100" s="142"/>
      <c r="C100" s="147" t="s">
        <v>251</v>
      </c>
      <c r="D100" s="147"/>
      <c r="E100" s="147"/>
      <c r="F100" s="72"/>
      <c r="I100" s="103"/>
    </row>
    <row r="101" spans="1:9">
      <c r="A101" s="104"/>
      <c r="C101" s="141" t="s">
        <v>12</v>
      </c>
      <c r="D101" s="141"/>
      <c r="E101" s="141"/>
      <c r="F101" s="28"/>
      <c r="I101" s="102" t="s">
        <v>13</v>
      </c>
    </row>
    <row r="102" spans="1:9" ht="15.75">
      <c r="A102" s="29"/>
      <c r="C102" s="14"/>
      <c r="D102" s="14"/>
      <c r="G102" s="14"/>
      <c r="H102" s="14"/>
    </row>
    <row r="103" spans="1:9" ht="15.75" customHeight="1">
      <c r="A103" s="142" t="s">
        <v>14</v>
      </c>
      <c r="B103" s="142"/>
      <c r="C103" s="143"/>
      <c r="D103" s="143"/>
      <c r="E103" s="143"/>
      <c r="F103" s="73"/>
      <c r="I103" s="103"/>
    </row>
    <row r="104" spans="1:9">
      <c r="A104" s="104"/>
      <c r="C104" s="144" t="s">
        <v>12</v>
      </c>
      <c r="D104" s="144"/>
      <c r="E104" s="144"/>
      <c r="F104" s="104"/>
      <c r="I104" s="102" t="s">
        <v>13</v>
      </c>
    </row>
    <row r="105" spans="1:9" ht="15.75">
      <c r="A105" s="5" t="s">
        <v>15</v>
      </c>
    </row>
    <row r="106" spans="1:9">
      <c r="A106" s="139" t="s">
        <v>16</v>
      </c>
      <c r="B106" s="139"/>
      <c r="C106" s="139"/>
      <c r="D106" s="139"/>
      <c r="E106" s="139"/>
      <c r="F106" s="139"/>
      <c r="G106" s="139"/>
      <c r="H106" s="139"/>
      <c r="I106" s="139"/>
    </row>
    <row r="107" spans="1:9" ht="45" customHeight="1">
      <c r="A107" s="140" t="s">
        <v>17</v>
      </c>
      <c r="B107" s="140"/>
      <c r="C107" s="140"/>
      <c r="D107" s="140"/>
      <c r="E107" s="140"/>
      <c r="F107" s="140"/>
      <c r="G107" s="140"/>
      <c r="H107" s="140"/>
      <c r="I107" s="140"/>
    </row>
    <row r="108" spans="1:9" ht="30" customHeight="1">
      <c r="A108" s="140" t="s">
        <v>18</v>
      </c>
      <c r="B108" s="140"/>
      <c r="C108" s="140"/>
      <c r="D108" s="140"/>
      <c r="E108" s="140"/>
      <c r="F108" s="140"/>
      <c r="G108" s="140"/>
      <c r="H108" s="140"/>
      <c r="I108" s="140"/>
    </row>
    <row r="109" spans="1:9" ht="30" customHeight="1">
      <c r="A109" s="140" t="s">
        <v>22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15" customHeight="1">
      <c r="A110" s="140" t="s">
        <v>21</v>
      </c>
      <c r="B110" s="140"/>
      <c r="C110" s="140"/>
      <c r="D110" s="140"/>
      <c r="E110" s="140"/>
      <c r="F110" s="140"/>
      <c r="G110" s="140"/>
      <c r="H110" s="140"/>
      <c r="I110" s="140"/>
    </row>
    <row r="112" spans="1:9">
      <c r="A112" s="15"/>
      <c r="B112" s="15"/>
      <c r="C112" s="15"/>
      <c r="D112" s="15"/>
      <c r="E112" s="15"/>
      <c r="F112" s="15"/>
      <c r="G112" s="15"/>
      <c r="H112" s="15"/>
    </row>
  </sheetData>
  <autoFilter ref="I15:I91"/>
  <mergeCells count="31"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  <mergeCell ref="A90:I90"/>
    <mergeCell ref="B91:G91"/>
    <mergeCell ref="B92:G92"/>
    <mergeCell ref="A94:I94"/>
    <mergeCell ref="A95:I95"/>
    <mergeCell ref="A110:I110"/>
    <mergeCell ref="R96:U96"/>
    <mergeCell ref="A98:I98"/>
    <mergeCell ref="A100:B100"/>
    <mergeCell ref="C100:E100"/>
    <mergeCell ref="C101:E101"/>
    <mergeCell ref="A103:B103"/>
    <mergeCell ref="C103:E103"/>
    <mergeCell ref="A96:I96"/>
    <mergeCell ref="C104:E104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70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154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252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110"/>
      <c r="C6" s="110"/>
      <c r="D6" s="110"/>
      <c r="E6" s="110"/>
      <c r="F6" s="110"/>
      <c r="G6" s="110"/>
      <c r="H6" s="110"/>
      <c r="I6" s="34">
        <v>44165</v>
      </c>
    </row>
    <row r="7" spans="1:15" ht="15.75">
      <c r="B7" s="106"/>
      <c r="C7" s="106"/>
      <c r="D7" s="10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245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9" t="s">
        <v>153</v>
      </c>
      <c r="B28" s="150"/>
      <c r="C28" s="150"/>
      <c r="D28" s="150"/>
      <c r="E28" s="150"/>
      <c r="F28" s="150"/>
      <c r="G28" s="150"/>
      <c r="H28" s="150"/>
      <c r="I28" s="151"/>
      <c r="J28" s="27"/>
      <c r="K28" s="10"/>
      <c r="L28" s="10"/>
      <c r="M28" s="10"/>
    </row>
    <row r="29" spans="1:13" ht="15.75" hidden="1" customHeight="1">
      <c r="A29" s="47"/>
      <c r="B29" s="55" t="s">
        <v>138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hidden="1" customHeight="1">
      <c r="A30" s="68">
        <v>6</v>
      </c>
      <c r="B30" s="69" t="s">
        <v>142</v>
      </c>
      <c r="C30" s="76" t="s">
        <v>111</v>
      </c>
      <c r="D30" s="69" t="s">
        <v>139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5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8">
        <v>7</v>
      </c>
      <c r="B31" s="69" t="s">
        <v>143</v>
      </c>
      <c r="C31" s="76" t="s">
        <v>111</v>
      </c>
      <c r="D31" s="69" t="s">
        <v>140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:I33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111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>
        <v>8</v>
      </c>
      <c r="B33" s="69" t="s">
        <v>144</v>
      </c>
      <c r="C33" s="76" t="s">
        <v>29</v>
      </c>
      <c r="D33" s="69" t="s">
        <v>60</v>
      </c>
      <c r="E33" s="86">
        <f>1/6</f>
        <v>0.16666666666666666</v>
      </c>
      <c r="F33" s="78">
        <f>155/6</f>
        <v>25.833333333333332</v>
      </c>
      <c r="G33" s="78">
        <v>70.540000000000006</v>
      </c>
      <c r="H33" s="79">
        <f t="shared" si="3"/>
        <v>1.8222833333333333</v>
      </c>
      <c r="I33" s="17">
        <f t="shared" si="4"/>
        <v>303.7138888888889</v>
      </c>
      <c r="J33" s="27"/>
      <c r="K33" s="10"/>
      <c r="L33" s="10"/>
      <c r="M33" s="10"/>
    </row>
    <row r="34" spans="1:13" ht="15.75" hidden="1" customHeight="1">
      <c r="A34" s="68"/>
      <c r="B34" s="69" t="s">
        <v>61</v>
      </c>
      <c r="C34" s="76" t="s">
        <v>31</v>
      </c>
      <c r="D34" s="69" t="s">
        <v>62</v>
      </c>
      <c r="E34" s="77"/>
      <c r="F34" s="78">
        <v>1</v>
      </c>
      <c r="G34" s="78">
        <v>238.07</v>
      </c>
      <c r="H34" s="79">
        <f t="shared" si="3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8"/>
      <c r="B35" s="69" t="s">
        <v>112</v>
      </c>
      <c r="C35" s="76" t="s">
        <v>30</v>
      </c>
      <c r="D35" s="69" t="s">
        <v>62</v>
      </c>
      <c r="E35" s="77"/>
      <c r="F35" s="78">
        <v>1</v>
      </c>
      <c r="G35" s="78">
        <v>1413.96</v>
      </c>
      <c r="H35" s="79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4"/>
      <c r="J36" s="27"/>
      <c r="K36" s="10"/>
      <c r="L36" s="10"/>
      <c r="M36" s="10"/>
    </row>
    <row r="37" spans="1:13" ht="15.75" hidden="1" customHeight="1">
      <c r="A37" s="38">
        <v>5</v>
      </c>
      <c r="B37" s="69" t="s">
        <v>26</v>
      </c>
      <c r="C37" s="76" t="s">
        <v>30</v>
      </c>
      <c r="D37" s="69"/>
      <c r="E37" s="77"/>
      <c r="F37" s="78">
        <v>2</v>
      </c>
      <c r="G37" s="78">
        <v>1900.37</v>
      </c>
      <c r="H37" s="79">
        <f t="shared" ref="H37:H43" si="5">SUM(F37*G37/1000)</f>
        <v>3.8007399999999998</v>
      </c>
      <c r="I37" s="17">
        <f>G37*0.8</f>
        <v>1520.296</v>
      </c>
      <c r="J37" s="27"/>
      <c r="K37" s="10"/>
      <c r="L37" s="10"/>
      <c r="M37" s="10"/>
    </row>
    <row r="38" spans="1:13" ht="15.75" customHeight="1">
      <c r="A38" s="38">
        <v>5</v>
      </c>
      <c r="B38" s="69" t="s">
        <v>113</v>
      </c>
      <c r="C38" s="76" t="s">
        <v>28</v>
      </c>
      <c r="D38" s="69" t="s">
        <v>179</v>
      </c>
      <c r="E38" s="77">
        <v>65.099999999999994</v>
      </c>
      <c r="F38" s="78">
        <f>E38*24/1000</f>
        <v>1.5623999999999998</v>
      </c>
      <c r="G38" s="78">
        <v>2616.4899999999998</v>
      </c>
      <c r="H38" s="79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69" t="s">
        <v>114</v>
      </c>
      <c r="C39" s="76" t="s">
        <v>115</v>
      </c>
      <c r="D39" s="69" t="s">
        <v>62</v>
      </c>
      <c r="E39" s="77"/>
      <c r="F39" s="78">
        <v>13</v>
      </c>
      <c r="G39" s="78">
        <v>226.84</v>
      </c>
      <c r="H39" s="79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6</v>
      </c>
      <c r="B40" s="69" t="s">
        <v>146</v>
      </c>
      <c r="C40" s="76" t="s">
        <v>28</v>
      </c>
      <c r="D40" s="69" t="s">
        <v>190</v>
      </c>
      <c r="E40" s="78">
        <v>65.099999999999994</v>
      </c>
      <c r="F40" s="78">
        <f>SUM(E40*155/1000)</f>
        <v>10.0905</v>
      </c>
      <c r="G40" s="78">
        <v>436.45</v>
      </c>
      <c r="H40" s="79">
        <f t="shared" si="5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7</v>
      </c>
      <c r="B41" s="69" t="s">
        <v>75</v>
      </c>
      <c r="C41" s="76" t="s">
        <v>111</v>
      </c>
      <c r="D41" s="69" t="s">
        <v>179</v>
      </c>
      <c r="E41" s="78">
        <v>65.099999999999994</v>
      </c>
      <c r="F41" s="78">
        <f>SUM(E41*24/1000)</f>
        <v>1.5623999999999998</v>
      </c>
      <c r="G41" s="78">
        <v>7221.21</v>
      </c>
      <c r="H41" s="79">
        <f t="shared" si="5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118</v>
      </c>
      <c r="C42" s="76" t="s">
        <v>111</v>
      </c>
      <c r="D42" s="69" t="s">
        <v>181</v>
      </c>
      <c r="E42" s="78">
        <v>65.099999999999994</v>
      </c>
      <c r="F42" s="78">
        <f>SUM(E42*18/1000)</f>
        <v>1.1718</v>
      </c>
      <c r="G42" s="78">
        <v>533.45000000000005</v>
      </c>
      <c r="H42" s="79">
        <f t="shared" si="5"/>
        <v>0.62509671</v>
      </c>
      <c r="I42" s="17">
        <f>F42/7.5*G42</f>
        <v>83.346227999999996</v>
      </c>
      <c r="J42" s="27"/>
      <c r="K42" s="10"/>
      <c r="L42" s="10"/>
      <c r="M42" s="10"/>
    </row>
    <row r="43" spans="1:13" ht="15.75" hidden="1" customHeight="1">
      <c r="A43" s="38">
        <v>10</v>
      </c>
      <c r="B43" s="69" t="s">
        <v>63</v>
      </c>
      <c r="C43" s="76" t="s">
        <v>31</v>
      </c>
      <c r="D43" s="69"/>
      <c r="E43" s="77"/>
      <c r="F43" s="78">
        <v>0.4</v>
      </c>
      <c r="G43" s="78">
        <v>992.97</v>
      </c>
      <c r="H43" s="79">
        <f t="shared" si="5"/>
        <v>0.39718800000000004</v>
      </c>
      <c r="I43" s="17">
        <f>F43/7.5*G43</f>
        <v>52.958400000000005</v>
      </c>
      <c r="J43" s="27"/>
      <c r="K43" s="10"/>
      <c r="L43" s="10"/>
      <c r="M43" s="10"/>
    </row>
    <row r="44" spans="1:13" ht="15.75" hidden="1" customHeight="1">
      <c r="A44" s="162" t="s">
        <v>148</v>
      </c>
      <c r="B44" s="163"/>
      <c r="C44" s="163"/>
      <c r="D44" s="163"/>
      <c r="E44" s="163"/>
      <c r="F44" s="163"/>
      <c r="G44" s="163"/>
      <c r="H44" s="163"/>
      <c r="I44" s="164"/>
      <c r="J44" s="27"/>
      <c r="K44" s="10"/>
      <c r="L44" s="10"/>
      <c r="M44" s="10"/>
    </row>
    <row r="45" spans="1:13" ht="15.75" hidden="1" customHeight="1">
      <c r="A45" s="47">
        <v>9</v>
      </c>
      <c r="B45" s="69" t="s">
        <v>119</v>
      </c>
      <c r="C45" s="76" t="s">
        <v>111</v>
      </c>
      <c r="D45" s="69" t="s">
        <v>40</v>
      </c>
      <c r="E45" s="77">
        <v>1060.4000000000001</v>
      </c>
      <c r="F45" s="78">
        <f>SUM(E45*2/1000)</f>
        <v>2.1208</v>
      </c>
      <c r="G45" s="17">
        <v>1283.46</v>
      </c>
      <c r="H45" s="79">
        <f t="shared" ref="H45:H54" si="6">SUM(F45*G45/1000)</f>
        <v>2.721961968</v>
      </c>
      <c r="I45" s="17">
        <f t="shared" ref="I45:I47" si="7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69" t="s">
        <v>34</v>
      </c>
      <c r="C46" s="76" t="s">
        <v>111</v>
      </c>
      <c r="D46" s="69" t="s">
        <v>40</v>
      </c>
      <c r="E46" s="77">
        <v>1251.6199999999999</v>
      </c>
      <c r="F46" s="78">
        <f>SUM(E46*2/1000)</f>
        <v>2.5032399999999999</v>
      </c>
      <c r="G46" s="17">
        <v>1712.28</v>
      </c>
      <c r="H46" s="79">
        <f t="shared" si="6"/>
        <v>4.2862477871999998</v>
      </c>
      <c r="I46" s="17">
        <f t="shared" si="7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69" t="s">
        <v>35</v>
      </c>
      <c r="C47" s="76" t="s">
        <v>111</v>
      </c>
      <c r="D47" s="69" t="s">
        <v>40</v>
      </c>
      <c r="E47" s="77">
        <v>1295.68</v>
      </c>
      <c r="F47" s="78">
        <f>SUM(E47*2/1000)</f>
        <v>2.5913600000000003</v>
      </c>
      <c r="G47" s="17">
        <v>1179.73</v>
      </c>
      <c r="H47" s="79">
        <f t="shared" si="6"/>
        <v>3.0571051328000003</v>
      </c>
      <c r="I47" s="17">
        <f t="shared" si="7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32</v>
      </c>
      <c r="C48" s="76" t="s">
        <v>33</v>
      </c>
      <c r="D48" s="69" t="s">
        <v>40</v>
      </c>
      <c r="E48" s="77">
        <v>85.84</v>
      </c>
      <c r="F48" s="78">
        <f>E48*2/100</f>
        <v>1.7168000000000001</v>
      </c>
      <c r="G48" s="17">
        <v>90.61</v>
      </c>
      <c r="H48" s="79">
        <f t="shared" si="6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13</v>
      </c>
      <c r="B49" s="69" t="s">
        <v>55</v>
      </c>
      <c r="C49" s="76" t="s">
        <v>111</v>
      </c>
      <c r="D49" s="69" t="s">
        <v>149</v>
      </c>
      <c r="E49" s="77">
        <v>2549.5</v>
      </c>
      <c r="F49" s="78">
        <f>SUM(E49*5/1000)</f>
        <v>12.7475</v>
      </c>
      <c r="G49" s="17">
        <v>1711.28</v>
      </c>
      <c r="H49" s="79">
        <f t="shared" si="6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120</v>
      </c>
      <c r="C50" s="76" t="s">
        <v>111</v>
      </c>
      <c r="D50" s="69" t="s">
        <v>40</v>
      </c>
      <c r="E50" s="77">
        <v>2549.5</v>
      </c>
      <c r="F50" s="78">
        <f>SUM(E50*2/1000)</f>
        <v>5.0990000000000002</v>
      </c>
      <c r="G50" s="17">
        <v>1510.06</v>
      </c>
      <c r="H50" s="79">
        <f t="shared" si="6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69" t="s">
        <v>121</v>
      </c>
      <c r="C51" s="76" t="s">
        <v>36</v>
      </c>
      <c r="D51" s="69" t="s">
        <v>40</v>
      </c>
      <c r="E51" s="77">
        <v>16</v>
      </c>
      <c r="F51" s="78">
        <f>SUM(E51*2/100)</f>
        <v>0.32</v>
      </c>
      <c r="G51" s="17">
        <v>3850.4</v>
      </c>
      <c r="H51" s="79">
        <f t="shared" si="6"/>
        <v>1.2321280000000001</v>
      </c>
      <c r="I51" s="17">
        <f t="shared" ref="I51:I52" si="8">F51/2*G51</f>
        <v>616.06400000000008</v>
      </c>
      <c r="J51" s="27"/>
      <c r="K51" s="10"/>
    </row>
    <row r="52" spans="1:14" ht="15.75" hidden="1" customHeight="1">
      <c r="A52" s="47">
        <v>16</v>
      </c>
      <c r="B52" s="69" t="s">
        <v>37</v>
      </c>
      <c r="C52" s="76" t="s">
        <v>38</v>
      </c>
      <c r="D52" s="69" t="s">
        <v>40</v>
      </c>
      <c r="E52" s="77">
        <v>1</v>
      </c>
      <c r="F52" s="78">
        <v>0.02</v>
      </c>
      <c r="G52" s="17">
        <v>7033.13</v>
      </c>
      <c r="H52" s="79">
        <f t="shared" si="6"/>
        <v>0.1406626</v>
      </c>
      <c r="I52" s="17">
        <f t="shared" si="8"/>
        <v>70.331299999999999</v>
      </c>
      <c r="J52" s="75"/>
    </row>
    <row r="53" spans="1:14" ht="15.75" hidden="1" customHeight="1">
      <c r="A53" s="47">
        <v>17</v>
      </c>
      <c r="B53" s="69" t="s">
        <v>122</v>
      </c>
      <c r="C53" s="76" t="s">
        <v>98</v>
      </c>
      <c r="D53" s="69" t="s">
        <v>64</v>
      </c>
      <c r="E53" s="77">
        <v>64</v>
      </c>
      <c r="F53" s="78">
        <f>E53*3</f>
        <v>192</v>
      </c>
      <c r="G53" s="17">
        <v>175.6</v>
      </c>
      <c r="H53" s="79">
        <f t="shared" si="6"/>
        <v>33.715199999999996</v>
      </c>
      <c r="I53" s="17">
        <f>E53*G53</f>
        <v>11238.4</v>
      </c>
      <c r="J53" s="75"/>
    </row>
    <row r="54" spans="1:14" ht="15.75" hidden="1" customHeight="1">
      <c r="A54" s="47">
        <v>18</v>
      </c>
      <c r="B54" s="69" t="s">
        <v>39</v>
      </c>
      <c r="C54" s="76" t="s">
        <v>98</v>
      </c>
      <c r="D54" s="69" t="s">
        <v>64</v>
      </c>
      <c r="E54" s="77">
        <v>128</v>
      </c>
      <c r="F54" s="78">
        <f>SUM(E54)*3</f>
        <v>384</v>
      </c>
      <c r="G54" s="17">
        <v>81.73</v>
      </c>
      <c r="H54" s="79">
        <f t="shared" si="6"/>
        <v>31.384319999999999</v>
      </c>
      <c r="I54" s="17">
        <f>E54*G54</f>
        <v>10461.44</v>
      </c>
      <c r="J54" s="75"/>
    </row>
    <row r="55" spans="1:14" ht="15.75" customHeight="1">
      <c r="A55" s="153" t="s">
        <v>80</v>
      </c>
      <c r="B55" s="154"/>
      <c r="C55" s="154"/>
      <c r="D55" s="154"/>
      <c r="E55" s="154"/>
      <c r="F55" s="154"/>
      <c r="G55" s="154"/>
      <c r="H55" s="154"/>
      <c r="I55" s="155"/>
      <c r="J55" s="75"/>
    </row>
    <row r="56" spans="1:14" ht="15.75" hidden="1" customHeight="1">
      <c r="A56" s="111"/>
      <c r="B56" s="54" t="s">
        <v>41</v>
      </c>
      <c r="C56" s="21"/>
      <c r="D56" s="65"/>
      <c r="E56" s="16"/>
      <c r="F56" s="16"/>
      <c r="G56" s="31"/>
      <c r="H56" s="31"/>
      <c r="I56" s="64"/>
      <c r="J56" s="75"/>
    </row>
    <row r="57" spans="1:14" ht="31.5" hidden="1" customHeight="1">
      <c r="A57" s="47">
        <v>12</v>
      </c>
      <c r="B57" s="69" t="s">
        <v>123</v>
      </c>
      <c r="C57" s="76" t="s">
        <v>88</v>
      </c>
      <c r="D57" s="69" t="s">
        <v>124</v>
      </c>
      <c r="E57" s="77">
        <v>8</v>
      </c>
      <c r="F57" s="78">
        <f>SUM(E57*6/100)</f>
        <v>0.48</v>
      </c>
      <c r="G57" s="17">
        <v>2306.62</v>
      </c>
      <c r="H57" s="79">
        <f>SUM(F57*G57/1000)</f>
        <v>1.1071776</v>
      </c>
      <c r="I57" s="17">
        <f>F57/6*G57</f>
        <v>184.52959999999999</v>
      </c>
      <c r="J57" s="75"/>
    </row>
    <row r="58" spans="1:14" ht="15.75" hidden="1" customHeight="1">
      <c r="A58" s="47">
        <v>9</v>
      </c>
      <c r="B58" s="88" t="s">
        <v>81</v>
      </c>
      <c r="C58" s="87" t="s">
        <v>30</v>
      </c>
      <c r="D58" s="88" t="s">
        <v>62</v>
      </c>
      <c r="E58" s="89"/>
      <c r="F58" s="90">
        <v>1</v>
      </c>
      <c r="G58" s="17">
        <v>1501</v>
      </c>
      <c r="H58" s="79">
        <f>SUM(F58*G58/1000)</f>
        <v>1.5009999999999999</v>
      </c>
      <c r="I58" s="17">
        <f>G58*3</f>
        <v>4503</v>
      </c>
      <c r="J58" s="75"/>
    </row>
    <row r="59" spans="1:14" ht="15.75" hidden="1" customHeight="1">
      <c r="A59" s="47"/>
      <c r="B59" s="71" t="s">
        <v>42</v>
      </c>
      <c r="C59" s="39"/>
      <c r="D59" s="39"/>
      <c r="E59" s="16"/>
      <c r="F59" s="16"/>
      <c r="G59" s="40"/>
      <c r="H59" s="40"/>
      <c r="I59" s="64"/>
      <c r="J59" s="75"/>
      <c r="L59" s="24"/>
      <c r="M59" s="25"/>
      <c r="N59" s="26"/>
    </row>
    <row r="60" spans="1:14" ht="15.75" hidden="1" customHeight="1">
      <c r="A60" s="47">
        <v>29</v>
      </c>
      <c r="B60" s="88" t="s">
        <v>43</v>
      </c>
      <c r="C60" s="87" t="s">
        <v>51</v>
      </c>
      <c r="D60" s="88" t="s">
        <v>52</v>
      </c>
      <c r="E60" s="89">
        <v>7.4</v>
      </c>
      <c r="F60" s="17">
        <f>SUM(E60/100)</f>
        <v>7.400000000000001E-2</v>
      </c>
      <c r="G60" s="17">
        <v>987.51</v>
      </c>
      <c r="H60" s="91">
        <f>F60*G60/1000</f>
        <v>7.3075740000000014E-2</v>
      </c>
      <c r="I60" s="17">
        <v>0</v>
      </c>
      <c r="J60" s="75"/>
      <c r="L60" s="24"/>
      <c r="M60" s="25"/>
      <c r="N60" s="26"/>
    </row>
    <row r="61" spans="1:14" ht="15.75" customHeight="1">
      <c r="A61" s="47"/>
      <c r="B61" s="71" t="s">
        <v>44</v>
      </c>
      <c r="C61" s="21"/>
      <c r="D61" s="66"/>
      <c r="E61" s="16"/>
      <c r="F61" s="16"/>
      <c r="G61" s="31"/>
      <c r="H61" s="31"/>
      <c r="I61" s="64"/>
      <c r="J61" s="75"/>
      <c r="L61" s="24"/>
      <c r="M61" s="25"/>
      <c r="N61" s="26"/>
    </row>
    <row r="62" spans="1:14" ht="15.75" customHeight="1">
      <c r="A62" s="47">
        <v>8</v>
      </c>
      <c r="B62" s="19" t="s">
        <v>45</v>
      </c>
      <c r="C62" s="21" t="s">
        <v>98</v>
      </c>
      <c r="D62" s="19" t="s">
        <v>177</v>
      </c>
      <c r="E62" s="23">
        <v>1</v>
      </c>
      <c r="F62" s="17">
        <f>SUM(E62)</f>
        <v>1</v>
      </c>
      <c r="G62" s="17">
        <v>276.74</v>
      </c>
      <c r="H62" s="80">
        <f t="shared" ref="H62:H70" si="9">SUM(F62*G62/1000)</f>
        <v>0.27673999999999999</v>
      </c>
      <c r="I62" s="17">
        <f>G62*2</f>
        <v>553.48</v>
      </c>
      <c r="J62" s="75"/>
      <c r="L62" s="24"/>
      <c r="M62" s="25"/>
      <c r="N62" s="26"/>
    </row>
    <row r="63" spans="1:14" ht="15.75" hidden="1" customHeight="1">
      <c r="A63" s="67"/>
      <c r="B63" s="19" t="s">
        <v>46</v>
      </c>
      <c r="C63" s="21" t="s">
        <v>98</v>
      </c>
      <c r="D63" s="19" t="s">
        <v>62</v>
      </c>
      <c r="E63" s="23">
        <v>2</v>
      </c>
      <c r="F63" s="17">
        <f>SUM(E63)</f>
        <v>2</v>
      </c>
      <c r="G63" s="17">
        <v>94.89</v>
      </c>
      <c r="H63" s="80">
        <f t="shared" si="9"/>
        <v>0.18978</v>
      </c>
      <c r="I63" s="17">
        <v>0</v>
      </c>
      <c r="J63" s="75"/>
      <c r="L63" s="24"/>
      <c r="M63" s="25"/>
      <c r="N63" s="26"/>
    </row>
    <row r="64" spans="1:14" ht="15.75" hidden="1" customHeight="1">
      <c r="A64" s="67">
        <v>25</v>
      </c>
      <c r="B64" s="19" t="s">
        <v>47</v>
      </c>
      <c r="C64" s="21" t="s">
        <v>99</v>
      </c>
      <c r="D64" s="19" t="s">
        <v>52</v>
      </c>
      <c r="E64" s="77">
        <v>10052</v>
      </c>
      <c r="F64" s="17">
        <f>SUM(E64/100)</f>
        <v>100.52</v>
      </c>
      <c r="G64" s="17">
        <v>263.99</v>
      </c>
      <c r="H64" s="80">
        <f t="shared" si="9"/>
        <v>26.536274799999997</v>
      </c>
      <c r="I64" s="17">
        <f>F64*G64</f>
        <v>26536.274799999999</v>
      </c>
      <c r="J64" s="75"/>
      <c r="L64" s="24"/>
      <c r="M64" s="25"/>
      <c r="N64" s="26"/>
    </row>
    <row r="65" spans="1:14" ht="15.75" hidden="1" customHeight="1">
      <c r="A65" s="67">
        <v>26</v>
      </c>
      <c r="B65" s="19" t="s">
        <v>48</v>
      </c>
      <c r="C65" s="21" t="s">
        <v>100</v>
      </c>
      <c r="D65" s="19"/>
      <c r="E65" s="77">
        <v>10052</v>
      </c>
      <c r="F65" s="17">
        <f>SUM(E65/1000)</f>
        <v>10.052</v>
      </c>
      <c r="G65" s="17">
        <v>205.57</v>
      </c>
      <c r="H65" s="80">
        <f t="shared" si="9"/>
        <v>2.0663896399999997</v>
      </c>
      <c r="I65" s="17">
        <f t="shared" ref="I65:I68" si="10">F65*G65</f>
        <v>2066.3896399999999</v>
      </c>
      <c r="J65" s="75"/>
      <c r="L65" s="24"/>
      <c r="M65" s="25"/>
      <c r="N65" s="26"/>
    </row>
    <row r="66" spans="1:14" ht="15.75" hidden="1" customHeight="1">
      <c r="A66" s="67">
        <v>27</v>
      </c>
      <c r="B66" s="19" t="s">
        <v>49</v>
      </c>
      <c r="C66" s="21" t="s">
        <v>70</v>
      </c>
      <c r="D66" s="19" t="s">
        <v>52</v>
      </c>
      <c r="E66" s="77">
        <v>2200</v>
      </c>
      <c r="F66" s="17">
        <f>SUM(E66/100)</f>
        <v>22</v>
      </c>
      <c r="G66" s="17">
        <v>2581.5300000000002</v>
      </c>
      <c r="H66" s="80">
        <f t="shared" si="9"/>
        <v>56.793660000000003</v>
      </c>
      <c r="I66" s="17">
        <f t="shared" si="10"/>
        <v>56793.66</v>
      </c>
      <c r="J66" s="75"/>
      <c r="L66" s="24"/>
      <c r="M66" s="25"/>
      <c r="N66" s="26"/>
    </row>
    <row r="67" spans="1:14" ht="15.75" hidden="1" customHeight="1">
      <c r="A67" s="67">
        <v>28</v>
      </c>
      <c r="B67" s="92" t="s">
        <v>101</v>
      </c>
      <c r="C67" s="21" t="s">
        <v>31</v>
      </c>
      <c r="D67" s="19"/>
      <c r="E67" s="77">
        <v>9.4</v>
      </c>
      <c r="F67" s="17">
        <f>SUM(E67)</f>
        <v>9.4</v>
      </c>
      <c r="G67" s="17">
        <v>47.45</v>
      </c>
      <c r="H67" s="80">
        <f t="shared" si="9"/>
        <v>0.44603000000000004</v>
      </c>
      <c r="I67" s="17">
        <f t="shared" si="10"/>
        <v>446.03000000000003</v>
      </c>
      <c r="J67" s="75"/>
      <c r="L67" s="24"/>
      <c r="M67" s="25"/>
      <c r="N67" s="26"/>
    </row>
    <row r="68" spans="1:14" ht="15.75" hidden="1" customHeight="1">
      <c r="A68" s="67">
        <v>29</v>
      </c>
      <c r="B68" s="92" t="s">
        <v>102</v>
      </c>
      <c r="C68" s="21" t="s">
        <v>31</v>
      </c>
      <c r="D68" s="19"/>
      <c r="E68" s="77">
        <v>9.4</v>
      </c>
      <c r="F68" s="17">
        <f>SUM(E68)</f>
        <v>9.4</v>
      </c>
      <c r="G68" s="17">
        <v>44.27</v>
      </c>
      <c r="H68" s="80">
        <f t="shared" si="9"/>
        <v>0.41613800000000001</v>
      </c>
      <c r="I68" s="17">
        <f t="shared" si="10"/>
        <v>416.13800000000003</v>
      </c>
      <c r="J68" s="75"/>
      <c r="L68" s="24"/>
      <c r="M68" s="25"/>
      <c r="N68" s="26"/>
    </row>
    <row r="69" spans="1:14" ht="15.75" hidden="1" customHeight="1">
      <c r="A69" s="67">
        <v>19</v>
      </c>
      <c r="B69" s="19" t="s">
        <v>56</v>
      </c>
      <c r="C69" s="21" t="s">
        <v>57</v>
      </c>
      <c r="D69" s="19" t="s">
        <v>52</v>
      </c>
      <c r="E69" s="23">
        <v>2</v>
      </c>
      <c r="F69" s="17">
        <f>SUM(E69)</f>
        <v>2</v>
      </c>
      <c r="G69" s="17">
        <v>62.07</v>
      </c>
      <c r="H69" s="80">
        <f t="shared" si="9"/>
        <v>0.12414</v>
      </c>
      <c r="I69" s="17">
        <f>G69*2</f>
        <v>124.14</v>
      </c>
      <c r="J69" s="75"/>
      <c r="L69" s="24"/>
      <c r="M69" s="25"/>
      <c r="N69" s="26"/>
    </row>
    <row r="70" spans="1:14" ht="15.75" customHeight="1">
      <c r="A70" s="68">
        <v>9</v>
      </c>
      <c r="B70" s="19" t="s">
        <v>82</v>
      </c>
      <c r="C70" s="31" t="s">
        <v>103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9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hidden="1" customHeight="1">
      <c r="A71" s="61"/>
      <c r="B71" s="71" t="s">
        <v>104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hidden="1" customHeight="1">
      <c r="A72" s="31">
        <v>31</v>
      </c>
      <c r="B72" s="69" t="s">
        <v>105</v>
      </c>
      <c r="C72" s="21"/>
      <c r="D72" s="19"/>
      <c r="E72" s="94"/>
      <c r="F72" s="17">
        <v>1</v>
      </c>
      <c r="G72" s="17">
        <v>22720</v>
      </c>
      <c r="H72" s="80">
        <f>G72*F72/1000</f>
        <v>22.72</v>
      </c>
      <c r="I72" s="17">
        <f>G72</f>
        <v>22720</v>
      </c>
      <c r="J72" s="75"/>
      <c r="L72" s="24"/>
      <c r="M72" s="25"/>
      <c r="N72" s="26"/>
    </row>
    <row r="73" spans="1:14" ht="15.75" hidden="1" customHeight="1">
      <c r="A73" s="68"/>
      <c r="B73" s="71" t="s">
        <v>65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106</v>
      </c>
      <c r="C74" s="21" t="s">
        <v>107</v>
      </c>
      <c r="D74" s="19" t="s">
        <v>62</v>
      </c>
      <c r="E74" s="23">
        <v>1</v>
      </c>
      <c r="F74" s="17">
        <f>E74</f>
        <v>1</v>
      </c>
      <c r="G74" s="17">
        <v>976.4</v>
      </c>
      <c r="H74" s="80">
        <f t="shared" ref="H74:H76" si="11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108</v>
      </c>
      <c r="C75" s="21" t="s">
        <v>109</v>
      </c>
      <c r="D75" s="19" t="s">
        <v>62</v>
      </c>
      <c r="E75" s="23">
        <v>1</v>
      </c>
      <c r="F75" s="17">
        <v>1</v>
      </c>
      <c r="G75" s="17">
        <v>735</v>
      </c>
      <c r="H75" s="80">
        <f t="shared" si="11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66</v>
      </c>
      <c r="C76" s="21" t="s">
        <v>68</v>
      </c>
      <c r="D76" s="19" t="s">
        <v>62</v>
      </c>
      <c r="E76" s="23">
        <v>3</v>
      </c>
      <c r="F76" s="17">
        <v>0.3</v>
      </c>
      <c r="G76" s="17">
        <v>624.16999999999996</v>
      </c>
      <c r="H76" s="80">
        <f t="shared" si="11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67</v>
      </c>
      <c r="C77" s="21" t="s">
        <v>29</v>
      </c>
      <c r="D77" s="19" t="s">
        <v>62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83</v>
      </c>
      <c r="C78" s="21" t="s">
        <v>29</v>
      </c>
      <c r="D78" s="19" t="s">
        <v>62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5.75" hidden="1" customHeight="1">
      <c r="A79" s="68"/>
      <c r="B79" s="56" t="s">
        <v>69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5.75" hidden="1" customHeight="1">
      <c r="A80" s="68"/>
      <c r="B80" s="57" t="s">
        <v>110</v>
      </c>
      <c r="C80" s="21" t="s">
        <v>70</v>
      </c>
      <c r="D80" s="19"/>
      <c r="E80" s="23"/>
      <c r="F80" s="17">
        <v>1</v>
      </c>
      <c r="G80" s="17">
        <v>3433.68</v>
      </c>
      <c r="H80" s="80">
        <f t="shared" ref="H80" si="12">SUM(F80*G80/1000)</f>
        <v>3.4336799999999998</v>
      </c>
      <c r="I80" s="17">
        <v>0</v>
      </c>
      <c r="J80" s="75"/>
      <c r="L80" s="24"/>
      <c r="M80" s="25"/>
      <c r="N80" s="26"/>
    </row>
    <row r="81" spans="1:14" ht="15.75" customHeight="1">
      <c r="A81" s="159" t="s">
        <v>135</v>
      </c>
      <c r="B81" s="160"/>
      <c r="C81" s="160"/>
      <c r="D81" s="160"/>
      <c r="E81" s="160"/>
      <c r="F81" s="160"/>
      <c r="G81" s="160"/>
      <c r="H81" s="160"/>
      <c r="I81" s="161"/>
      <c r="J81" s="75"/>
      <c r="L81" s="24"/>
      <c r="M81" s="25"/>
      <c r="N81" s="26"/>
    </row>
    <row r="82" spans="1:14" ht="15.75" customHeight="1">
      <c r="A82" s="68">
        <v>10</v>
      </c>
      <c r="B82" s="69" t="s">
        <v>125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11</v>
      </c>
      <c r="B83" s="19" t="s">
        <v>71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73</v>
      </c>
      <c r="C84" s="47"/>
      <c r="D84" s="20"/>
      <c r="E84" s="20"/>
      <c r="F84" s="20"/>
      <c r="G84" s="23"/>
      <c r="H84" s="23"/>
      <c r="I84" s="35">
        <f>I83+I82+I70+I62+I41+I40+I38+I26+I18+I17+I16</f>
        <v>35203.6608175</v>
      </c>
      <c r="J84" s="75"/>
      <c r="L84" s="24"/>
      <c r="M84" s="25"/>
      <c r="N84" s="26"/>
    </row>
    <row r="85" spans="1:14" ht="15.75" customHeight="1">
      <c r="A85" s="156" t="s">
        <v>58</v>
      </c>
      <c r="B85" s="157"/>
      <c r="C85" s="157"/>
      <c r="D85" s="157"/>
      <c r="E85" s="157"/>
      <c r="F85" s="157"/>
      <c r="G85" s="157"/>
      <c r="H85" s="157"/>
      <c r="I85" s="158"/>
      <c r="J85" s="75"/>
      <c r="L85" s="24"/>
      <c r="M85" s="25"/>
      <c r="N85" s="26"/>
    </row>
    <row r="86" spans="1:14" ht="15.75" customHeight="1">
      <c r="A86" s="31">
        <v>12</v>
      </c>
      <c r="B86" s="19" t="s">
        <v>156</v>
      </c>
      <c r="C86" s="21" t="s">
        <v>157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30" customHeight="1">
      <c r="A87" s="31">
        <v>13</v>
      </c>
      <c r="B87" s="117" t="s">
        <v>164</v>
      </c>
      <c r="C87" s="118" t="s">
        <v>28</v>
      </c>
      <c r="D87" s="43"/>
      <c r="E87" s="22"/>
      <c r="F87" s="41">
        <f>98/3</f>
        <v>32.666666666666664</v>
      </c>
      <c r="G87" s="138">
        <v>20547.34</v>
      </c>
      <c r="H87" s="115">
        <f t="shared" ref="H87" si="13">G87*F87/1000</f>
        <v>671.21310666666659</v>
      </c>
      <c r="I87" s="96">
        <f>G87*0.599*8/1000</f>
        <v>98.46285327999999</v>
      </c>
      <c r="J87" s="75"/>
      <c r="L87" s="24"/>
      <c r="M87" s="25"/>
      <c r="N87" s="26"/>
    </row>
    <row r="88" spans="1:14" ht="15.75" customHeight="1">
      <c r="A88" s="31">
        <v>14</v>
      </c>
      <c r="B88" s="117" t="s">
        <v>158</v>
      </c>
      <c r="C88" s="118" t="s">
        <v>169</v>
      </c>
      <c r="D88" s="43" t="s">
        <v>272</v>
      </c>
      <c r="E88" s="22"/>
      <c r="F88" s="41">
        <v>31</v>
      </c>
      <c r="G88" s="41">
        <v>284</v>
      </c>
      <c r="H88" s="115"/>
      <c r="I88" s="96">
        <v>0</v>
      </c>
      <c r="J88" s="75"/>
      <c r="L88" s="24"/>
      <c r="M88" s="25"/>
      <c r="N88" s="26"/>
    </row>
    <row r="89" spans="1:14" ht="17.25" customHeight="1">
      <c r="A89" s="31">
        <v>15</v>
      </c>
      <c r="B89" s="117" t="s">
        <v>166</v>
      </c>
      <c r="C89" s="118" t="s">
        <v>159</v>
      </c>
      <c r="D89" s="43"/>
      <c r="E89" s="22"/>
      <c r="F89" s="41">
        <v>3</v>
      </c>
      <c r="G89" s="41">
        <v>227</v>
      </c>
      <c r="H89" s="115"/>
      <c r="I89" s="96">
        <f>G89*1</f>
        <v>227</v>
      </c>
      <c r="J89" s="75"/>
      <c r="L89" s="24"/>
      <c r="M89" s="25"/>
      <c r="N89" s="26"/>
    </row>
    <row r="90" spans="1:14" ht="15.75" customHeight="1">
      <c r="A90" s="31">
        <v>16</v>
      </c>
      <c r="B90" s="117" t="s">
        <v>74</v>
      </c>
      <c r="C90" s="118" t="s">
        <v>98</v>
      </c>
      <c r="D90" s="43"/>
      <c r="E90" s="22"/>
      <c r="F90" s="41">
        <v>4</v>
      </c>
      <c r="G90" s="41">
        <v>215.85</v>
      </c>
      <c r="H90" s="115"/>
      <c r="I90" s="96">
        <f>G90*1</f>
        <v>215.85</v>
      </c>
      <c r="J90" s="75"/>
      <c r="L90" s="24"/>
      <c r="M90" s="25"/>
      <c r="N90" s="26"/>
    </row>
    <row r="91" spans="1:14" ht="15.75" customHeight="1">
      <c r="A91" s="31"/>
      <c r="B91" s="52" t="s">
        <v>50</v>
      </c>
      <c r="C91" s="48"/>
      <c r="D91" s="62"/>
      <c r="E91" s="48">
        <v>1</v>
      </c>
      <c r="F91" s="48"/>
      <c r="G91" s="48"/>
      <c r="H91" s="48"/>
      <c r="I91" s="35">
        <f>SUM(I86:I90)</f>
        <v>608.51285327999994</v>
      </c>
      <c r="J91" s="75"/>
      <c r="L91" s="24"/>
      <c r="M91" s="25"/>
      <c r="N91" s="26"/>
    </row>
    <row r="92" spans="1:14" ht="15.75" customHeight="1">
      <c r="A92" s="31"/>
      <c r="B92" s="57" t="s">
        <v>72</v>
      </c>
      <c r="C92" s="20"/>
      <c r="D92" s="20"/>
      <c r="E92" s="49"/>
      <c r="F92" s="49"/>
      <c r="G92" s="50"/>
      <c r="H92" s="50"/>
      <c r="I92" s="22">
        <v>0</v>
      </c>
      <c r="J92" s="75"/>
      <c r="L92" s="24"/>
      <c r="M92" s="25"/>
      <c r="N92" s="26"/>
    </row>
    <row r="93" spans="1:14" ht="15.75" customHeight="1">
      <c r="A93" s="63"/>
      <c r="B93" s="53" t="s">
        <v>151</v>
      </c>
      <c r="C93" s="39"/>
      <c r="D93" s="39"/>
      <c r="E93" s="39"/>
      <c r="F93" s="39"/>
      <c r="G93" s="39"/>
      <c r="H93" s="39"/>
      <c r="I93" s="51">
        <f>I84+I91</f>
        <v>35812.173670780001</v>
      </c>
      <c r="J93" s="75"/>
      <c r="L93" s="24"/>
    </row>
    <row r="94" spans="1:14" ht="15.75">
      <c r="A94" s="142" t="s">
        <v>273</v>
      </c>
      <c r="B94" s="142"/>
      <c r="C94" s="142"/>
      <c r="D94" s="142"/>
      <c r="E94" s="142"/>
      <c r="F94" s="142"/>
      <c r="G94" s="142"/>
      <c r="H94" s="142"/>
      <c r="I94" s="142"/>
    </row>
    <row r="95" spans="1:14" ht="15.75">
      <c r="A95" s="12"/>
      <c r="B95" s="152" t="s">
        <v>274</v>
      </c>
      <c r="C95" s="152"/>
      <c r="D95" s="152"/>
      <c r="E95" s="152"/>
      <c r="F95" s="152"/>
      <c r="G95" s="152"/>
      <c r="H95" s="109"/>
      <c r="I95" s="4"/>
    </row>
    <row r="96" spans="1:14" ht="15.75">
      <c r="A96" s="70"/>
      <c r="B96" s="145" t="s">
        <v>6</v>
      </c>
      <c r="C96" s="145"/>
      <c r="D96" s="145"/>
      <c r="E96" s="145"/>
      <c r="F96" s="145"/>
      <c r="G96" s="145"/>
      <c r="H96" s="74"/>
      <c r="I96" s="59"/>
    </row>
    <row r="97" spans="1:22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46" t="s">
        <v>7</v>
      </c>
      <c r="B98" s="146"/>
      <c r="C98" s="146"/>
      <c r="D98" s="146"/>
      <c r="E98" s="146"/>
      <c r="F98" s="146"/>
      <c r="G98" s="146"/>
      <c r="H98" s="146"/>
      <c r="I98" s="146"/>
      <c r="J98" s="29"/>
      <c r="K98" s="29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>
      <c r="A99" s="146" t="s">
        <v>8</v>
      </c>
      <c r="B99" s="146"/>
      <c r="C99" s="146"/>
      <c r="D99" s="146"/>
      <c r="E99" s="146"/>
      <c r="F99" s="146"/>
      <c r="G99" s="146"/>
      <c r="H99" s="146"/>
      <c r="I99" s="146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>
      <c r="A100" s="142" t="s">
        <v>9</v>
      </c>
      <c r="B100" s="142"/>
      <c r="C100" s="142"/>
      <c r="D100" s="142"/>
      <c r="E100" s="142"/>
      <c r="F100" s="142"/>
      <c r="G100" s="142"/>
      <c r="H100" s="142"/>
      <c r="I100" s="142"/>
      <c r="J100" s="6"/>
      <c r="K100" s="6"/>
      <c r="L100" s="6"/>
      <c r="M100" s="6"/>
      <c r="N100" s="6"/>
      <c r="O100" s="6"/>
      <c r="P100" s="6"/>
      <c r="Q100" s="6"/>
      <c r="R100" s="144"/>
      <c r="S100" s="144"/>
      <c r="T100" s="144"/>
      <c r="U100" s="144"/>
    </row>
    <row r="101" spans="1:22" ht="15.75">
      <c r="A101" s="13"/>
      <c r="B101" s="58"/>
      <c r="C101" s="58"/>
      <c r="D101" s="58"/>
      <c r="E101" s="58"/>
      <c r="F101" s="58"/>
      <c r="G101" s="58"/>
      <c r="H101" s="58"/>
      <c r="I101" s="58"/>
    </row>
    <row r="102" spans="1:22" ht="15.75">
      <c r="A102" s="148" t="s">
        <v>10</v>
      </c>
      <c r="B102" s="148"/>
      <c r="C102" s="148"/>
      <c r="D102" s="148"/>
      <c r="E102" s="148"/>
      <c r="F102" s="148"/>
      <c r="G102" s="148"/>
      <c r="H102" s="148"/>
      <c r="I102" s="148"/>
    </row>
    <row r="103" spans="1:22" ht="15.75" customHeight="1">
      <c r="A103" s="5"/>
    </row>
    <row r="104" spans="1:22" ht="15.75">
      <c r="A104" s="142" t="s">
        <v>11</v>
      </c>
      <c r="B104" s="142"/>
      <c r="C104" s="147" t="s">
        <v>251</v>
      </c>
      <c r="D104" s="147"/>
      <c r="E104" s="147"/>
      <c r="F104" s="72"/>
      <c r="I104" s="107"/>
    </row>
    <row r="105" spans="1:22">
      <c r="A105" s="108"/>
      <c r="C105" s="141" t="s">
        <v>12</v>
      </c>
      <c r="D105" s="141"/>
      <c r="E105" s="141"/>
      <c r="F105" s="28"/>
      <c r="I105" s="105" t="s">
        <v>13</v>
      </c>
    </row>
    <row r="106" spans="1:22" ht="15.75">
      <c r="A106" s="29"/>
      <c r="C106" s="14"/>
      <c r="D106" s="14"/>
      <c r="G106" s="14"/>
      <c r="H106" s="14"/>
    </row>
    <row r="107" spans="1:22" ht="15.75" customHeight="1">
      <c r="A107" s="142" t="s">
        <v>14</v>
      </c>
      <c r="B107" s="142"/>
      <c r="C107" s="143"/>
      <c r="D107" s="143"/>
      <c r="E107" s="143"/>
      <c r="F107" s="73"/>
      <c r="I107" s="107"/>
    </row>
    <row r="108" spans="1:22">
      <c r="A108" s="108"/>
      <c r="C108" s="144" t="s">
        <v>12</v>
      </c>
      <c r="D108" s="144"/>
      <c r="E108" s="144"/>
      <c r="F108" s="108"/>
      <c r="I108" s="105" t="s">
        <v>13</v>
      </c>
    </row>
    <row r="109" spans="1:22" ht="15.75">
      <c r="A109" s="5" t="s">
        <v>15</v>
      </c>
    </row>
    <row r="110" spans="1:22">
      <c r="A110" s="139" t="s">
        <v>16</v>
      </c>
      <c r="B110" s="139"/>
      <c r="C110" s="139"/>
      <c r="D110" s="139"/>
      <c r="E110" s="139"/>
      <c r="F110" s="139"/>
      <c r="G110" s="139"/>
      <c r="H110" s="139"/>
      <c r="I110" s="139"/>
    </row>
    <row r="111" spans="1:22" ht="45" customHeight="1">
      <c r="A111" s="140" t="s">
        <v>17</v>
      </c>
      <c r="B111" s="140"/>
      <c r="C111" s="140"/>
      <c r="D111" s="140"/>
      <c r="E111" s="140"/>
      <c r="F111" s="140"/>
      <c r="G111" s="140"/>
      <c r="H111" s="140"/>
      <c r="I111" s="140"/>
    </row>
    <row r="112" spans="1:22" ht="30" customHeight="1">
      <c r="A112" s="140" t="s">
        <v>18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30" customHeight="1">
      <c r="A113" s="140" t="s">
        <v>22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15" customHeight="1">
      <c r="A114" s="140" t="s">
        <v>21</v>
      </c>
      <c r="B114" s="140"/>
      <c r="C114" s="140"/>
      <c r="D114" s="140"/>
      <c r="E114" s="140"/>
      <c r="F114" s="140"/>
      <c r="G114" s="140"/>
      <c r="H114" s="140"/>
      <c r="I114" s="140"/>
    </row>
    <row r="116" spans="1:9">
      <c r="A116" s="15"/>
      <c r="B116" s="15"/>
      <c r="C116" s="15"/>
      <c r="D116" s="15"/>
      <c r="E116" s="15"/>
      <c r="F116" s="15"/>
      <c r="G116" s="15"/>
      <c r="H116" s="15"/>
    </row>
  </sheetData>
  <autoFilter ref="I15:I95"/>
  <mergeCells count="31">
    <mergeCell ref="A114:I114"/>
    <mergeCell ref="R100:U100"/>
    <mergeCell ref="A102:I102"/>
    <mergeCell ref="A104:B104"/>
    <mergeCell ref="C104:E104"/>
    <mergeCell ref="C105:E105"/>
    <mergeCell ref="A107:B107"/>
    <mergeCell ref="C107:E107"/>
    <mergeCell ref="A100:I100"/>
    <mergeCell ref="C108:E108"/>
    <mergeCell ref="A110:I110"/>
    <mergeCell ref="A111:I111"/>
    <mergeCell ref="A112:I112"/>
    <mergeCell ref="A113:I113"/>
    <mergeCell ref="A94:I94"/>
    <mergeCell ref="B95:G95"/>
    <mergeCell ref="B96:G96"/>
    <mergeCell ref="A98:I98"/>
    <mergeCell ref="A99:I99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5"/>
  <sheetViews>
    <sheetView tabSelected="1" topLeftCell="A93" workbookViewId="0">
      <selection activeCell="I106" sqref="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155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253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110"/>
      <c r="C6" s="110"/>
      <c r="D6" s="110"/>
      <c r="E6" s="110"/>
      <c r="F6" s="110"/>
      <c r="G6" s="110"/>
      <c r="H6" s="110"/>
      <c r="I6" s="34">
        <v>44196</v>
      </c>
    </row>
    <row r="7" spans="1:15" ht="15.75">
      <c r="B7" s="106"/>
      <c r="C7" s="106"/>
      <c r="D7" s="10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245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9" t="s">
        <v>153</v>
      </c>
      <c r="B28" s="150"/>
      <c r="C28" s="150"/>
      <c r="D28" s="150"/>
      <c r="E28" s="150"/>
      <c r="F28" s="150"/>
      <c r="G28" s="150"/>
      <c r="H28" s="150"/>
      <c r="I28" s="151"/>
      <c r="J28" s="27"/>
      <c r="K28" s="10"/>
      <c r="L28" s="10"/>
      <c r="M28" s="10"/>
    </row>
    <row r="29" spans="1:13" ht="15.75" hidden="1" customHeight="1">
      <c r="A29" s="47"/>
      <c r="B29" s="55" t="s">
        <v>138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hidden="1" customHeight="1">
      <c r="A30" s="68">
        <v>6</v>
      </c>
      <c r="B30" s="69" t="s">
        <v>142</v>
      </c>
      <c r="C30" s="76" t="s">
        <v>111</v>
      </c>
      <c r="D30" s="69" t="s">
        <v>139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5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8">
        <v>7</v>
      </c>
      <c r="B31" s="69" t="s">
        <v>143</v>
      </c>
      <c r="C31" s="76" t="s">
        <v>111</v>
      </c>
      <c r="D31" s="69" t="s">
        <v>140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:I33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111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>
        <v>8</v>
      </c>
      <c r="B33" s="69" t="s">
        <v>144</v>
      </c>
      <c r="C33" s="76" t="s">
        <v>29</v>
      </c>
      <c r="D33" s="69" t="s">
        <v>60</v>
      </c>
      <c r="E33" s="86">
        <f>1/6</f>
        <v>0.16666666666666666</v>
      </c>
      <c r="F33" s="78">
        <f>155/6</f>
        <v>25.833333333333332</v>
      </c>
      <c r="G33" s="78">
        <v>70.540000000000006</v>
      </c>
      <c r="H33" s="79">
        <f t="shared" si="3"/>
        <v>1.8222833333333333</v>
      </c>
      <c r="I33" s="17">
        <f t="shared" si="4"/>
        <v>303.7138888888889</v>
      </c>
      <c r="J33" s="27"/>
      <c r="K33" s="10"/>
      <c r="L33" s="10"/>
      <c r="M33" s="10"/>
    </row>
    <row r="34" spans="1:13" ht="15.75" hidden="1" customHeight="1">
      <c r="A34" s="68"/>
      <c r="B34" s="69" t="s">
        <v>61</v>
      </c>
      <c r="C34" s="76" t="s">
        <v>31</v>
      </c>
      <c r="D34" s="69" t="s">
        <v>62</v>
      </c>
      <c r="E34" s="77"/>
      <c r="F34" s="78">
        <v>1</v>
      </c>
      <c r="G34" s="78">
        <v>238.07</v>
      </c>
      <c r="H34" s="79">
        <f t="shared" si="3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8"/>
      <c r="B35" s="69" t="s">
        <v>112</v>
      </c>
      <c r="C35" s="76" t="s">
        <v>30</v>
      </c>
      <c r="D35" s="69" t="s">
        <v>62</v>
      </c>
      <c r="E35" s="77"/>
      <c r="F35" s="78">
        <v>1</v>
      </c>
      <c r="G35" s="78">
        <v>1413.96</v>
      </c>
      <c r="H35" s="79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4"/>
      <c r="J36" s="27"/>
      <c r="K36" s="10"/>
      <c r="L36" s="10"/>
      <c r="M36" s="10"/>
    </row>
    <row r="37" spans="1:13" ht="15.75" customHeight="1">
      <c r="A37" s="38">
        <v>5</v>
      </c>
      <c r="B37" s="69" t="s">
        <v>26</v>
      </c>
      <c r="C37" s="76" t="s">
        <v>30</v>
      </c>
      <c r="D37" s="69" t="s">
        <v>254</v>
      </c>
      <c r="E37" s="77"/>
      <c r="F37" s="78">
        <v>2</v>
      </c>
      <c r="G37" s="78">
        <v>1900.37</v>
      </c>
      <c r="H37" s="79">
        <f t="shared" ref="H37:H43" si="5">SUM(F37*G37/1000)</f>
        <v>3.8007399999999998</v>
      </c>
      <c r="I37" s="17">
        <f>G37*0.4</f>
        <v>760.14800000000002</v>
      </c>
      <c r="J37" s="27"/>
      <c r="K37" s="10"/>
      <c r="L37" s="10"/>
      <c r="M37" s="10"/>
    </row>
    <row r="38" spans="1:13" ht="15.75" customHeight="1">
      <c r="A38" s="38">
        <v>6</v>
      </c>
      <c r="B38" s="69" t="s">
        <v>113</v>
      </c>
      <c r="C38" s="76" t="s">
        <v>28</v>
      </c>
      <c r="D38" s="69" t="s">
        <v>179</v>
      </c>
      <c r="E38" s="77">
        <v>65.099999999999994</v>
      </c>
      <c r="F38" s="78">
        <f>E38*24/1000</f>
        <v>1.5623999999999998</v>
      </c>
      <c r="G38" s="78">
        <v>2616.4899999999998</v>
      </c>
      <c r="H38" s="79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69" t="s">
        <v>114</v>
      </c>
      <c r="C39" s="76" t="s">
        <v>115</v>
      </c>
      <c r="D39" s="69" t="s">
        <v>62</v>
      </c>
      <c r="E39" s="77"/>
      <c r="F39" s="78">
        <v>13</v>
      </c>
      <c r="G39" s="78">
        <v>226.84</v>
      </c>
      <c r="H39" s="79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7</v>
      </c>
      <c r="B40" s="69" t="s">
        <v>146</v>
      </c>
      <c r="C40" s="76" t="s">
        <v>28</v>
      </c>
      <c r="D40" s="69" t="s">
        <v>190</v>
      </c>
      <c r="E40" s="78">
        <v>65.099999999999994</v>
      </c>
      <c r="F40" s="78">
        <f>SUM(E40*155/1000)</f>
        <v>10.0905</v>
      </c>
      <c r="G40" s="78">
        <v>436.45</v>
      </c>
      <c r="H40" s="79">
        <f t="shared" si="5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8</v>
      </c>
      <c r="B41" s="69" t="s">
        <v>75</v>
      </c>
      <c r="C41" s="76" t="s">
        <v>111</v>
      </c>
      <c r="D41" s="69" t="s">
        <v>179</v>
      </c>
      <c r="E41" s="78">
        <v>65.099999999999994</v>
      </c>
      <c r="F41" s="78">
        <f>SUM(E41*24/1000)</f>
        <v>1.5623999999999998</v>
      </c>
      <c r="G41" s="78">
        <v>7221.21</v>
      </c>
      <c r="H41" s="79">
        <f t="shared" si="5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118</v>
      </c>
      <c r="C42" s="76" t="s">
        <v>111</v>
      </c>
      <c r="D42" s="69" t="s">
        <v>181</v>
      </c>
      <c r="E42" s="78">
        <v>65.099999999999994</v>
      </c>
      <c r="F42" s="78">
        <f>SUM(E42*18/1000)</f>
        <v>1.1718</v>
      </c>
      <c r="G42" s="78">
        <v>533.45000000000005</v>
      </c>
      <c r="H42" s="79">
        <f t="shared" si="5"/>
        <v>0.62509671</v>
      </c>
      <c r="I42" s="17">
        <f>F42/7.5*G42</f>
        <v>83.346227999999996</v>
      </c>
      <c r="J42" s="27"/>
      <c r="K42" s="10"/>
      <c r="L42" s="10"/>
      <c r="M42" s="10"/>
    </row>
    <row r="43" spans="1:13" ht="15.75" hidden="1" customHeight="1">
      <c r="A43" s="38">
        <v>10</v>
      </c>
      <c r="B43" s="69" t="s">
        <v>63</v>
      </c>
      <c r="C43" s="76" t="s">
        <v>31</v>
      </c>
      <c r="D43" s="69"/>
      <c r="E43" s="77"/>
      <c r="F43" s="78">
        <v>0.4</v>
      </c>
      <c r="G43" s="78">
        <v>992.97</v>
      </c>
      <c r="H43" s="79">
        <f t="shared" si="5"/>
        <v>0.39718800000000004</v>
      </c>
      <c r="I43" s="17">
        <f>F43/7.5*G43</f>
        <v>52.958400000000005</v>
      </c>
      <c r="J43" s="27"/>
      <c r="K43" s="10"/>
      <c r="L43" s="10"/>
      <c r="M43" s="10"/>
    </row>
    <row r="44" spans="1:13" ht="15.75" customHeight="1">
      <c r="A44" s="162" t="s">
        <v>148</v>
      </c>
      <c r="B44" s="163"/>
      <c r="C44" s="163"/>
      <c r="D44" s="163"/>
      <c r="E44" s="163"/>
      <c r="F44" s="163"/>
      <c r="G44" s="163"/>
      <c r="H44" s="163"/>
      <c r="I44" s="164"/>
      <c r="J44" s="27"/>
      <c r="K44" s="10"/>
      <c r="L44" s="10"/>
      <c r="M44" s="10"/>
    </row>
    <row r="45" spans="1:13" ht="15.75" hidden="1" customHeight="1">
      <c r="A45" s="47">
        <v>9</v>
      </c>
      <c r="B45" s="69" t="s">
        <v>119</v>
      </c>
      <c r="C45" s="76" t="s">
        <v>111</v>
      </c>
      <c r="D45" s="69" t="s">
        <v>40</v>
      </c>
      <c r="E45" s="77">
        <v>1060.4000000000001</v>
      </c>
      <c r="F45" s="78">
        <f>SUM(E45*2/1000)</f>
        <v>2.1208</v>
      </c>
      <c r="G45" s="17">
        <v>1283.46</v>
      </c>
      <c r="H45" s="79">
        <f t="shared" ref="H45:H54" si="6">SUM(F45*G45/1000)</f>
        <v>2.721961968</v>
      </c>
      <c r="I45" s="17">
        <f t="shared" ref="I45:I47" si="7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69" t="s">
        <v>34</v>
      </c>
      <c r="C46" s="76" t="s">
        <v>111</v>
      </c>
      <c r="D46" s="69" t="s">
        <v>40</v>
      </c>
      <c r="E46" s="77">
        <v>1251.6199999999999</v>
      </c>
      <c r="F46" s="78">
        <f>SUM(E46*2/1000)</f>
        <v>2.5032399999999999</v>
      </c>
      <c r="G46" s="17">
        <v>1712.28</v>
      </c>
      <c r="H46" s="79">
        <f t="shared" si="6"/>
        <v>4.2862477871999998</v>
      </c>
      <c r="I46" s="17">
        <f t="shared" si="7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69" t="s">
        <v>35</v>
      </c>
      <c r="C47" s="76" t="s">
        <v>111</v>
      </c>
      <c r="D47" s="69" t="s">
        <v>40</v>
      </c>
      <c r="E47" s="77">
        <v>1295.68</v>
      </c>
      <c r="F47" s="78">
        <f>SUM(E47*2/1000)</f>
        <v>2.5913600000000003</v>
      </c>
      <c r="G47" s="17">
        <v>1179.73</v>
      </c>
      <c r="H47" s="79">
        <f t="shared" si="6"/>
        <v>3.0571051328000003</v>
      </c>
      <c r="I47" s="17">
        <f t="shared" si="7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32</v>
      </c>
      <c r="C48" s="76" t="s">
        <v>33</v>
      </c>
      <c r="D48" s="69" t="s">
        <v>40</v>
      </c>
      <c r="E48" s="77">
        <v>85.84</v>
      </c>
      <c r="F48" s="78">
        <f>E48*2/100</f>
        <v>1.7168000000000001</v>
      </c>
      <c r="G48" s="17">
        <v>90.61</v>
      </c>
      <c r="H48" s="79">
        <f t="shared" si="6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customHeight="1">
      <c r="A49" s="47">
        <v>9</v>
      </c>
      <c r="B49" s="69" t="s">
        <v>55</v>
      </c>
      <c r="C49" s="76" t="s">
        <v>111</v>
      </c>
      <c r="D49" s="69" t="s">
        <v>182</v>
      </c>
      <c r="E49" s="77">
        <v>2549.5</v>
      </c>
      <c r="F49" s="78">
        <f>SUM(E49*5/1000)</f>
        <v>12.7475</v>
      </c>
      <c r="G49" s="17">
        <v>1711.28</v>
      </c>
      <c r="H49" s="79">
        <f t="shared" si="6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120</v>
      </c>
      <c r="C50" s="76" t="s">
        <v>111</v>
      </c>
      <c r="D50" s="69" t="s">
        <v>40</v>
      </c>
      <c r="E50" s="77">
        <v>2549.5</v>
      </c>
      <c r="F50" s="78">
        <f>SUM(E50*2/1000)</f>
        <v>5.0990000000000002</v>
      </c>
      <c r="G50" s="17">
        <v>1510.06</v>
      </c>
      <c r="H50" s="79">
        <f t="shared" si="6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69" t="s">
        <v>121</v>
      </c>
      <c r="C51" s="76" t="s">
        <v>36</v>
      </c>
      <c r="D51" s="69" t="s">
        <v>40</v>
      </c>
      <c r="E51" s="77">
        <v>16</v>
      </c>
      <c r="F51" s="78">
        <f>SUM(E51*2/100)</f>
        <v>0.32</v>
      </c>
      <c r="G51" s="17">
        <v>3850.4</v>
      </c>
      <c r="H51" s="79">
        <f t="shared" si="6"/>
        <v>1.2321280000000001</v>
      </c>
      <c r="I51" s="17">
        <f t="shared" ref="I51:I52" si="8">F51/2*G51</f>
        <v>616.06400000000008</v>
      </c>
      <c r="J51" s="27"/>
      <c r="K51" s="10"/>
    </row>
    <row r="52" spans="1:14" ht="15.75" hidden="1" customHeight="1">
      <c r="A52" s="47">
        <v>16</v>
      </c>
      <c r="B52" s="69" t="s">
        <v>37</v>
      </c>
      <c r="C52" s="76" t="s">
        <v>38</v>
      </c>
      <c r="D52" s="69" t="s">
        <v>40</v>
      </c>
      <c r="E52" s="77">
        <v>1</v>
      </c>
      <c r="F52" s="78">
        <v>0.02</v>
      </c>
      <c r="G52" s="17">
        <v>7033.13</v>
      </c>
      <c r="H52" s="79">
        <f t="shared" si="6"/>
        <v>0.1406626</v>
      </c>
      <c r="I52" s="17">
        <f t="shared" si="8"/>
        <v>70.331299999999999</v>
      </c>
      <c r="J52" s="75"/>
    </row>
    <row r="53" spans="1:14" ht="15.75" customHeight="1">
      <c r="A53" s="47">
        <v>10</v>
      </c>
      <c r="B53" s="69" t="s">
        <v>122</v>
      </c>
      <c r="C53" s="76" t="s">
        <v>98</v>
      </c>
      <c r="D53" s="123">
        <v>44175</v>
      </c>
      <c r="E53" s="77">
        <v>64</v>
      </c>
      <c r="F53" s="78">
        <f>E53*3</f>
        <v>192</v>
      </c>
      <c r="G53" s="17">
        <v>175.6</v>
      </c>
      <c r="H53" s="79">
        <f t="shared" si="6"/>
        <v>33.715199999999996</v>
      </c>
      <c r="I53" s="17">
        <f>E53*G53</f>
        <v>11238.4</v>
      </c>
      <c r="J53" s="75"/>
    </row>
    <row r="54" spans="1:14" ht="15.75" customHeight="1">
      <c r="A54" s="47">
        <v>11</v>
      </c>
      <c r="B54" s="69" t="s">
        <v>39</v>
      </c>
      <c r="C54" s="76" t="s">
        <v>98</v>
      </c>
      <c r="D54" s="123">
        <v>44175</v>
      </c>
      <c r="E54" s="77">
        <v>128</v>
      </c>
      <c r="F54" s="78">
        <f>SUM(E54)*3</f>
        <v>384</v>
      </c>
      <c r="G54" s="17">
        <v>81.73</v>
      </c>
      <c r="H54" s="79">
        <f t="shared" si="6"/>
        <v>31.384319999999999</v>
      </c>
      <c r="I54" s="17">
        <f>E54*G54</f>
        <v>10461.44</v>
      </c>
      <c r="J54" s="75"/>
    </row>
    <row r="55" spans="1:14" ht="15.75" customHeight="1">
      <c r="A55" s="153" t="s">
        <v>126</v>
      </c>
      <c r="B55" s="154"/>
      <c r="C55" s="154"/>
      <c r="D55" s="154"/>
      <c r="E55" s="154"/>
      <c r="F55" s="154"/>
      <c r="G55" s="154"/>
      <c r="H55" s="154"/>
      <c r="I55" s="155"/>
      <c r="J55" s="75"/>
    </row>
    <row r="56" spans="1:14" ht="15.75" hidden="1" customHeight="1">
      <c r="A56" s="111"/>
      <c r="B56" s="54" t="s">
        <v>41</v>
      </c>
      <c r="C56" s="21"/>
      <c r="D56" s="65"/>
      <c r="E56" s="16"/>
      <c r="F56" s="16"/>
      <c r="G56" s="31"/>
      <c r="H56" s="31"/>
      <c r="I56" s="64"/>
      <c r="J56" s="75"/>
    </row>
    <row r="57" spans="1:14" ht="31.5" hidden="1" customHeight="1">
      <c r="A57" s="47">
        <v>13</v>
      </c>
      <c r="B57" s="69" t="s">
        <v>123</v>
      </c>
      <c r="C57" s="76" t="s">
        <v>88</v>
      </c>
      <c r="D57" s="69" t="s">
        <v>124</v>
      </c>
      <c r="E57" s="77">
        <v>8</v>
      </c>
      <c r="F57" s="78">
        <f>SUM(E57*6/100)</f>
        <v>0.48</v>
      </c>
      <c r="G57" s="17">
        <v>2306.62</v>
      </c>
      <c r="H57" s="79">
        <f>SUM(F57*G57/1000)</f>
        <v>1.1071776</v>
      </c>
      <c r="I57" s="17">
        <f>F57/6*G57</f>
        <v>184.52959999999999</v>
      </c>
      <c r="J57" s="75"/>
    </row>
    <row r="58" spans="1:14" ht="15.75" hidden="1" customHeight="1">
      <c r="A58" s="47">
        <v>9</v>
      </c>
      <c r="B58" s="88" t="s">
        <v>81</v>
      </c>
      <c r="C58" s="87" t="s">
        <v>30</v>
      </c>
      <c r="D58" s="88" t="s">
        <v>62</v>
      </c>
      <c r="E58" s="89"/>
      <c r="F58" s="90">
        <v>1</v>
      </c>
      <c r="G58" s="17">
        <v>1501</v>
      </c>
      <c r="H58" s="79">
        <f>SUM(F58*G58/1000)</f>
        <v>1.5009999999999999</v>
      </c>
      <c r="I58" s="17">
        <f>G58*3</f>
        <v>4503</v>
      </c>
      <c r="J58" s="75"/>
    </row>
    <row r="59" spans="1:14" ht="15.75" hidden="1" customHeight="1">
      <c r="A59" s="47"/>
      <c r="B59" s="71" t="s">
        <v>42</v>
      </c>
      <c r="C59" s="39"/>
      <c r="D59" s="39"/>
      <c r="E59" s="16"/>
      <c r="F59" s="16"/>
      <c r="G59" s="40"/>
      <c r="H59" s="40"/>
      <c r="I59" s="64"/>
      <c r="J59" s="75"/>
      <c r="L59" s="24"/>
      <c r="M59" s="25"/>
      <c r="N59" s="26"/>
    </row>
    <row r="60" spans="1:14" ht="15.75" hidden="1" customHeight="1">
      <c r="A60" s="47">
        <v>29</v>
      </c>
      <c r="B60" s="88" t="s">
        <v>43</v>
      </c>
      <c r="C60" s="87" t="s">
        <v>51</v>
      </c>
      <c r="D60" s="88" t="s">
        <v>52</v>
      </c>
      <c r="E60" s="89">
        <v>7.4</v>
      </c>
      <c r="F60" s="17">
        <f>SUM(E60/100)</f>
        <v>7.400000000000001E-2</v>
      </c>
      <c r="G60" s="17">
        <v>987.51</v>
      </c>
      <c r="H60" s="91">
        <f>F60*G60/1000</f>
        <v>7.3075740000000014E-2</v>
      </c>
      <c r="I60" s="17">
        <v>0</v>
      </c>
      <c r="J60" s="75"/>
      <c r="L60" s="24"/>
      <c r="M60" s="25"/>
      <c r="N60" s="26"/>
    </row>
    <row r="61" spans="1:14" ht="15.75" customHeight="1">
      <c r="A61" s="47"/>
      <c r="B61" s="71" t="s">
        <v>44</v>
      </c>
      <c r="C61" s="21"/>
      <c r="D61" s="66"/>
      <c r="E61" s="16"/>
      <c r="F61" s="16"/>
      <c r="G61" s="31"/>
      <c r="H61" s="31"/>
      <c r="I61" s="64"/>
      <c r="J61" s="75"/>
      <c r="L61" s="24"/>
      <c r="M61" s="25"/>
      <c r="N61" s="26"/>
    </row>
    <row r="62" spans="1:14" ht="15.75" hidden="1" customHeight="1">
      <c r="A62" s="47">
        <v>13</v>
      </c>
      <c r="B62" s="19" t="s">
        <v>45</v>
      </c>
      <c r="C62" s="21" t="s">
        <v>98</v>
      </c>
      <c r="D62" s="19" t="s">
        <v>62</v>
      </c>
      <c r="E62" s="23">
        <v>1</v>
      </c>
      <c r="F62" s="17">
        <f>SUM(E62)</f>
        <v>1</v>
      </c>
      <c r="G62" s="17">
        <v>276.74</v>
      </c>
      <c r="H62" s="80">
        <f t="shared" ref="H62:H70" si="9">SUM(F62*G62/1000)</f>
        <v>0.27673999999999999</v>
      </c>
      <c r="I62" s="17">
        <f>G62*2</f>
        <v>553.48</v>
      </c>
      <c r="J62" s="75"/>
      <c r="L62" s="24"/>
      <c r="M62" s="25"/>
      <c r="N62" s="26"/>
    </row>
    <row r="63" spans="1:14" ht="15" customHeight="1">
      <c r="A63" s="67">
        <v>12</v>
      </c>
      <c r="B63" s="122" t="s">
        <v>45</v>
      </c>
      <c r="C63" s="44" t="s">
        <v>98</v>
      </c>
      <c r="D63" s="43" t="s">
        <v>255</v>
      </c>
      <c r="E63" s="22">
        <v>1</v>
      </c>
      <c r="F63" s="41">
        <f>SUM(E63)</f>
        <v>1</v>
      </c>
      <c r="G63" s="41">
        <v>276.74</v>
      </c>
      <c r="H63" s="80">
        <f t="shared" si="9"/>
        <v>0.27673999999999999</v>
      </c>
      <c r="I63" s="17">
        <f>G63*7</f>
        <v>1937.18</v>
      </c>
      <c r="J63" s="75"/>
      <c r="L63" s="24"/>
      <c r="M63" s="25"/>
      <c r="N63" s="26"/>
    </row>
    <row r="64" spans="1:14" ht="12.75" hidden="1" customHeight="1">
      <c r="A64" s="67">
        <v>25</v>
      </c>
      <c r="B64" s="19" t="s">
        <v>47</v>
      </c>
      <c r="C64" s="21" t="s">
        <v>99</v>
      </c>
      <c r="D64" s="19" t="s">
        <v>52</v>
      </c>
      <c r="E64" s="77">
        <v>10052</v>
      </c>
      <c r="F64" s="17">
        <f>SUM(E64/100)</f>
        <v>100.52</v>
      </c>
      <c r="G64" s="17">
        <v>263.99</v>
      </c>
      <c r="H64" s="80">
        <f t="shared" si="9"/>
        <v>26.536274799999997</v>
      </c>
      <c r="I64" s="17">
        <f>F64*G64</f>
        <v>26536.274799999999</v>
      </c>
      <c r="J64" s="75"/>
      <c r="L64" s="24"/>
      <c r="M64" s="25"/>
      <c r="N64" s="26"/>
    </row>
    <row r="65" spans="1:14" ht="15.75" hidden="1" customHeight="1">
      <c r="A65" s="67">
        <v>26</v>
      </c>
      <c r="B65" s="19" t="s">
        <v>48</v>
      </c>
      <c r="C65" s="21" t="s">
        <v>100</v>
      </c>
      <c r="D65" s="19"/>
      <c r="E65" s="77">
        <v>10052</v>
      </c>
      <c r="F65" s="17">
        <f>SUM(E65/1000)</f>
        <v>10.052</v>
      </c>
      <c r="G65" s="17">
        <v>205.57</v>
      </c>
      <c r="H65" s="80">
        <f t="shared" si="9"/>
        <v>2.0663896399999997</v>
      </c>
      <c r="I65" s="17">
        <f t="shared" ref="I65:I68" si="10">F65*G65</f>
        <v>2066.3896399999999</v>
      </c>
      <c r="J65" s="75"/>
      <c r="L65" s="24"/>
      <c r="M65" s="25"/>
      <c r="N65" s="26"/>
    </row>
    <row r="66" spans="1:14" ht="12.75" hidden="1" customHeight="1">
      <c r="A66" s="67">
        <v>27</v>
      </c>
      <c r="B66" s="19" t="s">
        <v>49</v>
      </c>
      <c r="C66" s="21" t="s">
        <v>70</v>
      </c>
      <c r="D66" s="19" t="s">
        <v>52</v>
      </c>
      <c r="E66" s="77">
        <v>2200</v>
      </c>
      <c r="F66" s="17">
        <f>SUM(E66/100)</f>
        <v>22</v>
      </c>
      <c r="G66" s="17">
        <v>2581.5300000000002</v>
      </c>
      <c r="H66" s="80">
        <f t="shared" si="9"/>
        <v>56.793660000000003</v>
      </c>
      <c r="I66" s="17">
        <f t="shared" si="10"/>
        <v>56793.66</v>
      </c>
      <c r="J66" s="75"/>
      <c r="L66" s="24"/>
      <c r="M66" s="25"/>
      <c r="N66" s="26"/>
    </row>
    <row r="67" spans="1:14" ht="15.75" hidden="1" customHeight="1">
      <c r="A67" s="67">
        <v>28</v>
      </c>
      <c r="B67" s="92" t="s">
        <v>101</v>
      </c>
      <c r="C67" s="21" t="s">
        <v>31</v>
      </c>
      <c r="D67" s="19"/>
      <c r="E67" s="77">
        <v>9.4</v>
      </c>
      <c r="F67" s="17">
        <f>SUM(E67)</f>
        <v>9.4</v>
      </c>
      <c r="G67" s="17">
        <v>47.45</v>
      </c>
      <c r="H67" s="80">
        <f t="shared" si="9"/>
        <v>0.44603000000000004</v>
      </c>
      <c r="I67" s="17">
        <f t="shared" si="10"/>
        <v>446.03000000000003</v>
      </c>
      <c r="J67" s="75"/>
      <c r="L67" s="24"/>
      <c r="M67" s="25"/>
      <c r="N67" s="26"/>
    </row>
    <row r="68" spans="1:14" ht="18.75" hidden="1" customHeight="1">
      <c r="A68" s="67">
        <v>29</v>
      </c>
      <c r="B68" s="92" t="s">
        <v>102</v>
      </c>
      <c r="C68" s="21" t="s">
        <v>31</v>
      </c>
      <c r="D68" s="19"/>
      <c r="E68" s="77">
        <v>9.4</v>
      </c>
      <c r="F68" s="17">
        <f>SUM(E68)</f>
        <v>9.4</v>
      </c>
      <c r="G68" s="17">
        <v>44.27</v>
      </c>
      <c r="H68" s="80">
        <f t="shared" si="9"/>
        <v>0.41613800000000001</v>
      </c>
      <c r="I68" s="17">
        <f t="shared" si="10"/>
        <v>416.13800000000003</v>
      </c>
      <c r="J68" s="75"/>
      <c r="L68" s="24"/>
      <c r="M68" s="25"/>
      <c r="N68" s="26"/>
    </row>
    <row r="69" spans="1:14" ht="18" hidden="1" customHeight="1">
      <c r="A69" s="67">
        <v>19</v>
      </c>
      <c r="B69" s="19" t="s">
        <v>56</v>
      </c>
      <c r="C69" s="21" t="s">
        <v>57</v>
      </c>
      <c r="D69" s="19" t="s">
        <v>52</v>
      </c>
      <c r="E69" s="23">
        <v>2</v>
      </c>
      <c r="F69" s="17">
        <f>SUM(E69)</f>
        <v>2</v>
      </c>
      <c r="G69" s="17">
        <v>62.07</v>
      </c>
      <c r="H69" s="80">
        <f t="shared" si="9"/>
        <v>0.12414</v>
      </c>
      <c r="I69" s="17">
        <f>G69*2</f>
        <v>124.14</v>
      </c>
      <c r="J69" s="75"/>
      <c r="L69" s="24"/>
      <c r="M69" s="25"/>
      <c r="N69" s="26"/>
    </row>
    <row r="70" spans="1:14" ht="15.75" customHeight="1">
      <c r="A70" s="68">
        <v>13</v>
      </c>
      <c r="B70" s="19" t="s">
        <v>82</v>
      </c>
      <c r="C70" s="31" t="s">
        <v>103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9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21.75" customHeight="1">
      <c r="A71" s="61"/>
      <c r="B71" s="71" t="s">
        <v>104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9.5" customHeight="1">
      <c r="A72" s="31">
        <v>14</v>
      </c>
      <c r="B72" s="69" t="s">
        <v>105</v>
      </c>
      <c r="C72" s="21"/>
      <c r="D72" s="19"/>
      <c r="E72" s="94"/>
      <c r="F72" s="17">
        <v>1</v>
      </c>
      <c r="G72" s="17">
        <v>5290</v>
      </c>
      <c r="H72" s="80">
        <f>G72*F72/1000</f>
        <v>5.29</v>
      </c>
      <c r="I72" s="17">
        <f>G72</f>
        <v>5290</v>
      </c>
      <c r="J72" s="75"/>
      <c r="L72" s="24"/>
      <c r="M72" s="25"/>
      <c r="N72" s="26"/>
    </row>
    <row r="73" spans="1:14" ht="24" hidden="1" customHeight="1">
      <c r="A73" s="68"/>
      <c r="B73" s="71" t="s">
        <v>65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24" hidden="1" customHeight="1">
      <c r="A74" s="68">
        <v>16</v>
      </c>
      <c r="B74" s="19" t="s">
        <v>106</v>
      </c>
      <c r="C74" s="21" t="s">
        <v>107</v>
      </c>
      <c r="D74" s="19" t="s">
        <v>62</v>
      </c>
      <c r="E74" s="23">
        <v>1</v>
      </c>
      <c r="F74" s="17">
        <f>E74</f>
        <v>1</v>
      </c>
      <c r="G74" s="17">
        <v>976.4</v>
      </c>
      <c r="H74" s="80">
        <f t="shared" ref="H74:H76" si="11">SUM(F74*G74/1000)</f>
        <v>0.97639999999999993</v>
      </c>
      <c r="I74" s="17">
        <v>0</v>
      </c>
      <c r="J74" s="75"/>
      <c r="L74" s="24"/>
      <c r="M74" s="25"/>
      <c r="N74" s="26"/>
    </row>
    <row r="75" spans="1:14" ht="21.75" hidden="1" customHeight="1">
      <c r="A75" s="68"/>
      <c r="B75" s="19" t="s">
        <v>108</v>
      </c>
      <c r="C75" s="21" t="s">
        <v>109</v>
      </c>
      <c r="D75" s="19" t="s">
        <v>62</v>
      </c>
      <c r="E75" s="23">
        <v>1</v>
      </c>
      <c r="F75" s="17">
        <v>1</v>
      </c>
      <c r="G75" s="17">
        <v>735</v>
      </c>
      <c r="H75" s="80">
        <f t="shared" si="11"/>
        <v>0.73499999999999999</v>
      </c>
      <c r="I75" s="17">
        <v>0</v>
      </c>
      <c r="J75" s="75"/>
      <c r="L75" s="24"/>
      <c r="M75" s="25"/>
      <c r="N75" s="26"/>
    </row>
    <row r="76" spans="1:14" ht="21.75" hidden="1" customHeight="1">
      <c r="A76" s="68">
        <v>11</v>
      </c>
      <c r="B76" s="19" t="s">
        <v>66</v>
      </c>
      <c r="C76" s="21" t="s">
        <v>68</v>
      </c>
      <c r="D76" s="19" t="s">
        <v>62</v>
      </c>
      <c r="E76" s="23">
        <v>3</v>
      </c>
      <c r="F76" s="17">
        <v>0.3</v>
      </c>
      <c r="G76" s="17">
        <v>624.16999999999996</v>
      </c>
      <c r="H76" s="80">
        <f t="shared" si="11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22.5" hidden="1" customHeight="1">
      <c r="A77" s="68"/>
      <c r="B77" s="19" t="s">
        <v>67</v>
      </c>
      <c r="C77" s="21" t="s">
        <v>29</v>
      </c>
      <c r="D77" s="19" t="s">
        <v>62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8" hidden="1" customHeight="1">
      <c r="A78" s="68"/>
      <c r="B78" s="19" t="s">
        <v>83</v>
      </c>
      <c r="C78" s="21" t="s">
        <v>29</v>
      </c>
      <c r="D78" s="19" t="s">
        <v>62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7.25" hidden="1" customHeight="1">
      <c r="A79" s="68"/>
      <c r="B79" s="56" t="s">
        <v>69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5.75" hidden="1" customHeight="1">
      <c r="A80" s="68"/>
      <c r="B80" s="57" t="s">
        <v>110</v>
      </c>
      <c r="C80" s="21" t="s">
        <v>70</v>
      </c>
      <c r="D80" s="19"/>
      <c r="E80" s="23"/>
      <c r="F80" s="17">
        <v>1</v>
      </c>
      <c r="G80" s="17">
        <v>3433.68</v>
      </c>
      <c r="H80" s="80">
        <f t="shared" ref="H80" si="12">SUM(F80*G80/1000)</f>
        <v>3.4336799999999998</v>
      </c>
      <c r="I80" s="17">
        <v>0</v>
      </c>
      <c r="J80" s="75"/>
      <c r="L80" s="24"/>
      <c r="M80" s="25"/>
      <c r="N80" s="26"/>
    </row>
    <row r="81" spans="1:14" ht="15.75" customHeight="1">
      <c r="A81" s="159" t="s">
        <v>150</v>
      </c>
      <c r="B81" s="160"/>
      <c r="C81" s="160"/>
      <c r="D81" s="160"/>
      <c r="E81" s="160"/>
      <c r="F81" s="160"/>
      <c r="G81" s="160"/>
      <c r="H81" s="160"/>
      <c r="I81" s="161"/>
      <c r="J81" s="75"/>
      <c r="L81" s="24"/>
      <c r="M81" s="25"/>
      <c r="N81" s="26"/>
    </row>
    <row r="82" spans="1:14" ht="15.75" customHeight="1">
      <c r="A82" s="68">
        <v>15</v>
      </c>
      <c r="B82" s="69" t="s">
        <v>125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16</v>
      </c>
      <c r="B83" s="19" t="s">
        <v>71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73</v>
      </c>
      <c r="C84" s="47"/>
      <c r="D84" s="20"/>
      <c r="E84" s="20"/>
      <c r="F84" s="20"/>
      <c r="G84" s="23"/>
      <c r="H84" s="23"/>
      <c r="I84" s="35">
        <f>I83+I82+I70+I63+I54+I53+I49+I41+I40+I38+I37+I26+I18+I17+I16+I72</f>
        <v>68700.257177499996</v>
      </c>
      <c r="J84" s="75"/>
      <c r="L84" s="24"/>
      <c r="M84" s="25"/>
      <c r="N84" s="26"/>
    </row>
    <row r="85" spans="1:14" ht="15.75" customHeight="1">
      <c r="A85" s="156" t="s">
        <v>58</v>
      </c>
      <c r="B85" s="157"/>
      <c r="C85" s="157"/>
      <c r="D85" s="157"/>
      <c r="E85" s="157"/>
      <c r="F85" s="157"/>
      <c r="G85" s="157"/>
      <c r="H85" s="157"/>
      <c r="I85" s="158"/>
      <c r="J85" s="75"/>
      <c r="L85" s="24"/>
      <c r="M85" s="25"/>
      <c r="N85" s="26"/>
    </row>
    <row r="86" spans="1:14" ht="15.75" customHeight="1">
      <c r="A86" s="31">
        <v>17</v>
      </c>
      <c r="B86" s="19" t="s">
        <v>156</v>
      </c>
      <c r="C86" s="21" t="s">
        <v>157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33.75" customHeight="1">
      <c r="A87" s="31">
        <v>18</v>
      </c>
      <c r="B87" s="117" t="s">
        <v>164</v>
      </c>
      <c r="C87" s="118" t="s">
        <v>28</v>
      </c>
      <c r="D87" s="43"/>
      <c r="E87" s="22"/>
      <c r="F87" s="41">
        <f>98/3</f>
        <v>32.666666666666664</v>
      </c>
      <c r="G87" s="138">
        <v>20547.34</v>
      </c>
      <c r="H87" s="115">
        <f t="shared" ref="H87" si="13">G87*F87/1000</f>
        <v>671.21310666666659</v>
      </c>
      <c r="I87" s="96">
        <f>G87*0.599*8/1000</f>
        <v>98.46285327999999</v>
      </c>
      <c r="J87" s="75"/>
      <c r="L87" s="24"/>
      <c r="M87" s="25"/>
      <c r="N87" s="26"/>
    </row>
    <row r="88" spans="1:14" ht="16.5" customHeight="1">
      <c r="A88" s="31">
        <v>19</v>
      </c>
      <c r="B88" s="117" t="s">
        <v>158</v>
      </c>
      <c r="C88" s="118" t="s">
        <v>169</v>
      </c>
      <c r="D88" s="43" t="s">
        <v>275</v>
      </c>
      <c r="E88" s="22"/>
      <c r="F88" s="41">
        <v>69</v>
      </c>
      <c r="G88" s="41">
        <v>284</v>
      </c>
      <c r="H88" s="115"/>
      <c r="I88" s="96">
        <v>0</v>
      </c>
      <c r="J88" s="75"/>
      <c r="L88" s="24"/>
      <c r="M88" s="25"/>
      <c r="N88" s="26"/>
    </row>
    <row r="89" spans="1:14" ht="16.5" customHeight="1">
      <c r="A89" s="31">
        <v>20</v>
      </c>
      <c r="B89" s="117" t="s">
        <v>166</v>
      </c>
      <c r="C89" s="118" t="s">
        <v>159</v>
      </c>
      <c r="D89" s="43"/>
      <c r="E89" s="22"/>
      <c r="F89" s="41">
        <v>6</v>
      </c>
      <c r="G89" s="41">
        <v>227</v>
      </c>
      <c r="H89" s="115"/>
      <c r="I89" s="96">
        <f>G89*3</f>
        <v>681</v>
      </c>
      <c r="J89" s="75"/>
      <c r="L89" s="24"/>
      <c r="M89" s="25"/>
      <c r="N89" s="26"/>
    </row>
    <row r="90" spans="1:14" ht="16.5" customHeight="1">
      <c r="A90" s="31">
        <v>21</v>
      </c>
      <c r="B90" s="117" t="s">
        <v>74</v>
      </c>
      <c r="C90" s="118" t="s">
        <v>98</v>
      </c>
      <c r="D90" s="43"/>
      <c r="E90" s="22"/>
      <c r="F90" s="41">
        <v>6</v>
      </c>
      <c r="G90" s="41">
        <v>215.85</v>
      </c>
      <c r="H90" s="115"/>
      <c r="I90" s="96">
        <f>G90*2</f>
        <v>431.7</v>
      </c>
      <c r="J90" s="75"/>
      <c r="L90" s="24"/>
      <c r="M90" s="25"/>
      <c r="N90" s="26"/>
    </row>
    <row r="91" spans="1:14" ht="16.5" customHeight="1">
      <c r="A91" s="31">
        <v>22</v>
      </c>
      <c r="B91" s="117" t="s">
        <v>209</v>
      </c>
      <c r="C91" s="118" t="s">
        <v>38</v>
      </c>
      <c r="D91" s="43" t="s">
        <v>177</v>
      </c>
      <c r="E91" s="22"/>
      <c r="F91" s="41">
        <v>0.06</v>
      </c>
      <c r="G91" s="41">
        <v>27139.18</v>
      </c>
      <c r="H91" s="115"/>
      <c r="I91" s="96">
        <v>0</v>
      </c>
      <c r="J91" s="75"/>
      <c r="L91" s="24"/>
      <c r="M91" s="25"/>
      <c r="N91" s="26"/>
    </row>
    <row r="92" spans="1:14" ht="33" customHeight="1">
      <c r="A92" s="31">
        <v>23</v>
      </c>
      <c r="B92" s="117" t="s">
        <v>246</v>
      </c>
      <c r="C92" s="118" t="s">
        <v>169</v>
      </c>
      <c r="D92" s="43" t="s">
        <v>263</v>
      </c>
      <c r="E92" s="22"/>
      <c r="F92" s="41">
        <v>5</v>
      </c>
      <c r="G92" s="41">
        <v>1421.68</v>
      </c>
      <c r="H92" s="115"/>
      <c r="I92" s="96">
        <f>G92*4</f>
        <v>5686.72</v>
      </c>
      <c r="J92" s="75"/>
      <c r="L92" s="24"/>
      <c r="M92" s="25"/>
      <c r="N92" s="26"/>
    </row>
    <row r="93" spans="1:14" ht="34.5" customHeight="1">
      <c r="A93" s="31">
        <v>24</v>
      </c>
      <c r="B93" s="117" t="s">
        <v>256</v>
      </c>
      <c r="C93" s="118" t="s">
        <v>169</v>
      </c>
      <c r="D93" s="43" t="s">
        <v>266</v>
      </c>
      <c r="E93" s="22"/>
      <c r="F93" s="41">
        <v>1.5</v>
      </c>
      <c r="G93" s="41">
        <v>1523.6</v>
      </c>
      <c r="H93" s="115"/>
      <c r="I93" s="96">
        <f>G93*2.5</f>
        <v>3809</v>
      </c>
      <c r="J93" s="75"/>
      <c r="L93" s="24"/>
      <c r="M93" s="25"/>
      <c r="N93" s="26"/>
    </row>
    <row r="94" spans="1:14" ht="35.25" customHeight="1">
      <c r="A94" s="31">
        <v>25</v>
      </c>
      <c r="B94" s="117" t="s">
        <v>84</v>
      </c>
      <c r="C94" s="118" t="s">
        <v>86</v>
      </c>
      <c r="D94" s="43" t="s">
        <v>264</v>
      </c>
      <c r="E94" s="22"/>
      <c r="F94" s="41">
        <v>9</v>
      </c>
      <c r="G94" s="41">
        <v>670.51</v>
      </c>
      <c r="H94" s="115"/>
      <c r="I94" s="96">
        <f>G94*6</f>
        <v>4023.06</v>
      </c>
      <c r="J94" s="75"/>
      <c r="L94" s="24"/>
      <c r="M94" s="25"/>
      <c r="N94" s="26"/>
    </row>
    <row r="95" spans="1:14" ht="16.5" customHeight="1">
      <c r="A95" s="31">
        <v>26</v>
      </c>
      <c r="B95" s="136" t="s">
        <v>257</v>
      </c>
      <c r="C95" s="118" t="s">
        <v>53</v>
      </c>
      <c r="D95" s="43"/>
      <c r="E95" s="22"/>
      <c r="F95" s="41">
        <v>3.64</v>
      </c>
      <c r="G95" s="41">
        <v>77.400000000000006</v>
      </c>
      <c r="H95" s="115"/>
      <c r="I95" s="96">
        <f>G95*3.64</f>
        <v>281.73600000000005</v>
      </c>
      <c r="J95" s="75"/>
      <c r="L95" s="24"/>
      <c r="M95" s="25"/>
      <c r="N95" s="26"/>
    </row>
    <row r="96" spans="1:14" ht="16.5" customHeight="1">
      <c r="A96" s="31">
        <v>27</v>
      </c>
      <c r="B96" s="117" t="s">
        <v>258</v>
      </c>
      <c r="C96" s="118" t="s">
        <v>53</v>
      </c>
      <c r="D96" s="43"/>
      <c r="E96" s="22"/>
      <c r="F96" s="41">
        <v>3.64</v>
      </c>
      <c r="G96" s="41">
        <v>187.34</v>
      </c>
      <c r="H96" s="115"/>
      <c r="I96" s="96">
        <f>G96*1</f>
        <v>187.34</v>
      </c>
      <c r="J96" s="75"/>
      <c r="L96" s="24"/>
      <c r="M96" s="25"/>
      <c r="N96" s="26"/>
    </row>
    <row r="97" spans="1:22" ht="16.5" customHeight="1">
      <c r="A97" s="31">
        <v>28</v>
      </c>
      <c r="B97" s="117" t="s">
        <v>259</v>
      </c>
      <c r="C97" s="118" t="s">
        <v>98</v>
      </c>
      <c r="D97" s="43"/>
      <c r="E97" s="22"/>
      <c r="F97" s="41">
        <v>1</v>
      </c>
      <c r="G97" s="41">
        <v>234.78</v>
      </c>
      <c r="H97" s="115"/>
      <c r="I97" s="96">
        <f>G97*1</f>
        <v>234.78</v>
      </c>
      <c r="J97" s="75"/>
      <c r="L97" s="24"/>
      <c r="M97" s="25"/>
      <c r="N97" s="26"/>
    </row>
    <row r="98" spans="1:22" ht="48" customHeight="1">
      <c r="A98" s="31">
        <v>29</v>
      </c>
      <c r="B98" s="117" t="s">
        <v>260</v>
      </c>
      <c r="C98" s="118" t="s">
        <v>152</v>
      </c>
      <c r="D98" s="43"/>
      <c r="E98" s="22"/>
      <c r="F98" s="41">
        <v>0.02</v>
      </c>
      <c r="G98" s="41">
        <v>11682.48</v>
      </c>
      <c r="H98" s="115"/>
      <c r="I98" s="96">
        <f>G98*0.02</f>
        <v>233.64959999999999</v>
      </c>
      <c r="J98" s="75"/>
      <c r="L98" s="24"/>
      <c r="M98" s="25"/>
      <c r="N98" s="26"/>
    </row>
    <row r="99" spans="1:22" ht="16.5" customHeight="1">
      <c r="A99" s="31">
        <v>30</v>
      </c>
      <c r="B99" s="117" t="s">
        <v>261</v>
      </c>
      <c r="C99" s="118" t="s">
        <v>262</v>
      </c>
      <c r="D99" s="43" t="s">
        <v>265</v>
      </c>
      <c r="E99" s="22"/>
      <c r="F99" s="41">
        <v>1</v>
      </c>
      <c r="G99" s="41">
        <v>754.11</v>
      </c>
      <c r="H99" s="115"/>
      <c r="I99" s="96">
        <v>0</v>
      </c>
      <c r="J99" s="75"/>
      <c r="L99" s="24"/>
      <c r="M99" s="25"/>
      <c r="N99" s="26"/>
    </row>
    <row r="100" spans="1:22" ht="15.75" customHeight="1">
      <c r="A100" s="31"/>
      <c r="B100" s="52" t="s">
        <v>50</v>
      </c>
      <c r="C100" s="48"/>
      <c r="D100" s="62"/>
      <c r="E100" s="48">
        <v>1</v>
      </c>
      <c r="F100" s="48"/>
      <c r="G100" s="48"/>
      <c r="H100" s="48"/>
      <c r="I100" s="35">
        <f>SUM(I86:I99)</f>
        <v>15734.648453280002</v>
      </c>
      <c r="J100" s="75"/>
      <c r="L100" s="24"/>
      <c r="M100" s="25"/>
      <c r="N100" s="26"/>
    </row>
    <row r="101" spans="1:22" ht="15.75" customHeight="1">
      <c r="A101" s="31"/>
      <c r="B101" s="57" t="s">
        <v>72</v>
      </c>
      <c r="C101" s="20"/>
      <c r="D101" s="20"/>
      <c r="E101" s="49"/>
      <c r="F101" s="49"/>
      <c r="G101" s="50"/>
      <c r="H101" s="50"/>
      <c r="I101" s="22">
        <v>0</v>
      </c>
      <c r="J101" s="75"/>
      <c r="L101" s="24"/>
      <c r="M101" s="25"/>
      <c r="N101" s="26"/>
    </row>
    <row r="102" spans="1:22" ht="15.75" customHeight="1">
      <c r="A102" s="63"/>
      <c r="B102" s="53" t="s">
        <v>151</v>
      </c>
      <c r="C102" s="39"/>
      <c r="D102" s="39"/>
      <c r="E102" s="39"/>
      <c r="F102" s="39"/>
      <c r="G102" s="39"/>
      <c r="H102" s="39"/>
      <c r="I102" s="51">
        <f>I84+I100</f>
        <v>84434.905630780006</v>
      </c>
      <c r="J102" s="75"/>
      <c r="L102" s="24"/>
    </row>
    <row r="103" spans="1:22" ht="15.75">
      <c r="A103" s="142" t="s">
        <v>276</v>
      </c>
      <c r="B103" s="142"/>
      <c r="C103" s="142"/>
      <c r="D103" s="142"/>
      <c r="E103" s="142"/>
      <c r="F103" s="142"/>
      <c r="G103" s="142"/>
      <c r="H103" s="142"/>
      <c r="I103" s="142"/>
    </row>
    <row r="104" spans="1:22" ht="15.75">
      <c r="A104" s="12"/>
      <c r="B104" s="152" t="s">
        <v>277</v>
      </c>
      <c r="C104" s="152"/>
      <c r="D104" s="152"/>
      <c r="E104" s="152"/>
      <c r="F104" s="152"/>
      <c r="G104" s="152"/>
      <c r="H104" s="109"/>
      <c r="I104" s="4"/>
    </row>
    <row r="105" spans="1:22" ht="15.75">
      <c r="A105" s="70"/>
      <c r="B105" s="145" t="s">
        <v>6</v>
      </c>
      <c r="C105" s="145"/>
      <c r="D105" s="145"/>
      <c r="E105" s="145"/>
      <c r="F105" s="145"/>
      <c r="G105" s="145"/>
      <c r="H105" s="74"/>
      <c r="I105" s="59"/>
    </row>
    <row r="106" spans="1:22" ht="15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11"/>
    </row>
    <row r="107" spans="1:22" ht="15.75" customHeight="1">
      <c r="A107" s="146" t="s">
        <v>7</v>
      </c>
      <c r="B107" s="146"/>
      <c r="C107" s="146"/>
      <c r="D107" s="146"/>
      <c r="E107" s="146"/>
      <c r="F107" s="146"/>
      <c r="G107" s="146"/>
      <c r="H107" s="146"/>
      <c r="I107" s="146"/>
      <c r="J107" s="29"/>
      <c r="K107" s="29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2" ht="15.75">
      <c r="A108" s="146" t="s">
        <v>8</v>
      </c>
      <c r="B108" s="146"/>
      <c r="C108" s="146"/>
      <c r="D108" s="146"/>
      <c r="E108" s="146"/>
      <c r="F108" s="146"/>
      <c r="G108" s="146"/>
      <c r="H108" s="146"/>
      <c r="I108" s="146"/>
      <c r="J108" s="4"/>
      <c r="K108" s="4"/>
      <c r="L108" s="4"/>
      <c r="M108" s="4"/>
      <c r="N108" s="4"/>
      <c r="O108" s="4"/>
      <c r="P108" s="4"/>
      <c r="Q108" s="4"/>
      <c r="S108" s="4"/>
      <c r="T108" s="4"/>
      <c r="U108" s="4"/>
    </row>
    <row r="109" spans="1:22" ht="15.75">
      <c r="A109" s="142" t="s">
        <v>9</v>
      </c>
      <c r="B109" s="142"/>
      <c r="C109" s="142"/>
      <c r="D109" s="142"/>
      <c r="E109" s="142"/>
      <c r="F109" s="142"/>
      <c r="G109" s="142"/>
      <c r="H109" s="142"/>
      <c r="I109" s="142"/>
      <c r="J109" s="6"/>
      <c r="K109" s="6"/>
      <c r="L109" s="6"/>
      <c r="M109" s="6"/>
      <c r="N109" s="6"/>
      <c r="O109" s="6"/>
      <c r="P109" s="6"/>
      <c r="Q109" s="6"/>
      <c r="R109" s="144"/>
      <c r="S109" s="144"/>
      <c r="T109" s="144"/>
      <c r="U109" s="144"/>
    </row>
    <row r="110" spans="1:22" ht="15.75">
      <c r="A110" s="13"/>
      <c r="B110" s="58"/>
      <c r="C110" s="58"/>
      <c r="D110" s="58"/>
      <c r="E110" s="58"/>
      <c r="F110" s="58"/>
      <c r="G110" s="58"/>
      <c r="H110" s="58"/>
      <c r="I110" s="58"/>
    </row>
    <row r="111" spans="1:22" ht="15.75">
      <c r="A111" s="148" t="s">
        <v>10</v>
      </c>
      <c r="B111" s="148"/>
      <c r="C111" s="148"/>
      <c r="D111" s="148"/>
      <c r="E111" s="148"/>
      <c r="F111" s="148"/>
      <c r="G111" s="148"/>
      <c r="H111" s="148"/>
      <c r="I111" s="148"/>
    </row>
    <row r="112" spans="1:22" ht="15.75" customHeight="1">
      <c r="A112" s="5"/>
    </row>
    <row r="113" spans="1:9" ht="15.75">
      <c r="A113" s="142" t="s">
        <v>11</v>
      </c>
      <c r="B113" s="142"/>
      <c r="C113" s="147" t="s">
        <v>251</v>
      </c>
      <c r="D113" s="147"/>
      <c r="E113" s="147"/>
      <c r="F113" s="72"/>
      <c r="I113" s="107"/>
    </row>
    <row r="114" spans="1:9">
      <c r="A114" s="108"/>
      <c r="C114" s="141" t="s">
        <v>12</v>
      </c>
      <c r="D114" s="141"/>
      <c r="E114" s="141"/>
      <c r="F114" s="28"/>
      <c r="I114" s="105" t="s">
        <v>13</v>
      </c>
    </row>
    <row r="115" spans="1:9" ht="15.75">
      <c r="A115" s="29"/>
      <c r="C115" s="14"/>
      <c r="D115" s="14"/>
      <c r="G115" s="14"/>
      <c r="H115" s="14"/>
    </row>
    <row r="116" spans="1:9" ht="15.75" customHeight="1">
      <c r="A116" s="142" t="s">
        <v>14</v>
      </c>
      <c r="B116" s="142"/>
      <c r="C116" s="143"/>
      <c r="D116" s="143"/>
      <c r="E116" s="143"/>
      <c r="F116" s="73"/>
      <c r="I116" s="107"/>
    </row>
    <row r="117" spans="1:9">
      <c r="A117" s="108"/>
      <c r="C117" s="144" t="s">
        <v>12</v>
      </c>
      <c r="D117" s="144"/>
      <c r="E117" s="144"/>
      <c r="F117" s="108"/>
      <c r="I117" s="105" t="s">
        <v>13</v>
      </c>
    </row>
    <row r="118" spans="1:9" ht="15.75">
      <c r="A118" s="5" t="s">
        <v>15</v>
      </c>
    </row>
    <row r="119" spans="1:9">
      <c r="A119" s="139" t="s">
        <v>16</v>
      </c>
      <c r="B119" s="139"/>
      <c r="C119" s="139"/>
      <c r="D119" s="139"/>
      <c r="E119" s="139"/>
      <c r="F119" s="139"/>
      <c r="G119" s="139"/>
      <c r="H119" s="139"/>
      <c r="I119" s="139"/>
    </row>
    <row r="120" spans="1:9" ht="45" customHeight="1">
      <c r="A120" s="140" t="s">
        <v>17</v>
      </c>
      <c r="B120" s="140"/>
      <c r="C120" s="140"/>
      <c r="D120" s="140"/>
      <c r="E120" s="140"/>
      <c r="F120" s="140"/>
      <c r="G120" s="140"/>
      <c r="H120" s="140"/>
      <c r="I120" s="140"/>
    </row>
    <row r="121" spans="1:9" ht="30" customHeight="1">
      <c r="A121" s="140" t="s">
        <v>18</v>
      </c>
      <c r="B121" s="140"/>
      <c r="C121" s="140"/>
      <c r="D121" s="140"/>
      <c r="E121" s="140"/>
      <c r="F121" s="140"/>
      <c r="G121" s="140"/>
      <c r="H121" s="140"/>
      <c r="I121" s="140"/>
    </row>
    <row r="122" spans="1:9" ht="30" customHeight="1">
      <c r="A122" s="140" t="s">
        <v>22</v>
      </c>
      <c r="B122" s="140"/>
      <c r="C122" s="140"/>
      <c r="D122" s="140"/>
      <c r="E122" s="140"/>
      <c r="F122" s="140"/>
      <c r="G122" s="140"/>
      <c r="H122" s="140"/>
      <c r="I122" s="140"/>
    </row>
    <row r="123" spans="1:9" ht="15" customHeight="1">
      <c r="A123" s="140" t="s">
        <v>21</v>
      </c>
      <c r="B123" s="140"/>
      <c r="C123" s="140"/>
      <c r="D123" s="140"/>
      <c r="E123" s="140"/>
      <c r="F123" s="140"/>
      <c r="G123" s="140"/>
      <c r="H123" s="140"/>
      <c r="I123" s="140"/>
    </row>
    <row r="125" spans="1:9">
      <c r="A125" s="15"/>
      <c r="B125" s="15"/>
      <c r="C125" s="15"/>
      <c r="D125" s="15"/>
      <c r="E125" s="15"/>
      <c r="F125" s="15"/>
      <c r="G125" s="15"/>
      <c r="H125" s="15"/>
    </row>
  </sheetData>
  <autoFilter ref="I15:I104"/>
  <mergeCells count="31">
    <mergeCell ref="A123:I123"/>
    <mergeCell ref="R109:U109"/>
    <mergeCell ref="A111:I111"/>
    <mergeCell ref="A113:B113"/>
    <mergeCell ref="C113:E113"/>
    <mergeCell ref="C114:E114"/>
    <mergeCell ref="A116:B116"/>
    <mergeCell ref="C116:E116"/>
    <mergeCell ref="A109:I109"/>
    <mergeCell ref="C117:E117"/>
    <mergeCell ref="A119:I119"/>
    <mergeCell ref="A120:I120"/>
    <mergeCell ref="A121:I121"/>
    <mergeCell ref="A122:I122"/>
    <mergeCell ref="A103:I103"/>
    <mergeCell ref="B104:G104"/>
    <mergeCell ref="B105:G105"/>
    <mergeCell ref="A107:I107"/>
    <mergeCell ref="A108:I108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6" zoomScale="60" workbookViewId="0">
      <selection activeCell="G87" sqref="G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128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198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43890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hidden="1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142</v>
      </c>
      <c r="C29" s="46" t="s">
        <v>111</v>
      </c>
      <c r="D29" s="37" t="s">
        <v>139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143</v>
      </c>
      <c r="C30" s="46" t="s">
        <v>111</v>
      </c>
      <c r="D30" s="37" t="s">
        <v>140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144</v>
      </c>
      <c r="C32" s="46" t="s">
        <v>29</v>
      </c>
      <c r="D32" s="37" t="s">
        <v>60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61</v>
      </c>
      <c r="C33" s="76" t="s">
        <v>31</v>
      </c>
      <c r="D33" s="69" t="s">
        <v>62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112</v>
      </c>
      <c r="C34" s="76" t="s">
        <v>30</v>
      </c>
      <c r="D34" s="69" t="s">
        <v>62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7.25" customHeight="1">
      <c r="A36" s="38">
        <v>5</v>
      </c>
      <c r="B36" s="69" t="s">
        <v>26</v>
      </c>
      <c r="C36" s="76" t="s">
        <v>30</v>
      </c>
      <c r="D36" s="69" t="s">
        <v>199</v>
      </c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G36*0.5</f>
        <v>950.18499999999995</v>
      </c>
      <c r="J36" s="27"/>
      <c r="K36" s="10"/>
      <c r="L36" s="10"/>
      <c r="M36" s="10"/>
    </row>
    <row r="37" spans="1:13" ht="15.75" customHeight="1">
      <c r="A37" s="38">
        <v>6</v>
      </c>
      <c r="B37" s="69" t="s">
        <v>113</v>
      </c>
      <c r="C37" s="76" t="s">
        <v>28</v>
      </c>
      <c r="D37" s="69" t="s">
        <v>179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114</v>
      </c>
      <c r="C38" s="76" t="s">
        <v>115</v>
      </c>
      <c r="D38" s="69" t="s">
        <v>62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7</v>
      </c>
      <c r="B39" s="69" t="s">
        <v>146</v>
      </c>
      <c r="C39" s="76" t="s">
        <v>28</v>
      </c>
      <c r="D39" s="69" t="s">
        <v>180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8</v>
      </c>
      <c r="B40" s="69" t="s">
        <v>75</v>
      </c>
      <c r="C40" s="76" t="s">
        <v>111</v>
      </c>
      <c r="D40" s="69" t="s">
        <v>179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118</v>
      </c>
      <c r="C41" s="76" t="s">
        <v>111</v>
      </c>
      <c r="D41" s="69" t="s">
        <v>181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F41/7.5*G41</f>
        <v>83.346227999999996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63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F42/7.5*G42</f>
        <v>52.958400000000005</v>
      </c>
      <c r="J42" s="27"/>
      <c r="K42" s="10"/>
      <c r="L42" s="10"/>
      <c r="M42" s="10"/>
    </row>
    <row r="43" spans="1:13" ht="15.75" customHeight="1">
      <c r="A43" s="162" t="s">
        <v>148</v>
      </c>
      <c r="B43" s="163"/>
      <c r="C43" s="163"/>
      <c r="D43" s="163"/>
      <c r="E43" s="163"/>
      <c r="F43" s="163"/>
      <c r="G43" s="163"/>
      <c r="H43" s="163"/>
      <c r="I43" s="164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119</v>
      </c>
      <c r="C44" s="76" t="s">
        <v>111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111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111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customHeight="1">
      <c r="A48" s="47">
        <v>9</v>
      </c>
      <c r="B48" s="69" t="s">
        <v>55</v>
      </c>
      <c r="C48" s="76" t="s">
        <v>111</v>
      </c>
      <c r="D48" s="69" t="s">
        <v>182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22</v>
      </c>
      <c r="B49" s="69" t="s">
        <v>120</v>
      </c>
      <c r="C49" s="76" t="s">
        <v>111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v>0</v>
      </c>
      <c r="J49" s="27"/>
      <c r="K49" s="10"/>
      <c r="L49" s="10"/>
      <c r="M49" s="10"/>
    </row>
    <row r="50" spans="1:14" ht="31.5" hidden="1" customHeight="1">
      <c r="A50" s="47">
        <v>23</v>
      </c>
      <c r="B50" s="69" t="s">
        <v>121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v>0</v>
      </c>
      <c r="J50" s="27"/>
      <c r="K50" s="10"/>
    </row>
    <row r="51" spans="1:14" ht="15.75" hidden="1" customHeight="1">
      <c r="A51" s="47">
        <v>24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v>0</v>
      </c>
      <c r="J51" s="75"/>
    </row>
    <row r="52" spans="1:14" ht="20.25" hidden="1" customHeight="1">
      <c r="A52" s="47">
        <v>11</v>
      </c>
      <c r="B52" s="69" t="s">
        <v>122</v>
      </c>
      <c r="C52" s="76" t="s">
        <v>98</v>
      </c>
      <c r="D52" s="123">
        <v>43501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18" hidden="1" customHeight="1">
      <c r="A53" s="47">
        <v>12</v>
      </c>
      <c r="B53" s="69" t="s">
        <v>39</v>
      </c>
      <c r="C53" s="76" t="s">
        <v>98</v>
      </c>
      <c r="D53" s="123">
        <v>43501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3" t="s">
        <v>126</v>
      </c>
      <c r="B54" s="154"/>
      <c r="C54" s="154"/>
      <c r="D54" s="154"/>
      <c r="E54" s="154"/>
      <c r="F54" s="154"/>
      <c r="G54" s="154"/>
      <c r="H54" s="154"/>
      <c r="I54" s="155"/>
      <c r="J54" s="75"/>
    </row>
    <row r="55" spans="1:14" ht="15.75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4.5" customHeight="1">
      <c r="A56" s="47">
        <v>10</v>
      </c>
      <c r="B56" s="69" t="s">
        <v>123</v>
      </c>
      <c r="C56" s="76" t="s">
        <v>88</v>
      </c>
      <c r="D56" s="69"/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G56*0.22</f>
        <v>507.45639999999997</v>
      </c>
      <c r="J56" s="75"/>
    </row>
    <row r="57" spans="1:14" ht="15.75" hidden="1" customHeight="1">
      <c r="A57" s="47">
        <v>13</v>
      </c>
      <c r="B57" s="88" t="s">
        <v>81</v>
      </c>
      <c r="C57" s="87" t="s">
        <v>30</v>
      </c>
      <c r="D57" s="88" t="s">
        <v>183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G57*1</f>
        <v>1501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hidden="1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15</v>
      </c>
      <c r="B61" s="19" t="s">
        <v>45</v>
      </c>
      <c r="C61" s="21" t="s">
        <v>98</v>
      </c>
      <c r="D61" s="19" t="s">
        <v>62</v>
      </c>
      <c r="E61" s="23">
        <v>1</v>
      </c>
      <c r="F61" s="17">
        <f>SUM(E61)</f>
        <v>1</v>
      </c>
      <c r="G61" s="17">
        <v>276.74</v>
      </c>
      <c r="H61" s="80">
        <f t="shared" ref="H61:H70" si="6">SUM(F61*G61/1000)</f>
        <v>0.27673999999999999</v>
      </c>
      <c r="I61" s="17">
        <f>G61</f>
        <v>276.74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98</v>
      </c>
      <c r="D62" s="19" t="s">
        <v>62</v>
      </c>
      <c r="E62" s="23">
        <v>2</v>
      </c>
      <c r="F62" s="17">
        <f>SUM(E62)</f>
        <v>2</v>
      </c>
      <c r="G62" s="17">
        <v>94.89</v>
      </c>
      <c r="H62" s="80">
        <f t="shared" si="6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99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6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100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6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70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6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101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6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102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6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56</v>
      </c>
      <c r="C68" s="21" t="s">
        <v>57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6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7"/>
      <c r="B69" s="61" t="s">
        <v>200</v>
      </c>
      <c r="C69" s="21"/>
      <c r="D69" s="19"/>
      <c r="E69" s="23"/>
      <c r="F69" s="17"/>
      <c r="G69" s="17"/>
      <c r="H69" s="80"/>
      <c r="I69" s="17"/>
      <c r="J69" s="75"/>
      <c r="L69" s="24"/>
      <c r="M69" s="25"/>
      <c r="N69" s="26"/>
    </row>
    <row r="70" spans="1:14" ht="18.75" customHeight="1">
      <c r="A70" s="68">
        <v>11</v>
      </c>
      <c r="B70" s="19" t="s">
        <v>82</v>
      </c>
      <c r="C70" s="31" t="s">
        <v>103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6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hidden="1" customHeight="1">
      <c r="A71" s="61"/>
      <c r="B71" s="71" t="s">
        <v>104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hidden="1" customHeight="1">
      <c r="A72" s="31">
        <v>36</v>
      </c>
      <c r="B72" s="69" t="s">
        <v>105</v>
      </c>
      <c r="C72" s="21"/>
      <c r="D72" s="19"/>
      <c r="E72" s="94"/>
      <c r="F72" s="17">
        <v>1</v>
      </c>
      <c r="G72" s="17">
        <v>22720</v>
      </c>
      <c r="H72" s="80">
        <f>G72*F72/1000</f>
        <v>22.72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71" t="s">
        <v>65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106</v>
      </c>
      <c r="C74" s="21" t="s">
        <v>107</v>
      </c>
      <c r="D74" s="19" t="s">
        <v>62</v>
      </c>
      <c r="E74" s="23">
        <v>1</v>
      </c>
      <c r="F74" s="17">
        <f>E74</f>
        <v>1</v>
      </c>
      <c r="G74" s="17">
        <v>976.4</v>
      </c>
      <c r="H74" s="80">
        <f t="shared" ref="H74:H76" si="7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108</v>
      </c>
      <c r="C75" s="21" t="s">
        <v>109</v>
      </c>
      <c r="D75" s="19" t="s">
        <v>62</v>
      </c>
      <c r="E75" s="23">
        <v>1</v>
      </c>
      <c r="F75" s="17">
        <v>1</v>
      </c>
      <c r="G75" s="17">
        <v>735</v>
      </c>
      <c r="H75" s="80">
        <f t="shared" si="7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66</v>
      </c>
      <c r="C76" s="21" t="s">
        <v>68</v>
      </c>
      <c r="D76" s="19" t="s">
        <v>62</v>
      </c>
      <c r="E76" s="23">
        <v>3</v>
      </c>
      <c r="F76" s="17">
        <v>0.3</v>
      </c>
      <c r="G76" s="17">
        <v>624.16999999999996</v>
      </c>
      <c r="H76" s="80">
        <f t="shared" si="7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67</v>
      </c>
      <c r="C77" s="21" t="s">
        <v>29</v>
      </c>
      <c r="D77" s="19" t="s">
        <v>62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83</v>
      </c>
      <c r="C78" s="21" t="s">
        <v>29</v>
      </c>
      <c r="D78" s="19" t="s">
        <v>62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6.5" hidden="1" customHeight="1">
      <c r="A79" s="68"/>
      <c r="B79" s="56" t="s">
        <v>69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7.25" hidden="1" customHeight="1">
      <c r="A80" s="68">
        <v>15</v>
      </c>
      <c r="B80" s="57" t="s">
        <v>110</v>
      </c>
      <c r="C80" s="21" t="s">
        <v>70</v>
      </c>
      <c r="D80" s="19"/>
      <c r="E80" s="23"/>
      <c r="F80" s="17">
        <v>1</v>
      </c>
      <c r="G80" s="17">
        <v>3433.68</v>
      </c>
      <c r="H80" s="80">
        <f t="shared" ref="H80" si="8">SUM(F80*G80/1000)</f>
        <v>3.4336799999999998</v>
      </c>
      <c r="I80" s="17">
        <f>G80*0.06</f>
        <v>206.02079999999998</v>
      </c>
      <c r="J80" s="75"/>
      <c r="L80" s="24"/>
      <c r="M80" s="25"/>
      <c r="N80" s="26"/>
    </row>
    <row r="81" spans="1:14" ht="15.75" customHeight="1">
      <c r="A81" s="159" t="s">
        <v>150</v>
      </c>
      <c r="B81" s="160"/>
      <c r="C81" s="160"/>
      <c r="D81" s="160"/>
      <c r="E81" s="160"/>
      <c r="F81" s="160"/>
      <c r="G81" s="160"/>
      <c r="H81" s="160"/>
      <c r="I81" s="161"/>
      <c r="J81" s="75"/>
      <c r="L81" s="24"/>
      <c r="M81" s="25"/>
      <c r="N81" s="26"/>
    </row>
    <row r="82" spans="1:14" ht="15.75" customHeight="1">
      <c r="A82" s="68">
        <v>12</v>
      </c>
      <c r="B82" s="69" t="s">
        <v>125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13</v>
      </c>
      <c r="B83" s="19" t="s">
        <v>71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73</v>
      </c>
      <c r="C84" s="47"/>
      <c r="D84" s="20"/>
      <c r="E84" s="20"/>
      <c r="F84" s="20"/>
      <c r="G84" s="23"/>
      <c r="H84" s="23"/>
      <c r="I84" s="35">
        <f>I83+I82+I70+I56+I48+I40+I39+I37+I36+I26+I18+I17+I16</f>
        <v>40470.730577499999</v>
      </c>
      <c r="J84" s="75"/>
      <c r="L84" s="24"/>
      <c r="M84" s="25"/>
      <c r="N84" s="26"/>
    </row>
    <row r="85" spans="1:14" ht="15.75" customHeight="1">
      <c r="A85" s="156" t="s">
        <v>58</v>
      </c>
      <c r="B85" s="157"/>
      <c r="C85" s="157"/>
      <c r="D85" s="157"/>
      <c r="E85" s="157"/>
      <c r="F85" s="157"/>
      <c r="G85" s="157"/>
      <c r="H85" s="157"/>
      <c r="I85" s="158"/>
      <c r="J85" s="75"/>
      <c r="L85" s="24"/>
      <c r="M85" s="25"/>
      <c r="N85" s="26"/>
    </row>
    <row r="86" spans="1:14" ht="15.75" customHeight="1">
      <c r="A86" s="68">
        <v>14</v>
      </c>
      <c r="B86" s="19" t="s">
        <v>156</v>
      </c>
      <c r="C86" s="21" t="s">
        <v>157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30" customHeight="1">
      <c r="A87" s="68">
        <v>15</v>
      </c>
      <c r="B87" s="117" t="s">
        <v>164</v>
      </c>
      <c r="C87" s="118" t="s">
        <v>28</v>
      </c>
      <c r="D87" s="43"/>
      <c r="E87" s="22"/>
      <c r="F87" s="41">
        <v>20</v>
      </c>
      <c r="G87" s="41">
        <v>20547.34</v>
      </c>
      <c r="H87" s="115">
        <f>G87*F87/1000</f>
        <v>410.9468</v>
      </c>
      <c r="I87" s="17">
        <f>G87*0.599*8/1000</f>
        <v>98.46285327999999</v>
      </c>
      <c r="J87" s="75"/>
      <c r="L87" s="24"/>
      <c r="M87" s="25"/>
      <c r="N87" s="26"/>
    </row>
    <row r="88" spans="1:14" ht="17.25" customHeight="1">
      <c r="A88" s="68">
        <v>16</v>
      </c>
      <c r="B88" s="117" t="s">
        <v>158</v>
      </c>
      <c r="C88" s="118" t="s">
        <v>169</v>
      </c>
      <c r="D88" s="43"/>
      <c r="E88" s="22"/>
      <c r="F88" s="41"/>
      <c r="G88" s="41">
        <v>284</v>
      </c>
      <c r="H88" s="115"/>
      <c r="I88" s="17">
        <f>G88*6</f>
        <v>1704</v>
      </c>
      <c r="J88" s="75"/>
      <c r="L88" s="24"/>
      <c r="M88" s="25"/>
      <c r="N88" s="26"/>
    </row>
    <row r="89" spans="1:14" ht="17.25" customHeight="1">
      <c r="A89" s="68">
        <v>17</v>
      </c>
      <c r="B89" s="117" t="s">
        <v>166</v>
      </c>
      <c r="C89" s="118" t="s">
        <v>159</v>
      </c>
      <c r="D89" s="43"/>
      <c r="E89" s="22"/>
      <c r="F89" s="41"/>
      <c r="G89" s="41">
        <v>227</v>
      </c>
      <c r="H89" s="115"/>
      <c r="I89" s="17">
        <f t="shared" ref="I89:I94" si="9">G89*1</f>
        <v>227</v>
      </c>
      <c r="J89" s="75"/>
      <c r="L89" s="24"/>
      <c r="M89" s="25"/>
      <c r="N89" s="26"/>
    </row>
    <row r="90" spans="1:14" ht="17.25" customHeight="1">
      <c r="A90" s="68">
        <v>18</v>
      </c>
      <c r="B90" s="117" t="s">
        <v>171</v>
      </c>
      <c r="C90" s="118" t="s">
        <v>98</v>
      </c>
      <c r="D90" s="43"/>
      <c r="E90" s="22"/>
      <c r="F90" s="41"/>
      <c r="G90" s="41">
        <v>98.42</v>
      </c>
      <c r="H90" s="115"/>
      <c r="I90" s="17">
        <f t="shared" si="9"/>
        <v>98.42</v>
      </c>
      <c r="J90" s="75"/>
      <c r="L90" s="24"/>
      <c r="M90" s="25"/>
      <c r="N90" s="26"/>
    </row>
    <row r="91" spans="1:14" ht="17.25" customHeight="1">
      <c r="A91" s="68">
        <v>19</v>
      </c>
      <c r="B91" s="117" t="s">
        <v>172</v>
      </c>
      <c r="C91" s="118" t="s">
        <v>173</v>
      </c>
      <c r="D91" s="43"/>
      <c r="E91" s="22"/>
      <c r="F91" s="41"/>
      <c r="G91" s="41">
        <v>43.17</v>
      </c>
      <c r="H91" s="115"/>
      <c r="I91" s="17">
        <f t="shared" si="9"/>
        <v>43.17</v>
      </c>
      <c r="J91" s="75"/>
      <c r="L91" s="24"/>
      <c r="M91" s="25"/>
      <c r="N91" s="26"/>
    </row>
    <row r="92" spans="1:14" ht="30.75" customHeight="1">
      <c r="A92" s="68">
        <v>20</v>
      </c>
      <c r="B92" s="117" t="s">
        <v>193</v>
      </c>
      <c r="C92" s="118" t="s">
        <v>98</v>
      </c>
      <c r="D92" s="43"/>
      <c r="E92" s="22"/>
      <c r="F92" s="41"/>
      <c r="G92" s="41">
        <v>2611.16</v>
      </c>
      <c r="H92" s="115"/>
      <c r="I92" s="17">
        <f t="shared" si="9"/>
        <v>2611.16</v>
      </c>
      <c r="J92" s="75"/>
      <c r="L92" s="24"/>
      <c r="M92" s="25"/>
      <c r="N92" s="26"/>
    </row>
    <row r="93" spans="1:14" ht="17.25" customHeight="1">
      <c r="A93" s="68">
        <v>21</v>
      </c>
      <c r="B93" s="117" t="s">
        <v>201</v>
      </c>
      <c r="C93" s="118" t="s">
        <v>98</v>
      </c>
      <c r="D93" s="43" t="s">
        <v>202</v>
      </c>
      <c r="E93" s="22"/>
      <c r="F93" s="41"/>
      <c r="G93" s="41">
        <v>290.39999999999998</v>
      </c>
      <c r="H93" s="115"/>
      <c r="I93" s="17">
        <f t="shared" si="9"/>
        <v>290.39999999999998</v>
      </c>
      <c r="J93" s="75"/>
      <c r="L93" s="24"/>
      <c r="M93" s="25"/>
      <c r="N93" s="26"/>
    </row>
    <row r="94" spans="1:14" ht="17.25" customHeight="1">
      <c r="A94" s="68">
        <v>22</v>
      </c>
      <c r="B94" s="117" t="s">
        <v>74</v>
      </c>
      <c r="C94" s="118" t="s">
        <v>98</v>
      </c>
      <c r="D94" s="43"/>
      <c r="E94" s="22"/>
      <c r="F94" s="41"/>
      <c r="G94" s="41">
        <v>215.85</v>
      </c>
      <c r="H94" s="115"/>
      <c r="I94" s="17">
        <f t="shared" si="9"/>
        <v>215.85</v>
      </c>
      <c r="J94" s="75"/>
      <c r="L94" s="24"/>
      <c r="M94" s="25"/>
      <c r="N94" s="26"/>
    </row>
    <row r="95" spans="1:14" ht="15.75" customHeight="1">
      <c r="A95" s="31"/>
      <c r="B95" s="52" t="s">
        <v>50</v>
      </c>
      <c r="C95" s="48"/>
      <c r="D95" s="62"/>
      <c r="E95" s="48">
        <v>1</v>
      </c>
      <c r="F95" s="48"/>
      <c r="G95" s="48"/>
      <c r="H95" s="48"/>
      <c r="I95" s="35">
        <f>SUM(I86:I94)</f>
        <v>5355.6628532800005</v>
      </c>
      <c r="J95" s="75"/>
      <c r="L95" s="24"/>
      <c r="M95" s="25"/>
      <c r="N95" s="26"/>
    </row>
    <row r="96" spans="1:14" ht="15.75" customHeight="1">
      <c r="A96" s="31"/>
      <c r="B96" s="57" t="s">
        <v>72</v>
      </c>
      <c r="C96" s="20"/>
      <c r="D96" s="20"/>
      <c r="E96" s="49"/>
      <c r="F96" s="49"/>
      <c r="G96" s="50"/>
      <c r="H96" s="50"/>
      <c r="I96" s="22">
        <v>0</v>
      </c>
      <c r="J96" s="75"/>
      <c r="L96" s="24"/>
      <c r="M96" s="25"/>
      <c r="N96" s="26"/>
    </row>
    <row r="97" spans="1:22" ht="15.75" customHeight="1">
      <c r="A97" s="63"/>
      <c r="B97" s="53" t="s">
        <v>151</v>
      </c>
      <c r="C97" s="39"/>
      <c r="D97" s="39"/>
      <c r="E97" s="39"/>
      <c r="F97" s="39"/>
      <c r="G97" s="39"/>
      <c r="H97" s="39"/>
      <c r="I97" s="51">
        <f>I84+I95</f>
        <v>45826.393430780001</v>
      </c>
      <c r="J97" s="75"/>
      <c r="L97" s="24"/>
    </row>
    <row r="98" spans="1:22" ht="15.75">
      <c r="A98" s="142" t="s">
        <v>203</v>
      </c>
      <c r="B98" s="142"/>
      <c r="C98" s="142"/>
      <c r="D98" s="142"/>
      <c r="E98" s="142"/>
      <c r="F98" s="142"/>
      <c r="G98" s="142"/>
      <c r="H98" s="142"/>
      <c r="I98" s="142"/>
    </row>
    <row r="99" spans="1:22" ht="15.75">
      <c r="A99" s="12"/>
      <c r="B99" s="152" t="s">
        <v>204</v>
      </c>
      <c r="C99" s="152"/>
      <c r="D99" s="152"/>
      <c r="E99" s="152"/>
      <c r="F99" s="152"/>
      <c r="G99" s="152"/>
      <c r="H99" s="98"/>
      <c r="I99" s="4"/>
    </row>
    <row r="100" spans="1:22" ht="15.75">
      <c r="A100" s="70"/>
      <c r="B100" s="145" t="s">
        <v>6</v>
      </c>
      <c r="C100" s="145"/>
      <c r="D100" s="145"/>
      <c r="E100" s="145"/>
      <c r="F100" s="145"/>
      <c r="G100" s="145"/>
      <c r="H100" s="74"/>
      <c r="I100" s="59"/>
    </row>
    <row r="101" spans="1:22" ht="15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146" t="s">
        <v>7</v>
      </c>
      <c r="B102" s="146"/>
      <c r="C102" s="146"/>
      <c r="D102" s="146"/>
      <c r="E102" s="146"/>
      <c r="F102" s="146"/>
      <c r="G102" s="146"/>
      <c r="H102" s="146"/>
      <c r="I102" s="146"/>
      <c r="J102" s="29"/>
      <c r="K102" s="29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>
      <c r="A103" s="146" t="s">
        <v>8</v>
      </c>
      <c r="B103" s="146"/>
      <c r="C103" s="146"/>
      <c r="D103" s="146"/>
      <c r="E103" s="146"/>
      <c r="F103" s="146"/>
      <c r="G103" s="146"/>
      <c r="H103" s="146"/>
      <c r="I103" s="146"/>
      <c r="J103" s="4"/>
      <c r="K103" s="4"/>
      <c r="L103" s="4"/>
      <c r="M103" s="4"/>
      <c r="N103" s="4"/>
      <c r="O103" s="4"/>
      <c r="P103" s="4"/>
      <c r="Q103" s="4"/>
      <c r="S103" s="4"/>
      <c r="T103" s="4"/>
      <c r="U103" s="4"/>
    </row>
    <row r="104" spans="1:22" ht="15.75">
      <c r="A104" s="142" t="s">
        <v>9</v>
      </c>
      <c r="B104" s="142"/>
      <c r="C104" s="142"/>
      <c r="D104" s="142"/>
      <c r="E104" s="142"/>
      <c r="F104" s="142"/>
      <c r="G104" s="142"/>
      <c r="H104" s="142"/>
      <c r="I104" s="142"/>
      <c r="J104" s="6"/>
      <c r="K104" s="6"/>
      <c r="L104" s="6"/>
      <c r="M104" s="6"/>
      <c r="N104" s="6"/>
      <c r="O104" s="6"/>
      <c r="P104" s="6"/>
      <c r="Q104" s="6"/>
      <c r="R104" s="144"/>
      <c r="S104" s="144"/>
      <c r="T104" s="144"/>
      <c r="U104" s="144"/>
    </row>
    <row r="105" spans="1:22" ht="15.75">
      <c r="A105" s="13"/>
      <c r="B105" s="58"/>
      <c r="C105" s="58"/>
      <c r="D105" s="58"/>
      <c r="E105" s="58"/>
      <c r="F105" s="58"/>
      <c r="G105" s="58"/>
      <c r="H105" s="58"/>
      <c r="I105" s="58"/>
    </row>
    <row r="106" spans="1:22" ht="15.75">
      <c r="A106" s="148" t="s">
        <v>10</v>
      </c>
      <c r="B106" s="148"/>
      <c r="C106" s="148"/>
      <c r="D106" s="148"/>
      <c r="E106" s="148"/>
      <c r="F106" s="148"/>
      <c r="G106" s="148"/>
      <c r="H106" s="148"/>
      <c r="I106" s="148"/>
    </row>
    <row r="107" spans="1:22" ht="15.75" customHeight="1">
      <c r="A107" s="5"/>
    </row>
    <row r="108" spans="1:22" ht="15.75">
      <c r="A108" s="142" t="s">
        <v>11</v>
      </c>
      <c r="B108" s="142"/>
      <c r="C108" s="147" t="s">
        <v>85</v>
      </c>
      <c r="D108" s="147"/>
      <c r="E108" s="147"/>
      <c r="F108" s="72"/>
      <c r="I108" s="103"/>
    </row>
    <row r="109" spans="1:22">
      <c r="A109" s="104"/>
      <c r="C109" s="141" t="s">
        <v>12</v>
      </c>
      <c r="D109" s="141"/>
      <c r="E109" s="141"/>
      <c r="F109" s="28"/>
      <c r="I109" s="102" t="s">
        <v>13</v>
      </c>
    </row>
    <row r="110" spans="1:22" ht="15.75">
      <c r="A110" s="29"/>
      <c r="C110" s="14"/>
      <c r="D110" s="14"/>
      <c r="G110" s="14"/>
      <c r="H110" s="14"/>
    </row>
    <row r="111" spans="1:22" ht="15.75" customHeight="1">
      <c r="A111" s="142" t="s">
        <v>14</v>
      </c>
      <c r="B111" s="142"/>
      <c r="C111" s="143"/>
      <c r="D111" s="143"/>
      <c r="E111" s="143"/>
      <c r="F111" s="73"/>
      <c r="I111" s="103"/>
    </row>
    <row r="112" spans="1:22">
      <c r="A112" s="104"/>
      <c r="C112" s="144" t="s">
        <v>12</v>
      </c>
      <c r="D112" s="144"/>
      <c r="E112" s="144"/>
      <c r="F112" s="104"/>
      <c r="I112" s="102" t="s">
        <v>13</v>
      </c>
    </row>
    <row r="113" spans="1:9" ht="15.75">
      <c r="A113" s="5" t="s">
        <v>15</v>
      </c>
    </row>
    <row r="114" spans="1:9">
      <c r="A114" s="139" t="s">
        <v>16</v>
      </c>
      <c r="B114" s="139"/>
      <c r="C114" s="139"/>
      <c r="D114" s="139"/>
      <c r="E114" s="139"/>
      <c r="F114" s="139"/>
      <c r="G114" s="139"/>
      <c r="H114" s="139"/>
      <c r="I114" s="139"/>
    </row>
    <row r="115" spans="1:9" ht="45" customHeight="1">
      <c r="A115" s="140" t="s">
        <v>17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30" customHeight="1">
      <c r="A116" s="140" t="s">
        <v>18</v>
      </c>
      <c r="B116" s="140"/>
      <c r="C116" s="140"/>
      <c r="D116" s="140"/>
      <c r="E116" s="140"/>
      <c r="F116" s="140"/>
      <c r="G116" s="140"/>
      <c r="H116" s="140"/>
      <c r="I116" s="140"/>
    </row>
    <row r="117" spans="1:9" ht="30" customHeight="1">
      <c r="A117" s="140" t="s">
        <v>22</v>
      </c>
      <c r="B117" s="140"/>
      <c r="C117" s="140"/>
      <c r="D117" s="140"/>
      <c r="E117" s="140"/>
      <c r="F117" s="140"/>
      <c r="G117" s="140"/>
      <c r="H117" s="140"/>
      <c r="I117" s="140"/>
    </row>
    <row r="118" spans="1:9" ht="15" customHeight="1">
      <c r="A118" s="140" t="s">
        <v>21</v>
      </c>
      <c r="B118" s="140"/>
      <c r="C118" s="140"/>
      <c r="D118" s="140"/>
      <c r="E118" s="140"/>
      <c r="F118" s="140"/>
      <c r="G118" s="140"/>
      <c r="H118" s="140"/>
      <c r="I118" s="140"/>
    </row>
    <row r="120" spans="1:9">
      <c r="A120" s="15"/>
      <c r="B120" s="15"/>
      <c r="C120" s="15"/>
      <c r="D120" s="15"/>
      <c r="E120" s="15"/>
      <c r="F120" s="15"/>
      <c r="G120" s="15"/>
      <c r="H120" s="15"/>
    </row>
  </sheetData>
  <autoFilter ref="I15:I99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1:I81"/>
    <mergeCell ref="A98:I98"/>
    <mergeCell ref="B99:G99"/>
    <mergeCell ref="B100:G100"/>
    <mergeCell ref="A102:I102"/>
    <mergeCell ref="A103:I103"/>
    <mergeCell ref="A118:I118"/>
    <mergeCell ref="R104:U104"/>
    <mergeCell ref="A106:I106"/>
    <mergeCell ref="A108:B108"/>
    <mergeCell ref="C108:E108"/>
    <mergeCell ref="C109:E109"/>
    <mergeCell ref="A111:B111"/>
    <mergeCell ref="C111:E111"/>
    <mergeCell ref="A104:I104"/>
    <mergeCell ref="C112:E112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58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42" workbookViewId="0">
      <selection activeCell="I93" sqref="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129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205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43921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hidden="1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142</v>
      </c>
      <c r="C29" s="46" t="s">
        <v>111</v>
      </c>
      <c r="D29" s="37" t="s">
        <v>139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143</v>
      </c>
      <c r="C30" s="46" t="s">
        <v>111</v>
      </c>
      <c r="D30" s="37" t="s">
        <v>140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144</v>
      </c>
      <c r="C32" s="46" t="s">
        <v>29</v>
      </c>
      <c r="D32" s="37" t="s">
        <v>60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61</v>
      </c>
      <c r="C33" s="76" t="s">
        <v>31</v>
      </c>
      <c r="D33" s="69" t="s">
        <v>62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112</v>
      </c>
      <c r="C34" s="76" t="s">
        <v>30</v>
      </c>
      <c r="D34" s="69" t="s">
        <v>62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customHeight="1">
      <c r="A36" s="38">
        <v>5</v>
      </c>
      <c r="B36" s="69" t="s">
        <v>26</v>
      </c>
      <c r="C36" s="76" t="s">
        <v>30</v>
      </c>
      <c r="D36" s="69" t="s">
        <v>207</v>
      </c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G36*0.4</f>
        <v>760.14800000000002</v>
      </c>
      <c r="J36" s="27"/>
      <c r="K36" s="10"/>
      <c r="L36" s="10"/>
      <c r="M36" s="10"/>
    </row>
    <row r="37" spans="1:13" ht="15.75" customHeight="1">
      <c r="A37" s="38">
        <v>6</v>
      </c>
      <c r="B37" s="69" t="s">
        <v>113</v>
      </c>
      <c r="C37" s="76" t="s">
        <v>28</v>
      </c>
      <c r="D37" s="69" t="s">
        <v>179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114</v>
      </c>
      <c r="C38" s="76" t="s">
        <v>115</v>
      </c>
      <c r="D38" s="69" t="s">
        <v>62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7</v>
      </c>
      <c r="B39" s="69" t="s">
        <v>146</v>
      </c>
      <c r="C39" s="76" t="s">
        <v>28</v>
      </c>
      <c r="D39" s="69" t="s">
        <v>180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8</v>
      </c>
      <c r="B40" s="69" t="s">
        <v>75</v>
      </c>
      <c r="C40" s="76" t="s">
        <v>111</v>
      </c>
      <c r="D40" s="69" t="s">
        <v>179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customHeight="1">
      <c r="A41" s="38">
        <v>9</v>
      </c>
      <c r="B41" s="69" t="s">
        <v>118</v>
      </c>
      <c r="C41" s="76" t="s">
        <v>111</v>
      </c>
      <c r="D41" s="69" t="s">
        <v>206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G41*F41/18</f>
        <v>34.727595000000001</v>
      </c>
      <c r="J41" s="27"/>
      <c r="K41" s="10"/>
      <c r="L41" s="10"/>
      <c r="M41" s="10"/>
    </row>
    <row r="42" spans="1:13" ht="15.75" customHeight="1">
      <c r="A42" s="38">
        <v>10</v>
      </c>
      <c r="B42" s="69" t="s">
        <v>63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G42*F42/18</f>
        <v>22.066000000000003</v>
      </c>
      <c r="J42" s="27"/>
      <c r="K42" s="10"/>
      <c r="L42" s="10"/>
      <c r="M42" s="10"/>
    </row>
    <row r="43" spans="1:13" ht="15.75" hidden="1" customHeight="1">
      <c r="A43" s="162" t="s">
        <v>148</v>
      </c>
      <c r="B43" s="163"/>
      <c r="C43" s="163"/>
      <c r="D43" s="163"/>
      <c r="E43" s="163"/>
      <c r="F43" s="163"/>
      <c r="G43" s="163"/>
      <c r="H43" s="163"/>
      <c r="I43" s="164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119</v>
      </c>
      <c r="C44" s="76" t="s">
        <v>111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111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111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55</v>
      </c>
      <c r="C48" s="76" t="s">
        <v>111</v>
      </c>
      <c r="D48" s="69" t="s">
        <v>149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12</v>
      </c>
      <c r="B49" s="69" t="s">
        <v>120</v>
      </c>
      <c r="C49" s="76" t="s">
        <v>111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13</v>
      </c>
      <c r="B50" s="69" t="s">
        <v>121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f t="shared" ref="I50:I51" si="6">F50/2*G50</f>
        <v>616.06400000000008</v>
      </c>
      <c r="J50" s="27"/>
      <c r="K50" s="10"/>
    </row>
    <row r="51" spans="1:14" ht="15.75" hidden="1" customHeight="1">
      <c r="A51" s="47">
        <v>14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f t="shared" si="6"/>
        <v>70.331299999999999</v>
      </c>
      <c r="J51" s="75"/>
    </row>
    <row r="52" spans="1:14" ht="15.75" hidden="1" customHeight="1">
      <c r="A52" s="47">
        <v>13</v>
      </c>
      <c r="B52" s="69" t="s">
        <v>122</v>
      </c>
      <c r="C52" s="76" t="s">
        <v>98</v>
      </c>
      <c r="D52" s="69" t="s">
        <v>64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15.75" hidden="1" customHeight="1">
      <c r="A53" s="47">
        <v>14</v>
      </c>
      <c r="B53" s="69" t="s">
        <v>39</v>
      </c>
      <c r="C53" s="76" t="s">
        <v>98</v>
      </c>
      <c r="D53" s="69" t="s">
        <v>64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3" t="s">
        <v>80</v>
      </c>
      <c r="B54" s="154"/>
      <c r="C54" s="154"/>
      <c r="D54" s="154"/>
      <c r="E54" s="154"/>
      <c r="F54" s="154"/>
      <c r="G54" s="154"/>
      <c r="H54" s="154"/>
      <c r="I54" s="155"/>
      <c r="J54" s="75"/>
    </row>
    <row r="55" spans="1:14" ht="15.75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12</v>
      </c>
      <c r="B56" s="69" t="s">
        <v>123</v>
      </c>
      <c r="C56" s="76" t="s">
        <v>88</v>
      </c>
      <c r="D56" s="69" t="s">
        <v>124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5.75" hidden="1" customHeight="1">
      <c r="A57" s="47">
        <v>16</v>
      </c>
      <c r="B57" s="88" t="s">
        <v>81</v>
      </c>
      <c r="C57" s="87" t="s">
        <v>30</v>
      </c>
      <c r="D57" s="88" t="s">
        <v>62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</f>
        <v>1501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customHeight="1">
      <c r="A61" s="47">
        <v>11</v>
      </c>
      <c r="B61" s="19" t="s">
        <v>45</v>
      </c>
      <c r="C61" s="21" t="s">
        <v>98</v>
      </c>
      <c r="D61" s="19" t="s">
        <v>179</v>
      </c>
      <c r="E61" s="23">
        <v>1</v>
      </c>
      <c r="F61" s="17">
        <f>SUM(E61)</f>
        <v>1</v>
      </c>
      <c r="G61" s="17">
        <v>276.74</v>
      </c>
      <c r="H61" s="80">
        <f t="shared" ref="H61:H69" si="7">SUM(F61*G61/1000)</f>
        <v>0.27673999999999999</v>
      </c>
      <c r="I61" s="17">
        <f>G61*4</f>
        <v>1106.96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98</v>
      </c>
      <c r="D62" s="19" t="s">
        <v>62</v>
      </c>
      <c r="E62" s="23">
        <v>2</v>
      </c>
      <c r="F62" s="17">
        <f>SUM(E62)</f>
        <v>2</v>
      </c>
      <c r="G62" s="17">
        <v>94.89</v>
      </c>
      <c r="H62" s="80">
        <f t="shared" si="7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99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7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100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7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70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7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101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7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102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7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56</v>
      </c>
      <c r="C68" s="21" t="s">
        <v>57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7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12</v>
      </c>
      <c r="B69" s="19" t="s">
        <v>82</v>
      </c>
      <c r="C69" s="31" t="s">
        <v>103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7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104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105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hidden="1" customHeight="1">
      <c r="A72" s="68"/>
      <c r="B72" s="71" t="s">
        <v>65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106</v>
      </c>
      <c r="C73" s="21" t="s">
        <v>107</v>
      </c>
      <c r="D73" s="19" t="s">
        <v>62</v>
      </c>
      <c r="E73" s="23">
        <v>1</v>
      </c>
      <c r="F73" s="17">
        <f>E73</f>
        <v>1</v>
      </c>
      <c r="G73" s="17">
        <v>976.4</v>
      </c>
      <c r="H73" s="80">
        <f t="shared" ref="H73:H75" si="8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108</v>
      </c>
      <c r="C74" s="21" t="s">
        <v>109</v>
      </c>
      <c r="D74" s="19" t="s">
        <v>62</v>
      </c>
      <c r="E74" s="23">
        <v>1</v>
      </c>
      <c r="F74" s="17">
        <v>1</v>
      </c>
      <c r="G74" s="17">
        <v>735</v>
      </c>
      <c r="H74" s="80">
        <f t="shared" si="8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66</v>
      </c>
      <c r="C75" s="21" t="s">
        <v>68</v>
      </c>
      <c r="D75" s="19" t="s">
        <v>62</v>
      </c>
      <c r="E75" s="23">
        <v>3</v>
      </c>
      <c r="F75" s="17">
        <v>0.3</v>
      </c>
      <c r="G75" s="17">
        <v>624.16999999999996</v>
      </c>
      <c r="H75" s="80">
        <f t="shared" si="8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67</v>
      </c>
      <c r="C76" s="21" t="s">
        <v>29</v>
      </c>
      <c r="D76" s="19" t="s">
        <v>62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83</v>
      </c>
      <c r="C77" s="21" t="s">
        <v>29</v>
      </c>
      <c r="D77" s="19" t="s">
        <v>62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69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110</v>
      </c>
      <c r="C79" s="21" t="s">
        <v>70</v>
      </c>
      <c r="D79" s="19"/>
      <c r="E79" s="23"/>
      <c r="F79" s="17">
        <v>1</v>
      </c>
      <c r="G79" s="17">
        <v>3433.68</v>
      </c>
      <c r="H79" s="80">
        <f t="shared" ref="H79" si="9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  <c r="J80" s="75"/>
      <c r="L80" s="24"/>
      <c r="M80" s="25"/>
      <c r="N80" s="26"/>
    </row>
    <row r="81" spans="1:22" ht="15.75" customHeight="1">
      <c r="A81" s="68">
        <v>13</v>
      </c>
      <c r="B81" s="69" t="s">
        <v>125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22" ht="31.5" customHeight="1">
      <c r="A82" s="31">
        <v>14</v>
      </c>
      <c r="B82" s="19" t="s">
        <v>71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22" ht="15.75" customHeight="1">
      <c r="A83" s="61"/>
      <c r="B83" s="45" t="s">
        <v>73</v>
      </c>
      <c r="C83" s="47"/>
      <c r="D83" s="20"/>
      <c r="E83" s="20"/>
      <c r="F83" s="20"/>
      <c r="G83" s="23"/>
      <c r="H83" s="23"/>
      <c r="I83" s="35">
        <f>I82+I81+I69+I61+I42+I41+I40+I39+I37+I36+I26+I18+I17+I16</f>
        <v>36574.0824125</v>
      </c>
      <c r="J83" s="75"/>
      <c r="L83" s="24"/>
      <c r="M83" s="25"/>
      <c r="N83" s="26"/>
    </row>
    <row r="84" spans="1:22" ht="15.75" customHeight="1">
      <c r="A84" s="156" t="s">
        <v>58</v>
      </c>
      <c r="B84" s="157"/>
      <c r="C84" s="157"/>
      <c r="D84" s="157"/>
      <c r="E84" s="157"/>
      <c r="F84" s="157"/>
      <c r="G84" s="157"/>
      <c r="H84" s="157"/>
      <c r="I84" s="158"/>
      <c r="J84" s="75"/>
      <c r="L84" s="24"/>
      <c r="M84" s="25"/>
      <c r="N84" s="26"/>
    </row>
    <row r="85" spans="1:22" ht="15.75" customHeight="1">
      <c r="A85" s="68">
        <v>15</v>
      </c>
      <c r="B85" s="19" t="s">
        <v>156</v>
      </c>
      <c r="C85" s="21" t="s">
        <v>157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22" ht="30.75" customHeight="1">
      <c r="A86" s="68">
        <v>16</v>
      </c>
      <c r="B86" s="117" t="s">
        <v>164</v>
      </c>
      <c r="C86" s="118" t="s">
        <v>28</v>
      </c>
      <c r="D86" s="43"/>
      <c r="E86" s="22"/>
      <c r="F86" s="41"/>
      <c r="G86" s="41">
        <v>20547.34</v>
      </c>
      <c r="H86" s="115"/>
      <c r="I86" s="96">
        <f>G86*4*0.599/1000</f>
        <v>49.231426639999995</v>
      </c>
      <c r="J86" s="75"/>
      <c r="L86" s="24"/>
      <c r="M86" s="25"/>
      <c r="N86" s="26"/>
    </row>
    <row r="87" spans="1:22" ht="30.75" customHeight="1">
      <c r="A87" s="68">
        <v>17</v>
      </c>
      <c r="B87" s="117" t="s">
        <v>167</v>
      </c>
      <c r="C87" s="118" t="s">
        <v>168</v>
      </c>
      <c r="D87" s="43"/>
      <c r="E87" s="22"/>
      <c r="F87" s="41">
        <v>1</v>
      </c>
      <c r="G87" s="41">
        <v>61.58</v>
      </c>
      <c r="H87" s="115"/>
      <c r="I87" s="96">
        <f>G87*1</f>
        <v>61.58</v>
      </c>
      <c r="J87" s="75"/>
      <c r="L87" s="24"/>
      <c r="M87" s="25"/>
      <c r="N87" s="26"/>
    </row>
    <row r="88" spans="1:22" ht="19.5" customHeight="1">
      <c r="A88" s="68">
        <v>18</v>
      </c>
      <c r="B88" s="117" t="s">
        <v>231</v>
      </c>
      <c r="C88" s="118" t="s">
        <v>232</v>
      </c>
      <c r="D88" s="43"/>
      <c r="E88" s="22"/>
      <c r="F88" s="41"/>
      <c r="G88" s="41">
        <v>19200</v>
      </c>
      <c r="H88" s="115"/>
      <c r="I88" s="96">
        <f>G88*1</f>
        <v>19200</v>
      </c>
      <c r="J88" s="75"/>
      <c r="L88" s="24"/>
      <c r="M88" s="25"/>
      <c r="N88" s="26"/>
    </row>
    <row r="89" spans="1:22" ht="15.75" customHeight="1">
      <c r="A89" s="31"/>
      <c r="B89" s="52" t="s">
        <v>50</v>
      </c>
      <c r="C89" s="48"/>
      <c r="D89" s="62"/>
      <c r="E89" s="48">
        <v>1</v>
      </c>
      <c r="F89" s="48"/>
      <c r="G89" s="48"/>
      <c r="H89" s="48"/>
      <c r="I89" s="35">
        <f>SUM(I85:I88)</f>
        <v>19378.011426640001</v>
      </c>
      <c r="J89" s="75"/>
      <c r="L89" s="24"/>
      <c r="M89" s="25"/>
      <c r="N89" s="26"/>
    </row>
    <row r="90" spans="1:22" ht="15.75" customHeight="1">
      <c r="A90" s="31"/>
      <c r="B90" s="57" t="s">
        <v>72</v>
      </c>
      <c r="C90" s="20"/>
      <c r="D90" s="20"/>
      <c r="E90" s="49"/>
      <c r="F90" s="49"/>
      <c r="G90" s="50"/>
      <c r="H90" s="50"/>
      <c r="I90" s="22">
        <v>0</v>
      </c>
      <c r="J90" s="75"/>
      <c r="L90" s="24"/>
      <c r="M90" s="25"/>
      <c r="N90" s="26"/>
    </row>
    <row r="91" spans="1:22" ht="15.75" customHeight="1">
      <c r="A91" s="63"/>
      <c r="B91" s="53" t="s">
        <v>151</v>
      </c>
      <c r="C91" s="39"/>
      <c r="D91" s="39"/>
      <c r="E91" s="39"/>
      <c r="F91" s="39"/>
      <c r="G91" s="39"/>
      <c r="H91" s="39"/>
      <c r="I91" s="51">
        <f>I83+I89</f>
        <v>55952.093839139998</v>
      </c>
      <c r="J91" s="75"/>
      <c r="L91" s="24"/>
    </row>
    <row r="92" spans="1:22" ht="15.75">
      <c r="A92" s="142" t="s">
        <v>233</v>
      </c>
      <c r="B92" s="142"/>
      <c r="C92" s="142"/>
      <c r="D92" s="142"/>
      <c r="E92" s="142"/>
      <c r="F92" s="142"/>
      <c r="G92" s="142"/>
      <c r="H92" s="142"/>
      <c r="I92" s="142"/>
    </row>
    <row r="93" spans="1:22" ht="15.75">
      <c r="A93" s="12"/>
      <c r="B93" s="152" t="s">
        <v>234</v>
      </c>
      <c r="C93" s="152"/>
      <c r="D93" s="152"/>
      <c r="E93" s="152"/>
      <c r="F93" s="152"/>
      <c r="G93" s="152"/>
      <c r="H93" s="98"/>
      <c r="I93" s="4"/>
    </row>
    <row r="94" spans="1:22" ht="15.75">
      <c r="A94" s="70"/>
      <c r="B94" s="145" t="s">
        <v>6</v>
      </c>
      <c r="C94" s="145"/>
      <c r="D94" s="145"/>
      <c r="E94" s="145"/>
      <c r="F94" s="145"/>
      <c r="G94" s="145"/>
      <c r="H94" s="74"/>
      <c r="I94" s="59"/>
    </row>
    <row r="95" spans="1:22" ht="15.75" customHeight="1">
      <c r="A95" s="60"/>
      <c r="B95" s="60"/>
      <c r="C95" s="60"/>
      <c r="D95" s="60"/>
      <c r="E95" s="60"/>
      <c r="F95" s="60"/>
      <c r="G95" s="60"/>
      <c r="H95" s="60"/>
      <c r="I95" s="6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46" t="s">
        <v>7</v>
      </c>
      <c r="B96" s="146"/>
      <c r="C96" s="146"/>
      <c r="D96" s="146"/>
      <c r="E96" s="146"/>
      <c r="F96" s="146"/>
      <c r="G96" s="146"/>
      <c r="H96" s="146"/>
      <c r="I96" s="146"/>
      <c r="J96" s="29"/>
      <c r="K96" s="29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>
      <c r="A97" s="146" t="s">
        <v>8</v>
      </c>
      <c r="B97" s="146"/>
      <c r="C97" s="146"/>
      <c r="D97" s="146"/>
      <c r="E97" s="146"/>
      <c r="F97" s="146"/>
      <c r="G97" s="146"/>
      <c r="H97" s="146"/>
      <c r="I97" s="146"/>
      <c r="J97" s="4"/>
      <c r="K97" s="4"/>
      <c r="L97" s="4"/>
      <c r="M97" s="4"/>
      <c r="N97" s="4"/>
      <c r="O97" s="4"/>
      <c r="P97" s="4"/>
      <c r="Q97" s="4"/>
      <c r="S97" s="4"/>
      <c r="T97" s="4"/>
      <c r="U97" s="4"/>
    </row>
    <row r="98" spans="1:21" ht="15.75">
      <c r="A98" s="142" t="s">
        <v>9</v>
      </c>
      <c r="B98" s="142"/>
      <c r="C98" s="142"/>
      <c r="D98" s="142"/>
      <c r="E98" s="142"/>
      <c r="F98" s="142"/>
      <c r="G98" s="142"/>
      <c r="H98" s="142"/>
      <c r="I98" s="142"/>
      <c r="J98" s="6"/>
      <c r="K98" s="6"/>
      <c r="L98" s="6"/>
      <c r="M98" s="6"/>
      <c r="N98" s="6"/>
      <c r="O98" s="6"/>
      <c r="P98" s="6"/>
      <c r="Q98" s="6"/>
      <c r="R98" s="144"/>
      <c r="S98" s="144"/>
      <c r="T98" s="144"/>
      <c r="U98" s="144"/>
    </row>
    <row r="99" spans="1:21" ht="15.75">
      <c r="A99" s="13"/>
      <c r="B99" s="58"/>
      <c r="C99" s="58"/>
      <c r="D99" s="58"/>
      <c r="E99" s="58"/>
      <c r="F99" s="58"/>
      <c r="G99" s="58"/>
      <c r="H99" s="58"/>
      <c r="I99" s="58"/>
    </row>
    <row r="100" spans="1:21" ht="15.75">
      <c r="A100" s="148" t="s">
        <v>10</v>
      </c>
      <c r="B100" s="148"/>
      <c r="C100" s="148"/>
      <c r="D100" s="148"/>
      <c r="E100" s="148"/>
      <c r="F100" s="148"/>
      <c r="G100" s="148"/>
      <c r="H100" s="148"/>
      <c r="I100" s="148"/>
    </row>
    <row r="101" spans="1:21" ht="15.75" customHeight="1">
      <c r="A101" s="5"/>
    </row>
    <row r="102" spans="1:21" ht="15.75">
      <c r="A102" s="142" t="s">
        <v>11</v>
      </c>
      <c r="B102" s="142"/>
      <c r="C102" s="147" t="s">
        <v>85</v>
      </c>
      <c r="D102" s="147"/>
      <c r="E102" s="147"/>
      <c r="F102" s="72"/>
      <c r="I102" s="103"/>
    </row>
    <row r="103" spans="1:21">
      <c r="A103" s="104"/>
      <c r="C103" s="141" t="s">
        <v>12</v>
      </c>
      <c r="D103" s="141"/>
      <c r="E103" s="141"/>
      <c r="F103" s="28"/>
      <c r="I103" s="102" t="s">
        <v>13</v>
      </c>
    </row>
    <row r="104" spans="1:21" ht="15.75">
      <c r="A104" s="29"/>
      <c r="C104" s="14"/>
      <c r="D104" s="14"/>
      <c r="G104" s="14"/>
      <c r="H104" s="14"/>
    </row>
    <row r="105" spans="1:21" ht="15.75" customHeight="1">
      <c r="A105" s="142" t="s">
        <v>14</v>
      </c>
      <c r="B105" s="142"/>
      <c r="C105" s="143"/>
      <c r="D105" s="143"/>
      <c r="E105" s="143"/>
      <c r="F105" s="73"/>
      <c r="I105" s="103"/>
    </row>
    <row r="106" spans="1:21">
      <c r="A106" s="104"/>
      <c r="C106" s="144" t="s">
        <v>12</v>
      </c>
      <c r="D106" s="144"/>
      <c r="E106" s="144"/>
      <c r="F106" s="104"/>
      <c r="I106" s="102" t="s">
        <v>13</v>
      </c>
    </row>
    <row r="107" spans="1:21" ht="15.75">
      <c r="A107" s="5" t="s">
        <v>15</v>
      </c>
    </row>
    <row r="108" spans="1:21">
      <c r="A108" s="139" t="s">
        <v>16</v>
      </c>
      <c r="B108" s="139"/>
      <c r="C108" s="139"/>
      <c r="D108" s="139"/>
      <c r="E108" s="139"/>
      <c r="F108" s="139"/>
      <c r="G108" s="139"/>
      <c r="H108" s="139"/>
      <c r="I108" s="139"/>
    </row>
    <row r="109" spans="1:21" ht="45" customHeight="1">
      <c r="A109" s="140" t="s">
        <v>17</v>
      </c>
      <c r="B109" s="140"/>
      <c r="C109" s="140"/>
      <c r="D109" s="140"/>
      <c r="E109" s="140"/>
      <c r="F109" s="140"/>
      <c r="G109" s="140"/>
      <c r="H109" s="140"/>
      <c r="I109" s="140"/>
    </row>
    <row r="110" spans="1:21" ht="30" customHeight="1">
      <c r="A110" s="140" t="s">
        <v>18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30" customHeight="1">
      <c r="A111" s="140" t="s">
        <v>22</v>
      </c>
      <c r="B111" s="140"/>
      <c r="C111" s="140"/>
      <c r="D111" s="140"/>
      <c r="E111" s="140"/>
      <c r="F111" s="140"/>
      <c r="G111" s="140"/>
      <c r="H111" s="140"/>
      <c r="I111" s="140"/>
    </row>
    <row r="112" spans="1:21" ht="15" customHeight="1">
      <c r="A112" s="140" t="s">
        <v>21</v>
      </c>
      <c r="B112" s="140"/>
      <c r="C112" s="140"/>
      <c r="D112" s="140"/>
      <c r="E112" s="140"/>
      <c r="F112" s="140"/>
      <c r="G112" s="140"/>
      <c r="H112" s="140"/>
      <c r="I112" s="140"/>
    </row>
    <row r="114" spans="1:8">
      <c r="A114" s="15"/>
      <c r="B114" s="15"/>
      <c r="C114" s="15"/>
      <c r="D114" s="15"/>
      <c r="E114" s="15"/>
      <c r="F114" s="15"/>
      <c r="G114" s="15"/>
      <c r="H114" s="15"/>
    </row>
  </sheetData>
  <autoFilter ref="I15:I93"/>
  <mergeCells count="31"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0:I80"/>
    <mergeCell ref="A92:I92"/>
    <mergeCell ref="B93:G93"/>
    <mergeCell ref="B94:G94"/>
    <mergeCell ref="A96:I96"/>
    <mergeCell ref="A97:I97"/>
    <mergeCell ref="A112:I112"/>
    <mergeCell ref="R98:U98"/>
    <mergeCell ref="A100:I100"/>
    <mergeCell ref="A102:B102"/>
    <mergeCell ref="C102:E102"/>
    <mergeCell ref="C103:E103"/>
    <mergeCell ref="A105:B105"/>
    <mergeCell ref="C105:E105"/>
    <mergeCell ref="A98:I98"/>
    <mergeCell ref="C106:E106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69" workbookViewId="0">
      <selection activeCell="K90" sqref="K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130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208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43951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hidden="1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142</v>
      </c>
      <c r="C29" s="46" t="s">
        <v>111</v>
      </c>
      <c r="D29" s="37" t="s">
        <v>139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143</v>
      </c>
      <c r="C30" s="46" t="s">
        <v>111</v>
      </c>
      <c r="D30" s="37" t="s">
        <v>140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144</v>
      </c>
      <c r="C32" s="46" t="s">
        <v>29</v>
      </c>
      <c r="D32" s="37" t="s">
        <v>60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61</v>
      </c>
      <c r="C33" s="76" t="s">
        <v>31</v>
      </c>
      <c r="D33" s="69" t="s">
        <v>62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6.5" hidden="1" customHeight="1">
      <c r="A34" s="68"/>
      <c r="B34" s="69" t="s">
        <v>112</v>
      </c>
      <c r="C34" s="76" t="s">
        <v>30</v>
      </c>
      <c r="D34" s="69" t="s">
        <v>62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hidden="1" customHeight="1">
      <c r="A36" s="38">
        <v>6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F36/6*G36</f>
        <v>633.45666666666659</v>
      </c>
      <c r="J36" s="27"/>
      <c r="K36" s="10"/>
      <c r="L36" s="10"/>
      <c r="M36" s="10"/>
    </row>
    <row r="37" spans="1:13" ht="15.75" customHeight="1">
      <c r="A37" s="38">
        <v>5</v>
      </c>
      <c r="B37" s="69" t="s">
        <v>113</v>
      </c>
      <c r="C37" s="76" t="s">
        <v>28</v>
      </c>
      <c r="D37" s="69" t="s">
        <v>179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>
        <v>8</v>
      </c>
      <c r="B38" s="69" t="s">
        <v>114</v>
      </c>
      <c r="C38" s="76" t="s">
        <v>115</v>
      </c>
      <c r="D38" s="69" t="s">
        <v>62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f>G38*26</f>
        <v>5897.84</v>
      </c>
      <c r="J38" s="27"/>
      <c r="K38" s="10"/>
      <c r="L38" s="10"/>
      <c r="M38" s="10"/>
    </row>
    <row r="39" spans="1:13" ht="15.75" customHeight="1">
      <c r="A39" s="38">
        <v>6</v>
      </c>
      <c r="B39" s="69" t="s">
        <v>146</v>
      </c>
      <c r="C39" s="76" t="s">
        <v>28</v>
      </c>
      <c r="D39" s="69" t="s">
        <v>180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7</v>
      </c>
      <c r="B40" s="69" t="s">
        <v>75</v>
      </c>
      <c r="C40" s="76" t="s">
        <v>111</v>
      </c>
      <c r="D40" s="69" t="s">
        <v>179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118</v>
      </c>
      <c r="C41" s="76" t="s">
        <v>111</v>
      </c>
      <c r="D41" s="69" t="s">
        <v>181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F41/7.5*1.5*G41</f>
        <v>125.01934200000001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63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F42/7.5*1.5*G42</f>
        <v>79.437600000000003</v>
      </c>
      <c r="J42" s="27"/>
      <c r="K42" s="10"/>
      <c r="L42" s="10"/>
      <c r="M42" s="10"/>
    </row>
    <row r="43" spans="1:13" ht="15" hidden="1" customHeight="1">
      <c r="A43" s="162" t="s">
        <v>148</v>
      </c>
      <c r="B43" s="163"/>
      <c r="C43" s="163"/>
      <c r="D43" s="163"/>
      <c r="E43" s="163"/>
      <c r="F43" s="163"/>
      <c r="G43" s="163"/>
      <c r="H43" s="163"/>
      <c r="I43" s="164"/>
      <c r="J43" s="27"/>
      <c r="K43" s="10"/>
      <c r="L43" s="10"/>
      <c r="M43" s="10"/>
    </row>
    <row r="44" spans="1:13" ht="31.5" hidden="1" customHeight="1">
      <c r="A44" s="47">
        <v>16</v>
      </c>
      <c r="B44" s="69" t="s">
        <v>119</v>
      </c>
      <c r="C44" s="76" t="s">
        <v>111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30" hidden="1" customHeight="1">
      <c r="A45" s="47">
        <v>19</v>
      </c>
      <c r="B45" s="69" t="s">
        <v>34</v>
      </c>
      <c r="C45" s="76" t="s">
        <v>111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27.75" hidden="1" customHeight="1">
      <c r="A46" s="47">
        <v>20</v>
      </c>
      <c r="B46" s="69" t="s">
        <v>35</v>
      </c>
      <c r="C46" s="76" t="s">
        <v>111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28.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30.75" hidden="1" customHeight="1">
      <c r="A48" s="47">
        <v>12</v>
      </c>
      <c r="B48" s="69" t="s">
        <v>55</v>
      </c>
      <c r="C48" s="76" t="s">
        <v>111</v>
      </c>
      <c r="D48" s="69" t="s">
        <v>149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0.75" hidden="1" customHeight="1">
      <c r="A49" s="47">
        <v>13</v>
      </c>
      <c r="B49" s="69" t="s">
        <v>120</v>
      </c>
      <c r="C49" s="76" t="s">
        <v>111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121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f t="shared" ref="I50:I51" si="6">F50/2*G50</f>
        <v>616.06400000000008</v>
      </c>
      <c r="J50" s="27"/>
      <c r="K50" s="10"/>
    </row>
    <row r="51" spans="1:14" ht="16.5" hidden="1" customHeight="1">
      <c r="A51" s="47">
        <v>15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f t="shared" si="6"/>
        <v>70.331299999999999</v>
      </c>
      <c r="J51" s="75"/>
    </row>
    <row r="52" spans="1:14" ht="25.5" hidden="1" customHeight="1">
      <c r="A52" s="47">
        <v>13</v>
      </c>
      <c r="B52" s="69" t="s">
        <v>122</v>
      </c>
      <c r="C52" s="76" t="s">
        <v>98</v>
      </c>
      <c r="D52" s="69" t="s">
        <v>64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26.25" hidden="1" customHeight="1">
      <c r="A53" s="47">
        <v>14</v>
      </c>
      <c r="B53" s="69" t="s">
        <v>39</v>
      </c>
      <c r="C53" s="76" t="s">
        <v>98</v>
      </c>
      <c r="D53" s="69" t="s">
        <v>64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3" t="s">
        <v>80</v>
      </c>
      <c r="B54" s="154"/>
      <c r="C54" s="154"/>
      <c r="D54" s="154"/>
      <c r="E54" s="154"/>
      <c r="F54" s="154"/>
      <c r="G54" s="154"/>
      <c r="H54" s="154"/>
      <c r="I54" s="155"/>
      <c r="J54" s="75"/>
    </row>
    <row r="55" spans="1:14" ht="15.75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16</v>
      </c>
      <c r="B56" s="69" t="s">
        <v>123</v>
      </c>
      <c r="C56" s="76" t="s">
        <v>88</v>
      </c>
      <c r="D56" s="69" t="s">
        <v>124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G56*0.02</f>
        <v>46.132399999999997</v>
      </c>
      <c r="J56" s="75"/>
    </row>
    <row r="57" spans="1:14" ht="15.75" hidden="1" customHeight="1">
      <c r="A57" s="47">
        <v>16</v>
      </c>
      <c r="B57" s="88" t="s">
        <v>81</v>
      </c>
      <c r="C57" s="87" t="s">
        <v>30</v>
      </c>
      <c r="D57" s="88" t="s">
        <v>62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</f>
        <v>1501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4.2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10</v>
      </c>
      <c r="B61" s="19" t="s">
        <v>45</v>
      </c>
      <c r="C61" s="21" t="s">
        <v>98</v>
      </c>
      <c r="D61" s="19" t="s">
        <v>177</v>
      </c>
      <c r="E61" s="23">
        <v>1</v>
      </c>
      <c r="F61" s="17">
        <f>SUM(E61)</f>
        <v>1</v>
      </c>
      <c r="G61" s="17">
        <v>276.74</v>
      </c>
      <c r="H61" s="80">
        <f t="shared" ref="H61:H69" si="7">SUM(F61*G61/1000)</f>
        <v>0.27673999999999999</v>
      </c>
      <c r="I61" s="17">
        <f>G61*2</f>
        <v>553.48</v>
      </c>
      <c r="J61" s="75"/>
      <c r="L61" s="24"/>
      <c r="M61" s="25"/>
      <c r="N61" s="26"/>
    </row>
    <row r="62" spans="1:14" ht="30" hidden="1" customHeight="1">
      <c r="A62" s="67"/>
      <c r="B62" s="19" t="s">
        <v>46</v>
      </c>
      <c r="C62" s="21" t="s">
        <v>98</v>
      </c>
      <c r="D62" s="19" t="s">
        <v>62</v>
      </c>
      <c r="E62" s="23">
        <v>2</v>
      </c>
      <c r="F62" s="17">
        <f>SUM(E62)</f>
        <v>2</v>
      </c>
      <c r="G62" s="17">
        <v>94.89</v>
      </c>
      <c r="H62" s="80">
        <f t="shared" si="7"/>
        <v>0.18978</v>
      </c>
      <c r="I62" s="17">
        <v>0</v>
      </c>
      <c r="J62" s="75"/>
      <c r="L62" s="24"/>
      <c r="M62" s="25"/>
      <c r="N62" s="26"/>
    </row>
    <row r="63" spans="1:14" ht="30.75" hidden="1" customHeight="1">
      <c r="A63" s="67"/>
      <c r="B63" s="19" t="s">
        <v>47</v>
      </c>
      <c r="C63" s="21" t="s">
        <v>99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7"/>
        <v>26.536274799999997</v>
      </c>
      <c r="I63" s="17">
        <v>0</v>
      </c>
      <c r="J63" s="75"/>
      <c r="L63" s="24"/>
      <c r="M63" s="25"/>
      <c r="N63" s="26"/>
    </row>
    <row r="64" spans="1:14" ht="29.25" hidden="1" customHeight="1">
      <c r="A64" s="67"/>
      <c r="B64" s="19" t="s">
        <v>48</v>
      </c>
      <c r="C64" s="21" t="s">
        <v>100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7"/>
        <v>2.0663896399999997</v>
      </c>
      <c r="I64" s="17">
        <v>0</v>
      </c>
      <c r="J64" s="75"/>
      <c r="L64" s="24"/>
      <c r="M64" s="25"/>
      <c r="N64" s="26"/>
    </row>
    <row r="65" spans="1:14" ht="27" hidden="1" customHeight="1">
      <c r="A65" s="67"/>
      <c r="B65" s="19" t="s">
        <v>49</v>
      </c>
      <c r="C65" s="21" t="s">
        <v>70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7"/>
        <v>56.793660000000003</v>
      </c>
      <c r="I65" s="17">
        <v>0</v>
      </c>
      <c r="J65" s="75"/>
      <c r="L65" s="24"/>
      <c r="M65" s="25"/>
      <c r="N65" s="26"/>
    </row>
    <row r="66" spans="1:14" ht="23.25" hidden="1" customHeight="1">
      <c r="A66" s="67"/>
      <c r="B66" s="92" t="s">
        <v>101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7"/>
        <v>0.44603000000000004</v>
      </c>
      <c r="I66" s="17">
        <v>0</v>
      </c>
      <c r="J66" s="75"/>
      <c r="L66" s="24"/>
      <c r="M66" s="25"/>
      <c r="N66" s="26"/>
    </row>
    <row r="67" spans="1:14" ht="20.25" hidden="1" customHeight="1">
      <c r="A67" s="67"/>
      <c r="B67" s="92" t="s">
        <v>102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7"/>
        <v>0.41613800000000001</v>
      </c>
      <c r="I67" s="17">
        <v>0</v>
      </c>
      <c r="J67" s="75"/>
      <c r="L67" s="24"/>
      <c r="M67" s="25"/>
      <c r="N67" s="26"/>
    </row>
    <row r="68" spans="1:14" ht="17.25" hidden="1" customHeight="1">
      <c r="A68" s="67"/>
      <c r="B68" s="19" t="s">
        <v>56</v>
      </c>
      <c r="C68" s="21" t="s">
        <v>57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7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8</v>
      </c>
      <c r="B69" s="19" t="s">
        <v>82</v>
      </c>
      <c r="C69" s="31" t="s">
        <v>103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7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104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105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hidden="1" customHeight="1">
      <c r="A72" s="68"/>
      <c r="B72" s="71" t="s">
        <v>65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106</v>
      </c>
      <c r="C73" s="21" t="s">
        <v>107</v>
      </c>
      <c r="D73" s="19" t="s">
        <v>62</v>
      </c>
      <c r="E73" s="23">
        <v>1</v>
      </c>
      <c r="F73" s="17">
        <f>E73</f>
        <v>1</v>
      </c>
      <c r="G73" s="17">
        <v>976.4</v>
      </c>
      <c r="H73" s="80">
        <f t="shared" ref="H73:H75" si="8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108</v>
      </c>
      <c r="C74" s="21" t="s">
        <v>109</v>
      </c>
      <c r="D74" s="19" t="s">
        <v>62</v>
      </c>
      <c r="E74" s="23">
        <v>1</v>
      </c>
      <c r="F74" s="17">
        <v>1</v>
      </c>
      <c r="G74" s="17">
        <v>735</v>
      </c>
      <c r="H74" s="80">
        <f t="shared" si="8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66</v>
      </c>
      <c r="C75" s="21" t="s">
        <v>68</v>
      </c>
      <c r="D75" s="19" t="s">
        <v>62</v>
      </c>
      <c r="E75" s="23">
        <v>3</v>
      </c>
      <c r="F75" s="17">
        <v>0.3</v>
      </c>
      <c r="G75" s="17">
        <v>624.16999999999996</v>
      </c>
      <c r="H75" s="80">
        <f t="shared" si="8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67</v>
      </c>
      <c r="C76" s="21" t="s">
        <v>29</v>
      </c>
      <c r="D76" s="19" t="s">
        <v>62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83</v>
      </c>
      <c r="C77" s="21" t="s">
        <v>29</v>
      </c>
      <c r="D77" s="19" t="s">
        <v>62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69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110</v>
      </c>
      <c r="C79" s="21" t="s">
        <v>70</v>
      </c>
      <c r="D79" s="19"/>
      <c r="E79" s="23"/>
      <c r="F79" s="17">
        <v>1</v>
      </c>
      <c r="G79" s="17">
        <v>3433.68</v>
      </c>
      <c r="H79" s="80">
        <f t="shared" ref="H79" si="9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  <c r="J80" s="75"/>
      <c r="L80" s="24"/>
      <c r="M80" s="25"/>
      <c r="N80" s="26"/>
    </row>
    <row r="81" spans="1:22" ht="15.75" customHeight="1">
      <c r="A81" s="68">
        <v>9</v>
      </c>
      <c r="B81" s="69" t="s">
        <v>125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22" ht="31.5" customHeight="1">
      <c r="A82" s="31">
        <v>10</v>
      </c>
      <c r="B82" s="19" t="s">
        <v>71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22" ht="15.75" customHeight="1">
      <c r="A83" s="61"/>
      <c r="B83" s="45" t="s">
        <v>73</v>
      </c>
      <c r="C83" s="47"/>
      <c r="D83" s="20"/>
      <c r="E83" s="20"/>
      <c r="F83" s="20"/>
      <c r="G83" s="23"/>
      <c r="H83" s="23"/>
      <c r="I83" s="35">
        <f>I82+I81+I69+I40+I39+I37+I26+I18+I17+I16</f>
        <v>34650.180817500004</v>
      </c>
      <c r="J83" s="75"/>
      <c r="L83" s="24"/>
      <c r="M83" s="25"/>
      <c r="N83" s="26"/>
    </row>
    <row r="84" spans="1:22" ht="15.75" customHeight="1">
      <c r="A84" s="156" t="s">
        <v>58</v>
      </c>
      <c r="B84" s="157"/>
      <c r="C84" s="157"/>
      <c r="D84" s="157"/>
      <c r="E84" s="157"/>
      <c r="F84" s="157"/>
      <c r="G84" s="157"/>
      <c r="H84" s="157"/>
      <c r="I84" s="158"/>
      <c r="J84" s="75"/>
      <c r="L84" s="24"/>
      <c r="M84" s="25"/>
      <c r="N84" s="26"/>
    </row>
    <row r="85" spans="1:22" ht="15.75" customHeight="1">
      <c r="A85" s="68">
        <v>11</v>
      </c>
      <c r="B85" s="19" t="s">
        <v>156</v>
      </c>
      <c r="C85" s="21" t="s">
        <v>157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22" ht="34.5" customHeight="1">
      <c r="A86" s="68">
        <v>12</v>
      </c>
      <c r="B86" s="117" t="s">
        <v>164</v>
      </c>
      <c r="C86" s="118" t="s">
        <v>28</v>
      </c>
      <c r="D86" s="43"/>
      <c r="E86" s="22"/>
      <c r="F86" s="41"/>
      <c r="G86" s="41">
        <v>20547.34</v>
      </c>
      <c r="H86" s="115"/>
      <c r="I86" s="96">
        <f>G86*4*0.599/1000</f>
        <v>49.231426639999995</v>
      </c>
      <c r="J86" s="75"/>
      <c r="L86" s="24"/>
      <c r="M86" s="25"/>
      <c r="N86" s="26"/>
    </row>
    <row r="87" spans="1:22" ht="15.75" customHeight="1">
      <c r="A87" s="68"/>
      <c r="B87" s="117" t="s">
        <v>209</v>
      </c>
      <c r="C87" s="118" t="s">
        <v>38</v>
      </c>
      <c r="D87" s="43"/>
      <c r="E87" s="22"/>
      <c r="F87" s="41">
        <v>0.01</v>
      </c>
      <c r="G87" s="41">
        <v>27139.18</v>
      </c>
      <c r="H87" s="115"/>
      <c r="I87" s="96">
        <f>G87*0.01</f>
        <v>271.39179999999999</v>
      </c>
      <c r="J87" s="75"/>
      <c r="L87" s="24"/>
      <c r="M87" s="25"/>
      <c r="N87" s="26"/>
    </row>
    <row r="88" spans="1:22" ht="15.75" customHeight="1">
      <c r="A88" s="31"/>
      <c r="B88" s="52" t="s">
        <v>50</v>
      </c>
      <c r="C88" s="48"/>
      <c r="D88" s="62"/>
      <c r="E88" s="48">
        <v>1</v>
      </c>
      <c r="F88" s="48"/>
      <c r="G88" s="48"/>
      <c r="H88" s="48"/>
      <c r="I88" s="35">
        <f>SUM(I85:I87)</f>
        <v>387.82322663999997</v>
      </c>
      <c r="J88" s="75"/>
      <c r="L88" s="24"/>
      <c r="M88" s="25"/>
      <c r="N88" s="26"/>
    </row>
    <row r="89" spans="1:22" ht="15.75" customHeight="1">
      <c r="A89" s="31"/>
      <c r="B89" s="57" t="s">
        <v>72</v>
      </c>
      <c r="C89" s="20"/>
      <c r="D89" s="20"/>
      <c r="E89" s="49"/>
      <c r="F89" s="49"/>
      <c r="G89" s="50"/>
      <c r="H89" s="50"/>
      <c r="I89" s="22">
        <v>0</v>
      </c>
      <c r="J89" s="75"/>
      <c r="L89" s="24"/>
      <c r="M89" s="25"/>
      <c r="N89" s="26"/>
    </row>
    <row r="90" spans="1:22" ht="15.75" customHeight="1">
      <c r="A90" s="63"/>
      <c r="B90" s="53" t="s">
        <v>151</v>
      </c>
      <c r="C90" s="39"/>
      <c r="D90" s="39"/>
      <c r="E90" s="39"/>
      <c r="F90" s="39"/>
      <c r="G90" s="39"/>
      <c r="H90" s="39"/>
      <c r="I90" s="51">
        <f>I83+I88</f>
        <v>35038.004044140005</v>
      </c>
      <c r="J90" s="75"/>
      <c r="L90" s="24"/>
    </row>
    <row r="91" spans="1:22" ht="15.75">
      <c r="A91" s="142" t="s">
        <v>210</v>
      </c>
      <c r="B91" s="142"/>
      <c r="C91" s="142"/>
      <c r="D91" s="142"/>
      <c r="E91" s="142"/>
      <c r="F91" s="142"/>
      <c r="G91" s="142"/>
      <c r="H91" s="142"/>
      <c r="I91" s="142"/>
    </row>
    <row r="92" spans="1:22" ht="15.75">
      <c r="A92" s="12"/>
      <c r="B92" s="152" t="s">
        <v>211</v>
      </c>
      <c r="C92" s="152"/>
      <c r="D92" s="152"/>
      <c r="E92" s="152"/>
      <c r="F92" s="152"/>
      <c r="G92" s="152"/>
      <c r="H92" s="98"/>
      <c r="I92" s="4"/>
    </row>
    <row r="93" spans="1:22" ht="15.75">
      <c r="A93" s="70"/>
      <c r="B93" s="145" t="s">
        <v>6</v>
      </c>
      <c r="C93" s="145"/>
      <c r="D93" s="145"/>
      <c r="E93" s="145"/>
      <c r="F93" s="145"/>
      <c r="G93" s="145"/>
      <c r="H93" s="74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46" t="s">
        <v>7</v>
      </c>
      <c r="B95" s="146"/>
      <c r="C95" s="146"/>
      <c r="D95" s="146"/>
      <c r="E95" s="146"/>
      <c r="F95" s="146"/>
      <c r="G95" s="146"/>
      <c r="H95" s="146"/>
      <c r="I95" s="146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46" t="s">
        <v>8</v>
      </c>
      <c r="B96" s="146"/>
      <c r="C96" s="146"/>
      <c r="D96" s="146"/>
      <c r="E96" s="146"/>
      <c r="F96" s="146"/>
      <c r="G96" s="146"/>
      <c r="H96" s="146"/>
      <c r="I96" s="146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42" t="s">
        <v>9</v>
      </c>
      <c r="B97" s="142"/>
      <c r="C97" s="142"/>
      <c r="D97" s="142"/>
      <c r="E97" s="142"/>
      <c r="F97" s="142"/>
      <c r="G97" s="142"/>
      <c r="H97" s="142"/>
      <c r="I97" s="142"/>
      <c r="J97" s="6"/>
      <c r="K97" s="6"/>
      <c r="L97" s="6"/>
      <c r="M97" s="6"/>
      <c r="N97" s="6"/>
      <c r="O97" s="6"/>
      <c r="P97" s="6"/>
      <c r="Q97" s="6"/>
      <c r="R97" s="144"/>
      <c r="S97" s="144"/>
      <c r="T97" s="144"/>
      <c r="U97" s="144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8" t="s">
        <v>10</v>
      </c>
      <c r="B99" s="148"/>
      <c r="C99" s="148"/>
      <c r="D99" s="148"/>
      <c r="E99" s="148"/>
      <c r="F99" s="148"/>
      <c r="G99" s="148"/>
      <c r="H99" s="148"/>
      <c r="I99" s="148"/>
    </row>
    <row r="100" spans="1:21" ht="15.75" customHeight="1">
      <c r="A100" s="5"/>
    </row>
    <row r="101" spans="1:21" ht="15.75">
      <c r="A101" s="142" t="s">
        <v>11</v>
      </c>
      <c r="B101" s="142"/>
      <c r="C101" s="147" t="s">
        <v>85</v>
      </c>
      <c r="D101" s="147"/>
      <c r="E101" s="147"/>
      <c r="F101" s="72"/>
      <c r="I101" s="103"/>
    </row>
    <row r="102" spans="1:21">
      <c r="A102" s="104"/>
      <c r="C102" s="141" t="s">
        <v>12</v>
      </c>
      <c r="D102" s="141"/>
      <c r="E102" s="141"/>
      <c r="F102" s="28"/>
      <c r="I102" s="102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42" t="s">
        <v>14</v>
      </c>
      <c r="B104" s="142"/>
      <c r="C104" s="143"/>
      <c r="D104" s="143"/>
      <c r="E104" s="143"/>
      <c r="F104" s="73"/>
      <c r="I104" s="103"/>
    </row>
    <row r="105" spans="1:21">
      <c r="A105" s="104"/>
      <c r="C105" s="144" t="s">
        <v>12</v>
      </c>
      <c r="D105" s="144"/>
      <c r="E105" s="144"/>
      <c r="F105" s="104"/>
      <c r="I105" s="102" t="s">
        <v>13</v>
      </c>
    </row>
    <row r="106" spans="1:21" ht="15.75">
      <c r="A106" s="5" t="s">
        <v>15</v>
      </c>
    </row>
    <row r="107" spans="1:21">
      <c r="A107" s="139" t="s">
        <v>16</v>
      </c>
      <c r="B107" s="139"/>
      <c r="C107" s="139"/>
      <c r="D107" s="139"/>
      <c r="E107" s="139"/>
      <c r="F107" s="139"/>
      <c r="G107" s="139"/>
      <c r="H107" s="139"/>
      <c r="I107" s="139"/>
    </row>
    <row r="108" spans="1:21" ht="45" customHeight="1">
      <c r="A108" s="140" t="s">
        <v>17</v>
      </c>
      <c r="B108" s="140"/>
      <c r="C108" s="140"/>
      <c r="D108" s="140"/>
      <c r="E108" s="140"/>
      <c r="F108" s="140"/>
      <c r="G108" s="140"/>
      <c r="H108" s="140"/>
      <c r="I108" s="140"/>
    </row>
    <row r="109" spans="1:21" ht="30" customHeight="1">
      <c r="A109" s="140" t="s">
        <v>18</v>
      </c>
      <c r="B109" s="140"/>
      <c r="C109" s="140"/>
      <c r="D109" s="140"/>
      <c r="E109" s="140"/>
      <c r="F109" s="140"/>
      <c r="G109" s="140"/>
      <c r="H109" s="140"/>
      <c r="I109" s="140"/>
    </row>
    <row r="110" spans="1:21" ht="30" customHeight="1">
      <c r="A110" s="140" t="s">
        <v>22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15" customHeight="1">
      <c r="A111" s="140" t="s">
        <v>21</v>
      </c>
      <c r="B111" s="140"/>
      <c r="C111" s="140"/>
      <c r="D111" s="140"/>
      <c r="E111" s="140"/>
      <c r="F111" s="140"/>
      <c r="G111" s="140"/>
      <c r="H111" s="140"/>
      <c r="I111" s="140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0:I80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topLeftCell="A56" workbookViewId="0">
      <selection activeCell="L95" sqref="L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131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212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43982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18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182</v>
      </c>
      <c r="E19" s="77">
        <v>40</v>
      </c>
      <c r="F19" s="78">
        <f>SUM(E19/10)</f>
        <v>4</v>
      </c>
      <c r="G19" s="78">
        <v>211.74</v>
      </c>
      <c r="H19" s="79">
        <f t="shared" ref="H19:H26" si="1">SUM(F19*G19/1000)</f>
        <v>0.84696000000000005</v>
      </c>
      <c r="I19" s="17">
        <f>F19*G19</f>
        <v>846.96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182</v>
      </c>
      <c r="E20" s="77">
        <v>10.5</v>
      </c>
      <c r="F20" s="78">
        <f>SUM(E20*2/100)</f>
        <v>0.21</v>
      </c>
      <c r="G20" s="78">
        <v>271.12</v>
      </c>
      <c r="H20" s="79">
        <f t="shared" si="1"/>
        <v>5.6935200000000005E-2</v>
      </c>
      <c r="I20" s="17">
        <f t="shared" ref="I20:I21" si="2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182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1"/>
        <v>1.4521680000000002E-2</v>
      </c>
      <c r="I21" s="17">
        <f t="shared" si="2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182</v>
      </c>
      <c r="E22" s="77">
        <v>357</v>
      </c>
      <c r="F22" s="78">
        <f t="shared" ref="F22:F25" si="3">SUM(E22/100)</f>
        <v>3.57</v>
      </c>
      <c r="G22" s="78">
        <v>335.05</v>
      </c>
      <c r="H22" s="79">
        <f t="shared" si="1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184</v>
      </c>
      <c r="E23" s="81">
        <v>38.64</v>
      </c>
      <c r="F23" s="78">
        <f t="shared" si="3"/>
        <v>0.38640000000000002</v>
      </c>
      <c r="G23" s="78">
        <v>55.1</v>
      </c>
      <c r="H23" s="79">
        <f t="shared" si="1"/>
        <v>2.1290640000000003E-2</v>
      </c>
      <c r="I23" s="17">
        <f t="shared" ref="I23:I25" si="4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185</v>
      </c>
      <c r="E24" s="23">
        <v>15</v>
      </c>
      <c r="F24" s="83">
        <f t="shared" si="3"/>
        <v>0.15</v>
      </c>
      <c r="G24" s="78">
        <v>484.94</v>
      </c>
      <c r="H24" s="79">
        <f t="shared" si="1"/>
        <v>7.2741E-2</v>
      </c>
      <c r="I24" s="17">
        <f t="shared" si="4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184</v>
      </c>
      <c r="E25" s="84">
        <v>6.38</v>
      </c>
      <c r="F25" s="78">
        <f t="shared" si="3"/>
        <v>6.3799999999999996E-2</v>
      </c>
      <c r="G25" s="78">
        <v>684.05</v>
      </c>
      <c r="H25" s="79">
        <f t="shared" si="1"/>
        <v>4.3642389999999989E-2</v>
      </c>
      <c r="I25" s="17">
        <f t="shared" si="4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1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5</v>
      </c>
      <c r="B29" s="69" t="s">
        <v>142</v>
      </c>
      <c r="C29" s="76" t="s">
        <v>111</v>
      </c>
      <c r="D29" s="69" t="s">
        <v>176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1" si="5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6</v>
      </c>
      <c r="B30" s="69" t="s">
        <v>143</v>
      </c>
      <c r="C30" s="76" t="s">
        <v>111</v>
      </c>
      <c r="D30" s="69" t="s">
        <v>175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5"/>
        <v>1.6341375959999995</v>
      </c>
      <c r="I30" s="17">
        <f t="shared" ref="I30" si="6">F30/6*G30</f>
        <v>272.35626599999995</v>
      </c>
      <c r="J30" s="27"/>
      <c r="K30" s="10"/>
      <c r="L30" s="10"/>
      <c r="M30" s="10"/>
    </row>
    <row r="31" spans="1:13" ht="15.75" customHeight="1">
      <c r="A31" s="68">
        <v>7</v>
      </c>
      <c r="B31" s="69" t="s">
        <v>27</v>
      </c>
      <c r="C31" s="76" t="s">
        <v>111</v>
      </c>
      <c r="D31" s="69" t="s">
        <v>182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5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61</v>
      </c>
      <c r="C32" s="76" t="s">
        <v>31</v>
      </c>
      <c r="D32" s="69" t="s">
        <v>62</v>
      </c>
      <c r="E32" s="77"/>
      <c r="F32" s="78">
        <v>1</v>
      </c>
      <c r="G32" s="78">
        <v>238.07</v>
      </c>
      <c r="H32" s="79">
        <f t="shared" ref="H32:H33" si="7">SUM(F32*G32/1000)</f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112</v>
      </c>
      <c r="C33" s="76" t="s">
        <v>30</v>
      </c>
      <c r="D33" s="69" t="s">
        <v>62</v>
      </c>
      <c r="E33" s="77"/>
      <c r="F33" s="78">
        <v>1</v>
      </c>
      <c r="G33" s="78">
        <v>1413.96</v>
      </c>
      <c r="H33" s="79">
        <f t="shared" si="7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8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113</v>
      </c>
      <c r="C36" s="76" t="s">
        <v>28</v>
      </c>
      <c r="D36" s="69" t="s">
        <v>145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114</v>
      </c>
      <c r="C37" s="76" t="s">
        <v>115</v>
      </c>
      <c r="D37" s="69" t="s">
        <v>62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146</v>
      </c>
      <c r="C38" s="76" t="s">
        <v>28</v>
      </c>
      <c r="D38" s="69" t="s">
        <v>116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8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75</v>
      </c>
      <c r="C39" s="76" t="s">
        <v>111</v>
      </c>
      <c r="D39" s="69" t="s">
        <v>117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8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118</v>
      </c>
      <c r="C40" s="76" t="s">
        <v>111</v>
      </c>
      <c r="D40" s="69" t="s">
        <v>147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8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63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8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customHeight="1">
      <c r="A42" s="162" t="s">
        <v>148</v>
      </c>
      <c r="B42" s="163"/>
      <c r="C42" s="163"/>
      <c r="D42" s="163"/>
      <c r="E42" s="163"/>
      <c r="F42" s="163"/>
      <c r="G42" s="163"/>
      <c r="H42" s="163"/>
      <c r="I42" s="164"/>
      <c r="J42" s="27"/>
      <c r="K42" s="10"/>
      <c r="L42" s="10"/>
      <c r="M42" s="10"/>
    </row>
    <row r="43" spans="1:13" ht="15.75" customHeight="1">
      <c r="A43" s="47">
        <v>8</v>
      </c>
      <c r="B43" s="69" t="s">
        <v>119</v>
      </c>
      <c r="C43" s="76" t="s">
        <v>111</v>
      </c>
      <c r="D43" s="69" t="s">
        <v>182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9">SUM(F43*G43/1000)</f>
        <v>2.721961968</v>
      </c>
      <c r="I43" s="17">
        <f t="shared" ref="I43:I45" si="10">F43/2*G43</f>
        <v>1360.980984</v>
      </c>
      <c r="J43" s="27"/>
      <c r="K43" s="10"/>
      <c r="L43" s="10"/>
      <c r="M43" s="10"/>
    </row>
    <row r="44" spans="1:13" ht="15.75" customHeight="1">
      <c r="A44" s="47">
        <v>9</v>
      </c>
      <c r="B44" s="69" t="s">
        <v>34</v>
      </c>
      <c r="C44" s="76" t="s">
        <v>111</v>
      </c>
      <c r="D44" s="69" t="s">
        <v>182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9"/>
        <v>4.2862477871999998</v>
      </c>
      <c r="I44" s="17">
        <f t="shared" si="10"/>
        <v>2143.1238936</v>
      </c>
      <c r="J44" s="27"/>
      <c r="K44" s="10"/>
      <c r="L44" s="10"/>
      <c r="M44" s="10"/>
    </row>
    <row r="45" spans="1:13" ht="15.75" customHeight="1">
      <c r="A45" s="47">
        <v>10</v>
      </c>
      <c r="B45" s="69" t="s">
        <v>35</v>
      </c>
      <c r="C45" s="76" t="s">
        <v>111</v>
      </c>
      <c r="D45" s="69" t="s">
        <v>182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9"/>
        <v>3.0571051328000003</v>
      </c>
      <c r="I45" s="17">
        <f t="shared" si="10"/>
        <v>1528.5525664000002</v>
      </c>
      <c r="J45" s="27"/>
      <c r="K45" s="10"/>
      <c r="L45" s="10"/>
      <c r="M45" s="10"/>
    </row>
    <row r="46" spans="1:13" ht="15.75" customHeight="1">
      <c r="A46" s="47">
        <v>11</v>
      </c>
      <c r="B46" s="69" t="s">
        <v>32</v>
      </c>
      <c r="C46" s="76" t="s">
        <v>33</v>
      </c>
      <c r="D46" s="69" t="s">
        <v>182</v>
      </c>
      <c r="E46" s="77">
        <v>85.84</v>
      </c>
      <c r="F46" s="78">
        <f>E46*2/100</f>
        <v>1.7168000000000001</v>
      </c>
      <c r="G46" s="17">
        <v>90.61</v>
      </c>
      <c r="H46" s="79">
        <f t="shared" si="9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customHeight="1">
      <c r="A47" s="47">
        <v>12</v>
      </c>
      <c r="B47" s="69" t="s">
        <v>55</v>
      </c>
      <c r="C47" s="76" t="s">
        <v>111</v>
      </c>
      <c r="D47" s="69" t="s">
        <v>182</v>
      </c>
      <c r="E47" s="77">
        <v>2549.5</v>
      </c>
      <c r="F47" s="78">
        <f>SUM(E47*5/1000)</f>
        <v>12.7475</v>
      </c>
      <c r="G47" s="17">
        <v>1711.28</v>
      </c>
      <c r="H47" s="79">
        <f t="shared" si="9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customHeight="1">
      <c r="A48" s="47">
        <v>13</v>
      </c>
      <c r="B48" s="69" t="s">
        <v>120</v>
      </c>
      <c r="C48" s="76" t="s">
        <v>111</v>
      </c>
      <c r="D48" s="69" t="s">
        <v>182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9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27.75" customHeight="1">
      <c r="A49" s="47">
        <v>14</v>
      </c>
      <c r="B49" s="69" t="s">
        <v>121</v>
      </c>
      <c r="C49" s="76" t="s">
        <v>36</v>
      </c>
      <c r="D49" s="69" t="s">
        <v>182</v>
      </c>
      <c r="E49" s="77">
        <v>16</v>
      </c>
      <c r="F49" s="78">
        <f>SUM(E49*2/100)</f>
        <v>0.32</v>
      </c>
      <c r="G49" s="17">
        <v>3850.4</v>
      </c>
      <c r="H49" s="79">
        <f t="shared" si="9"/>
        <v>1.2321280000000001</v>
      </c>
      <c r="I49" s="17">
        <f t="shared" ref="I49:I50" si="11">F49/2*G49</f>
        <v>616.06400000000008</v>
      </c>
      <c r="J49" s="27"/>
      <c r="K49" s="10"/>
    </row>
    <row r="50" spans="1:14" ht="24" customHeight="1">
      <c r="A50" s="47">
        <v>15</v>
      </c>
      <c r="B50" s="69" t="s">
        <v>37</v>
      </c>
      <c r="C50" s="76" t="s">
        <v>38</v>
      </c>
      <c r="D50" s="69" t="s">
        <v>182</v>
      </c>
      <c r="E50" s="77">
        <v>1</v>
      </c>
      <c r="F50" s="78">
        <v>0.02</v>
      </c>
      <c r="G50" s="17">
        <v>7033.13</v>
      </c>
      <c r="H50" s="79">
        <f t="shared" si="9"/>
        <v>0.1406626</v>
      </c>
      <c r="I50" s="17">
        <f t="shared" si="11"/>
        <v>70.331299999999999</v>
      </c>
      <c r="J50" s="75"/>
    </row>
    <row r="51" spans="1:14" ht="15.75" customHeight="1">
      <c r="A51" s="47">
        <v>16</v>
      </c>
      <c r="B51" s="69" t="s">
        <v>122</v>
      </c>
      <c r="C51" s="76" t="s">
        <v>98</v>
      </c>
      <c r="D51" s="123">
        <v>43972</v>
      </c>
      <c r="E51" s="77">
        <v>64</v>
      </c>
      <c r="F51" s="78">
        <f>E51*3</f>
        <v>192</v>
      </c>
      <c r="G51" s="17">
        <v>175.6</v>
      </c>
      <c r="H51" s="79">
        <f t="shared" si="9"/>
        <v>33.715199999999996</v>
      </c>
      <c r="I51" s="17">
        <f>E51*G51</f>
        <v>11238.4</v>
      </c>
      <c r="J51" s="75"/>
    </row>
    <row r="52" spans="1:14" ht="15.75" customHeight="1">
      <c r="A52" s="47">
        <v>17</v>
      </c>
      <c r="B52" s="69" t="s">
        <v>39</v>
      </c>
      <c r="C52" s="76" t="s">
        <v>98</v>
      </c>
      <c r="D52" s="123">
        <v>43972</v>
      </c>
      <c r="E52" s="77">
        <v>128</v>
      </c>
      <c r="F52" s="78">
        <f>SUM(E52)*3</f>
        <v>384</v>
      </c>
      <c r="G52" s="17">
        <v>81.73</v>
      </c>
      <c r="H52" s="79">
        <f t="shared" si="9"/>
        <v>31.384319999999999</v>
      </c>
      <c r="I52" s="17">
        <f>E52*G52</f>
        <v>10461.44</v>
      </c>
      <c r="J52" s="75"/>
    </row>
    <row r="53" spans="1:14" ht="15.75" customHeight="1">
      <c r="A53" s="153" t="s">
        <v>126</v>
      </c>
      <c r="B53" s="154"/>
      <c r="C53" s="154"/>
      <c r="D53" s="154"/>
      <c r="E53" s="154"/>
      <c r="F53" s="154"/>
      <c r="G53" s="154"/>
      <c r="H53" s="154"/>
      <c r="I53" s="155"/>
      <c r="J53" s="75"/>
    </row>
    <row r="54" spans="1:14" ht="15.75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123</v>
      </c>
      <c r="C55" s="76" t="s">
        <v>88</v>
      </c>
      <c r="D55" s="69" t="s">
        <v>124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5.75" customHeight="1">
      <c r="A56" s="47">
        <v>18</v>
      </c>
      <c r="B56" s="88" t="s">
        <v>81</v>
      </c>
      <c r="C56" s="87" t="s">
        <v>30</v>
      </c>
      <c r="D56" s="88"/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G56*1.5</f>
        <v>2251.5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7.25" hidden="1" customHeight="1">
      <c r="A60" s="47">
        <v>25</v>
      </c>
      <c r="B60" s="19" t="s">
        <v>45</v>
      </c>
      <c r="C60" s="21" t="s">
        <v>98</v>
      </c>
      <c r="D60" s="19" t="s">
        <v>181</v>
      </c>
      <c r="E60" s="23">
        <v>1</v>
      </c>
      <c r="F60" s="17">
        <f>SUM(E60)</f>
        <v>1</v>
      </c>
      <c r="G60" s="17">
        <v>276.74</v>
      </c>
      <c r="H60" s="80">
        <f t="shared" ref="H60:H68" si="12">SUM(F60*G60/1000)</f>
        <v>0.27673999999999999</v>
      </c>
      <c r="I60" s="17">
        <f>G60*3</f>
        <v>830.22</v>
      </c>
      <c r="J60" s="75"/>
      <c r="L60" s="24"/>
      <c r="M60" s="25"/>
      <c r="N60" s="26"/>
    </row>
    <row r="61" spans="1:14" ht="18.75" hidden="1" customHeight="1">
      <c r="A61" s="67"/>
      <c r="B61" s="19" t="s">
        <v>46</v>
      </c>
      <c r="C61" s="21" t="s">
        <v>98</v>
      </c>
      <c r="D61" s="19" t="s">
        <v>62</v>
      </c>
      <c r="E61" s="23">
        <v>2</v>
      </c>
      <c r="F61" s="17">
        <f>SUM(E61)</f>
        <v>2</v>
      </c>
      <c r="G61" s="17">
        <v>94.89</v>
      </c>
      <c r="H61" s="80">
        <f t="shared" si="12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27</v>
      </c>
      <c r="B62" s="19" t="s">
        <v>47</v>
      </c>
      <c r="C62" s="21" t="s">
        <v>99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12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28</v>
      </c>
      <c r="B63" s="19" t="s">
        <v>48</v>
      </c>
      <c r="C63" s="21" t="s">
        <v>100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12"/>
        <v>2.0663896399999997</v>
      </c>
      <c r="I63" s="17">
        <f t="shared" ref="I63:I67" si="13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29</v>
      </c>
      <c r="B64" s="19" t="s">
        <v>49</v>
      </c>
      <c r="C64" s="21" t="s">
        <v>70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12"/>
        <v>56.793660000000003</v>
      </c>
      <c r="I64" s="17">
        <f t="shared" si="13"/>
        <v>56793.66</v>
      </c>
      <c r="J64" s="75"/>
      <c r="L64" s="24"/>
      <c r="M64" s="25"/>
      <c r="N64" s="26"/>
    </row>
    <row r="65" spans="1:14" ht="15.75" hidden="1" customHeight="1">
      <c r="A65" s="67">
        <v>30</v>
      </c>
      <c r="B65" s="92" t="s">
        <v>101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12"/>
        <v>0.44603000000000004</v>
      </c>
      <c r="I65" s="17">
        <f t="shared" si="13"/>
        <v>446.03000000000003</v>
      </c>
      <c r="J65" s="75"/>
      <c r="L65" s="24"/>
      <c r="M65" s="25"/>
      <c r="N65" s="26"/>
    </row>
    <row r="66" spans="1:14" ht="15.75" hidden="1" customHeight="1">
      <c r="A66" s="67">
        <v>31</v>
      </c>
      <c r="B66" s="92" t="s">
        <v>102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12"/>
        <v>0.41613800000000001</v>
      </c>
      <c r="I66" s="17">
        <f t="shared" si="13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56</v>
      </c>
      <c r="C67" s="21" t="s">
        <v>57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12"/>
        <v>0.12414</v>
      </c>
      <c r="I67" s="17">
        <f t="shared" si="13"/>
        <v>124.14</v>
      </c>
      <c r="J67" s="75"/>
      <c r="L67" s="24"/>
      <c r="M67" s="25"/>
      <c r="N67" s="26"/>
    </row>
    <row r="68" spans="1:14" ht="15.75" customHeight="1">
      <c r="A68" s="68">
        <v>19</v>
      </c>
      <c r="B68" s="19" t="s">
        <v>82</v>
      </c>
      <c r="C68" s="31" t="s">
        <v>103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12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104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34</v>
      </c>
      <c r="B70" s="69" t="s">
        <v>105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65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106</v>
      </c>
      <c r="C72" s="21" t="s">
        <v>107</v>
      </c>
      <c r="D72" s="19" t="s">
        <v>62</v>
      </c>
      <c r="E72" s="23">
        <v>1</v>
      </c>
      <c r="F72" s="17">
        <f>E72</f>
        <v>1</v>
      </c>
      <c r="G72" s="17">
        <v>976.4</v>
      </c>
      <c r="H72" s="80">
        <f t="shared" ref="H72:H74" si="14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108</v>
      </c>
      <c r="C73" s="21" t="s">
        <v>109</v>
      </c>
      <c r="D73" s="19" t="s">
        <v>62</v>
      </c>
      <c r="E73" s="23">
        <v>1</v>
      </c>
      <c r="F73" s="17">
        <v>1</v>
      </c>
      <c r="G73" s="17">
        <v>735</v>
      </c>
      <c r="H73" s="80">
        <f t="shared" si="14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66</v>
      </c>
      <c r="C74" s="21" t="s">
        <v>68</v>
      </c>
      <c r="D74" s="19" t="s">
        <v>62</v>
      </c>
      <c r="E74" s="23">
        <v>3</v>
      </c>
      <c r="F74" s="17">
        <v>0.3</v>
      </c>
      <c r="G74" s="17">
        <v>624.16999999999996</v>
      </c>
      <c r="H74" s="80">
        <f t="shared" si="14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67</v>
      </c>
      <c r="C75" s="21" t="s">
        <v>29</v>
      </c>
      <c r="D75" s="19" t="s">
        <v>62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83</v>
      </c>
      <c r="C76" s="21" t="s">
        <v>29</v>
      </c>
      <c r="D76" s="19" t="s">
        <v>62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69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110</v>
      </c>
      <c r="C78" s="21" t="s">
        <v>70</v>
      </c>
      <c r="D78" s="19"/>
      <c r="E78" s="23"/>
      <c r="F78" s="17">
        <v>1</v>
      </c>
      <c r="G78" s="17">
        <v>3433.68</v>
      </c>
      <c r="H78" s="80">
        <f t="shared" ref="H78" si="15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59" t="s">
        <v>150</v>
      </c>
      <c r="B79" s="160"/>
      <c r="C79" s="160"/>
      <c r="D79" s="160"/>
      <c r="E79" s="160"/>
      <c r="F79" s="160"/>
      <c r="G79" s="160"/>
      <c r="H79" s="160"/>
      <c r="I79" s="161"/>
      <c r="J79" s="75"/>
      <c r="L79" s="24"/>
      <c r="M79" s="25"/>
      <c r="N79" s="26"/>
    </row>
    <row r="80" spans="1:14" ht="15.75" customHeight="1">
      <c r="A80" s="68">
        <v>20</v>
      </c>
      <c r="B80" s="69" t="s">
        <v>125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22" ht="31.5" customHeight="1">
      <c r="A81" s="31">
        <v>21</v>
      </c>
      <c r="B81" s="19" t="s">
        <v>71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22" ht="15.75" customHeight="1">
      <c r="A82" s="61"/>
      <c r="B82" s="45" t="s">
        <v>73</v>
      </c>
      <c r="C82" s="47"/>
      <c r="D82" s="20"/>
      <c r="E82" s="20"/>
      <c r="F82" s="20"/>
      <c r="G82" s="23"/>
      <c r="H82" s="23"/>
      <c r="I82" s="35">
        <f>I81+I80+I68+I56+++I52+I51+I50+I49+I48+I47+I46+I45+I44+I43+I31+I30+I29+I26+I18+I17+I16</f>
        <v>69941.880816000004</v>
      </c>
      <c r="J82" s="75"/>
      <c r="L82" s="24"/>
      <c r="M82" s="25"/>
      <c r="N82" s="26"/>
    </row>
    <row r="83" spans="1:22" ht="15.75" customHeight="1">
      <c r="A83" s="156" t="s">
        <v>58</v>
      </c>
      <c r="B83" s="157"/>
      <c r="C83" s="157"/>
      <c r="D83" s="157"/>
      <c r="E83" s="157"/>
      <c r="F83" s="157"/>
      <c r="G83" s="157"/>
      <c r="H83" s="157"/>
      <c r="I83" s="158"/>
      <c r="J83" s="75"/>
      <c r="L83" s="24"/>
      <c r="M83" s="25"/>
      <c r="N83" s="26"/>
    </row>
    <row r="84" spans="1:22" ht="15.75" customHeight="1">
      <c r="A84" s="68">
        <v>22</v>
      </c>
      <c r="B84" s="19" t="s">
        <v>156</v>
      </c>
      <c r="C84" s="21" t="s">
        <v>157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22" ht="31.5" customHeight="1">
      <c r="A85" s="68">
        <v>23</v>
      </c>
      <c r="B85" s="117" t="s">
        <v>163</v>
      </c>
      <c r="C85" s="118" t="s">
        <v>152</v>
      </c>
      <c r="D85" s="43" t="s">
        <v>216</v>
      </c>
      <c r="E85" s="22"/>
      <c r="F85" s="41">
        <v>0.63</v>
      </c>
      <c r="G85" s="41">
        <v>5002.7299999999996</v>
      </c>
      <c r="H85" s="116">
        <f t="shared" ref="H85:H88" si="16">G85*F85/1000</f>
        <v>3.1517198999999998</v>
      </c>
      <c r="I85" s="96">
        <f>G85*0.63</f>
        <v>3151.7198999999996</v>
      </c>
      <c r="J85" s="75"/>
      <c r="L85" s="24"/>
      <c r="M85" s="25"/>
      <c r="N85" s="26"/>
    </row>
    <row r="86" spans="1:22" ht="15" customHeight="1">
      <c r="A86" s="68">
        <v>24</v>
      </c>
      <c r="B86" s="117" t="s">
        <v>213</v>
      </c>
      <c r="C86" s="118" t="s">
        <v>98</v>
      </c>
      <c r="D86" s="43" t="s">
        <v>217</v>
      </c>
      <c r="E86" s="22"/>
      <c r="F86" s="41">
        <v>4</v>
      </c>
      <c r="G86" s="41">
        <v>330</v>
      </c>
      <c r="H86" s="116">
        <f t="shared" si="16"/>
        <v>1.32</v>
      </c>
      <c r="I86" s="96">
        <f>G86*4</f>
        <v>1320</v>
      </c>
      <c r="J86" s="75"/>
      <c r="L86" s="24"/>
      <c r="M86" s="25"/>
      <c r="N86" s="26"/>
    </row>
    <row r="87" spans="1:22" ht="14.25" customHeight="1">
      <c r="A87" s="68">
        <v>25</v>
      </c>
      <c r="B87" s="136" t="s">
        <v>214</v>
      </c>
      <c r="C87" s="118" t="s">
        <v>215</v>
      </c>
      <c r="D87" s="43"/>
      <c r="E87" s="22"/>
      <c r="F87" s="41">
        <v>0.01</v>
      </c>
      <c r="G87" s="41">
        <v>42923.62</v>
      </c>
      <c r="H87" s="116">
        <f t="shared" si="16"/>
        <v>0.42923620000000007</v>
      </c>
      <c r="I87" s="96">
        <f>G87*0.01</f>
        <v>429.23620000000005</v>
      </c>
      <c r="J87" s="75"/>
      <c r="L87" s="24"/>
      <c r="M87" s="25"/>
      <c r="N87" s="26"/>
    </row>
    <row r="88" spans="1:22" ht="21.75" customHeight="1">
      <c r="A88" s="68">
        <v>26</v>
      </c>
      <c r="B88" s="117" t="s">
        <v>209</v>
      </c>
      <c r="C88" s="118" t="s">
        <v>38</v>
      </c>
      <c r="D88" s="43"/>
      <c r="E88" s="22"/>
      <c r="F88" s="41">
        <v>0.02</v>
      </c>
      <c r="G88" s="41">
        <v>27139.18</v>
      </c>
      <c r="H88" s="80">
        <f t="shared" si="16"/>
        <v>0.54278360000000003</v>
      </c>
      <c r="I88" s="96">
        <f>G88*0.01</f>
        <v>271.39179999999999</v>
      </c>
      <c r="J88" s="75"/>
      <c r="L88" s="24"/>
      <c r="M88" s="25"/>
      <c r="N88" s="26"/>
    </row>
    <row r="89" spans="1:22" ht="33.75" customHeight="1">
      <c r="A89" s="68">
        <v>27</v>
      </c>
      <c r="B89" s="117" t="s">
        <v>167</v>
      </c>
      <c r="C89" s="118" t="s">
        <v>168</v>
      </c>
      <c r="D89" s="43"/>
      <c r="E89" s="22"/>
      <c r="F89" s="41">
        <v>2</v>
      </c>
      <c r="G89" s="41">
        <v>61.58</v>
      </c>
      <c r="H89" s="80"/>
      <c r="I89" s="96">
        <f>G89*1</f>
        <v>61.58</v>
      </c>
      <c r="J89" s="75"/>
      <c r="L89" s="24"/>
      <c r="M89" s="25"/>
      <c r="N89" s="26"/>
    </row>
    <row r="90" spans="1:22" ht="15.75" customHeight="1">
      <c r="A90" s="31"/>
      <c r="B90" s="52" t="s">
        <v>50</v>
      </c>
      <c r="C90" s="48"/>
      <c r="D90" s="62"/>
      <c r="E90" s="48">
        <v>1</v>
      </c>
      <c r="F90" s="48"/>
      <c r="G90" s="48"/>
      <c r="H90" s="48"/>
      <c r="I90" s="35">
        <f>SUM(I84:I89)</f>
        <v>5301.1278999999995</v>
      </c>
      <c r="J90" s="75"/>
      <c r="L90" s="24"/>
      <c r="M90" s="25"/>
      <c r="N90" s="26"/>
    </row>
    <row r="91" spans="1:22" ht="15.75" customHeight="1">
      <c r="A91" s="31"/>
      <c r="B91" s="57" t="s">
        <v>72</v>
      </c>
      <c r="C91" s="20"/>
      <c r="D91" s="20"/>
      <c r="E91" s="49"/>
      <c r="F91" s="49"/>
      <c r="G91" s="50"/>
      <c r="H91" s="50"/>
      <c r="I91" s="22">
        <v>0</v>
      </c>
      <c r="J91" s="75"/>
      <c r="L91" s="24"/>
      <c r="M91" s="25"/>
      <c r="N91" s="26"/>
    </row>
    <row r="92" spans="1:22" ht="15.75" customHeight="1">
      <c r="A92" s="63"/>
      <c r="B92" s="53" t="s">
        <v>151</v>
      </c>
      <c r="C92" s="39"/>
      <c r="D92" s="39"/>
      <c r="E92" s="39"/>
      <c r="F92" s="39"/>
      <c r="G92" s="39"/>
      <c r="H92" s="39"/>
      <c r="I92" s="51">
        <f>I82+I90</f>
        <v>75243.008716000011</v>
      </c>
      <c r="J92" s="75"/>
      <c r="L92" s="24"/>
    </row>
    <row r="93" spans="1:22" ht="15.75">
      <c r="A93" s="142" t="s">
        <v>218</v>
      </c>
      <c r="B93" s="142"/>
      <c r="C93" s="142"/>
      <c r="D93" s="142"/>
      <c r="E93" s="142"/>
      <c r="F93" s="142"/>
      <c r="G93" s="142"/>
      <c r="H93" s="142"/>
      <c r="I93" s="142"/>
    </row>
    <row r="94" spans="1:22" ht="15.75">
      <c r="A94" s="12"/>
      <c r="B94" s="152" t="s">
        <v>219</v>
      </c>
      <c r="C94" s="152"/>
      <c r="D94" s="152"/>
      <c r="E94" s="152"/>
      <c r="F94" s="152"/>
      <c r="G94" s="152"/>
      <c r="H94" s="98"/>
      <c r="I94" s="4"/>
    </row>
    <row r="95" spans="1:22" ht="15.75">
      <c r="A95" s="70"/>
      <c r="B95" s="145" t="s">
        <v>6</v>
      </c>
      <c r="C95" s="145"/>
      <c r="D95" s="145"/>
      <c r="E95" s="145"/>
      <c r="F95" s="145"/>
      <c r="G95" s="145"/>
      <c r="H95" s="74"/>
      <c r="I95" s="59"/>
    </row>
    <row r="96" spans="1:22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46" t="s">
        <v>7</v>
      </c>
      <c r="B97" s="146"/>
      <c r="C97" s="146"/>
      <c r="D97" s="146"/>
      <c r="E97" s="146"/>
      <c r="F97" s="146"/>
      <c r="G97" s="146"/>
      <c r="H97" s="146"/>
      <c r="I97" s="146"/>
      <c r="J97" s="29"/>
      <c r="K97" s="29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>
      <c r="A98" s="146" t="s">
        <v>8</v>
      </c>
      <c r="B98" s="146"/>
      <c r="C98" s="146"/>
      <c r="D98" s="146"/>
      <c r="E98" s="146"/>
      <c r="F98" s="146"/>
      <c r="G98" s="146"/>
      <c r="H98" s="146"/>
      <c r="I98" s="146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>
      <c r="A99" s="142" t="s">
        <v>9</v>
      </c>
      <c r="B99" s="142"/>
      <c r="C99" s="142"/>
      <c r="D99" s="142"/>
      <c r="E99" s="142"/>
      <c r="F99" s="142"/>
      <c r="G99" s="142"/>
      <c r="H99" s="142"/>
      <c r="I99" s="142"/>
      <c r="J99" s="6"/>
      <c r="K99" s="6"/>
      <c r="L99" s="6"/>
      <c r="M99" s="6"/>
      <c r="N99" s="6"/>
      <c r="O99" s="6"/>
      <c r="P99" s="6"/>
      <c r="Q99" s="6"/>
      <c r="R99" s="144"/>
      <c r="S99" s="144"/>
      <c r="T99" s="144"/>
      <c r="U99" s="144"/>
    </row>
    <row r="100" spans="1:21" ht="15.75">
      <c r="A100" s="13"/>
      <c r="B100" s="58"/>
      <c r="C100" s="58"/>
      <c r="D100" s="58"/>
      <c r="E100" s="58"/>
      <c r="F100" s="58"/>
      <c r="G100" s="58"/>
      <c r="H100" s="58"/>
      <c r="I100" s="58"/>
    </row>
    <row r="101" spans="1:21" ht="15.75">
      <c r="A101" s="148" t="s">
        <v>10</v>
      </c>
      <c r="B101" s="148"/>
      <c r="C101" s="148"/>
      <c r="D101" s="148"/>
      <c r="E101" s="148"/>
      <c r="F101" s="148"/>
      <c r="G101" s="148"/>
      <c r="H101" s="148"/>
      <c r="I101" s="148"/>
    </row>
    <row r="102" spans="1:21" ht="15.75" customHeight="1">
      <c r="A102" s="5"/>
    </row>
    <row r="103" spans="1:21" ht="15.75">
      <c r="A103" s="142" t="s">
        <v>11</v>
      </c>
      <c r="B103" s="142"/>
      <c r="C103" s="147" t="s">
        <v>85</v>
      </c>
      <c r="D103" s="147"/>
      <c r="E103" s="147"/>
      <c r="F103" s="72"/>
      <c r="I103" s="103"/>
    </row>
    <row r="104" spans="1:21">
      <c r="A104" s="104"/>
      <c r="C104" s="141" t="s">
        <v>12</v>
      </c>
      <c r="D104" s="141"/>
      <c r="E104" s="141"/>
      <c r="F104" s="28"/>
      <c r="I104" s="102" t="s">
        <v>13</v>
      </c>
    </row>
    <row r="105" spans="1:21" ht="15.75">
      <c r="A105" s="29"/>
      <c r="C105" s="14"/>
      <c r="D105" s="14"/>
      <c r="G105" s="14"/>
      <c r="H105" s="14"/>
    </row>
    <row r="106" spans="1:21" ht="15.75" customHeight="1">
      <c r="A106" s="142" t="s">
        <v>14</v>
      </c>
      <c r="B106" s="142"/>
      <c r="C106" s="143"/>
      <c r="D106" s="143"/>
      <c r="E106" s="143"/>
      <c r="F106" s="73"/>
      <c r="I106" s="103"/>
    </row>
    <row r="107" spans="1:21">
      <c r="A107" s="104"/>
      <c r="C107" s="144" t="s">
        <v>12</v>
      </c>
      <c r="D107" s="144"/>
      <c r="E107" s="144"/>
      <c r="F107" s="104"/>
      <c r="I107" s="102" t="s">
        <v>13</v>
      </c>
    </row>
    <row r="108" spans="1:21" ht="15.75">
      <c r="A108" s="5" t="s">
        <v>15</v>
      </c>
    </row>
    <row r="109" spans="1:21">
      <c r="A109" s="139" t="s">
        <v>16</v>
      </c>
      <c r="B109" s="139"/>
      <c r="C109" s="139"/>
      <c r="D109" s="139"/>
      <c r="E109" s="139"/>
      <c r="F109" s="139"/>
      <c r="G109" s="139"/>
      <c r="H109" s="139"/>
      <c r="I109" s="139"/>
    </row>
    <row r="110" spans="1:21" ht="45" customHeight="1">
      <c r="A110" s="140" t="s">
        <v>17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30" customHeight="1">
      <c r="A111" s="140" t="s">
        <v>18</v>
      </c>
      <c r="B111" s="140"/>
      <c r="C111" s="140"/>
      <c r="D111" s="140"/>
      <c r="E111" s="140"/>
      <c r="F111" s="140"/>
      <c r="G111" s="140"/>
      <c r="H111" s="140"/>
      <c r="I111" s="140"/>
    </row>
    <row r="112" spans="1:21" ht="30" customHeight="1">
      <c r="A112" s="140" t="s">
        <v>22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" customHeight="1">
      <c r="A113" s="140" t="s">
        <v>21</v>
      </c>
      <c r="B113" s="140"/>
      <c r="C113" s="140"/>
      <c r="D113" s="140"/>
      <c r="E113" s="140"/>
      <c r="F113" s="140"/>
      <c r="G113" s="140"/>
      <c r="H113" s="140"/>
      <c r="I113" s="140"/>
    </row>
    <row r="115" spans="1:9">
      <c r="A115" s="15"/>
      <c r="B115" s="15"/>
      <c r="C115" s="15"/>
      <c r="D115" s="15"/>
      <c r="E115" s="15"/>
      <c r="F115" s="15"/>
      <c r="G115" s="15"/>
      <c r="H115" s="15"/>
    </row>
  </sheetData>
  <autoFilter ref="I15:I94"/>
  <mergeCells count="31"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  <mergeCell ref="A93:I93"/>
    <mergeCell ref="B94:G94"/>
    <mergeCell ref="B95:G95"/>
    <mergeCell ref="A97:I97"/>
    <mergeCell ref="A98:I98"/>
    <mergeCell ref="A113:I113"/>
    <mergeCell ref="R99:U99"/>
    <mergeCell ref="A101:I101"/>
    <mergeCell ref="A103:B103"/>
    <mergeCell ref="C103:E103"/>
    <mergeCell ref="C104:E104"/>
    <mergeCell ref="A106:B106"/>
    <mergeCell ref="C106:E106"/>
    <mergeCell ref="A99:I99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0"/>
  <sheetViews>
    <sheetView topLeftCell="A84" workbookViewId="0">
      <selection activeCell="B91" sqref="B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132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220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44012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customHeight="1">
      <c r="A19" s="31">
        <v>4</v>
      </c>
      <c r="B19" s="69" t="s">
        <v>89</v>
      </c>
      <c r="C19" s="76" t="s">
        <v>90</v>
      </c>
      <c r="D19" s="69" t="s">
        <v>184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f>G19*F19</f>
        <v>846.96</v>
      </c>
      <c r="J19" s="10"/>
      <c r="K19" s="10"/>
      <c r="L19" s="10"/>
      <c r="M19" s="10"/>
    </row>
    <row r="20" spans="1:13" ht="15.75" customHeight="1">
      <c r="A20" s="31">
        <v>5</v>
      </c>
      <c r="B20" s="69" t="s">
        <v>92</v>
      </c>
      <c r="C20" s="76" t="s">
        <v>88</v>
      </c>
      <c r="D20" s="69" t="s">
        <v>182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f>G20*F20/2</f>
        <v>28.467600000000001</v>
      </c>
      <c r="J20" s="10"/>
      <c r="K20" s="10"/>
      <c r="L20" s="10"/>
      <c r="M20" s="10"/>
    </row>
    <row r="21" spans="1:13" ht="15.75" customHeight="1">
      <c r="A21" s="31">
        <v>6</v>
      </c>
      <c r="B21" s="69" t="s">
        <v>93</v>
      </c>
      <c r="C21" s="76" t="s">
        <v>88</v>
      </c>
      <c r="D21" s="69" t="s">
        <v>182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f>G21*F21/2</f>
        <v>7.2608400000000008</v>
      </c>
      <c r="J21" s="10"/>
      <c r="K21" s="10"/>
      <c r="L21" s="10"/>
      <c r="M21" s="10"/>
    </row>
    <row r="22" spans="1:13" ht="15.75" customHeight="1">
      <c r="A22" s="31">
        <v>7</v>
      </c>
      <c r="B22" s="69" t="s">
        <v>94</v>
      </c>
      <c r="C22" s="76" t="s">
        <v>51</v>
      </c>
      <c r="D22" s="69" t="s">
        <v>185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f>G22*F22</f>
        <v>1196.1285</v>
      </c>
      <c r="J22" s="10"/>
      <c r="K22" s="10"/>
      <c r="L22" s="10"/>
      <c r="M22" s="10"/>
    </row>
    <row r="23" spans="1:13" ht="15.75" customHeight="1">
      <c r="A23" s="31">
        <v>8</v>
      </c>
      <c r="B23" s="69" t="s">
        <v>95</v>
      </c>
      <c r="C23" s="76" t="s">
        <v>51</v>
      </c>
      <c r="D23" s="69" t="s">
        <v>184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f>G23*F23</f>
        <v>21.290640000000003</v>
      </c>
      <c r="J23" s="10"/>
      <c r="K23" s="10"/>
      <c r="L23" s="10"/>
      <c r="M23" s="10"/>
    </row>
    <row r="24" spans="1:13" ht="15.75" customHeight="1">
      <c r="A24" s="31">
        <v>9</v>
      </c>
      <c r="B24" s="69" t="s">
        <v>96</v>
      </c>
      <c r="C24" s="76" t="s">
        <v>51</v>
      </c>
      <c r="D24" s="82" t="s">
        <v>187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f>G24*F24</f>
        <v>72.741</v>
      </c>
      <c r="J24" s="10"/>
      <c r="K24" s="10"/>
      <c r="L24" s="10"/>
      <c r="M24" s="10"/>
    </row>
    <row r="25" spans="1:13" ht="15.75" customHeight="1">
      <c r="A25" s="31">
        <v>10</v>
      </c>
      <c r="B25" s="69" t="s">
        <v>97</v>
      </c>
      <c r="C25" s="76" t="s">
        <v>51</v>
      </c>
      <c r="D25" s="69" t="s">
        <v>185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f>G25*F25</f>
        <v>43.642389999999992</v>
      </c>
      <c r="J25" s="10"/>
      <c r="K25" s="10"/>
      <c r="L25" s="10"/>
      <c r="M25" s="10"/>
    </row>
    <row r="26" spans="1:13" ht="15.75" customHeight="1">
      <c r="A26" s="31">
        <v>11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9" t="s">
        <v>76</v>
      </c>
      <c r="B28" s="150"/>
      <c r="C28" s="150"/>
      <c r="D28" s="150"/>
      <c r="E28" s="150"/>
      <c r="F28" s="150"/>
      <c r="G28" s="150"/>
      <c r="H28" s="150"/>
      <c r="I28" s="151"/>
      <c r="J28" s="27"/>
      <c r="K28" s="10"/>
      <c r="L28" s="10"/>
      <c r="M28" s="10"/>
    </row>
    <row r="29" spans="1:13" ht="15.75" customHeight="1">
      <c r="A29" s="47"/>
      <c r="B29" s="55" t="s">
        <v>138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customHeight="1">
      <c r="A30" s="68">
        <v>12</v>
      </c>
      <c r="B30" s="69" t="s">
        <v>142</v>
      </c>
      <c r="C30" s="76" t="s">
        <v>111</v>
      </c>
      <c r="D30" s="69" t="s">
        <v>176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4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8">
        <v>13</v>
      </c>
      <c r="B31" s="69" t="s">
        <v>143</v>
      </c>
      <c r="C31" s="76" t="s">
        <v>111</v>
      </c>
      <c r="D31" s="69" t="s">
        <v>175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111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/>
      <c r="B33" s="69" t="s">
        <v>61</v>
      </c>
      <c r="C33" s="76" t="s">
        <v>31</v>
      </c>
      <c r="D33" s="69" t="s">
        <v>62</v>
      </c>
      <c r="E33" s="77"/>
      <c r="F33" s="78">
        <v>1</v>
      </c>
      <c r="G33" s="78">
        <v>238.07</v>
      </c>
      <c r="H33" s="79">
        <f t="shared" si="3"/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112</v>
      </c>
      <c r="C34" s="76" t="s">
        <v>30</v>
      </c>
      <c r="D34" s="69" t="s">
        <v>62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hidden="1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hidden="1" customHeight="1">
      <c r="A36" s="38">
        <v>6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5">SUM(F36*G36/1000)</f>
        <v>3.8007399999999998</v>
      </c>
      <c r="I36" s="17">
        <f>F36/6*G36</f>
        <v>633.45666666666659</v>
      </c>
      <c r="J36" s="27"/>
      <c r="K36" s="10"/>
      <c r="L36" s="10"/>
      <c r="M36" s="10"/>
    </row>
    <row r="37" spans="1:13" ht="15.75" hidden="1" customHeight="1">
      <c r="A37" s="38">
        <v>7</v>
      </c>
      <c r="B37" s="69" t="s">
        <v>113</v>
      </c>
      <c r="C37" s="76" t="s">
        <v>28</v>
      </c>
      <c r="D37" s="69" t="s">
        <v>145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>
        <v>8</v>
      </c>
      <c r="B38" s="69" t="s">
        <v>114</v>
      </c>
      <c r="C38" s="76" t="s">
        <v>115</v>
      </c>
      <c r="D38" s="69" t="s">
        <v>62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f>G38*26</f>
        <v>5897.84</v>
      </c>
      <c r="J38" s="27"/>
      <c r="K38" s="10"/>
      <c r="L38" s="10"/>
      <c r="M38" s="10"/>
    </row>
    <row r="39" spans="1:13" ht="15.75" hidden="1" customHeight="1">
      <c r="A39" s="38">
        <v>9</v>
      </c>
      <c r="B39" s="69" t="s">
        <v>146</v>
      </c>
      <c r="C39" s="76" t="s">
        <v>28</v>
      </c>
      <c r="D39" s="69" t="s">
        <v>116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5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hidden="1" customHeight="1">
      <c r="A40" s="38">
        <v>10</v>
      </c>
      <c r="B40" s="69" t="s">
        <v>75</v>
      </c>
      <c r="C40" s="76" t="s">
        <v>111</v>
      </c>
      <c r="D40" s="69" t="s">
        <v>117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5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11</v>
      </c>
      <c r="B41" s="69" t="s">
        <v>118</v>
      </c>
      <c r="C41" s="76" t="s">
        <v>111</v>
      </c>
      <c r="D41" s="69" t="s">
        <v>147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5"/>
        <v>0.62509671</v>
      </c>
      <c r="I41" s="17">
        <f>F41/6*G41</f>
        <v>104.18278500000001</v>
      </c>
      <c r="J41" s="27"/>
      <c r="K41" s="10"/>
      <c r="L41" s="10"/>
      <c r="M41" s="10"/>
    </row>
    <row r="42" spans="1:13" ht="15.75" hidden="1" customHeight="1">
      <c r="A42" s="38">
        <v>12</v>
      </c>
      <c r="B42" s="69" t="s">
        <v>63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5"/>
        <v>0.39718800000000004</v>
      </c>
      <c r="I42" s="17">
        <f>F42/6*G42</f>
        <v>66.198000000000008</v>
      </c>
      <c r="J42" s="27"/>
      <c r="K42" s="10"/>
      <c r="L42" s="10"/>
      <c r="M42" s="10"/>
    </row>
    <row r="43" spans="1:13" ht="15.75" hidden="1" customHeight="1">
      <c r="A43" s="162" t="s">
        <v>148</v>
      </c>
      <c r="B43" s="163"/>
      <c r="C43" s="163"/>
      <c r="D43" s="163"/>
      <c r="E43" s="163"/>
      <c r="F43" s="163"/>
      <c r="G43" s="163"/>
      <c r="H43" s="163"/>
      <c r="I43" s="164"/>
      <c r="J43" s="27"/>
      <c r="K43" s="10"/>
      <c r="L43" s="10"/>
      <c r="M43" s="10"/>
    </row>
    <row r="44" spans="1:13" ht="15.75" hidden="1" customHeight="1">
      <c r="A44" s="47">
        <v>17</v>
      </c>
      <c r="B44" s="69" t="s">
        <v>119</v>
      </c>
      <c r="C44" s="76" t="s">
        <v>111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6">SUM(F44*G44/1000)</f>
        <v>2.721961968</v>
      </c>
      <c r="I44" s="17">
        <f t="shared" ref="I44:I46" si="7">F44/2*G44</f>
        <v>1360.980984</v>
      </c>
      <c r="J44" s="27"/>
      <c r="K44" s="10"/>
      <c r="L44" s="10"/>
      <c r="M44" s="10"/>
    </row>
    <row r="45" spans="1:13" ht="15.75" hidden="1" customHeight="1">
      <c r="A45" s="47">
        <v>18</v>
      </c>
      <c r="B45" s="69" t="s">
        <v>34</v>
      </c>
      <c r="C45" s="76" t="s">
        <v>111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6"/>
        <v>4.2862477871999998</v>
      </c>
      <c r="I45" s="17">
        <f t="shared" si="7"/>
        <v>2143.1238936</v>
      </c>
      <c r="J45" s="27"/>
      <c r="K45" s="10"/>
      <c r="L45" s="10"/>
      <c r="M45" s="10"/>
    </row>
    <row r="46" spans="1:13" ht="15.75" hidden="1" customHeight="1">
      <c r="A46" s="47">
        <v>19</v>
      </c>
      <c r="B46" s="69" t="s">
        <v>35</v>
      </c>
      <c r="C46" s="76" t="s">
        <v>111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6"/>
        <v>3.0571051328000003</v>
      </c>
      <c r="I46" s="17">
        <f t="shared" si="7"/>
        <v>1528.5525664000002</v>
      </c>
      <c r="J46" s="27"/>
      <c r="K46" s="10"/>
      <c r="L46" s="10"/>
      <c r="M46" s="10"/>
    </row>
    <row r="47" spans="1:13" ht="15.75" hidden="1" customHeight="1">
      <c r="A47" s="47">
        <v>20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6"/>
        <v>0.15555924799999998</v>
      </c>
      <c r="I47" s="17">
        <f>F47/2*G47</f>
        <v>77.779623999999998</v>
      </c>
      <c r="J47" s="27"/>
      <c r="K47" s="10"/>
      <c r="L47" s="10"/>
      <c r="M47" s="10"/>
    </row>
    <row r="48" spans="1:13" ht="15.75" hidden="1" customHeight="1">
      <c r="A48" s="47">
        <v>21</v>
      </c>
      <c r="B48" s="69" t="s">
        <v>55</v>
      </c>
      <c r="C48" s="76" t="s">
        <v>111</v>
      </c>
      <c r="D48" s="69" t="s">
        <v>149</v>
      </c>
      <c r="E48" s="77">
        <v>2549.5</v>
      </c>
      <c r="F48" s="78">
        <f>SUM(E48*5/1000)</f>
        <v>12.7475</v>
      </c>
      <c r="G48" s="17">
        <v>1711.28</v>
      </c>
      <c r="H48" s="79">
        <f t="shared" si="6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12</v>
      </c>
      <c r="B49" s="69" t="s">
        <v>120</v>
      </c>
      <c r="C49" s="76" t="s">
        <v>111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6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13</v>
      </c>
      <c r="B50" s="69" t="s">
        <v>121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6"/>
        <v>1.2321280000000001</v>
      </c>
      <c r="I50" s="17">
        <f t="shared" ref="I50:I51" si="8">F50/2*G50</f>
        <v>616.06400000000008</v>
      </c>
      <c r="J50" s="27"/>
      <c r="K50" s="10"/>
    </row>
    <row r="51" spans="1:14" ht="15.75" hidden="1" customHeight="1">
      <c r="A51" s="47">
        <v>14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6"/>
        <v>0.1406626</v>
      </c>
      <c r="I51" s="17">
        <f t="shared" si="8"/>
        <v>70.331299999999999</v>
      </c>
      <c r="J51" s="75"/>
    </row>
    <row r="52" spans="1:14" ht="15.75" hidden="1" customHeight="1">
      <c r="A52" s="47">
        <v>22</v>
      </c>
      <c r="B52" s="69" t="s">
        <v>122</v>
      </c>
      <c r="C52" s="76" t="s">
        <v>98</v>
      </c>
      <c r="D52" s="69" t="s">
        <v>64</v>
      </c>
      <c r="E52" s="77">
        <v>64</v>
      </c>
      <c r="F52" s="78">
        <f>E52*3</f>
        <v>192</v>
      </c>
      <c r="G52" s="17">
        <v>175.6</v>
      </c>
      <c r="H52" s="79">
        <f t="shared" si="6"/>
        <v>33.715199999999996</v>
      </c>
      <c r="I52" s="17">
        <f>E52*G52</f>
        <v>11238.4</v>
      </c>
      <c r="J52" s="75"/>
    </row>
    <row r="53" spans="1:14" ht="15.75" hidden="1" customHeight="1">
      <c r="A53" s="47">
        <v>23</v>
      </c>
      <c r="B53" s="69" t="s">
        <v>39</v>
      </c>
      <c r="C53" s="76" t="s">
        <v>98</v>
      </c>
      <c r="D53" s="69" t="s">
        <v>64</v>
      </c>
      <c r="E53" s="77">
        <v>128</v>
      </c>
      <c r="F53" s="78">
        <f>SUM(E53)*3</f>
        <v>384</v>
      </c>
      <c r="G53" s="17">
        <v>81.73</v>
      </c>
      <c r="H53" s="79">
        <f t="shared" si="6"/>
        <v>31.384319999999999</v>
      </c>
      <c r="I53" s="17">
        <f>E53*G53</f>
        <v>10461.44</v>
      </c>
      <c r="J53" s="75"/>
    </row>
    <row r="54" spans="1:14" ht="15.75" customHeight="1">
      <c r="A54" s="153" t="s">
        <v>80</v>
      </c>
      <c r="B54" s="154"/>
      <c r="C54" s="154"/>
      <c r="D54" s="154"/>
      <c r="E54" s="154"/>
      <c r="F54" s="154"/>
      <c r="G54" s="154"/>
      <c r="H54" s="154"/>
      <c r="I54" s="155"/>
      <c r="J54" s="75"/>
    </row>
    <row r="55" spans="1:14" ht="15.75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13</v>
      </c>
      <c r="B56" s="69" t="s">
        <v>123</v>
      </c>
      <c r="C56" s="76" t="s">
        <v>88</v>
      </c>
      <c r="D56" s="69" t="s">
        <v>124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5.75" hidden="1" customHeight="1">
      <c r="A57" s="47">
        <v>24</v>
      </c>
      <c r="B57" s="88" t="s">
        <v>81</v>
      </c>
      <c r="C57" s="87" t="s">
        <v>30</v>
      </c>
      <c r="D57" s="88" t="s">
        <v>62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G57*3</f>
        <v>4503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hidden="1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9</v>
      </c>
      <c r="B61" s="19" t="s">
        <v>45</v>
      </c>
      <c r="C61" s="21" t="s">
        <v>98</v>
      </c>
      <c r="D61" s="19" t="s">
        <v>62</v>
      </c>
      <c r="E61" s="23">
        <v>1</v>
      </c>
      <c r="F61" s="17">
        <f>SUM(E61)</f>
        <v>1</v>
      </c>
      <c r="G61" s="17">
        <v>276.74</v>
      </c>
      <c r="H61" s="80">
        <f t="shared" ref="H61:H70" si="9">SUM(F61*G61/1000)</f>
        <v>0.27673999999999999</v>
      </c>
      <c r="I61" s="17">
        <v>0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98</v>
      </c>
      <c r="D62" s="19" t="s">
        <v>62</v>
      </c>
      <c r="E62" s="23">
        <v>2</v>
      </c>
      <c r="F62" s="17">
        <f>SUM(E62)</f>
        <v>2</v>
      </c>
      <c r="G62" s="17">
        <v>94.89</v>
      </c>
      <c r="H62" s="80">
        <f t="shared" si="9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>
        <v>7</v>
      </c>
      <c r="B63" s="19" t="s">
        <v>47</v>
      </c>
      <c r="C63" s="21" t="s">
        <v>99</v>
      </c>
      <c r="D63" s="19"/>
      <c r="E63" s="77">
        <v>10052</v>
      </c>
      <c r="F63" s="17">
        <f>SUM(E63/100)</f>
        <v>100.52</v>
      </c>
      <c r="G63" s="17">
        <v>263.99</v>
      </c>
      <c r="H63" s="80">
        <f t="shared" si="9"/>
        <v>26.536274799999997</v>
      </c>
      <c r="I63" s="17">
        <f>F63*G63</f>
        <v>26536.274799999999</v>
      </c>
      <c r="J63" s="75"/>
      <c r="L63" s="24"/>
      <c r="M63" s="25"/>
      <c r="N63" s="26"/>
    </row>
    <row r="64" spans="1:14" ht="15.75" hidden="1" customHeight="1">
      <c r="A64" s="67">
        <v>8</v>
      </c>
      <c r="B64" s="19" t="s">
        <v>48</v>
      </c>
      <c r="C64" s="21" t="s">
        <v>100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9"/>
        <v>2.0663896399999997</v>
      </c>
      <c r="I64" s="17">
        <f t="shared" ref="I64:I68" si="10">F64*G64</f>
        <v>2066.3896399999999</v>
      </c>
      <c r="J64" s="75"/>
      <c r="L64" s="24"/>
      <c r="M64" s="25"/>
      <c r="N64" s="26"/>
    </row>
    <row r="65" spans="1:14" ht="15.75" hidden="1" customHeight="1">
      <c r="A65" s="67">
        <v>9</v>
      </c>
      <c r="B65" s="19" t="s">
        <v>49</v>
      </c>
      <c r="C65" s="21" t="s">
        <v>70</v>
      </c>
      <c r="D65" s="19"/>
      <c r="E65" s="77">
        <v>2200</v>
      </c>
      <c r="F65" s="17">
        <f>SUM(E65/100)</f>
        <v>22</v>
      </c>
      <c r="G65" s="17">
        <v>2581.5300000000002</v>
      </c>
      <c r="H65" s="80">
        <f t="shared" si="9"/>
        <v>56.793660000000003</v>
      </c>
      <c r="I65" s="17">
        <f t="shared" si="10"/>
        <v>56793.66</v>
      </c>
      <c r="J65" s="75"/>
      <c r="L65" s="24"/>
      <c r="M65" s="25"/>
      <c r="N65" s="26"/>
    </row>
    <row r="66" spans="1:14" ht="15.75" hidden="1" customHeight="1">
      <c r="A66" s="67">
        <v>10</v>
      </c>
      <c r="B66" s="92" t="s">
        <v>101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9"/>
        <v>0.44603000000000004</v>
      </c>
      <c r="I66" s="17">
        <f t="shared" si="10"/>
        <v>446.03000000000003</v>
      </c>
      <c r="J66" s="75"/>
      <c r="L66" s="24"/>
      <c r="M66" s="25"/>
      <c r="N66" s="26"/>
    </row>
    <row r="67" spans="1:14" ht="15.75" hidden="1" customHeight="1">
      <c r="A67" s="67">
        <v>11</v>
      </c>
      <c r="B67" s="92" t="s">
        <v>102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9"/>
        <v>0.41613800000000001</v>
      </c>
      <c r="I67" s="17">
        <f t="shared" si="10"/>
        <v>416.13800000000003</v>
      </c>
      <c r="J67" s="75"/>
      <c r="L67" s="24"/>
      <c r="M67" s="25"/>
      <c r="N67" s="26"/>
    </row>
    <row r="68" spans="1:14" ht="15.75" hidden="1" customHeight="1">
      <c r="A68" s="67"/>
      <c r="B68" s="19" t="s">
        <v>56</v>
      </c>
      <c r="C68" s="21" t="s">
        <v>57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9"/>
        <v>0.12414</v>
      </c>
      <c r="I68" s="17">
        <f t="shared" si="10"/>
        <v>124.14</v>
      </c>
      <c r="J68" s="75"/>
      <c r="L68" s="24"/>
      <c r="M68" s="25"/>
      <c r="N68" s="26"/>
    </row>
    <row r="69" spans="1:14" ht="15.75" customHeight="1">
      <c r="A69" s="67"/>
      <c r="B69" s="137" t="s">
        <v>200</v>
      </c>
      <c r="C69" s="21"/>
      <c r="D69" s="19"/>
      <c r="E69" s="23"/>
      <c r="F69" s="17"/>
      <c r="G69" s="17"/>
      <c r="H69" s="80"/>
      <c r="I69" s="17"/>
      <c r="J69" s="75"/>
      <c r="L69" s="24"/>
      <c r="M69" s="25"/>
      <c r="N69" s="26"/>
    </row>
    <row r="70" spans="1:14" ht="15.75" customHeight="1">
      <c r="A70" s="68">
        <v>14</v>
      </c>
      <c r="B70" s="19" t="s">
        <v>82</v>
      </c>
      <c r="C70" s="31" t="s">
        <v>103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9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hidden="1" customHeight="1">
      <c r="A71" s="61"/>
      <c r="B71" s="71" t="s">
        <v>104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hidden="1" customHeight="1">
      <c r="A72" s="31">
        <v>31</v>
      </c>
      <c r="B72" s="69" t="s">
        <v>105</v>
      </c>
      <c r="C72" s="21"/>
      <c r="D72" s="19"/>
      <c r="E72" s="94"/>
      <c r="F72" s="17">
        <v>1</v>
      </c>
      <c r="G72" s="17">
        <v>22720</v>
      </c>
      <c r="H72" s="80">
        <f>G72*F72/1000</f>
        <v>22.72</v>
      </c>
      <c r="I72" s="17">
        <f>G72</f>
        <v>22720</v>
      </c>
      <c r="J72" s="75"/>
      <c r="L72" s="24"/>
      <c r="M72" s="25"/>
      <c r="N72" s="26"/>
    </row>
    <row r="73" spans="1:14" ht="15.75" hidden="1" customHeight="1">
      <c r="A73" s="68"/>
      <c r="B73" s="71" t="s">
        <v>65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106</v>
      </c>
      <c r="C74" s="21" t="s">
        <v>107</v>
      </c>
      <c r="D74" s="19" t="s">
        <v>62</v>
      </c>
      <c r="E74" s="23">
        <v>1</v>
      </c>
      <c r="F74" s="17">
        <f>E74</f>
        <v>1</v>
      </c>
      <c r="G74" s="17">
        <v>976.4</v>
      </c>
      <c r="H74" s="80">
        <f t="shared" ref="H74:H76" si="11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108</v>
      </c>
      <c r="C75" s="21" t="s">
        <v>109</v>
      </c>
      <c r="D75" s="19" t="s">
        <v>62</v>
      </c>
      <c r="E75" s="23">
        <v>1</v>
      </c>
      <c r="F75" s="17">
        <v>1</v>
      </c>
      <c r="G75" s="17">
        <v>735</v>
      </c>
      <c r="H75" s="80">
        <f t="shared" si="11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66</v>
      </c>
      <c r="C76" s="21" t="s">
        <v>68</v>
      </c>
      <c r="D76" s="19" t="s">
        <v>62</v>
      </c>
      <c r="E76" s="23">
        <v>3</v>
      </c>
      <c r="F76" s="17">
        <v>0.3</v>
      </c>
      <c r="G76" s="17">
        <v>624.16999999999996</v>
      </c>
      <c r="H76" s="80">
        <f t="shared" si="11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67</v>
      </c>
      <c r="C77" s="21" t="s">
        <v>29</v>
      </c>
      <c r="D77" s="19" t="s">
        <v>62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83</v>
      </c>
      <c r="C78" s="21" t="s">
        <v>29</v>
      </c>
      <c r="D78" s="19" t="s">
        <v>62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5.75" hidden="1" customHeight="1">
      <c r="A79" s="68"/>
      <c r="B79" s="56" t="s">
        <v>69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5.75" hidden="1" customHeight="1">
      <c r="A80" s="68"/>
      <c r="B80" s="57" t="s">
        <v>110</v>
      </c>
      <c r="C80" s="21" t="s">
        <v>70</v>
      </c>
      <c r="D80" s="19"/>
      <c r="E80" s="23"/>
      <c r="F80" s="17">
        <v>1</v>
      </c>
      <c r="G80" s="17">
        <v>3433.68</v>
      </c>
      <c r="H80" s="80">
        <f t="shared" ref="H80" si="12">SUM(F80*G80/1000)</f>
        <v>3.4336799999999998</v>
      </c>
      <c r="I80" s="17">
        <v>0</v>
      </c>
      <c r="J80" s="75"/>
      <c r="L80" s="24"/>
      <c r="M80" s="25"/>
      <c r="N80" s="26"/>
    </row>
    <row r="81" spans="1:14" ht="15.75" customHeight="1">
      <c r="A81" s="159" t="s">
        <v>135</v>
      </c>
      <c r="B81" s="160"/>
      <c r="C81" s="160"/>
      <c r="D81" s="160"/>
      <c r="E81" s="160"/>
      <c r="F81" s="160"/>
      <c r="G81" s="160"/>
      <c r="H81" s="160"/>
      <c r="I81" s="161"/>
      <c r="J81" s="75"/>
      <c r="L81" s="24"/>
      <c r="M81" s="25"/>
      <c r="N81" s="26"/>
    </row>
    <row r="82" spans="1:14" ht="15.75" customHeight="1">
      <c r="A82" s="68">
        <v>15</v>
      </c>
      <c r="B82" s="69" t="s">
        <v>125</v>
      </c>
      <c r="C82" s="21" t="s">
        <v>53</v>
      </c>
      <c r="D82" s="19" t="s">
        <v>54</v>
      </c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16</v>
      </c>
      <c r="B83" s="19" t="s">
        <v>71</v>
      </c>
      <c r="C83" s="21"/>
      <c r="D83" s="19" t="s">
        <v>54</v>
      </c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73</v>
      </c>
      <c r="C84" s="47"/>
      <c r="D84" s="20"/>
      <c r="E84" s="20"/>
      <c r="F84" s="20"/>
      <c r="G84" s="23"/>
      <c r="H84" s="23"/>
      <c r="I84" s="35">
        <f>I83+I82+I70+I31+I30+I26+I25+I24+I23+I22+I21+I20+I19+I18+I17+I16</f>
        <v>33952.729059999998</v>
      </c>
      <c r="J84" s="75"/>
      <c r="L84" s="24"/>
      <c r="M84" s="25"/>
      <c r="N84" s="26"/>
    </row>
    <row r="85" spans="1:14" ht="15.75" customHeight="1">
      <c r="A85" s="156" t="s">
        <v>58</v>
      </c>
      <c r="B85" s="157"/>
      <c r="C85" s="157"/>
      <c r="D85" s="157"/>
      <c r="E85" s="157"/>
      <c r="F85" s="157"/>
      <c r="G85" s="157"/>
      <c r="H85" s="157"/>
      <c r="I85" s="158"/>
      <c r="J85" s="75"/>
      <c r="L85" s="24"/>
      <c r="M85" s="25"/>
      <c r="N85" s="26"/>
    </row>
    <row r="86" spans="1:14" ht="18" customHeight="1">
      <c r="A86" s="68">
        <v>17</v>
      </c>
      <c r="B86" s="19" t="s">
        <v>156</v>
      </c>
      <c r="C86" s="21" t="s">
        <v>157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18" customHeight="1">
      <c r="A87" s="68">
        <v>18</v>
      </c>
      <c r="B87" s="117" t="s">
        <v>158</v>
      </c>
      <c r="C87" s="118" t="s">
        <v>169</v>
      </c>
      <c r="D87" s="43"/>
      <c r="E87" s="22"/>
      <c r="F87" s="41">
        <v>12</v>
      </c>
      <c r="G87" s="41">
        <v>284</v>
      </c>
      <c r="H87" s="17"/>
      <c r="I87" s="17">
        <f>G87*6</f>
        <v>1704</v>
      </c>
      <c r="J87" s="75"/>
      <c r="L87" s="24"/>
      <c r="M87" s="25"/>
      <c r="N87" s="26"/>
    </row>
    <row r="88" spans="1:14" ht="18" customHeight="1">
      <c r="A88" s="68">
        <v>19</v>
      </c>
      <c r="B88" s="117" t="s">
        <v>189</v>
      </c>
      <c r="C88" s="118" t="s">
        <v>188</v>
      </c>
      <c r="D88" s="43" t="s">
        <v>226</v>
      </c>
      <c r="E88" s="22"/>
      <c r="F88" s="41">
        <v>1</v>
      </c>
      <c r="G88" s="41">
        <v>222.63</v>
      </c>
      <c r="H88" s="17"/>
      <c r="I88" s="17">
        <f>G88*1</f>
        <v>222.63</v>
      </c>
      <c r="J88" s="75"/>
      <c r="L88" s="24"/>
      <c r="M88" s="25"/>
      <c r="N88" s="26"/>
    </row>
    <row r="89" spans="1:14" ht="28.5" customHeight="1">
      <c r="A89" s="68">
        <v>20</v>
      </c>
      <c r="B89" s="117" t="s">
        <v>163</v>
      </c>
      <c r="C89" s="118" t="s">
        <v>152</v>
      </c>
      <c r="D89" s="43" t="s">
        <v>227</v>
      </c>
      <c r="E89" s="22"/>
      <c r="F89" s="41">
        <v>1.73</v>
      </c>
      <c r="G89" s="41">
        <v>5002.7299999999996</v>
      </c>
      <c r="H89" s="17"/>
      <c r="I89" s="17">
        <f>G89*1.1</f>
        <v>5503.0029999999997</v>
      </c>
      <c r="J89" s="75"/>
      <c r="L89" s="24"/>
      <c r="M89" s="25"/>
      <c r="N89" s="26"/>
    </row>
    <row r="90" spans="1:14" ht="18" customHeight="1">
      <c r="A90" s="68">
        <v>21</v>
      </c>
      <c r="B90" s="117" t="s">
        <v>213</v>
      </c>
      <c r="C90" s="118" t="s">
        <v>98</v>
      </c>
      <c r="D90" s="43" t="s">
        <v>228</v>
      </c>
      <c r="E90" s="22"/>
      <c r="F90" s="41">
        <v>11</v>
      </c>
      <c r="G90" s="41">
        <v>330</v>
      </c>
      <c r="H90" s="17"/>
      <c r="I90" s="17">
        <f>G90*7</f>
        <v>2310</v>
      </c>
      <c r="J90" s="75"/>
      <c r="L90" s="24"/>
      <c r="M90" s="25"/>
      <c r="N90" s="26"/>
    </row>
    <row r="91" spans="1:14" ht="30.75" customHeight="1">
      <c r="A91" s="68">
        <v>22</v>
      </c>
      <c r="B91" s="117" t="s">
        <v>221</v>
      </c>
      <c r="C91" s="120" t="s">
        <v>68</v>
      </c>
      <c r="D91" s="43"/>
      <c r="E91" s="22"/>
      <c r="F91" s="41">
        <v>0.4</v>
      </c>
      <c r="G91" s="41">
        <v>2606.42</v>
      </c>
      <c r="H91" s="17"/>
      <c r="I91" s="17">
        <f>G91*0.4</f>
        <v>1042.568</v>
      </c>
      <c r="J91" s="75"/>
      <c r="L91" s="24"/>
      <c r="M91" s="25"/>
      <c r="N91" s="26"/>
    </row>
    <row r="92" spans="1:14" ht="18" customHeight="1">
      <c r="A92" s="68">
        <v>23</v>
      </c>
      <c r="B92" s="119" t="s">
        <v>222</v>
      </c>
      <c r="C92" s="47" t="s">
        <v>90</v>
      </c>
      <c r="D92" s="43"/>
      <c r="E92" s="22"/>
      <c r="F92" s="41">
        <v>0.06</v>
      </c>
      <c r="G92" s="41">
        <v>2638.36</v>
      </c>
      <c r="H92" s="17"/>
      <c r="I92" s="17">
        <f>G92*0.06</f>
        <v>158.30160000000001</v>
      </c>
      <c r="J92" s="75"/>
      <c r="L92" s="24"/>
      <c r="M92" s="25"/>
      <c r="N92" s="26"/>
    </row>
    <row r="93" spans="1:14" ht="29.25" customHeight="1">
      <c r="A93" s="68">
        <v>24</v>
      </c>
      <c r="B93" s="117" t="s">
        <v>223</v>
      </c>
      <c r="C93" s="118" t="s">
        <v>224</v>
      </c>
      <c r="D93" s="43" t="s">
        <v>225</v>
      </c>
      <c r="E93" s="22"/>
      <c r="F93" s="41">
        <v>1.5</v>
      </c>
      <c r="G93" s="41">
        <v>722.89</v>
      </c>
      <c r="H93" s="17"/>
      <c r="I93" s="17">
        <f>G93*1.5</f>
        <v>1084.335</v>
      </c>
      <c r="J93" s="75"/>
      <c r="L93" s="24"/>
      <c r="M93" s="25"/>
      <c r="N93" s="26"/>
    </row>
    <row r="94" spans="1:14" ht="30.75" customHeight="1">
      <c r="A94" s="68">
        <v>25</v>
      </c>
      <c r="B94" s="117" t="s">
        <v>167</v>
      </c>
      <c r="C94" s="118" t="s">
        <v>168</v>
      </c>
      <c r="D94" s="43"/>
      <c r="E94" s="22"/>
      <c r="F94" s="41">
        <v>3</v>
      </c>
      <c r="G94" s="41">
        <v>61.58</v>
      </c>
      <c r="H94" s="17"/>
      <c r="I94" s="17">
        <f>G94*1</f>
        <v>61.58</v>
      </c>
      <c r="J94" s="75"/>
      <c r="L94" s="24"/>
      <c r="M94" s="25"/>
      <c r="N94" s="26"/>
    </row>
    <row r="95" spans="1:14" ht="15.75" customHeight="1">
      <c r="A95" s="31"/>
      <c r="B95" s="52" t="s">
        <v>50</v>
      </c>
      <c r="C95" s="48"/>
      <c r="D95" s="62"/>
      <c r="E95" s="48">
        <v>1</v>
      </c>
      <c r="F95" s="48"/>
      <c r="G95" s="48"/>
      <c r="H95" s="48"/>
      <c r="I95" s="35">
        <f>SUM(I86:I94)</f>
        <v>12153.6176</v>
      </c>
      <c r="J95" s="75"/>
      <c r="L95" s="24"/>
      <c r="M95" s="25"/>
      <c r="N95" s="26"/>
    </row>
    <row r="96" spans="1:14" ht="15.75" customHeight="1">
      <c r="A96" s="31"/>
      <c r="B96" s="57" t="s">
        <v>72</v>
      </c>
      <c r="C96" s="20"/>
      <c r="D96" s="20"/>
      <c r="E96" s="49"/>
      <c r="F96" s="49"/>
      <c r="G96" s="50"/>
      <c r="H96" s="50"/>
      <c r="I96" s="22">
        <v>0</v>
      </c>
      <c r="J96" s="75"/>
      <c r="L96" s="24"/>
      <c r="M96" s="25"/>
      <c r="N96" s="26"/>
    </row>
    <row r="97" spans="1:22" ht="15.75" customHeight="1">
      <c r="A97" s="63"/>
      <c r="B97" s="53" t="s">
        <v>151</v>
      </c>
      <c r="C97" s="39"/>
      <c r="D97" s="39"/>
      <c r="E97" s="39"/>
      <c r="F97" s="39"/>
      <c r="G97" s="39"/>
      <c r="H97" s="39"/>
      <c r="I97" s="51">
        <f>I84+I95</f>
        <v>46106.346659999996</v>
      </c>
      <c r="J97" s="75"/>
      <c r="L97" s="24"/>
    </row>
    <row r="98" spans="1:22" ht="15.75">
      <c r="A98" s="142" t="s">
        <v>229</v>
      </c>
      <c r="B98" s="142"/>
      <c r="C98" s="142"/>
      <c r="D98" s="142"/>
      <c r="E98" s="142"/>
      <c r="F98" s="142"/>
      <c r="G98" s="142"/>
      <c r="H98" s="142"/>
      <c r="I98" s="142"/>
    </row>
    <row r="99" spans="1:22" ht="15.75">
      <c r="A99" s="12"/>
      <c r="B99" s="152" t="s">
        <v>230</v>
      </c>
      <c r="C99" s="152"/>
      <c r="D99" s="152"/>
      <c r="E99" s="152"/>
      <c r="F99" s="152"/>
      <c r="G99" s="152"/>
      <c r="H99" s="98"/>
      <c r="I99" s="4"/>
    </row>
    <row r="100" spans="1:22" ht="15.75">
      <c r="A100" s="70"/>
      <c r="B100" s="145" t="s">
        <v>6</v>
      </c>
      <c r="C100" s="145"/>
      <c r="D100" s="145"/>
      <c r="E100" s="145"/>
      <c r="F100" s="145"/>
      <c r="G100" s="145"/>
      <c r="H100" s="74"/>
      <c r="I100" s="59"/>
    </row>
    <row r="101" spans="1:22" ht="15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146" t="s">
        <v>7</v>
      </c>
      <c r="B102" s="146"/>
      <c r="C102" s="146"/>
      <c r="D102" s="146"/>
      <c r="E102" s="146"/>
      <c r="F102" s="146"/>
      <c r="G102" s="146"/>
      <c r="H102" s="146"/>
      <c r="I102" s="146"/>
      <c r="J102" s="29"/>
      <c r="K102" s="29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>
      <c r="A103" s="146" t="s">
        <v>8</v>
      </c>
      <c r="B103" s="146"/>
      <c r="C103" s="146"/>
      <c r="D103" s="146"/>
      <c r="E103" s="146"/>
      <c r="F103" s="146"/>
      <c r="G103" s="146"/>
      <c r="H103" s="146"/>
      <c r="I103" s="146"/>
      <c r="J103" s="4"/>
      <c r="K103" s="4"/>
      <c r="L103" s="4"/>
      <c r="M103" s="4"/>
      <c r="N103" s="4"/>
      <c r="O103" s="4"/>
      <c r="P103" s="4"/>
      <c r="Q103" s="4"/>
      <c r="S103" s="4"/>
      <c r="T103" s="4"/>
      <c r="U103" s="4"/>
    </row>
    <row r="104" spans="1:22" ht="15.75">
      <c r="A104" s="142" t="s">
        <v>9</v>
      </c>
      <c r="B104" s="142"/>
      <c r="C104" s="142"/>
      <c r="D104" s="142"/>
      <c r="E104" s="142"/>
      <c r="F104" s="142"/>
      <c r="G104" s="142"/>
      <c r="H104" s="142"/>
      <c r="I104" s="142"/>
      <c r="J104" s="6"/>
      <c r="K104" s="6"/>
      <c r="L104" s="6"/>
      <c r="M104" s="6"/>
      <c r="N104" s="6"/>
      <c r="O104" s="6"/>
      <c r="P104" s="6"/>
      <c r="Q104" s="6"/>
      <c r="R104" s="144"/>
      <c r="S104" s="144"/>
      <c r="T104" s="144"/>
      <c r="U104" s="144"/>
    </row>
    <row r="105" spans="1:22" ht="15.75">
      <c r="A105" s="13"/>
      <c r="B105" s="58"/>
      <c r="C105" s="58"/>
      <c r="D105" s="58"/>
      <c r="E105" s="58"/>
      <c r="F105" s="58"/>
      <c r="G105" s="58"/>
      <c r="H105" s="58"/>
      <c r="I105" s="58"/>
    </row>
    <row r="106" spans="1:22" ht="15.75">
      <c r="A106" s="148" t="s">
        <v>10</v>
      </c>
      <c r="B106" s="148"/>
      <c r="C106" s="148"/>
      <c r="D106" s="148"/>
      <c r="E106" s="148"/>
      <c r="F106" s="148"/>
      <c r="G106" s="148"/>
      <c r="H106" s="148"/>
      <c r="I106" s="148"/>
    </row>
    <row r="107" spans="1:22" ht="15.75" customHeight="1">
      <c r="A107" s="5"/>
    </row>
    <row r="108" spans="1:22" ht="15.75">
      <c r="A108" s="142" t="s">
        <v>11</v>
      </c>
      <c r="B108" s="142"/>
      <c r="C108" s="147" t="s">
        <v>85</v>
      </c>
      <c r="D108" s="147"/>
      <c r="E108" s="147"/>
      <c r="F108" s="72"/>
      <c r="I108" s="103"/>
    </row>
    <row r="109" spans="1:22">
      <c r="A109" s="104"/>
      <c r="C109" s="141" t="s">
        <v>12</v>
      </c>
      <c r="D109" s="141"/>
      <c r="E109" s="141"/>
      <c r="F109" s="28"/>
      <c r="I109" s="102" t="s">
        <v>13</v>
      </c>
    </row>
    <row r="110" spans="1:22" ht="15.75">
      <c r="A110" s="29"/>
      <c r="C110" s="14"/>
      <c r="D110" s="14"/>
      <c r="G110" s="14"/>
      <c r="H110" s="14"/>
    </row>
    <row r="111" spans="1:22" ht="15.75" customHeight="1">
      <c r="A111" s="142" t="s">
        <v>14</v>
      </c>
      <c r="B111" s="142"/>
      <c r="C111" s="143"/>
      <c r="D111" s="143"/>
      <c r="E111" s="143"/>
      <c r="F111" s="73"/>
      <c r="I111" s="103"/>
    </row>
    <row r="112" spans="1:22">
      <c r="A112" s="104"/>
      <c r="C112" s="144" t="s">
        <v>12</v>
      </c>
      <c r="D112" s="144"/>
      <c r="E112" s="144"/>
      <c r="F112" s="104"/>
      <c r="I112" s="102" t="s">
        <v>13</v>
      </c>
    </row>
    <row r="113" spans="1:9" ht="15.75">
      <c r="A113" s="5" t="s">
        <v>15</v>
      </c>
    </row>
    <row r="114" spans="1:9">
      <c r="A114" s="139" t="s">
        <v>16</v>
      </c>
      <c r="B114" s="139"/>
      <c r="C114" s="139"/>
      <c r="D114" s="139"/>
      <c r="E114" s="139"/>
      <c r="F114" s="139"/>
      <c r="G114" s="139"/>
      <c r="H114" s="139"/>
      <c r="I114" s="139"/>
    </row>
    <row r="115" spans="1:9" ht="45" customHeight="1">
      <c r="A115" s="140" t="s">
        <v>17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30" customHeight="1">
      <c r="A116" s="140" t="s">
        <v>18</v>
      </c>
      <c r="B116" s="140"/>
      <c r="C116" s="140"/>
      <c r="D116" s="140"/>
      <c r="E116" s="140"/>
      <c r="F116" s="140"/>
      <c r="G116" s="140"/>
      <c r="H116" s="140"/>
      <c r="I116" s="140"/>
    </row>
    <row r="117" spans="1:9" ht="30" customHeight="1">
      <c r="A117" s="140" t="s">
        <v>22</v>
      </c>
      <c r="B117" s="140"/>
      <c r="C117" s="140"/>
      <c r="D117" s="140"/>
      <c r="E117" s="140"/>
      <c r="F117" s="140"/>
      <c r="G117" s="140"/>
      <c r="H117" s="140"/>
      <c r="I117" s="140"/>
    </row>
    <row r="118" spans="1:9" ht="15" customHeight="1">
      <c r="A118" s="140" t="s">
        <v>21</v>
      </c>
      <c r="B118" s="140"/>
      <c r="C118" s="140"/>
      <c r="D118" s="140"/>
      <c r="E118" s="140"/>
      <c r="F118" s="140"/>
      <c r="G118" s="140"/>
      <c r="H118" s="140"/>
      <c r="I118" s="140"/>
    </row>
    <row r="120" spans="1:9">
      <c r="A120" s="15"/>
      <c r="B120" s="15"/>
      <c r="C120" s="15"/>
      <c r="D120" s="15"/>
      <c r="E120" s="15"/>
      <c r="F120" s="15"/>
      <c r="G120" s="15"/>
      <c r="H120" s="15"/>
    </row>
  </sheetData>
  <autoFilter ref="I15:I99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4:I54"/>
    <mergeCell ref="A81:I81"/>
    <mergeCell ref="A98:I98"/>
    <mergeCell ref="B99:G99"/>
    <mergeCell ref="B100:G100"/>
    <mergeCell ref="A102:I102"/>
    <mergeCell ref="A103:I103"/>
    <mergeCell ref="A118:I118"/>
    <mergeCell ref="R104:U104"/>
    <mergeCell ref="A106:I106"/>
    <mergeCell ref="A108:B108"/>
    <mergeCell ref="C108:E108"/>
    <mergeCell ref="C109:E109"/>
    <mergeCell ref="A111:B111"/>
    <mergeCell ref="C111:E111"/>
    <mergeCell ref="A104:I104"/>
    <mergeCell ref="C112:E112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topLeftCell="A65"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133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235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44043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5</v>
      </c>
      <c r="B29" s="69" t="s">
        <v>142</v>
      </c>
      <c r="C29" s="76" t="s">
        <v>111</v>
      </c>
      <c r="D29" s="69" t="s">
        <v>176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3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6</v>
      </c>
      <c r="B30" s="69" t="s">
        <v>143</v>
      </c>
      <c r="C30" s="76" t="s">
        <v>111</v>
      </c>
      <c r="D30" s="69" t="s">
        <v>175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2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61</v>
      </c>
      <c r="C32" s="76" t="s">
        <v>31</v>
      </c>
      <c r="D32" s="69" t="s">
        <v>62</v>
      </c>
      <c r="E32" s="77"/>
      <c r="F32" s="78">
        <v>1</v>
      </c>
      <c r="G32" s="78">
        <v>238.07</v>
      </c>
      <c r="H32" s="79">
        <f t="shared" si="2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112</v>
      </c>
      <c r="C33" s="76" t="s">
        <v>30</v>
      </c>
      <c r="D33" s="69" t="s">
        <v>62</v>
      </c>
      <c r="E33" s="77"/>
      <c r="F33" s="78">
        <v>1</v>
      </c>
      <c r="G33" s="78">
        <v>1413.96</v>
      </c>
      <c r="H33" s="79">
        <f t="shared" si="2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4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113</v>
      </c>
      <c r="C36" s="76" t="s">
        <v>28</v>
      </c>
      <c r="D36" s="69" t="s">
        <v>145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114</v>
      </c>
      <c r="C37" s="76" t="s">
        <v>115</v>
      </c>
      <c r="D37" s="69" t="s">
        <v>62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146</v>
      </c>
      <c r="C38" s="76" t="s">
        <v>28</v>
      </c>
      <c r="D38" s="69" t="s">
        <v>116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4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75</v>
      </c>
      <c r="C39" s="76" t="s">
        <v>111</v>
      </c>
      <c r="D39" s="69" t="s">
        <v>117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4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118</v>
      </c>
      <c r="C40" s="76" t="s">
        <v>111</v>
      </c>
      <c r="D40" s="69" t="s">
        <v>147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4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63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4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hidden="1" customHeight="1">
      <c r="A42" s="162" t="s">
        <v>148</v>
      </c>
      <c r="B42" s="163"/>
      <c r="C42" s="163"/>
      <c r="D42" s="163"/>
      <c r="E42" s="163"/>
      <c r="F42" s="163"/>
      <c r="G42" s="163"/>
      <c r="H42" s="163"/>
      <c r="I42" s="164"/>
      <c r="J42" s="27"/>
      <c r="K42" s="10"/>
      <c r="L42" s="10"/>
      <c r="M42" s="10"/>
    </row>
    <row r="43" spans="1:13" ht="15.75" hidden="1" customHeight="1">
      <c r="A43" s="47">
        <v>17</v>
      </c>
      <c r="B43" s="69" t="s">
        <v>119</v>
      </c>
      <c r="C43" s="76" t="s">
        <v>111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5">SUM(F43*G43/1000)</f>
        <v>2.721961968</v>
      </c>
      <c r="I43" s="17">
        <f t="shared" ref="I43:I45" si="6">F43/2*G43</f>
        <v>1360.980984</v>
      </c>
      <c r="J43" s="27"/>
      <c r="K43" s="10"/>
      <c r="L43" s="10"/>
      <c r="M43" s="10"/>
    </row>
    <row r="44" spans="1:13" ht="15.75" hidden="1" customHeight="1">
      <c r="A44" s="47">
        <v>18</v>
      </c>
      <c r="B44" s="69" t="s">
        <v>34</v>
      </c>
      <c r="C44" s="76" t="s">
        <v>111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5"/>
        <v>4.2862477871999998</v>
      </c>
      <c r="I44" s="17">
        <f t="shared" si="6"/>
        <v>2143.1238936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35</v>
      </c>
      <c r="C45" s="76" t="s">
        <v>111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5"/>
        <v>3.0571051328000003</v>
      </c>
      <c r="I45" s="17">
        <f t="shared" si="6"/>
        <v>1528.5525664000002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5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hidden="1" customHeight="1">
      <c r="A47" s="47">
        <v>21</v>
      </c>
      <c r="B47" s="69" t="s">
        <v>55</v>
      </c>
      <c r="C47" s="76" t="s">
        <v>111</v>
      </c>
      <c r="D47" s="69" t="s">
        <v>149</v>
      </c>
      <c r="E47" s="77">
        <v>2549.5</v>
      </c>
      <c r="F47" s="78">
        <f>SUM(E47*5/1000)</f>
        <v>12.7475</v>
      </c>
      <c r="G47" s="17">
        <v>1711.28</v>
      </c>
      <c r="H47" s="79">
        <f t="shared" si="5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hidden="1" customHeight="1">
      <c r="A48" s="47">
        <v>12</v>
      </c>
      <c r="B48" s="69" t="s">
        <v>120</v>
      </c>
      <c r="C48" s="76" t="s">
        <v>111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5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hidden="1" customHeight="1">
      <c r="A49" s="47">
        <v>13</v>
      </c>
      <c r="B49" s="69" t="s">
        <v>121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5"/>
        <v>1.2321280000000001</v>
      </c>
      <c r="I49" s="17">
        <f t="shared" ref="I49:I50" si="7">F49/2*G49</f>
        <v>616.06400000000008</v>
      </c>
      <c r="J49" s="27"/>
      <c r="K49" s="10"/>
    </row>
    <row r="50" spans="1:14" ht="15.75" hidden="1" customHeight="1">
      <c r="A50" s="47">
        <v>14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5"/>
        <v>0.1406626</v>
      </c>
      <c r="I50" s="17">
        <f t="shared" si="7"/>
        <v>70.331299999999999</v>
      </c>
      <c r="J50" s="75"/>
    </row>
    <row r="51" spans="1:14" ht="15.75" hidden="1" customHeight="1">
      <c r="A51" s="47">
        <v>22</v>
      </c>
      <c r="B51" s="69" t="s">
        <v>122</v>
      </c>
      <c r="C51" s="76" t="s">
        <v>98</v>
      </c>
      <c r="D51" s="69" t="s">
        <v>64</v>
      </c>
      <c r="E51" s="77">
        <v>64</v>
      </c>
      <c r="F51" s="78">
        <f>E51*3</f>
        <v>192</v>
      </c>
      <c r="G51" s="17">
        <v>175.6</v>
      </c>
      <c r="H51" s="79">
        <f t="shared" si="5"/>
        <v>33.715199999999996</v>
      </c>
      <c r="I51" s="17">
        <f>E51*G51</f>
        <v>11238.4</v>
      </c>
      <c r="J51" s="75"/>
    </row>
    <row r="52" spans="1:14" ht="15.75" hidden="1" customHeight="1">
      <c r="A52" s="47">
        <v>23</v>
      </c>
      <c r="B52" s="69" t="s">
        <v>39</v>
      </c>
      <c r="C52" s="76" t="s">
        <v>98</v>
      </c>
      <c r="D52" s="69" t="s">
        <v>64</v>
      </c>
      <c r="E52" s="77">
        <v>128</v>
      </c>
      <c r="F52" s="78">
        <f>SUM(E52)*3</f>
        <v>384</v>
      </c>
      <c r="G52" s="17">
        <v>81.73</v>
      </c>
      <c r="H52" s="79">
        <f t="shared" si="5"/>
        <v>31.384319999999999</v>
      </c>
      <c r="I52" s="17">
        <f>E52*G52</f>
        <v>10461.44</v>
      </c>
      <c r="J52" s="75"/>
    </row>
    <row r="53" spans="1:14" ht="15.75" customHeight="1">
      <c r="A53" s="153" t="s">
        <v>80</v>
      </c>
      <c r="B53" s="154"/>
      <c r="C53" s="154"/>
      <c r="D53" s="154"/>
      <c r="E53" s="154"/>
      <c r="F53" s="154"/>
      <c r="G53" s="154"/>
      <c r="H53" s="154"/>
      <c r="I53" s="155"/>
      <c r="J53" s="75"/>
    </row>
    <row r="54" spans="1:14" ht="15.75" hidden="1" customHeight="1">
      <c r="A54" s="61"/>
      <c r="B54" s="61" t="s">
        <v>41</v>
      </c>
      <c r="C54" s="61"/>
      <c r="D54" s="61"/>
      <c r="E54" s="61"/>
      <c r="F54" s="61"/>
      <c r="G54" s="61"/>
      <c r="H54" s="61"/>
      <c r="I54" s="61"/>
      <c r="J54" s="75"/>
    </row>
    <row r="55" spans="1:14" ht="21" hidden="1" customHeight="1">
      <c r="A55" s="125"/>
      <c r="B55" s="126" t="s">
        <v>123</v>
      </c>
      <c r="C55" s="127" t="s">
        <v>88</v>
      </c>
      <c r="D55" s="126" t="s">
        <v>124</v>
      </c>
      <c r="E55" s="84">
        <v>8</v>
      </c>
      <c r="F55" s="128">
        <f>SUM(E55*6/100)</f>
        <v>0.48</v>
      </c>
      <c r="G55" s="129">
        <v>2306.62</v>
      </c>
      <c r="H55" s="130">
        <f>SUM(F55*G55/1000)</f>
        <v>1.1071776</v>
      </c>
      <c r="I55" s="129">
        <f>F55/6*G55</f>
        <v>184.52959999999999</v>
      </c>
      <c r="J55" s="75"/>
    </row>
    <row r="56" spans="1:14" ht="18.75" hidden="1" customHeight="1">
      <c r="A56" s="47">
        <v>7</v>
      </c>
      <c r="B56" s="19" t="s">
        <v>81</v>
      </c>
      <c r="C56" s="21" t="s">
        <v>186</v>
      </c>
      <c r="D56" s="19"/>
      <c r="E56" s="94"/>
      <c r="F56" s="93"/>
      <c r="G56" s="41">
        <v>1501</v>
      </c>
      <c r="H56" s="93"/>
      <c r="I56" s="17">
        <f>G56*3.5</f>
        <v>5253.5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9</v>
      </c>
      <c r="B60" s="19" t="s">
        <v>45</v>
      </c>
      <c r="C60" s="21" t="s">
        <v>98</v>
      </c>
      <c r="D60" s="19" t="s">
        <v>62</v>
      </c>
      <c r="E60" s="23">
        <v>1</v>
      </c>
      <c r="F60" s="17">
        <f>SUM(E60)</f>
        <v>1</v>
      </c>
      <c r="G60" s="17">
        <v>276.74</v>
      </c>
      <c r="H60" s="80">
        <f t="shared" ref="H60:H69" si="8">SUM(F60*G60/1000)</f>
        <v>0.27673999999999999</v>
      </c>
      <c r="I60" s="17">
        <v>0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98</v>
      </c>
      <c r="D61" s="19" t="s">
        <v>62</v>
      </c>
      <c r="E61" s="23">
        <v>2</v>
      </c>
      <c r="F61" s="17">
        <f>SUM(E61)</f>
        <v>2</v>
      </c>
      <c r="G61" s="17">
        <v>94.89</v>
      </c>
      <c r="H61" s="80">
        <f t="shared" si="8"/>
        <v>0.18978</v>
      </c>
      <c r="I61" s="17">
        <v>0</v>
      </c>
      <c r="J61" s="75"/>
      <c r="L61" s="24"/>
      <c r="M61" s="25"/>
      <c r="N61" s="26"/>
    </row>
    <row r="62" spans="1:14" ht="15.75" customHeight="1">
      <c r="A62" s="67">
        <v>7</v>
      </c>
      <c r="B62" s="19" t="s">
        <v>47</v>
      </c>
      <c r="C62" s="21" t="s">
        <v>99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8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customHeight="1">
      <c r="A63" s="67">
        <v>8</v>
      </c>
      <c r="B63" s="19" t="s">
        <v>48</v>
      </c>
      <c r="C63" s="21" t="s">
        <v>100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8"/>
        <v>2.0663896399999997</v>
      </c>
      <c r="I63" s="17">
        <f t="shared" ref="I63:I67" si="9">F63*G63</f>
        <v>2066.3896399999999</v>
      </c>
      <c r="J63" s="75"/>
      <c r="L63" s="24"/>
      <c r="M63" s="25"/>
      <c r="N63" s="26"/>
    </row>
    <row r="64" spans="1:14" ht="15.75" customHeight="1">
      <c r="A64" s="67">
        <v>9</v>
      </c>
      <c r="B64" s="19" t="s">
        <v>49</v>
      </c>
      <c r="C64" s="21" t="s">
        <v>70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8"/>
        <v>56.793660000000003</v>
      </c>
      <c r="I64" s="17">
        <f t="shared" si="9"/>
        <v>56793.66</v>
      </c>
      <c r="J64" s="75"/>
      <c r="L64" s="24"/>
      <c r="M64" s="25"/>
      <c r="N64" s="26"/>
    </row>
    <row r="65" spans="1:14" ht="15.75" customHeight="1">
      <c r="A65" s="67">
        <v>10</v>
      </c>
      <c r="B65" s="92" t="s">
        <v>101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8"/>
        <v>0.44603000000000004</v>
      </c>
      <c r="I65" s="17">
        <f t="shared" si="9"/>
        <v>446.03000000000003</v>
      </c>
      <c r="J65" s="75"/>
      <c r="L65" s="24"/>
      <c r="M65" s="25"/>
      <c r="N65" s="26"/>
    </row>
    <row r="66" spans="1:14" ht="15.75" customHeight="1">
      <c r="A66" s="67">
        <v>11</v>
      </c>
      <c r="B66" s="92" t="s">
        <v>102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8"/>
        <v>0.41613800000000001</v>
      </c>
      <c r="I66" s="17">
        <f t="shared" si="9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56</v>
      </c>
      <c r="C67" s="21" t="s">
        <v>57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8"/>
        <v>0.12414</v>
      </c>
      <c r="I67" s="17">
        <f t="shared" si="9"/>
        <v>124.14</v>
      </c>
      <c r="J67" s="75"/>
      <c r="L67" s="24"/>
      <c r="M67" s="25"/>
      <c r="N67" s="26"/>
    </row>
    <row r="68" spans="1:14" ht="15.75" customHeight="1">
      <c r="A68" s="67"/>
      <c r="B68" s="137" t="s">
        <v>200</v>
      </c>
      <c r="C68" s="21"/>
      <c r="D68" s="19"/>
      <c r="E68" s="23"/>
      <c r="F68" s="17"/>
      <c r="G68" s="17"/>
      <c r="H68" s="80"/>
      <c r="I68" s="17"/>
      <c r="J68" s="75"/>
      <c r="L68" s="24"/>
      <c r="M68" s="25"/>
      <c r="N68" s="26"/>
    </row>
    <row r="69" spans="1:14" ht="15.75" customHeight="1">
      <c r="A69" s="68">
        <v>12</v>
      </c>
      <c r="B69" s="19" t="s">
        <v>82</v>
      </c>
      <c r="C69" s="31" t="s">
        <v>103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8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104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31</v>
      </c>
      <c r="B71" s="69" t="s">
        <v>105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f>G71</f>
        <v>22720</v>
      </c>
      <c r="J71" s="75"/>
      <c r="L71" s="24"/>
      <c r="M71" s="25"/>
      <c r="N71" s="26"/>
    </row>
    <row r="72" spans="1:14" ht="15.75" hidden="1" customHeight="1">
      <c r="A72" s="68"/>
      <c r="B72" s="71" t="s">
        <v>65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106</v>
      </c>
      <c r="C73" s="21" t="s">
        <v>107</v>
      </c>
      <c r="D73" s="19" t="s">
        <v>62</v>
      </c>
      <c r="E73" s="23">
        <v>1</v>
      </c>
      <c r="F73" s="17">
        <f>E73</f>
        <v>1</v>
      </c>
      <c r="G73" s="17">
        <v>976.4</v>
      </c>
      <c r="H73" s="80">
        <f t="shared" ref="H73:H75" si="10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108</v>
      </c>
      <c r="C74" s="21" t="s">
        <v>109</v>
      </c>
      <c r="D74" s="19" t="s">
        <v>62</v>
      </c>
      <c r="E74" s="23">
        <v>1</v>
      </c>
      <c r="F74" s="17">
        <v>1</v>
      </c>
      <c r="G74" s="17">
        <v>735</v>
      </c>
      <c r="H74" s="80">
        <f t="shared" si="10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66</v>
      </c>
      <c r="C75" s="21" t="s">
        <v>68</v>
      </c>
      <c r="D75" s="19" t="s">
        <v>62</v>
      </c>
      <c r="E75" s="23">
        <v>3</v>
      </c>
      <c r="F75" s="17">
        <v>0.3</v>
      </c>
      <c r="G75" s="17">
        <v>624.16999999999996</v>
      </c>
      <c r="H75" s="80">
        <f t="shared" si="10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67</v>
      </c>
      <c r="C76" s="21" t="s">
        <v>29</v>
      </c>
      <c r="D76" s="19" t="s">
        <v>62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83</v>
      </c>
      <c r="C77" s="21" t="s">
        <v>29</v>
      </c>
      <c r="D77" s="19" t="s">
        <v>62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69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110</v>
      </c>
      <c r="C79" s="21" t="s">
        <v>70</v>
      </c>
      <c r="D79" s="19"/>
      <c r="E79" s="23"/>
      <c r="F79" s="17">
        <v>1</v>
      </c>
      <c r="G79" s="17">
        <v>3433.68</v>
      </c>
      <c r="H79" s="80">
        <f t="shared" ref="H79" si="11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  <c r="J80" s="75"/>
      <c r="L80" s="24"/>
      <c r="M80" s="25"/>
      <c r="N80" s="26"/>
    </row>
    <row r="81" spans="1:22" ht="15.75" customHeight="1">
      <c r="A81" s="68">
        <v>13</v>
      </c>
      <c r="B81" s="69" t="s">
        <v>125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22" ht="31.5" customHeight="1">
      <c r="A82" s="31">
        <v>14</v>
      </c>
      <c r="B82" s="19" t="s">
        <v>71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22" ht="15.75" customHeight="1">
      <c r="A83" s="61"/>
      <c r="B83" s="45" t="s">
        <v>73</v>
      </c>
      <c r="C83" s="47"/>
      <c r="D83" s="20"/>
      <c r="E83" s="20"/>
      <c r="F83" s="20"/>
      <c r="G83" s="23"/>
      <c r="H83" s="23"/>
      <c r="I83" s="35">
        <f>I82+I81+I69+I66+I65+I64+I63+I62+I30+I29+I26+I18++I17+I16</f>
        <v>117994.73052999997</v>
      </c>
      <c r="J83" s="75"/>
      <c r="L83" s="24"/>
      <c r="M83" s="25"/>
      <c r="N83" s="26"/>
    </row>
    <row r="84" spans="1:22" ht="15.75" customHeight="1">
      <c r="A84" s="156" t="s">
        <v>58</v>
      </c>
      <c r="B84" s="157"/>
      <c r="C84" s="157"/>
      <c r="D84" s="157"/>
      <c r="E84" s="157"/>
      <c r="F84" s="157"/>
      <c r="G84" s="157"/>
      <c r="H84" s="157"/>
      <c r="I84" s="158"/>
      <c r="J84" s="75"/>
      <c r="L84" s="24"/>
      <c r="M84" s="25"/>
      <c r="N84" s="26"/>
    </row>
    <row r="85" spans="1:22" ht="15.75" customHeight="1">
      <c r="A85" s="31">
        <v>15</v>
      </c>
      <c r="B85" s="19" t="s">
        <v>156</v>
      </c>
      <c r="C85" s="21" t="s">
        <v>157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22" ht="15.75" customHeight="1">
      <c r="A86" s="68">
        <v>16</v>
      </c>
      <c r="B86" s="117" t="s">
        <v>158</v>
      </c>
      <c r="C86" s="118" t="s">
        <v>169</v>
      </c>
      <c r="D86" s="43"/>
      <c r="E86" s="22"/>
      <c r="F86" s="41">
        <v>18</v>
      </c>
      <c r="G86" s="41">
        <v>284</v>
      </c>
      <c r="H86" s="80"/>
      <c r="I86" s="96">
        <f>G86*6</f>
        <v>1704</v>
      </c>
      <c r="J86" s="75"/>
      <c r="L86" s="24"/>
      <c r="M86" s="25"/>
      <c r="N86" s="26"/>
    </row>
    <row r="87" spans="1:22" ht="15.75" customHeight="1">
      <c r="A87" s="68">
        <v>17</v>
      </c>
      <c r="B87" s="117" t="s">
        <v>166</v>
      </c>
      <c r="C87" s="118" t="s">
        <v>159</v>
      </c>
      <c r="D87" s="43"/>
      <c r="E87" s="22"/>
      <c r="F87" s="41">
        <v>2</v>
      </c>
      <c r="G87" s="41">
        <v>227</v>
      </c>
      <c r="H87" s="80"/>
      <c r="I87" s="96">
        <f>G87*1</f>
        <v>227</v>
      </c>
      <c r="J87" s="75"/>
      <c r="L87" s="24"/>
      <c r="M87" s="25"/>
      <c r="N87" s="26"/>
    </row>
    <row r="88" spans="1:22" ht="15.75" customHeight="1">
      <c r="A88" s="68">
        <v>18</v>
      </c>
      <c r="B88" s="117" t="s">
        <v>74</v>
      </c>
      <c r="C88" s="118" t="s">
        <v>98</v>
      </c>
      <c r="D88" s="43"/>
      <c r="E88" s="22"/>
      <c r="F88" s="41">
        <v>2</v>
      </c>
      <c r="G88" s="41">
        <v>215.85</v>
      </c>
      <c r="H88" s="80"/>
      <c r="I88" s="96">
        <f>G88*1</f>
        <v>215.85</v>
      </c>
      <c r="J88" s="75"/>
      <c r="L88" s="24"/>
      <c r="M88" s="25"/>
      <c r="N88" s="26"/>
    </row>
    <row r="89" spans="1:22" ht="33" customHeight="1">
      <c r="A89" s="68">
        <v>19</v>
      </c>
      <c r="B89" s="117" t="s">
        <v>165</v>
      </c>
      <c r="C89" s="118" t="s">
        <v>36</v>
      </c>
      <c r="D89" s="43"/>
      <c r="E89" s="22"/>
      <c r="F89" s="41">
        <v>0.1</v>
      </c>
      <c r="G89" s="41">
        <v>4070.89</v>
      </c>
      <c r="H89" s="80"/>
      <c r="I89" s="96">
        <f>G89*0.01</f>
        <v>40.7089</v>
      </c>
      <c r="J89" s="75"/>
      <c r="L89" s="24"/>
      <c r="M89" s="25"/>
      <c r="N89" s="26"/>
    </row>
    <row r="90" spans="1:22" ht="17.25" customHeight="1">
      <c r="A90" s="68"/>
      <c r="B90" s="52" t="s">
        <v>50</v>
      </c>
      <c r="C90" s="118"/>
      <c r="D90" s="19"/>
      <c r="E90" s="23"/>
      <c r="F90" s="17"/>
      <c r="G90" s="41"/>
      <c r="H90" s="80"/>
      <c r="I90" s="121">
        <f>SUM(I85:I89)</f>
        <v>2254.7589000000003</v>
      </c>
      <c r="J90" s="75"/>
      <c r="L90" s="24"/>
      <c r="M90" s="25"/>
      <c r="N90" s="26"/>
    </row>
    <row r="91" spans="1:22" ht="15.75" customHeight="1">
      <c r="A91" s="31"/>
      <c r="B91" s="57" t="s">
        <v>72</v>
      </c>
      <c r="C91" s="20"/>
      <c r="D91" s="20"/>
      <c r="E91" s="49"/>
      <c r="F91" s="49"/>
      <c r="G91" s="50"/>
      <c r="H91" s="50"/>
      <c r="I91" s="22">
        <v>0</v>
      </c>
      <c r="J91" s="75"/>
      <c r="L91" s="24"/>
      <c r="M91" s="25"/>
      <c r="N91" s="26"/>
    </row>
    <row r="92" spans="1:22" ht="15.75" customHeight="1">
      <c r="A92" s="63"/>
      <c r="B92" s="53" t="s">
        <v>151</v>
      </c>
      <c r="C92" s="39"/>
      <c r="D92" s="39"/>
      <c r="E92" s="39"/>
      <c r="F92" s="39"/>
      <c r="G92" s="39"/>
      <c r="H92" s="39"/>
      <c r="I92" s="51">
        <f>I90+I83</f>
        <v>120249.48942999997</v>
      </c>
      <c r="J92" s="75"/>
      <c r="L92" s="24"/>
    </row>
    <row r="93" spans="1:22" ht="15.75">
      <c r="A93" s="142" t="s">
        <v>236</v>
      </c>
      <c r="B93" s="142"/>
      <c r="C93" s="142"/>
      <c r="D93" s="142"/>
      <c r="E93" s="142"/>
      <c r="F93" s="142"/>
      <c r="G93" s="142"/>
      <c r="H93" s="142"/>
      <c r="I93" s="142"/>
    </row>
    <row r="94" spans="1:22" ht="15.75">
      <c r="A94" s="12"/>
      <c r="B94" s="152" t="s">
        <v>237</v>
      </c>
      <c r="C94" s="152"/>
      <c r="D94" s="152"/>
      <c r="E94" s="152"/>
      <c r="F94" s="152"/>
      <c r="G94" s="152"/>
      <c r="H94" s="98"/>
      <c r="I94" s="4"/>
    </row>
    <row r="95" spans="1:22" ht="15.75">
      <c r="A95" s="70"/>
      <c r="B95" s="145" t="s">
        <v>6</v>
      </c>
      <c r="C95" s="145"/>
      <c r="D95" s="145"/>
      <c r="E95" s="145"/>
      <c r="F95" s="145"/>
      <c r="G95" s="145"/>
      <c r="H95" s="74"/>
      <c r="I95" s="59"/>
    </row>
    <row r="96" spans="1:22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46" t="s">
        <v>7</v>
      </c>
      <c r="B97" s="146"/>
      <c r="C97" s="146"/>
      <c r="D97" s="146"/>
      <c r="E97" s="146"/>
      <c r="F97" s="146"/>
      <c r="G97" s="146"/>
      <c r="H97" s="146"/>
      <c r="I97" s="146"/>
      <c r="J97" s="29"/>
      <c r="K97" s="29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>
      <c r="A98" s="146" t="s">
        <v>8</v>
      </c>
      <c r="B98" s="146"/>
      <c r="C98" s="146"/>
      <c r="D98" s="146"/>
      <c r="E98" s="146"/>
      <c r="F98" s="146"/>
      <c r="G98" s="146"/>
      <c r="H98" s="146"/>
      <c r="I98" s="146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>
      <c r="A99" s="142" t="s">
        <v>9</v>
      </c>
      <c r="B99" s="142"/>
      <c r="C99" s="142"/>
      <c r="D99" s="142"/>
      <c r="E99" s="142"/>
      <c r="F99" s="142"/>
      <c r="G99" s="142"/>
      <c r="H99" s="142"/>
      <c r="I99" s="142"/>
      <c r="J99" s="6"/>
      <c r="K99" s="6"/>
      <c r="L99" s="6"/>
      <c r="M99" s="6"/>
      <c r="N99" s="6"/>
      <c r="O99" s="6"/>
      <c r="P99" s="6"/>
      <c r="Q99" s="6"/>
      <c r="R99" s="144"/>
      <c r="S99" s="144"/>
      <c r="T99" s="144"/>
      <c r="U99" s="144"/>
    </row>
    <row r="100" spans="1:21" ht="15.75">
      <c r="A100" s="13"/>
      <c r="B100" s="58"/>
      <c r="C100" s="58"/>
      <c r="D100" s="58"/>
      <c r="E100" s="58"/>
      <c r="F100" s="58"/>
      <c r="G100" s="58"/>
      <c r="H100" s="58"/>
      <c r="I100" s="58"/>
    </row>
    <row r="101" spans="1:21" ht="15.75">
      <c r="A101" s="148" t="s">
        <v>10</v>
      </c>
      <c r="B101" s="148"/>
      <c r="C101" s="148"/>
      <c r="D101" s="148"/>
      <c r="E101" s="148"/>
      <c r="F101" s="148"/>
      <c r="G101" s="148"/>
      <c r="H101" s="148"/>
      <c r="I101" s="148"/>
    </row>
    <row r="102" spans="1:21" ht="15.75" customHeight="1">
      <c r="A102" s="5"/>
    </row>
    <row r="103" spans="1:21" ht="15.75">
      <c r="A103" s="142" t="s">
        <v>11</v>
      </c>
      <c r="B103" s="142"/>
      <c r="C103" s="147" t="s">
        <v>85</v>
      </c>
      <c r="D103" s="147"/>
      <c r="E103" s="147"/>
      <c r="F103" s="72"/>
      <c r="I103" s="103"/>
    </row>
    <row r="104" spans="1:21">
      <c r="A104" s="104"/>
      <c r="C104" s="141" t="s">
        <v>12</v>
      </c>
      <c r="D104" s="141"/>
      <c r="E104" s="141"/>
      <c r="F104" s="28"/>
      <c r="I104" s="102" t="s">
        <v>13</v>
      </c>
    </row>
    <row r="105" spans="1:21" ht="15.75">
      <c r="A105" s="29"/>
      <c r="C105" s="14"/>
      <c r="D105" s="14"/>
      <c r="G105" s="14"/>
      <c r="H105" s="14"/>
    </row>
    <row r="106" spans="1:21" ht="15.75" customHeight="1">
      <c r="A106" s="142" t="s">
        <v>14</v>
      </c>
      <c r="B106" s="142"/>
      <c r="C106" s="143"/>
      <c r="D106" s="143"/>
      <c r="E106" s="143"/>
      <c r="F106" s="73"/>
      <c r="I106" s="103"/>
    </row>
    <row r="107" spans="1:21">
      <c r="A107" s="104"/>
      <c r="C107" s="144" t="s">
        <v>12</v>
      </c>
      <c r="D107" s="144"/>
      <c r="E107" s="144"/>
      <c r="F107" s="104"/>
      <c r="I107" s="102" t="s">
        <v>13</v>
      </c>
    </row>
    <row r="108" spans="1:21" ht="15.75">
      <c r="A108" s="5" t="s">
        <v>15</v>
      </c>
    </row>
    <row r="109" spans="1:21">
      <c r="A109" s="139" t="s">
        <v>16</v>
      </c>
      <c r="B109" s="139"/>
      <c r="C109" s="139"/>
      <c r="D109" s="139"/>
      <c r="E109" s="139"/>
      <c r="F109" s="139"/>
      <c r="G109" s="139"/>
      <c r="H109" s="139"/>
      <c r="I109" s="139"/>
    </row>
    <row r="110" spans="1:21" ht="45" customHeight="1">
      <c r="A110" s="140" t="s">
        <v>17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30" customHeight="1">
      <c r="A111" s="140" t="s">
        <v>18</v>
      </c>
      <c r="B111" s="140"/>
      <c r="C111" s="140"/>
      <c r="D111" s="140"/>
      <c r="E111" s="140"/>
      <c r="F111" s="140"/>
      <c r="G111" s="140"/>
      <c r="H111" s="140"/>
      <c r="I111" s="140"/>
    </row>
    <row r="112" spans="1:21" ht="30" customHeight="1">
      <c r="A112" s="140" t="s">
        <v>22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" customHeight="1">
      <c r="A113" s="140" t="s">
        <v>21</v>
      </c>
      <c r="B113" s="140"/>
      <c r="C113" s="140"/>
      <c r="D113" s="140"/>
      <c r="E113" s="140"/>
      <c r="F113" s="140"/>
      <c r="G113" s="140"/>
      <c r="H113" s="140"/>
      <c r="I113" s="140"/>
    </row>
    <row r="115" spans="1:9">
      <c r="A115" s="15"/>
      <c r="B115" s="15"/>
      <c r="C115" s="15"/>
      <c r="D115" s="15"/>
      <c r="E115" s="15"/>
      <c r="F115" s="15"/>
      <c r="G115" s="15"/>
      <c r="H115" s="15"/>
    </row>
  </sheetData>
  <autoFilter ref="I15:I94"/>
  <mergeCells count="31"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80:I80"/>
    <mergeCell ref="A93:I93"/>
    <mergeCell ref="B94:G94"/>
    <mergeCell ref="B95:G95"/>
    <mergeCell ref="A97:I97"/>
    <mergeCell ref="A98:I98"/>
    <mergeCell ref="A113:I113"/>
    <mergeCell ref="R99:U99"/>
    <mergeCell ref="A101:I101"/>
    <mergeCell ref="A103:B103"/>
    <mergeCell ref="C103:E103"/>
    <mergeCell ref="C104:E104"/>
    <mergeCell ref="A106:B106"/>
    <mergeCell ref="C106:E106"/>
    <mergeCell ref="A99:I99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68"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134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238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44074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92</v>
      </c>
      <c r="C20" s="76" t="s">
        <v>88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93</v>
      </c>
      <c r="C21" s="76" t="s">
        <v>88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5</v>
      </c>
      <c r="B29" s="69" t="s">
        <v>142</v>
      </c>
      <c r="C29" s="76" t="s">
        <v>111</v>
      </c>
      <c r="D29" s="69" t="s">
        <v>176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0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6</v>
      </c>
      <c r="B30" s="69" t="s">
        <v>143</v>
      </c>
      <c r="C30" s="76" t="s">
        <v>111</v>
      </c>
      <c r="D30" s="69" t="s">
        <v>175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:H33" si="4">SUM(F31*G31/1000)</f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61</v>
      </c>
      <c r="C32" s="76" t="s">
        <v>31</v>
      </c>
      <c r="D32" s="69" t="s">
        <v>62</v>
      </c>
      <c r="E32" s="77"/>
      <c r="F32" s="78">
        <v>1</v>
      </c>
      <c r="G32" s="78">
        <v>238.07</v>
      </c>
      <c r="H32" s="79">
        <f t="shared" si="4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112</v>
      </c>
      <c r="C33" s="76" t="s">
        <v>30</v>
      </c>
      <c r="D33" s="69" t="s">
        <v>62</v>
      </c>
      <c r="E33" s="77"/>
      <c r="F33" s="78">
        <v>1</v>
      </c>
      <c r="G33" s="78">
        <v>1413.96</v>
      </c>
      <c r="H33" s="79">
        <f t="shared" si="4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5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113</v>
      </c>
      <c r="C36" s="76" t="s">
        <v>28</v>
      </c>
      <c r="D36" s="69" t="s">
        <v>145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114</v>
      </c>
      <c r="C37" s="76" t="s">
        <v>115</v>
      </c>
      <c r="D37" s="69" t="s">
        <v>62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146</v>
      </c>
      <c r="C38" s="76" t="s">
        <v>28</v>
      </c>
      <c r="D38" s="69" t="s">
        <v>116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5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75</v>
      </c>
      <c r="C39" s="76" t="s">
        <v>111</v>
      </c>
      <c r="D39" s="69" t="s">
        <v>117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5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118</v>
      </c>
      <c r="C40" s="76" t="s">
        <v>111</v>
      </c>
      <c r="D40" s="69" t="s">
        <v>147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5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63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5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customHeight="1">
      <c r="A42" s="162" t="s">
        <v>148</v>
      </c>
      <c r="B42" s="163"/>
      <c r="C42" s="163"/>
      <c r="D42" s="163"/>
      <c r="E42" s="163"/>
      <c r="F42" s="163"/>
      <c r="G42" s="163"/>
      <c r="H42" s="163"/>
      <c r="I42" s="164"/>
      <c r="J42" s="27"/>
      <c r="K42" s="10"/>
      <c r="L42" s="10"/>
      <c r="M42" s="10"/>
    </row>
    <row r="43" spans="1:13" ht="15.75" hidden="1" customHeight="1">
      <c r="A43" s="47">
        <v>17</v>
      </c>
      <c r="B43" s="69" t="s">
        <v>119</v>
      </c>
      <c r="C43" s="76" t="s">
        <v>111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6">SUM(F43*G43/1000)</f>
        <v>2.721961968</v>
      </c>
      <c r="I43" s="17">
        <f t="shared" ref="I43:I45" si="7">F43/2*G43</f>
        <v>1360.980984</v>
      </c>
      <c r="J43" s="27"/>
      <c r="K43" s="10"/>
      <c r="L43" s="10"/>
      <c r="M43" s="10"/>
    </row>
    <row r="44" spans="1:13" ht="15.75" hidden="1" customHeight="1">
      <c r="A44" s="47">
        <v>18</v>
      </c>
      <c r="B44" s="69" t="s">
        <v>34</v>
      </c>
      <c r="C44" s="76" t="s">
        <v>111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6"/>
        <v>4.2862477871999998</v>
      </c>
      <c r="I44" s="17">
        <f t="shared" si="7"/>
        <v>2143.1238936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35</v>
      </c>
      <c r="C45" s="76" t="s">
        <v>111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6"/>
        <v>3.0571051328000003</v>
      </c>
      <c r="I45" s="17">
        <f t="shared" si="7"/>
        <v>1528.5525664000002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6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hidden="1" customHeight="1">
      <c r="A47" s="47">
        <v>21</v>
      </c>
      <c r="B47" s="69" t="s">
        <v>55</v>
      </c>
      <c r="C47" s="76" t="s">
        <v>111</v>
      </c>
      <c r="D47" s="69" t="s">
        <v>149</v>
      </c>
      <c r="E47" s="77">
        <v>2549.5</v>
      </c>
      <c r="F47" s="78">
        <f>SUM(E47*5/1000)</f>
        <v>12.7475</v>
      </c>
      <c r="G47" s="17">
        <v>1711.28</v>
      </c>
      <c r="H47" s="79">
        <f t="shared" si="6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hidden="1" customHeight="1">
      <c r="A48" s="47">
        <v>12</v>
      </c>
      <c r="B48" s="69" t="s">
        <v>120</v>
      </c>
      <c r="C48" s="76" t="s">
        <v>111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6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hidden="1" customHeight="1">
      <c r="A49" s="47">
        <v>13</v>
      </c>
      <c r="B49" s="69" t="s">
        <v>121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6"/>
        <v>1.2321280000000001</v>
      </c>
      <c r="I49" s="17">
        <f t="shared" ref="I49:I50" si="8">F49/2*G49</f>
        <v>616.06400000000008</v>
      </c>
      <c r="J49" s="27"/>
      <c r="K49" s="10"/>
    </row>
    <row r="50" spans="1:14" ht="15.75" hidden="1" customHeight="1">
      <c r="A50" s="47">
        <v>14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6"/>
        <v>0.1406626</v>
      </c>
      <c r="I50" s="17">
        <f t="shared" si="8"/>
        <v>70.331299999999999</v>
      </c>
      <c r="J50" s="75"/>
    </row>
    <row r="51" spans="1:14" ht="15.75" customHeight="1">
      <c r="A51" s="47">
        <v>7</v>
      </c>
      <c r="B51" s="69" t="s">
        <v>122</v>
      </c>
      <c r="C51" s="76" t="s">
        <v>98</v>
      </c>
      <c r="D51" s="123">
        <v>44071</v>
      </c>
      <c r="E51" s="77">
        <v>64</v>
      </c>
      <c r="F51" s="78">
        <f>E51*3</f>
        <v>192</v>
      </c>
      <c r="G51" s="17">
        <v>175.6</v>
      </c>
      <c r="H51" s="79">
        <f t="shared" si="6"/>
        <v>33.715199999999996</v>
      </c>
      <c r="I51" s="17">
        <f>E51*G51</f>
        <v>11238.4</v>
      </c>
      <c r="J51" s="75"/>
    </row>
    <row r="52" spans="1:14" ht="15.75" customHeight="1">
      <c r="A52" s="47">
        <v>8</v>
      </c>
      <c r="B52" s="69" t="s">
        <v>39</v>
      </c>
      <c r="C52" s="76" t="s">
        <v>98</v>
      </c>
      <c r="D52" s="123">
        <v>44071</v>
      </c>
      <c r="E52" s="77">
        <v>128</v>
      </c>
      <c r="F52" s="78">
        <f>SUM(E52)*3</f>
        <v>384</v>
      </c>
      <c r="G52" s="17">
        <v>81.73</v>
      </c>
      <c r="H52" s="79">
        <f t="shared" si="6"/>
        <v>31.384319999999999</v>
      </c>
      <c r="I52" s="17">
        <f>E52*G52</f>
        <v>10461.44</v>
      </c>
      <c r="J52" s="75"/>
    </row>
    <row r="53" spans="1:14" ht="15.75" customHeight="1">
      <c r="A53" s="153" t="s">
        <v>126</v>
      </c>
      <c r="B53" s="154"/>
      <c r="C53" s="154"/>
      <c r="D53" s="154"/>
      <c r="E53" s="154"/>
      <c r="F53" s="154"/>
      <c r="G53" s="154"/>
      <c r="H53" s="154"/>
      <c r="I53" s="155"/>
      <c r="J53" s="75"/>
    </row>
    <row r="54" spans="1:14" ht="15.7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123</v>
      </c>
      <c r="C55" s="76" t="s">
        <v>88</v>
      </c>
      <c r="D55" s="69" t="s">
        <v>124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5.75" hidden="1" customHeight="1">
      <c r="A56" s="47">
        <v>9</v>
      </c>
      <c r="B56" s="88" t="s">
        <v>81</v>
      </c>
      <c r="C56" s="87" t="s">
        <v>30</v>
      </c>
      <c r="D56" s="88" t="s">
        <v>62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G56*3</f>
        <v>4503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9</v>
      </c>
      <c r="B60" s="19" t="s">
        <v>45</v>
      </c>
      <c r="C60" s="21" t="s">
        <v>98</v>
      </c>
      <c r="D60" s="19" t="s">
        <v>62</v>
      </c>
      <c r="E60" s="23">
        <v>1</v>
      </c>
      <c r="F60" s="17">
        <f>SUM(E60)</f>
        <v>1</v>
      </c>
      <c r="G60" s="17">
        <v>276.74</v>
      </c>
      <c r="H60" s="80">
        <f t="shared" ref="H60:H68" si="9">SUM(F60*G60/1000)</f>
        <v>0.27673999999999999</v>
      </c>
      <c r="I60" s="17">
        <v>0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98</v>
      </c>
      <c r="D61" s="19" t="s">
        <v>62</v>
      </c>
      <c r="E61" s="23">
        <v>2</v>
      </c>
      <c r="F61" s="17">
        <f>SUM(E61)</f>
        <v>2</v>
      </c>
      <c r="G61" s="17">
        <v>94.89</v>
      </c>
      <c r="H61" s="80">
        <f t="shared" si="9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99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9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100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9"/>
        <v>2.0663896399999997</v>
      </c>
      <c r="I63" s="17">
        <f t="shared" ref="I63:I67" si="10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70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9"/>
        <v>56.793660000000003</v>
      </c>
      <c r="I64" s="17">
        <f t="shared" si="10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101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9"/>
        <v>0.44603000000000004</v>
      </c>
      <c r="I65" s="17">
        <f t="shared" si="10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102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9"/>
        <v>0.41613800000000001</v>
      </c>
      <c r="I66" s="17">
        <f t="shared" si="10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56</v>
      </c>
      <c r="C67" s="21" t="s">
        <v>57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9"/>
        <v>0.12414</v>
      </c>
      <c r="I67" s="17">
        <f t="shared" si="10"/>
        <v>124.14</v>
      </c>
      <c r="J67" s="75"/>
      <c r="L67" s="24"/>
      <c r="M67" s="25"/>
      <c r="N67" s="26"/>
    </row>
    <row r="68" spans="1:14" ht="15.75" customHeight="1">
      <c r="A68" s="68">
        <v>9</v>
      </c>
      <c r="B68" s="19" t="s">
        <v>82</v>
      </c>
      <c r="C68" s="31" t="s">
        <v>103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9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104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105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65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106</v>
      </c>
      <c r="C72" s="21" t="s">
        <v>107</v>
      </c>
      <c r="D72" s="19" t="s">
        <v>62</v>
      </c>
      <c r="E72" s="23">
        <v>1</v>
      </c>
      <c r="F72" s="17">
        <f>E72</f>
        <v>1</v>
      </c>
      <c r="G72" s="17">
        <v>976.4</v>
      </c>
      <c r="H72" s="80">
        <f t="shared" ref="H72:H74" si="11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108</v>
      </c>
      <c r="C73" s="21" t="s">
        <v>109</v>
      </c>
      <c r="D73" s="19" t="s">
        <v>62</v>
      </c>
      <c r="E73" s="23">
        <v>1</v>
      </c>
      <c r="F73" s="17">
        <v>1</v>
      </c>
      <c r="G73" s="17">
        <v>735</v>
      </c>
      <c r="H73" s="80">
        <f t="shared" si="11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66</v>
      </c>
      <c r="C74" s="21" t="s">
        <v>68</v>
      </c>
      <c r="D74" s="19" t="s">
        <v>62</v>
      </c>
      <c r="E74" s="23">
        <v>3</v>
      </c>
      <c r="F74" s="17">
        <v>0.3</v>
      </c>
      <c r="G74" s="17">
        <v>624.16999999999996</v>
      </c>
      <c r="H74" s="80">
        <f t="shared" si="11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67</v>
      </c>
      <c r="C75" s="21" t="s">
        <v>29</v>
      </c>
      <c r="D75" s="19" t="s">
        <v>62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83</v>
      </c>
      <c r="C76" s="21" t="s">
        <v>29</v>
      </c>
      <c r="D76" s="19" t="s">
        <v>62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69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110</v>
      </c>
      <c r="C78" s="21" t="s">
        <v>70</v>
      </c>
      <c r="D78" s="19"/>
      <c r="E78" s="23"/>
      <c r="F78" s="17">
        <v>1</v>
      </c>
      <c r="G78" s="17">
        <v>3433.68</v>
      </c>
      <c r="H78" s="80">
        <f t="shared" ref="H78" si="12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59" t="s">
        <v>150</v>
      </c>
      <c r="B79" s="160"/>
      <c r="C79" s="160"/>
      <c r="D79" s="160"/>
      <c r="E79" s="160"/>
      <c r="F79" s="160"/>
      <c r="G79" s="160"/>
      <c r="H79" s="160"/>
      <c r="I79" s="161"/>
      <c r="J79" s="75"/>
      <c r="L79" s="24"/>
      <c r="M79" s="25"/>
      <c r="N79" s="26"/>
    </row>
    <row r="80" spans="1:14" ht="15.75" customHeight="1">
      <c r="A80" s="68">
        <v>10</v>
      </c>
      <c r="B80" s="69" t="s">
        <v>125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22" ht="31.5" customHeight="1">
      <c r="A81" s="31">
        <v>11</v>
      </c>
      <c r="B81" s="19" t="s">
        <v>71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22" ht="15.75" customHeight="1">
      <c r="A82" s="61"/>
      <c r="B82" s="45" t="s">
        <v>73</v>
      </c>
      <c r="C82" s="47"/>
      <c r="D82" s="20"/>
      <c r="E82" s="20"/>
      <c r="F82" s="20"/>
      <c r="G82" s="23"/>
      <c r="H82" s="23"/>
      <c r="I82" s="35">
        <f>I81+I80+I68+I52+I51+I30+I29+I26+I18+I17+I16</f>
        <v>53436.07809000001</v>
      </c>
      <c r="J82" s="75"/>
      <c r="L82" s="24"/>
      <c r="M82" s="25"/>
      <c r="N82" s="26"/>
    </row>
    <row r="83" spans="1:22" ht="15.75" customHeight="1">
      <c r="A83" s="156" t="s">
        <v>58</v>
      </c>
      <c r="B83" s="157"/>
      <c r="C83" s="157"/>
      <c r="D83" s="157"/>
      <c r="E83" s="157"/>
      <c r="F83" s="157"/>
      <c r="G83" s="157"/>
      <c r="H83" s="157"/>
      <c r="I83" s="158"/>
      <c r="J83" s="75"/>
      <c r="L83" s="24"/>
      <c r="M83" s="25"/>
      <c r="N83" s="26"/>
    </row>
    <row r="84" spans="1:22" ht="15.75" customHeight="1">
      <c r="A84" s="68">
        <v>12</v>
      </c>
      <c r="B84" s="19" t="s">
        <v>156</v>
      </c>
      <c r="C84" s="21" t="s">
        <v>157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22" ht="15.75" customHeight="1">
      <c r="A85" s="68">
        <v>13</v>
      </c>
      <c r="B85" s="117" t="s">
        <v>239</v>
      </c>
      <c r="C85" s="118" t="s">
        <v>86</v>
      </c>
      <c r="D85" s="43" t="s">
        <v>240</v>
      </c>
      <c r="E85" s="22"/>
      <c r="F85" s="41">
        <v>3</v>
      </c>
      <c r="G85" s="41">
        <v>133.13</v>
      </c>
      <c r="H85" s="17"/>
      <c r="I85" s="17">
        <f>G85*3</f>
        <v>399.39</v>
      </c>
      <c r="J85" s="75"/>
      <c r="L85" s="24"/>
      <c r="M85" s="25"/>
      <c r="N85" s="26"/>
    </row>
    <row r="86" spans="1:22" ht="28.5" customHeight="1">
      <c r="A86" s="68">
        <v>14</v>
      </c>
      <c r="B86" s="117" t="s">
        <v>165</v>
      </c>
      <c r="C86" s="118" t="s">
        <v>36</v>
      </c>
      <c r="D86" s="43" t="s">
        <v>182</v>
      </c>
      <c r="E86" s="22"/>
      <c r="F86" s="41">
        <v>0.2</v>
      </c>
      <c r="G86" s="41">
        <v>4070.89</v>
      </c>
      <c r="H86" s="17"/>
      <c r="I86" s="17">
        <v>0</v>
      </c>
      <c r="J86" s="75"/>
      <c r="L86" s="24"/>
      <c r="M86" s="25"/>
      <c r="N86" s="26"/>
    </row>
    <row r="87" spans="1:22" ht="16.5" customHeight="1">
      <c r="A87" s="68">
        <v>15</v>
      </c>
      <c r="B87" s="117" t="s">
        <v>158</v>
      </c>
      <c r="C87" s="118" t="s">
        <v>169</v>
      </c>
      <c r="D87" s="43" t="s">
        <v>267</v>
      </c>
      <c r="E87" s="22"/>
      <c r="F87" s="41">
        <v>22</v>
      </c>
      <c r="G87" s="41">
        <v>284</v>
      </c>
      <c r="H87" s="17"/>
      <c r="I87" s="17">
        <v>0</v>
      </c>
      <c r="J87" s="75"/>
      <c r="L87" s="24"/>
      <c r="M87" s="25"/>
      <c r="N87" s="26"/>
    </row>
    <row r="88" spans="1:22" ht="16.5" customHeight="1">
      <c r="A88" s="68">
        <v>16</v>
      </c>
      <c r="B88" s="117" t="s">
        <v>209</v>
      </c>
      <c r="C88" s="118" t="s">
        <v>38</v>
      </c>
      <c r="D88" s="43" t="s">
        <v>182</v>
      </c>
      <c r="E88" s="22"/>
      <c r="F88" s="41">
        <v>0.03</v>
      </c>
      <c r="G88" s="41">
        <v>27139.18</v>
      </c>
      <c r="H88" s="17"/>
      <c r="I88" s="17">
        <v>0</v>
      </c>
      <c r="J88" s="75"/>
      <c r="L88" s="24"/>
      <c r="M88" s="25"/>
      <c r="N88" s="26"/>
    </row>
    <row r="89" spans="1:22" ht="31.5" customHeight="1">
      <c r="A89" s="68">
        <v>17</v>
      </c>
      <c r="B89" s="117" t="s">
        <v>167</v>
      </c>
      <c r="C89" s="118" t="s">
        <v>168</v>
      </c>
      <c r="D89" s="43"/>
      <c r="E89" s="22"/>
      <c r="F89" s="41">
        <v>3</v>
      </c>
      <c r="G89" s="41">
        <v>61.58</v>
      </c>
      <c r="H89" s="17"/>
      <c r="I89" s="17">
        <f>G89*1</f>
        <v>61.58</v>
      </c>
      <c r="J89" s="75"/>
      <c r="L89" s="24"/>
      <c r="M89" s="25"/>
      <c r="N89" s="26"/>
    </row>
    <row r="90" spans="1:22" ht="15.75" customHeight="1">
      <c r="A90" s="31"/>
      <c r="B90" s="52" t="s">
        <v>50</v>
      </c>
      <c r="C90" s="48"/>
      <c r="D90" s="62"/>
      <c r="E90" s="48">
        <v>1</v>
      </c>
      <c r="F90" s="48"/>
      <c r="G90" s="48"/>
      <c r="H90" s="48"/>
      <c r="I90" s="35">
        <f>SUM(I84:I89)</f>
        <v>528.16999999999996</v>
      </c>
      <c r="J90" s="75"/>
      <c r="L90" s="24"/>
      <c r="M90" s="25"/>
      <c r="N90" s="26"/>
    </row>
    <row r="91" spans="1:22" ht="15.75" customHeight="1">
      <c r="A91" s="31"/>
      <c r="B91" s="57" t="s">
        <v>72</v>
      </c>
      <c r="C91" s="20"/>
      <c r="D91" s="20"/>
      <c r="E91" s="49"/>
      <c r="F91" s="49"/>
      <c r="G91" s="50"/>
      <c r="H91" s="50"/>
      <c r="I91" s="22">
        <v>0</v>
      </c>
      <c r="J91" s="75"/>
      <c r="L91" s="24"/>
      <c r="M91" s="25"/>
      <c r="N91" s="26"/>
    </row>
    <row r="92" spans="1:22" ht="15.75" customHeight="1">
      <c r="A92" s="63"/>
      <c r="B92" s="53" t="s">
        <v>151</v>
      </c>
      <c r="C92" s="39"/>
      <c r="D92" s="39"/>
      <c r="E92" s="39"/>
      <c r="F92" s="39"/>
      <c r="G92" s="39"/>
      <c r="H92" s="39"/>
      <c r="I92" s="51">
        <f>I82+I90</f>
        <v>53964.248090000008</v>
      </c>
      <c r="J92" s="75"/>
      <c r="L92" s="24"/>
    </row>
    <row r="93" spans="1:22" ht="15.75">
      <c r="A93" s="142" t="s">
        <v>268</v>
      </c>
      <c r="B93" s="142"/>
      <c r="C93" s="142"/>
      <c r="D93" s="142"/>
      <c r="E93" s="142"/>
      <c r="F93" s="142"/>
      <c r="G93" s="142"/>
      <c r="H93" s="142"/>
      <c r="I93" s="142"/>
    </row>
    <row r="94" spans="1:22" ht="15.75">
      <c r="A94" s="12"/>
      <c r="B94" s="152" t="s">
        <v>269</v>
      </c>
      <c r="C94" s="152"/>
      <c r="D94" s="152"/>
      <c r="E94" s="152"/>
      <c r="F94" s="152"/>
      <c r="G94" s="152"/>
      <c r="H94" s="98"/>
      <c r="I94" s="4"/>
    </row>
    <row r="95" spans="1:22" ht="15.75">
      <c r="A95" s="70"/>
      <c r="B95" s="145" t="s">
        <v>6</v>
      </c>
      <c r="C95" s="145"/>
      <c r="D95" s="145"/>
      <c r="E95" s="145"/>
      <c r="F95" s="145"/>
      <c r="G95" s="145"/>
      <c r="H95" s="74"/>
      <c r="I95" s="59"/>
    </row>
    <row r="96" spans="1:22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46" t="s">
        <v>7</v>
      </c>
      <c r="B97" s="146"/>
      <c r="C97" s="146"/>
      <c r="D97" s="146"/>
      <c r="E97" s="146"/>
      <c r="F97" s="146"/>
      <c r="G97" s="146"/>
      <c r="H97" s="146"/>
      <c r="I97" s="146"/>
      <c r="J97" s="29"/>
      <c r="K97" s="29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>
      <c r="A98" s="146" t="s">
        <v>8</v>
      </c>
      <c r="B98" s="146"/>
      <c r="C98" s="146"/>
      <c r="D98" s="146"/>
      <c r="E98" s="146"/>
      <c r="F98" s="146"/>
      <c r="G98" s="146"/>
      <c r="H98" s="146"/>
      <c r="I98" s="146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>
      <c r="A99" s="142" t="s">
        <v>9</v>
      </c>
      <c r="B99" s="142"/>
      <c r="C99" s="142"/>
      <c r="D99" s="142"/>
      <c r="E99" s="142"/>
      <c r="F99" s="142"/>
      <c r="G99" s="142"/>
      <c r="H99" s="142"/>
      <c r="I99" s="142"/>
      <c r="J99" s="6"/>
      <c r="K99" s="6"/>
      <c r="L99" s="6"/>
      <c r="M99" s="6"/>
      <c r="N99" s="6"/>
      <c r="O99" s="6"/>
      <c r="P99" s="6"/>
      <c r="Q99" s="6"/>
      <c r="R99" s="144"/>
      <c r="S99" s="144"/>
      <c r="T99" s="144"/>
      <c r="U99" s="144"/>
    </row>
    <row r="100" spans="1:21" ht="15.75">
      <c r="A100" s="13"/>
      <c r="B100" s="58"/>
      <c r="C100" s="58"/>
      <c r="D100" s="58"/>
      <c r="E100" s="58"/>
      <c r="F100" s="58"/>
      <c r="G100" s="58"/>
      <c r="H100" s="58"/>
      <c r="I100" s="58"/>
    </row>
    <row r="101" spans="1:21" ht="15.75">
      <c r="A101" s="148" t="s">
        <v>10</v>
      </c>
      <c r="B101" s="148"/>
      <c r="C101" s="148"/>
      <c r="D101" s="148"/>
      <c r="E101" s="148"/>
      <c r="F101" s="148"/>
      <c r="G101" s="148"/>
      <c r="H101" s="148"/>
      <c r="I101" s="148"/>
    </row>
    <row r="102" spans="1:21" ht="15.75" customHeight="1">
      <c r="A102" s="5"/>
    </row>
    <row r="103" spans="1:21" ht="15.75">
      <c r="A103" s="142" t="s">
        <v>11</v>
      </c>
      <c r="B103" s="142"/>
      <c r="C103" s="147" t="s">
        <v>85</v>
      </c>
      <c r="D103" s="147"/>
      <c r="E103" s="147"/>
      <c r="F103" s="72"/>
      <c r="I103" s="103"/>
    </row>
    <row r="104" spans="1:21">
      <c r="A104" s="104"/>
      <c r="C104" s="141" t="s">
        <v>12</v>
      </c>
      <c r="D104" s="141"/>
      <c r="E104" s="141"/>
      <c r="F104" s="28"/>
      <c r="I104" s="102" t="s">
        <v>13</v>
      </c>
    </row>
    <row r="105" spans="1:21" ht="15.75">
      <c r="A105" s="29"/>
      <c r="C105" s="14"/>
      <c r="D105" s="14"/>
      <c r="G105" s="14"/>
      <c r="H105" s="14"/>
    </row>
    <row r="106" spans="1:21" ht="15.75" customHeight="1">
      <c r="A106" s="142" t="s">
        <v>14</v>
      </c>
      <c r="B106" s="142"/>
      <c r="C106" s="143"/>
      <c r="D106" s="143"/>
      <c r="E106" s="143"/>
      <c r="F106" s="73"/>
      <c r="I106" s="103"/>
    </row>
    <row r="107" spans="1:21">
      <c r="A107" s="104"/>
      <c r="C107" s="144" t="s">
        <v>12</v>
      </c>
      <c r="D107" s="144"/>
      <c r="E107" s="144"/>
      <c r="F107" s="104"/>
      <c r="I107" s="102" t="s">
        <v>13</v>
      </c>
    </row>
    <row r="108" spans="1:21" ht="15.75">
      <c r="A108" s="5" t="s">
        <v>15</v>
      </c>
    </row>
    <row r="109" spans="1:21">
      <c r="A109" s="139" t="s">
        <v>16</v>
      </c>
      <c r="B109" s="139"/>
      <c r="C109" s="139"/>
      <c r="D109" s="139"/>
      <c r="E109" s="139"/>
      <c r="F109" s="139"/>
      <c r="G109" s="139"/>
      <c r="H109" s="139"/>
      <c r="I109" s="139"/>
    </row>
    <row r="110" spans="1:21" ht="45" customHeight="1">
      <c r="A110" s="140" t="s">
        <v>17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30" customHeight="1">
      <c r="A111" s="140" t="s">
        <v>18</v>
      </c>
      <c r="B111" s="140"/>
      <c r="C111" s="140"/>
      <c r="D111" s="140"/>
      <c r="E111" s="140"/>
      <c r="F111" s="140"/>
      <c r="G111" s="140"/>
      <c r="H111" s="140"/>
      <c r="I111" s="140"/>
    </row>
    <row r="112" spans="1:21" ht="30" customHeight="1">
      <c r="A112" s="140" t="s">
        <v>22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" customHeight="1">
      <c r="A113" s="140" t="s">
        <v>21</v>
      </c>
      <c r="B113" s="140"/>
      <c r="C113" s="140"/>
      <c r="D113" s="140"/>
      <c r="E113" s="140"/>
      <c r="F113" s="140"/>
      <c r="G113" s="140"/>
      <c r="H113" s="140"/>
      <c r="I113" s="140"/>
    </row>
    <row r="115" spans="1:9">
      <c r="A115" s="15"/>
      <c r="B115" s="15"/>
      <c r="C115" s="15"/>
      <c r="D115" s="15"/>
      <c r="E115" s="15"/>
      <c r="F115" s="15"/>
      <c r="G115" s="15"/>
      <c r="H115" s="15"/>
    </row>
  </sheetData>
  <autoFilter ref="I15:I94"/>
  <mergeCells count="31"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  <mergeCell ref="A93:I93"/>
    <mergeCell ref="B94:G94"/>
    <mergeCell ref="B95:G95"/>
    <mergeCell ref="A97:I97"/>
    <mergeCell ref="A98:I98"/>
    <mergeCell ref="A113:I113"/>
    <mergeCell ref="R99:U99"/>
    <mergeCell ref="A101:I101"/>
    <mergeCell ref="A103:B103"/>
    <mergeCell ref="C103:E103"/>
    <mergeCell ref="C104:E104"/>
    <mergeCell ref="A106:B106"/>
    <mergeCell ref="C106:E106"/>
    <mergeCell ref="A99:I99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topLeftCell="A53" workbookViewId="0">
      <selection activeCell="A95" sqref="A95: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161</v>
      </c>
      <c r="I1" s="32"/>
    </row>
    <row r="2" spans="1:15" s="58" customFormat="1" ht="15.75" customHeight="1">
      <c r="A2" s="30" t="s">
        <v>59</v>
      </c>
      <c r="J2" s="1"/>
      <c r="K2" s="1"/>
      <c r="L2" s="1"/>
      <c r="M2" s="1"/>
    </row>
    <row r="3" spans="1:15" s="58" customFormat="1" ht="15.75" customHeight="1">
      <c r="A3" s="167" t="s">
        <v>136</v>
      </c>
      <c r="B3" s="167"/>
      <c r="C3" s="167"/>
      <c r="D3" s="167"/>
      <c r="E3" s="167"/>
      <c r="F3" s="167"/>
      <c r="G3" s="167"/>
      <c r="H3" s="167"/>
      <c r="I3" s="167"/>
      <c r="J3" s="2"/>
      <c r="K3" s="2"/>
      <c r="L3" s="2"/>
      <c r="M3" s="2"/>
    </row>
    <row r="4" spans="1:15" s="58" customFormat="1" ht="31.5" customHeight="1">
      <c r="A4" s="168" t="s">
        <v>87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3"/>
      <c r="M4" s="3"/>
    </row>
    <row r="5" spans="1:15" s="58" customFormat="1" ht="15.75" customHeight="1">
      <c r="A5" s="167" t="s">
        <v>241</v>
      </c>
      <c r="B5" s="169"/>
      <c r="C5" s="169"/>
      <c r="D5" s="169"/>
      <c r="E5" s="169"/>
      <c r="F5" s="169"/>
      <c r="G5" s="169"/>
      <c r="H5" s="169"/>
      <c r="I5" s="169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44104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70" t="s">
        <v>162</v>
      </c>
      <c r="B8" s="170"/>
      <c r="C8" s="170"/>
      <c r="D8" s="170"/>
      <c r="E8" s="170"/>
      <c r="F8" s="170"/>
      <c r="G8" s="170"/>
      <c r="H8" s="170"/>
      <c r="I8" s="17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71" t="s">
        <v>160</v>
      </c>
      <c r="B10" s="171"/>
      <c r="C10" s="171"/>
      <c r="D10" s="171"/>
      <c r="E10" s="171"/>
      <c r="F10" s="171"/>
      <c r="G10" s="171"/>
      <c r="H10" s="171"/>
      <c r="I10" s="17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65" t="s">
        <v>141</v>
      </c>
      <c r="B14" s="166"/>
      <c r="C14" s="166"/>
      <c r="D14" s="166"/>
      <c r="E14" s="166"/>
      <c r="F14" s="166"/>
      <c r="G14" s="166"/>
      <c r="H14" s="166"/>
      <c r="I14" s="166"/>
      <c r="J14" s="114"/>
      <c r="K14" s="114"/>
      <c r="L14" s="10"/>
      <c r="M14" s="10"/>
      <c r="N14" s="10"/>
      <c r="O14" s="10"/>
    </row>
    <row r="15" spans="1:15" ht="15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1"/>
      <c r="J15" s="11"/>
      <c r="K15" s="11"/>
    </row>
    <row r="16" spans="1:15" ht="15.75" customHeight="1">
      <c r="A16" s="31">
        <v>1</v>
      </c>
      <c r="B16" s="69" t="s">
        <v>77</v>
      </c>
      <c r="C16" s="76" t="s">
        <v>88</v>
      </c>
      <c r="D16" s="69" t="s">
        <v>175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78</v>
      </c>
      <c r="C17" s="76" t="s">
        <v>88</v>
      </c>
      <c r="D17" s="69" t="s">
        <v>176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79</v>
      </c>
      <c r="C18" s="76" t="s">
        <v>88</v>
      </c>
      <c r="D18" s="69" t="s">
        <v>177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89</v>
      </c>
      <c r="C19" s="76" t="s">
        <v>90</v>
      </c>
      <c r="D19" s="69" t="s">
        <v>91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3.5" customHeight="1">
      <c r="A20" s="31">
        <v>4</v>
      </c>
      <c r="B20" s="69" t="s">
        <v>92</v>
      </c>
      <c r="C20" s="76" t="s">
        <v>88</v>
      </c>
      <c r="D20" s="69" t="s">
        <v>182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f>G20*F20/2</f>
        <v>28.467600000000001</v>
      </c>
      <c r="J20" s="10"/>
      <c r="K20" s="10"/>
      <c r="L20" s="10"/>
      <c r="M20" s="10"/>
    </row>
    <row r="21" spans="1:13" ht="14.25" customHeight="1">
      <c r="A21" s="31">
        <v>5</v>
      </c>
      <c r="B21" s="69" t="s">
        <v>93</v>
      </c>
      <c r="C21" s="76" t="s">
        <v>88</v>
      </c>
      <c r="D21" s="69" t="s">
        <v>182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f>G21*F21/2</f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94</v>
      </c>
      <c r="C22" s="76" t="s">
        <v>51</v>
      </c>
      <c r="D22" s="69" t="s">
        <v>91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6.5" hidden="1" customHeight="1">
      <c r="A23" s="31">
        <v>8</v>
      </c>
      <c r="B23" s="69" t="s">
        <v>95</v>
      </c>
      <c r="C23" s="76" t="s">
        <v>51</v>
      </c>
      <c r="D23" s="69" t="s">
        <v>91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3.5" hidden="1" customHeight="1">
      <c r="A24" s="31">
        <v>9</v>
      </c>
      <c r="B24" s="69" t="s">
        <v>96</v>
      </c>
      <c r="C24" s="76" t="s">
        <v>51</v>
      </c>
      <c r="D24" s="82" t="s">
        <v>91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" hidden="1" customHeight="1">
      <c r="A25" s="31">
        <v>10</v>
      </c>
      <c r="B25" s="69" t="s">
        <v>97</v>
      </c>
      <c r="C25" s="76" t="s">
        <v>51</v>
      </c>
      <c r="D25" s="69" t="s">
        <v>91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6</v>
      </c>
      <c r="B26" s="37" t="s">
        <v>174</v>
      </c>
      <c r="C26" s="46" t="s">
        <v>157</v>
      </c>
      <c r="D26" s="37" t="s">
        <v>178</v>
      </c>
      <c r="E26" s="124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9" t="s">
        <v>76</v>
      </c>
      <c r="B27" s="150"/>
      <c r="C27" s="150"/>
      <c r="D27" s="150"/>
      <c r="E27" s="150"/>
      <c r="F27" s="150"/>
      <c r="G27" s="150"/>
      <c r="H27" s="150"/>
      <c r="I27" s="151"/>
      <c r="J27" s="27"/>
      <c r="K27" s="10"/>
      <c r="L27" s="10"/>
      <c r="M27" s="10"/>
    </row>
    <row r="28" spans="1:13" ht="15.75" customHeight="1">
      <c r="A28" s="47"/>
      <c r="B28" s="55" t="s">
        <v>138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7</v>
      </c>
      <c r="B29" s="69" t="s">
        <v>142</v>
      </c>
      <c r="C29" s="76" t="s">
        <v>111</v>
      </c>
      <c r="D29" s="69" t="s">
        <v>176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3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8</v>
      </c>
      <c r="B30" s="69" t="s">
        <v>143</v>
      </c>
      <c r="C30" s="76" t="s">
        <v>111</v>
      </c>
      <c r="D30" s="69" t="s">
        <v>175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111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2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61</v>
      </c>
      <c r="C32" s="76" t="s">
        <v>31</v>
      </c>
      <c r="D32" s="69" t="s">
        <v>62</v>
      </c>
      <c r="E32" s="77"/>
      <c r="F32" s="78">
        <v>1</v>
      </c>
      <c r="G32" s="78">
        <v>238.07</v>
      </c>
      <c r="H32" s="79">
        <f t="shared" si="2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112</v>
      </c>
      <c r="C33" s="76" t="s">
        <v>30</v>
      </c>
      <c r="D33" s="69" t="s">
        <v>62</v>
      </c>
      <c r="E33" s="77"/>
      <c r="F33" s="78">
        <v>1</v>
      </c>
      <c r="G33" s="78">
        <v>1413.96</v>
      </c>
      <c r="H33" s="79">
        <f t="shared" si="2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4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113</v>
      </c>
      <c r="C36" s="76" t="s">
        <v>28</v>
      </c>
      <c r="D36" s="69" t="s">
        <v>145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114</v>
      </c>
      <c r="C37" s="76" t="s">
        <v>115</v>
      </c>
      <c r="D37" s="69" t="s">
        <v>62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146</v>
      </c>
      <c r="C38" s="76" t="s">
        <v>28</v>
      </c>
      <c r="D38" s="69" t="s">
        <v>116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4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75</v>
      </c>
      <c r="C39" s="76" t="s">
        <v>111</v>
      </c>
      <c r="D39" s="69" t="s">
        <v>117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4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118</v>
      </c>
      <c r="C40" s="76" t="s">
        <v>111</v>
      </c>
      <c r="D40" s="69" t="s">
        <v>147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4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63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4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customHeight="1">
      <c r="A42" s="162" t="s">
        <v>148</v>
      </c>
      <c r="B42" s="163"/>
      <c r="C42" s="163"/>
      <c r="D42" s="163"/>
      <c r="E42" s="163"/>
      <c r="F42" s="163"/>
      <c r="G42" s="163"/>
      <c r="H42" s="163"/>
      <c r="I42" s="164"/>
      <c r="J42" s="27"/>
      <c r="K42" s="10"/>
      <c r="L42" s="10"/>
      <c r="M42" s="10"/>
    </row>
    <row r="43" spans="1:13" ht="17.25" customHeight="1">
      <c r="A43" s="47">
        <v>9</v>
      </c>
      <c r="B43" s="69" t="s">
        <v>119</v>
      </c>
      <c r="C43" s="76" t="s">
        <v>111</v>
      </c>
      <c r="D43" s="69" t="s">
        <v>182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5">SUM(F43*G43/1000)</f>
        <v>2.721961968</v>
      </c>
      <c r="I43" s="17">
        <f t="shared" ref="I43:I45" si="6">F43/2*G43</f>
        <v>1360.980984</v>
      </c>
      <c r="J43" s="27"/>
      <c r="K43" s="10"/>
      <c r="L43" s="10"/>
      <c r="M43" s="10"/>
    </row>
    <row r="44" spans="1:13" ht="14.25" customHeight="1">
      <c r="A44" s="47">
        <v>10</v>
      </c>
      <c r="B44" s="69" t="s">
        <v>34</v>
      </c>
      <c r="C44" s="76" t="s">
        <v>111</v>
      </c>
      <c r="D44" s="69" t="s">
        <v>182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5"/>
        <v>4.2862477871999998</v>
      </c>
      <c r="I44" s="17">
        <f t="shared" si="6"/>
        <v>2143.1238936</v>
      </c>
      <c r="J44" s="27"/>
      <c r="K44" s="10"/>
      <c r="L44" s="10"/>
      <c r="M44" s="10"/>
    </row>
    <row r="45" spans="1:13" ht="15.75" customHeight="1">
      <c r="A45" s="47">
        <v>11</v>
      </c>
      <c r="B45" s="69" t="s">
        <v>35</v>
      </c>
      <c r="C45" s="76" t="s">
        <v>111</v>
      </c>
      <c r="D45" s="69" t="s">
        <v>182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5"/>
        <v>3.0571051328000003</v>
      </c>
      <c r="I45" s="17">
        <f t="shared" si="6"/>
        <v>1528.5525664000002</v>
      </c>
      <c r="J45" s="27"/>
      <c r="K45" s="10"/>
      <c r="L45" s="10"/>
      <c r="M45" s="10"/>
    </row>
    <row r="46" spans="1:13" ht="15" customHeight="1">
      <c r="A46" s="47">
        <v>12</v>
      </c>
      <c r="B46" s="69" t="s">
        <v>32</v>
      </c>
      <c r="C46" s="76" t="s">
        <v>33</v>
      </c>
      <c r="D46" s="69" t="s">
        <v>182</v>
      </c>
      <c r="E46" s="77">
        <v>85.84</v>
      </c>
      <c r="F46" s="78">
        <f>E46*2/100</f>
        <v>1.7168000000000001</v>
      </c>
      <c r="G46" s="17">
        <v>90.61</v>
      </c>
      <c r="H46" s="79">
        <f t="shared" si="5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customHeight="1">
      <c r="A47" s="47">
        <v>13</v>
      </c>
      <c r="B47" s="69" t="s">
        <v>55</v>
      </c>
      <c r="C47" s="76" t="s">
        <v>111</v>
      </c>
      <c r="D47" s="69" t="s">
        <v>182</v>
      </c>
      <c r="E47" s="77">
        <v>2549.5</v>
      </c>
      <c r="F47" s="78">
        <f>SUM(E47*5/1000)</f>
        <v>12.7475</v>
      </c>
      <c r="G47" s="17">
        <v>1711.28</v>
      </c>
      <c r="H47" s="79">
        <f t="shared" si="5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customHeight="1">
      <c r="A48" s="47">
        <v>14</v>
      </c>
      <c r="B48" s="69" t="s">
        <v>120</v>
      </c>
      <c r="C48" s="76" t="s">
        <v>111</v>
      </c>
      <c r="D48" s="69" t="s">
        <v>182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5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customHeight="1">
      <c r="A49" s="47">
        <v>15</v>
      </c>
      <c r="B49" s="69" t="s">
        <v>121</v>
      </c>
      <c r="C49" s="76" t="s">
        <v>36</v>
      </c>
      <c r="D49" s="69" t="s">
        <v>182</v>
      </c>
      <c r="E49" s="77">
        <v>16</v>
      </c>
      <c r="F49" s="78">
        <f>SUM(E49*2/100)</f>
        <v>0.32</v>
      </c>
      <c r="G49" s="17">
        <v>3850.4</v>
      </c>
      <c r="H49" s="79">
        <f t="shared" si="5"/>
        <v>1.2321280000000001</v>
      </c>
      <c r="I49" s="17">
        <f t="shared" ref="I49:I50" si="7">F49/2*G49</f>
        <v>616.06400000000008</v>
      </c>
      <c r="J49" s="27"/>
      <c r="K49" s="10"/>
    </row>
    <row r="50" spans="1:14" ht="15.75" customHeight="1">
      <c r="A50" s="47">
        <v>16</v>
      </c>
      <c r="B50" s="69" t="s">
        <v>37</v>
      </c>
      <c r="C50" s="76" t="s">
        <v>38</v>
      </c>
      <c r="D50" s="69" t="s">
        <v>182</v>
      </c>
      <c r="E50" s="77">
        <v>1</v>
      </c>
      <c r="F50" s="78">
        <v>0.02</v>
      </c>
      <c r="G50" s="17">
        <v>7033.13</v>
      </c>
      <c r="H50" s="79">
        <f t="shared" si="5"/>
        <v>0.1406626</v>
      </c>
      <c r="I50" s="17">
        <f t="shared" si="7"/>
        <v>70.331299999999999</v>
      </c>
      <c r="J50" s="75"/>
    </row>
    <row r="51" spans="1:14" ht="15.75" hidden="1" customHeight="1">
      <c r="A51" s="47">
        <v>16</v>
      </c>
      <c r="B51" s="69" t="s">
        <v>122</v>
      </c>
      <c r="C51" s="76" t="s">
        <v>98</v>
      </c>
      <c r="D51" s="69" t="s">
        <v>64</v>
      </c>
      <c r="E51" s="77">
        <v>64</v>
      </c>
      <c r="F51" s="78">
        <f>E51*3</f>
        <v>192</v>
      </c>
      <c r="G51" s="17">
        <v>175.6</v>
      </c>
      <c r="H51" s="79">
        <f t="shared" si="5"/>
        <v>33.715199999999996</v>
      </c>
      <c r="I51" s="17">
        <f>E51*G51</f>
        <v>11238.4</v>
      </c>
      <c r="J51" s="75"/>
    </row>
    <row r="52" spans="1:14" ht="15.75" hidden="1" customHeight="1">
      <c r="A52" s="47">
        <v>17</v>
      </c>
      <c r="B52" s="69" t="s">
        <v>39</v>
      </c>
      <c r="C52" s="76" t="s">
        <v>98</v>
      </c>
      <c r="D52" s="69" t="s">
        <v>64</v>
      </c>
      <c r="E52" s="77">
        <v>128</v>
      </c>
      <c r="F52" s="78">
        <f>SUM(E52)*3</f>
        <v>384</v>
      </c>
      <c r="G52" s="17">
        <v>81.73</v>
      </c>
      <c r="H52" s="79">
        <f t="shared" si="5"/>
        <v>31.384319999999999</v>
      </c>
      <c r="I52" s="17">
        <f>E52*G52</f>
        <v>10461.44</v>
      </c>
      <c r="J52" s="75"/>
    </row>
    <row r="53" spans="1:14" ht="15.75" customHeight="1">
      <c r="A53" s="153" t="s">
        <v>126</v>
      </c>
      <c r="B53" s="154"/>
      <c r="C53" s="154"/>
      <c r="D53" s="154"/>
      <c r="E53" s="154"/>
      <c r="F53" s="154"/>
      <c r="G53" s="154"/>
      <c r="H53" s="154"/>
      <c r="I53" s="155"/>
      <c r="J53" s="75"/>
    </row>
    <row r="54" spans="1:14" ht="15.7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123</v>
      </c>
      <c r="C55" s="76" t="s">
        <v>88</v>
      </c>
      <c r="D55" s="69" t="s">
        <v>124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5.75" hidden="1" customHeight="1">
      <c r="A56" s="47">
        <v>9</v>
      </c>
      <c r="B56" s="88" t="s">
        <v>81</v>
      </c>
      <c r="C56" s="87" t="s">
        <v>30</v>
      </c>
      <c r="D56" s="88" t="s">
        <v>62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G56*3</f>
        <v>4503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customHeight="1">
      <c r="A60" s="47">
        <v>17</v>
      </c>
      <c r="B60" s="19" t="s">
        <v>45</v>
      </c>
      <c r="C60" s="21" t="s">
        <v>98</v>
      </c>
      <c r="D60" s="19" t="s">
        <v>242</v>
      </c>
      <c r="E60" s="23">
        <v>1</v>
      </c>
      <c r="F60" s="17">
        <f>SUM(E60)</f>
        <v>1</v>
      </c>
      <c r="G60" s="17">
        <v>276.74</v>
      </c>
      <c r="H60" s="80">
        <f t="shared" ref="H60:H68" si="8">SUM(F60*G60/1000)</f>
        <v>0.27673999999999999</v>
      </c>
      <c r="I60" s="17">
        <f>G60*5</f>
        <v>1383.7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98</v>
      </c>
      <c r="D61" s="19" t="s">
        <v>62</v>
      </c>
      <c r="E61" s="23">
        <v>2</v>
      </c>
      <c r="F61" s="17">
        <f>SUM(E61)</f>
        <v>2</v>
      </c>
      <c r="G61" s="17">
        <v>94.89</v>
      </c>
      <c r="H61" s="80">
        <f t="shared" si="8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99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8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100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8"/>
        <v>2.0663896399999997</v>
      </c>
      <c r="I63" s="17">
        <f t="shared" ref="I63:I66" si="9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70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8"/>
        <v>56.793660000000003</v>
      </c>
      <c r="I64" s="17">
        <f t="shared" si="9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101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8"/>
        <v>0.44603000000000004</v>
      </c>
      <c r="I65" s="17">
        <f t="shared" si="9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102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8"/>
        <v>0.41613800000000001</v>
      </c>
      <c r="I66" s="17">
        <f t="shared" si="9"/>
        <v>416.13800000000003</v>
      </c>
      <c r="J66" s="75"/>
      <c r="L66" s="24"/>
      <c r="M66" s="25"/>
      <c r="N66" s="26"/>
    </row>
    <row r="67" spans="1:14" ht="15.75" customHeight="1">
      <c r="A67" s="67">
        <v>18</v>
      </c>
      <c r="B67" s="19" t="s">
        <v>56</v>
      </c>
      <c r="C67" s="21" t="s">
        <v>57</v>
      </c>
      <c r="D67" s="19" t="s">
        <v>187</v>
      </c>
      <c r="E67" s="23">
        <v>2</v>
      </c>
      <c r="F67" s="17">
        <f>SUM(E67)</f>
        <v>2</v>
      </c>
      <c r="G67" s="17">
        <v>62.07</v>
      </c>
      <c r="H67" s="80">
        <f t="shared" si="8"/>
        <v>0.12414</v>
      </c>
      <c r="I67" s="17">
        <f>G67*2</f>
        <v>124.14</v>
      </c>
      <c r="J67" s="75"/>
      <c r="L67" s="24"/>
      <c r="M67" s="25"/>
      <c r="N67" s="26"/>
    </row>
    <row r="68" spans="1:14" ht="15.75" customHeight="1">
      <c r="A68" s="68">
        <v>19</v>
      </c>
      <c r="B68" s="19" t="s">
        <v>82</v>
      </c>
      <c r="C68" s="31" t="s">
        <v>103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8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104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105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65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106</v>
      </c>
      <c r="C72" s="21" t="s">
        <v>107</v>
      </c>
      <c r="D72" s="19" t="s">
        <v>62</v>
      </c>
      <c r="E72" s="23">
        <v>1</v>
      </c>
      <c r="F72" s="17">
        <f>E72</f>
        <v>1</v>
      </c>
      <c r="G72" s="17">
        <v>976.4</v>
      </c>
      <c r="H72" s="80">
        <f t="shared" ref="H72:H74" si="10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108</v>
      </c>
      <c r="C73" s="21" t="s">
        <v>109</v>
      </c>
      <c r="D73" s="19" t="s">
        <v>62</v>
      </c>
      <c r="E73" s="23">
        <v>1</v>
      </c>
      <c r="F73" s="17">
        <v>1</v>
      </c>
      <c r="G73" s="17">
        <v>735</v>
      </c>
      <c r="H73" s="80">
        <f t="shared" si="10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66</v>
      </c>
      <c r="C74" s="21" t="s">
        <v>68</v>
      </c>
      <c r="D74" s="19" t="s">
        <v>62</v>
      </c>
      <c r="E74" s="23">
        <v>3</v>
      </c>
      <c r="F74" s="17">
        <v>0.3</v>
      </c>
      <c r="G74" s="17">
        <v>624.16999999999996</v>
      </c>
      <c r="H74" s="80">
        <f t="shared" si="10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67</v>
      </c>
      <c r="C75" s="21" t="s">
        <v>29</v>
      </c>
      <c r="D75" s="19" t="s">
        <v>62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83</v>
      </c>
      <c r="C76" s="21" t="s">
        <v>29</v>
      </c>
      <c r="D76" s="19" t="s">
        <v>62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69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110</v>
      </c>
      <c r="C78" s="21" t="s">
        <v>70</v>
      </c>
      <c r="D78" s="19"/>
      <c r="E78" s="23"/>
      <c r="F78" s="17">
        <v>1</v>
      </c>
      <c r="G78" s="17">
        <v>3433.68</v>
      </c>
      <c r="H78" s="80">
        <f t="shared" ref="H78" si="11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59" t="s">
        <v>150</v>
      </c>
      <c r="B79" s="160"/>
      <c r="C79" s="160"/>
      <c r="D79" s="160"/>
      <c r="E79" s="160"/>
      <c r="F79" s="160"/>
      <c r="G79" s="160"/>
      <c r="H79" s="160"/>
      <c r="I79" s="161"/>
      <c r="J79" s="75"/>
      <c r="L79" s="24"/>
      <c r="M79" s="25"/>
      <c r="N79" s="26"/>
    </row>
    <row r="80" spans="1:14" ht="15.75" customHeight="1">
      <c r="A80" s="68">
        <v>20</v>
      </c>
      <c r="B80" s="69" t="s">
        <v>125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22" ht="31.5" customHeight="1">
      <c r="A81" s="31">
        <v>21</v>
      </c>
      <c r="B81" s="19" t="s">
        <v>71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22" ht="15.75" customHeight="1">
      <c r="A82" s="61"/>
      <c r="B82" s="45" t="s">
        <v>73</v>
      </c>
      <c r="C82" s="47"/>
      <c r="D82" s="20"/>
      <c r="E82" s="20"/>
      <c r="F82" s="20"/>
      <c r="G82" s="23"/>
      <c r="H82" s="23"/>
      <c r="I82" s="35">
        <f>I81+I80+I68+I67+I60+I50+I49+I48+I47+I46+I45+I44+I43+I30+I29+I26+I21+I20+I18+I17+I16</f>
        <v>47289.445228000011</v>
      </c>
      <c r="J82" s="75"/>
      <c r="L82" s="24"/>
      <c r="M82" s="25"/>
      <c r="N82" s="26"/>
    </row>
    <row r="83" spans="1:22" ht="15.75" customHeight="1">
      <c r="A83" s="156" t="s">
        <v>58</v>
      </c>
      <c r="B83" s="157"/>
      <c r="C83" s="157"/>
      <c r="D83" s="157"/>
      <c r="E83" s="157"/>
      <c r="F83" s="157"/>
      <c r="G83" s="157"/>
      <c r="H83" s="157"/>
      <c r="I83" s="158"/>
      <c r="J83" s="75"/>
      <c r="L83" s="24"/>
      <c r="M83" s="25"/>
      <c r="N83" s="26"/>
    </row>
    <row r="84" spans="1:22" ht="15.75" customHeight="1">
      <c r="A84" s="68">
        <v>22</v>
      </c>
      <c r="B84" s="19" t="s">
        <v>156</v>
      </c>
      <c r="C84" s="21" t="s">
        <v>157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22" ht="15.75" customHeight="1">
      <c r="A85" s="68">
        <v>23</v>
      </c>
      <c r="B85" s="117" t="s">
        <v>189</v>
      </c>
      <c r="C85" s="118" t="s">
        <v>188</v>
      </c>
      <c r="D85" s="43" t="s">
        <v>243</v>
      </c>
      <c r="E85" s="22"/>
      <c r="F85" s="41">
        <v>2</v>
      </c>
      <c r="G85" s="41">
        <v>222.63</v>
      </c>
      <c r="H85" s="17"/>
      <c r="I85" s="17">
        <f>G85*1</f>
        <v>222.63</v>
      </c>
      <c r="J85" s="75"/>
      <c r="L85" s="24"/>
      <c r="M85" s="25"/>
      <c r="N85" s="26"/>
    </row>
    <row r="86" spans="1:22" ht="18" customHeight="1">
      <c r="A86" s="68">
        <v>24</v>
      </c>
      <c r="B86" s="117" t="s">
        <v>74</v>
      </c>
      <c r="C86" s="118" t="s">
        <v>98</v>
      </c>
      <c r="D86" s="43"/>
      <c r="E86" s="22"/>
      <c r="F86" s="41">
        <v>3</v>
      </c>
      <c r="G86" s="41">
        <v>215.85</v>
      </c>
      <c r="H86" s="17"/>
      <c r="I86" s="17">
        <f>G86*1</f>
        <v>215.85</v>
      </c>
      <c r="J86" s="75"/>
      <c r="L86" s="24"/>
      <c r="M86" s="25"/>
      <c r="N86" s="26"/>
    </row>
    <row r="87" spans="1:22" ht="15.75" customHeight="1">
      <c r="A87" s="68">
        <v>25</v>
      </c>
      <c r="B87" s="117" t="s">
        <v>209</v>
      </c>
      <c r="C87" s="118" t="s">
        <v>38</v>
      </c>
      <c r="D87" s="43" t="s">
        <v>182</v>
      </c>
      <c r="E87" s="22"/>
      <c r="F87" s="41">
        <v>0.04</v>
      </c>
      <c r="G87" s="41">
        <v>27139.18</v>
      </c>
      <c r="H87" s="17"/>
      <c r="I87" s="17">
        <v>0</v>
      </c>
      <c r="J87" s="75"/>
      <c r="L87" s="24"/>
      <c r="M87" s="25"/>
      <c r="N87" s="26"/>
    </row>
    <row r="88" spans="1:22" ht="15.75" customHeight="1">
      <c r="A88" s="31"/>
      <c r="B88" s="52" t="s">
        <v>50</v>
      </c>
      <c r="C88" s="48"/>
      <c r="D88" s="62"/>
      <c r="E88" s="48">
        <v>1</v>
      </c>
      <c r="F88" s="48"/>
      <c r="G88" s="48"/>
      <c r="H88" s="48"/>
      <c r="I88" s="35">
        <f>SUM(I84:I87)</f>
        <v>505.67999999999995</v>
      </c>
      <c r="J88" s="75"/>
      <c r="L88" s="24"/>
      <c r="M88" s="25"/>
      <c r="N88" s="26"/>
    </row>
    <row r="89" spans="1:22" ht="15.75" customHeight="1">
      <c r="A89" s="31"/>
      <c r="B89" s="57" t="s">
        <v>72</v>
      </c>
      <c r="C89" s="20"/>
      <c r="D89" s="20"/>
      <c r="E89" s="49"/>
      <c r="F89" s="49"/>
      <c r="G89" s="50"/>
      <c r="H89" s="50"/>
      <c r="I89" s="22">
        <v>0</v>
      </c>
      <c r="J89" s="75"/>
      <c r="L89" s="24"/>
      <c r="M89" s="25"/>
      <c r="N89" s="26"/>
    </row>
    <row r="90" spans="1:22" ht="15.75" customHeight="1">
      <c r="A90" s="63"/>
      <c r="B90" s="53" t="s">
        <v>151</v>
      </c>
      <c r="C90" s="39"/>
      <c r="D90" s="39"/>
      <c r="E90" s="39"/>
      <c r="F90" s="39"/>
      <c r="G90" s="39"/>
      <c r="H90" s="39"/>
      <c r="I90" s="51">
        <f>I82+I88</f>
        <v>47795.125228000012</v>
      </c>
      <c r="J90" s="75"/>
      <c r="L90" s="24"/>
    </row>
    <row r="91" spans="1:22" ht="15.75">
      <c r="A91" s="142" t="s">
        <v>270</v>
      </c>
      <c r="B91" s="142"/>
      <c r="C91" s="142"/>
      <c r="D91" s="142"/>
      <c r="E91" s="142"/>
      <c r="F91" s="142"/>
      <c r="G91" s="142"/>
      <c r="H91" s="142"/>
      <c r="I91" s="142"/>
    </row>
    <row r="92" spans="1:22" ht="15.75">
      <c r="A92" s="12"/>
      <c r="B92" s="152" t="s">
        <v>271</v>
      </c>
      <c r="C92" s="152"/>
      <c r="D92" s="152"/>
      <c r="E92" s="152"/>
      <c r="F92" s="152"/>
      <c r="G92" s="152"/>
      <c r="H92" s="98"/>
      <c r="I92" s="4"/>
    </row>
    <row r="93" spans="1:22" ht="15.75">
      <c r="A93" s="70"/>
      <c r="B93" s="145" t="s">
        <v>6</v>
      </c>
      <c r="C93" s="145"/>
      <c r="D93" s="145"/>
      <c r="E93" s="145"/>
      <c r="F93" s="145"/>
      <c r="G93" s="145"/>
      <c r="H93" s="74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46" t="s">
        <v>7</v>
      </c>
      <c r="B95" s="146"/>
      <c r="C95" s="146"/>
      <c r="D95" s="146"/>
      <c r="E95" s="146"/>
      <c r="F95" s="146"/>
      <c r="G95" s="146"/>
      <c r="H95" s="146"/>
      <c r="I95" s="146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46" t="s">
        <v>8</v>
      </c>
      <c r="B96" s="146"/>
      <c r="C96" s="146"/>
      <c r="D96" s="146"/>
      <c r="E96" s="146"/>
      <c r="F96" s="146"/>
      <c r="G96" s="146"/>
      <c r="H96" s="146"/>
      <c r="I96" s="146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42" t="s">
        <v>9</v>
      </c>
      <c r="B97" s="142"/>
      <c r="C97" s="142"/>
      <c r="D97" s="142"/>
      <c r="E97" s="142"/>
      <c r="F97" s="142"/>
      <c r="G97" s="142"/>
      <c r="H97" s="142"/>
      <c r="I97" s="142"/>
      <c r="J97" s="6"/>
      <c r="K97" s="6"/>
      <c r="L97" s="6"/>
      <c r="M97" s="6"/>
      <c r="N97" s="6"/>
      <c r="O97" s="6"/>
      <c r="P97" s="6"/>
      <c r="Q97" s="6"/>
      <c r="R97" s="144"/>
      <c r="S97" s="144"/>
      <c r="T97" s="144"/>
      <c r="U97" s="144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8" t="s">
        <v>10</v>
      </c>
      <c r="B99" s="148"/>
      <c r="C99" s="148"/>
      <c r="D99" s="148"/>
      <c r="E99" s="148"/>
      <c r="F99" s="148"/>
      <c r="G99" s="148"/>
      <c r="H99" s="148"/>
      <c r="I99" s="148"/>
    </row>
    <row r="100" spans="1:21" ht="15.75" customHeight="1">
      <c r="A100" s="5"/>
    </row>
    <row r="101" spans="1:21" ht="15.75">
      <c r="A101" s="142" t="s">
        <v>11</v>
      </c>
      <c r="B101" s="142"/>
      <c r="C101" s="147" t="s">
        <v>85</v>
      </c>
      <c r="D101" s="147"/>
      <c r="E101" s="147"/>
      <c r="F101" s="72"/>
      <c r="I101" s="103"/>
    </row>
    <row r="102" spans="1:21">
      <c r="A102" s="104"/>
      <c r="C102" s="141" t="s">
        <v>12</v>
      </c>
      <c r="D102" s="141"/>
      <c r="E102" s="141"/>
      <c r="F102" s="28"/>
      <c r="I102" s="102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42" t="s">
        <v>14</v>
      </c>
      <c r="B104" s="142"/>
      <c r="C104" s="143"/>
      <c r="D104" s="143"/>
      <c r="E104" s="143"/>
      <c r="F104" s="73"/>
      <c r="I104" s="103"/>
    </row>
    <row r="105" spans="1:21">
      <c r="A105" s="104"/>
      <c r="C105" s="144" t="s">
        <v>12</v>
      </c>
      <c r="D105" s="144"/>
      <c r="E105" s="144"/>
      <c r="F105" s="104"/>
      <c r="I105" s="102" t="s">
        <v>13</v>
      </c>
    </row>
    <row r="106" spans="1:21" ht="15.75">
      <c r="A106" s="5" t="s">
        <v>15</v>
      </c>
    </row>
    <row r="107" spans="1:21">
      <c r="A107" s="139" t="s">
        <v>16</v>
      </c>
      <c r="B107" s="139"/>
      <c r="C107" s="139"/>
      <c r="D107" s="139"/>
      <c r="E107" s="139"/>
      <c r="F107" s="139"/>
      <c r="G107" s="139"/>
      <c r="H107" s="139"/>
      <c r="I107" s="139"/>
    </row>
    <row r="108" spans="1:21" ht="45" customHeight="1">
      <c r="A108" s="140" t="s">
        <v>17</v>
      </c>
      <c r="B108" s="140"/>
      <c r="C108" s="140"/>
      <c r="D108" s="140"/>
      <c r="E108" s="140"/>
      <c r="F108" s="140"/>
      <c r="G108" s="140"/>
      <c r="H108" s="140"/>
      <c r="I108" s="140"/>
    </row>
    <row r="109" spans="1:21" ht="30" customHeight="1">
      <c r="A109" s="140" t="s">
        <v>18</v>
      </c>
      <c r="B109" s="140"/>
      <c r="C109" s="140"/>
      <c r="D109" s="140"/>
      <c r="E109" s="140"/>
      <c r="F109" s="140"/>
      <c r="G109" s="140"/>
      <c r="H109" s="140"/>
      <c r="I109" s="140"/>
    </row>
    <row r="110" spans="1:21" ht="30" customHeight="1">
      <c r="A110" s="140" t="s">
        <v>22</v>
      </c>
      <c r="B110" s="140"/>
      <c r="C110" s="140"/>
      <c r="D110" s="140"/>
      <c r="E110" s="140"/>
      <c r="F110" s="140"/>
      <c r="G110" s="140"/>
      <c r="H110" s="140"/>
      <c r="I110" s="140"/>
    </row>
    <row r="111" spans="1:21" ht="15" customHeight="1">
      <c r="A111" s="140" t="s">
        <v>21</v>
      </c>
      <c r="B111" s="140"/>
      <c r="C111" s="140"/>
      <c r="D111" s="140"/>
      <c r="E111" s="140"/>
      <c r="F111" s="140"/>
      <c r="G111" s="140"/>
      <c r="H111" s="140"/>
      <c r="I111" s="140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2021-02-08T06:03:31Z</cp:lastPrinted>
  <dcterms:created xsi:type="dcterms:W3CDTF">2016-03-25T08:33:47Z</dcterms:created>
  <dcterms:modified xsi:type="dcterms:W3CDTF">2021-02-08T06:04:28Z</dcterms:modified>
</cp:coreProperties>
</file>