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315" windowWidth="15975" windowHeight="5565"/>
  </bookViews>
  <sheets>
    <sheet name="Окт. 47" sheetId="1" r:id="rId1"/>
  </sheets>
  <definedNames>
    <definedName name="_xlnm.Print_Area" localSheetId="0">'Окт. 47'!$A$1:$U$131</definedName>
  </definedNames>
  <calcPr calcId="124519"/>
</workbook>
</file>

<file path=xl/calcChain.xml><?xml version="1.0" encoding="utf-8"?>
<calcChain xmlns="http://schemas.openxmlformats.org/spreadsheetml/2006/main">
  <c r="U114" i="1"/>
  <c r="P114"/>
  <c r="H114"/>
  <c r="U113"/>
  <c r="P113"/>
  <c r="H113"/>
  <c r="U112"/>
  <c r="P112"/>
  <c r="H112"/>
  <c r="T108"/>
  <c r="T109"/>
  <c r="U109" s="1"/>
  <c r="H109"/>
  <c r="U108"/>
  <c r="H108"/>
  <c r="T115"/>
  <c r="F110"/>
  <c r="T110"/>
  <c r="C126"/>
  <c r="C123"/>
  <c r="U85"/>
  <c r="U86"/>
  <c r="U87"/>
  <c r="U88"/>
  <c r="U89"/>
  <c r="U90"/>
  <c r="U91"/>
  <c r="U92"/>
  <c r="U93"/>
  <c r="U94"/>
  <c r="U95"/>
  <c r="U96"/>
  <c r="U97"/>
  <c r="U98"/>
  <c r="U99"/>
  <c r="U100"/>
  <c r="U101"/>
  <c r="U102"/>
  <c r="U103"/>
  <c r="U104"/>
  <c r="U105"/>
  <c r="U106"/>
  <c r="U107"/>
  <c r="U110"/>
  <c r="U111"/>
  <c r="U115"/>
  <c r="U84"/>
  <c r="T84"/>
  <c r="U77"/>
  <c r="U75"/>
  <c r="U74"/>
  <c r="U72"/>
  <c r="U68"/>
  <c r="U69"/>
  <c r="U70"/>
  <c r="U67"/>
  <c r="U59"/>
  <c r="U60"/>
  <c r="U61"/>
  <c r="U62"/>
  <c r="U63"/>
  <c r="U64"/>
  <c r="U65"/>
  <c r="U58"/>
  <c r="U56"/>
  <c r="U54"/>
  <c r="U43"/>
  <c r="U44"/>
  <c r="U45"/>
  <c r="U46"/>
  <c r="U47"/>
  <c r="U48"/>
  <c r="U49"/>
  <c r="U50"/>
  <c r="U51"/>
  <c r="U42"/>
  <c r="U38"/>
  <c r="U39"/>
  <c r="T39"/>
  <c r="T38"/>
  <c r="U25"/>
  <c r="U26"/>
  <c r="U27"/>
  <c r="U28"/>
  <c r="U29"/>
  <c r="U30"/>
  <c r="U31"/>
  <c r="U24"/>
  <c r="U12"/>
  <c r="U13"/>
  <c r="U14"/>
  <c r="U15"/>
  <c r="U16"/>
  <c r="U17"/>
  <c r="U18"/>
  <c r="U19"/>
  <c r="U20"/>
  <c r="U21"/>
  <c r="U11"/>
  <c r="S110"/>
  <c r="H110"/>
  <c r="U116" l="1"/>
  <c r="S111"/>
  <c r="H111"/>
  <c r="S115"/>
  <c r="S107"/>
  <c r="H107"/>
  <c r="S84"/>
  <c r="S39"/>
  <c r="S38"/>
  <c r="R115" l="1"/>
  <c r="F87"/>
  <c r="R87"/>
  <c r="R91"/>
  <c r="H91"/>
  <c r="R90"/>
  <c r="H90"/>
  <c r="R89"/>
  <c r="H89"/>
  <c r="R88"/>
  <c r="H88"/>
  <c r="R84"/>
  <c r="R50"/>
  <c r="R49"/>
  <c r="R48"/>
  <c r="P58"/>
  <c r="Q100"/>
  <c r="Q87"/>
  <c r="H87"/>
  <c r="Q86"/>
  <c r="Q84"/>
  <c r="P103"/>
  <c r="H103"/>
  <c r="P105"/>
  <c r="H105"/>
  <c r="P115"/>
  <c r="P106"/>
  <c r="H106"/>
  <c r="P84"/>
  <c r="I34"/>
  <c r="L54"/>
  <c r="O102" l="1"/>
  <c r="H102"/>
  <c r="O101"/>
  <c r="H101"/>
  <c r="F104"/>
  <c r="O104"/>
  <c r="O100"/>
  <c r="H100"/>
  <c r="O84"/>
  <c r="N58" l="1"/>
  <c r="N99"/>
  <c r="H99"/>
  <c r="N98"/>
  <c r="H98"/>
  <c r="N97"/>
  <c r="H97"/>
  <c r="N96"/>
  <c r="H96"/>
  <c r="N95"/>
  <c r="H95"/>
  <c r="N94"/>
  <c r="H94"/>
  <c r="N93"/>
  <c r="H93"/>
  <c r="N92"/>
  <c r="H92"/>
  <c r="N86"/>
  <c r="H86"/>
  <c r="N84"/>
  <c r="M72"/>
  <c r="M104"/>
  <c r="H104"/>
  <c r="M85"/>
  <c r="J36"/>
  <c r="K36" s="1"/>
  <c r="M14"/>
  <c r="K84"/>
  <c r="K77"/>
  <c r="J77" s="1"/>
  <c r="K39"/>
  <c r="L39" s="1"/>
  <c r="K38"/>
  <c r="L38" s="1"/>
  <c r="K34"/>
  <c r="J34" s="1"/>
  <c r="K31"/>
  <c r="J31" s="1"/>
  <c r="K28"/>
  <c r="J28" s="1"/>
  <c r="K15"/>
  <c r="J15" s="1"/>
  <c r="J13"/>
  <c r="K13"/>
  <c r="K12"/>
  <c r="J12" s="1"/>
  <c r="K11"/>
  <c r="J11" s="1"/>
  <c r="L85" l="1"/>
  <c r="M84"/>
  <c r="L84"/>
  <c r="H85"/>
  <c r="K35" l="1"/>
  <c r="K115"/>
  <c r="I39"/>
  <c r="J39"/>
  <c r="J84" l="1"/>
  <c r="I84"/>
  <c r="H84"/>
  <c r="H115" l="1"/>
  <c r="Q51" l="1"/>
  <c r="O51"/>
  <c r="M51"/>
  <c r="I51"/>
  <c r="H35" l="1"/>
  <c r="H68"/>
  <c r="H69"/>
  <c r="L50" l="1"/>
  <c r="T35" l="1"/>
  <c r="U35" s="1"/>
  <c r="S35"/>
  <c r="T34"/>
  <c r="U34" s="1"/>
  <c r="S34"/>
  <c r="Q65"/>
  <c r="P16"/>
  <c r="F27"/>
  <c r="L35"/>
  <c r="L34"/>
  <c r="H74"/>
  <c r="R27" l="1"/>
  <c r="H27"/>
  <c r="N27"/>
  <c r="O27"/>
  <c r="Q27"/>
  <c r="M27"/>
  <c r="P27"/>
  <c r="J35"/>
  <c r="I35"/>
  <c r="H116" l="1"/>
  <c r="H70"/>
  <c r="F37"/>
  <c r="F20"/>
  <c r="H20" s="1"/>
  <c r="F16"/>
  <c r="F15"/>
  <c r="F46"/>
  <c r="M46" s="1"/>
  <c r="K37" l="1"/>
  <c r="Q16"/>
  <c r="S16"/>
  <c r="O16"/>
  <c r="M16"/>
  <c r="M20"/>
  <c r="K16"/>
  <c r="H46"/>
  <c r="Q46"/>
  <c r="I16"/>
  <c r="I15"/>
  <c r="S15"/>
  <c r="Q15"/>
  <c r="N15"/>
  <c r="M15"/>
  <c r="L15"/>
  <c r="T15"/>
  <c r="R15"/>
  <c r="P15"/>
  <c r="O15"/>
  <c r="I37"/>
  <c r="S37"/>
  <c r="L37"/>
  <c r="T37"/>
  <c r="U37" s="1"/>
  <c r="J37"/>
  <c r="F51"/>
  <c r="F14" l="1"/>
  <c r="F17"/>
  <c r="F18"/>
  <c r="F19"/>
  <c r="M18" l="1"/>
  <c r="M19"/>
  <c r="M17"/>
  <c r="H56"/>
  <c r="F119" l="1"/>
  <c r="E77"/>
  <c r="H80" s="1"/>
  <c r="F75"/>
  <c r="H72"/>
  <c r="H67"/>
  <c r="H65"/>
  <c r="F64"/>
  <c r="F63"/>
  <c r="F62"/>
  <c r="F61"/>
  <c r="F60"/>
  <c r="H59"/>
  <c r="H58"/>
  <c r="F54"/>
  <c r="H51"/>
  <c r="H50"/>
  <c r="F49"/>
  <c r="F48"/>
  <c r="F47"/>
  <c r="J47" s="1"/>
  <c r="F45"/>
  <c r="M45" s="1"/>
  <c r="F44"/>
  <c r="M44" s="1"/>
  <c r="F43"/>
  <c r="M43" s="1"/>
  <c r="F42"/>
  <c r="M42" s="1"/>
  <c r="H39"/>
  <c r="F38"/>
  <c r="H37"/>
  <c r="F36"/>
  <c r="H34"/>
  <c r="F31"/>
  <c r="H30"/>
  <c r="H29"/>
  <c r="F28"/>
  <c r="F26"/>
  <c r="F25"/>
  <c r="F24"/>
  <c r="F21"/>
  <c r="M21" s="1"/>
  <c r="H18"/>
  <c r="H17"/>
  <c r="H14"/>
  <c r="E13"/>
  <c r="F13" s="1"/>
  <c r="F12"/>
  <c r="F11"/>
  <c r="L49" l="1"/>
  <c r="L48"/>
  <c r="K75"/>
  <c r="I38"/>
  <c r="J38"/>
  <c r="I11"/>
  <c r="S11"/>
  <c r="R11"/>
  <c r="P11"/>
  <c r="T11"/>
  <c r="Q11"/>
  <c r="O11"/>
  <c r="M11"/>
  <c r="N11"/>
  <c r="L11"/>
  <c r="I12"/>
  <c r="S12"/>
  <c r="Q12"/>
  <c r="O12"/>
  <c r="M12"/>
  <c r="L12"/>
  <c r="T12"/>
  <c r="R12"/>
  <c r="P12"/>
  <c r="N12"/>
  <c r="H24"/>
  <c r="R24"/>
  <c r="P24"/>
  <c r="N24"/>
  <c r="Q24"/>
  <c r="O24"/>
  <c r="M24"/>
  <c r="H26"/>
  <c r="M26"/>
  <c r="I28"/>
  <c r="S28"/>
  <c r="Q28"/>
  <c r="O28"/>
  <c r="M28"/>
  <c r="T28"/>
  <c r="R28"/>
  <c r="P28"/>
  <c r="N28"/>
  <c r="L28"/>
  <c r="H43"/>
  <c r="Q43"/>
  <c r="H45"/>
  <c r="Q45"/>
  <c r="H48"/>
  <c r="H61"/>
  <c r="M61"/>
  <c r="H63"/>
  <c r="M63"/>
  <c r="I75"/>
  <c r="T75"/>
  <c r="Q75"/>
  <c r="O75"/>
  <c r="S75"/>
  <c r="R75"/>
  <c r="P75"/>
  <c r="N75"/>
  <c r="M75"/>
  <c r="L75"/>
  <c r="J75"/>
  <c r="I13"/>
  <c r="S13"/>
  <c r="R13"/>
  <c r="P13"/>
  <c r="N13"/>
  <c r="T13"/>
  <c r="Q13"/>
  <c r="O13"/>
  <c r="M13"/>
  <c r="L13"/>
  <c r="H21"/>
  <c r="H25"/>
  <c r="Q25"/>
  <c r="O25"/>
  <c r="M25"/>
  <c r="R25"/>
  <c r="P25"/>
  <c r="N25"/>
  <c r="R31"/>
  <c r="P31"/>
  <c r="N31"/>
  <c r="L31"/>
  <c r="Q31"/>
  <c r="O31"/>
  <c r="M31"/>
  <c r="S36"/>
  <c r="T36"/>
  <c r="U36" s="1"/>
  <c r="L36"/>
  <c r="H42"/>
  <c r="Q42"/>
  <c r="H44"/>
  <c r="Q44"/>
  <c r="I47"/>
  <c r="T47"/>
  <c r="Q47"/>
  <c r="M47"/>
  <c r="H49"/>
  <c r="H60"/>
  <c r="M60"/>
  <c r="H62"/>
  <c r="M62"/>
  <c r="H64"/>
  <c r="M64"/>
  <c r="H31"/>
  <c r="I31"/>
  <c r="H36"/>
  <c r="I36"/>
  <c r="H54"/>
  <c r="H38"/>
  <c r="H75"/>
  <c r="H28"/>
  <c r="H47"/>
  <c r="H52" s="1"/>
  <c r="H11"/>
  <c r="H12"/>
  <c r="H16"/>
  <c r="H13"/>
  <c r="H15"/>
  <c r="H76"/>
  <c r="F77"/>
  <c r="H19"/>
  <c r="H40"/>
  <c r="H73"/>
  <c r="U73" l="1"/>
  <c r="T77"/>
  <c r="U40"/>
  <c r="H32"/>
  <c r="I77"/>
  <c r="R77"/>
  <c r="P77"/>
  <c r="P119" s="1"/>
  <c r="N77"/>
  <c r="M77"/>
  <c r="M119" s="1"/>
  <c r="L77"/>
  <c r="S77"/>
  <c r="Q77"/>
  <c r="O77"/>
  <c r="O119" s="1"/>
  <c r="J119"/>
  <c r="U52"/>
  <c r="L119"/>
  <c r="Q119"/>
  <c r="R119"/>
  <c r="U76"/>
  <c r="N119"/>
  <c r="T119"/>
  <c r="S119"/>
  <c r="H77"/>
  <c r="H78" s="1"/>
  <c r="C125"/>
  <c r="H22"/>
  <c r="U32" l="1"/>
  <c r="K119"/>
  <c r="U78"/>
  <c r="U22"/>
  <c r="I119"/>
  <c r="H79"/>
  <c r="H81" s="1"/>
  <c r="U79" l="1"/>
  <c r="U119" s="1"/>
  <c r="C124" l="1"/>
  <c r="C128" s="1"/>
  <c r="H118"/>
  <c r="G119" s="1"/>
  <c r="H119" s="1"/>
</calcChain>
</file>

<file path=xl/sharedStrings.xml><?xml version="1.0" encoding="utf-8"?>
<sst xmlns="http://schemas.openxmlformats.org/spreadsheetml/2006/main" count="349" uniqueCount="252">
  <si>
    <t>ОТЧЁТ</t>
  </si>
  <si>
    <t xml:space="preserve">по предоставленным услугам и произведённым работам по содержанию и ремонту общего имущества собственников помещений в многоквартирном доме </t>
  </si>
  <si>
    <t>№ расц.</t>
  </si>
  <si>
    <t>Перечень работ</t>
  </si>
  <si>
    <t>Ед.изм</t>
  </si>
  <si>
    <t>Периодичность</t>
  </si>
  <si>
    <t>Объем работ разовый</t>
  </si>
  <si>
    <t xml:space="preserve">Объем работ на год </t>
  </si>
  <si>
    <t>Расценка (руб)</t>
  </si>
  <si>
    <t>Сумма в год (тыс.руб)</t>
  </si>
  <si>
    <t>А.Обязательные работы по содержанию общего имущества собственников помещений в многоквартирном доме</t>
  </si>
  <si>
    <t xml:space="preserve">1. Санитарное содержание </t>
  </si>
  <si>
    <t>Влажное подметание лестничных клеток 1 этажа</t>
  </si>
  <si>
    <t>100м2</t>
  </si>
  <si>
    <t>3 раза в неделю 156 раз в год</t>
  </si>
  <si>
    <t>2 раза в неделю 104 раза в год</t>
  </si>
  <si>
    <t xml:space="preserve">2 раза в месяц   24 раза в год </t>
  </si>
  <si>
    <t>Мытье окон</t>
  </si>
  <si>
    <t>10м2</t>
  </si>
  <si>
    <t>Влажная протирка перил</t>
  </si>
  <si>
    <t>Влажная протирка почтовых ящиков</t>
  </si>
  <si>
    <t xml:space="preserve">Влажная уборка стен </t>
  </si>
  <si>
    <t>100 м2</t>
  </si>
  <si>
    <t>Влажная протирка дверей</t>
  </si>
  <si>
    <t>Влажная протирка подоконников</t>
  </si>
  <si>
    <t>Влажная протирка отопительных приборов</t>
  </si>
  <si>
    <t>итого:</t>
  </si>
  <si>
    <t>Летняя уборка</t>
  </si>
  <si>
    <t>2 раза в неделю 52 раза в сезон</t>
  </si>
  <si>
    <t>1000м2</t>
  </si>
  <si>
    <t>3 раза в неделю 78 раз за сезон</t>
  </si>
  <si>
    <t>Уборка газонов сильной загрязненности</t>
  </si>
  <si>
    <t>1 раз в год</t>
  </si>
  <si>
    <t>шт.</t>
  </si>
  <si>
    <t>155 раз</t>
  </si>
  <si>
    <t>Подборка мусора на контейнерной площадке</t>
  </si>
  <si>
    <t>м3</t>
  </si>
  <si>
    <t>ежедневно 365 раз</t>
  </si>
  <si>
    <t>по мере необходимости</t>
  </si>
  <si>
    <t>м/час</t>
  </si>
  <si>
    <t>Вывоз ТБО и КГО</t>
  </si>
  <si>
    <t xml:space="preserve">кв. м </t>
  </si>
  <si>
    <t xml:space="preserve"> </t>
  </si>
  <si>
    <t>Зимняя уборка</t>
  </si>
  <si>
    <t>Механизированная уборка дворовой территории</t>
  </si>
  <si>
    <t>1000 м2</t>
  </si>
  <si>
    <t>155 раз за сезон</t>
  </si>
  <si>
    <t>45 раз за сезон</t>
  </si>
  <si>
    <t xml:space="preserve"> II. Плановые осмотры</t>
  </si>
  <si>
    <t>2 раза в год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</si>
  <si>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</si>
  <si>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</si>
  <si>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</si>
  <si>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 xml:space="preserve">Осмотр СО </t>
  </si>
  <si>
    <t>1 раз в месяц (5 раз за сезон)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</si>
  <si>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</si>
  <si>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</si>
  <si>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100 лест.</t>
  </si>
  <si>
    <t>Осмотр вводных электрических щитков</t>
  </si>
  <si>
    <t>100 шт.</t>
  </si>
  <si>
    <t>шт</t>
  </si>
  <si>
    <t>2-1-1б</t>
  </si>
  <si>
    <t>Проверка вентканалов</t>
  </si>
  <si>
    <t>Кровля</t>
  </si>
  <si>
    <t xml:space="preserve">6 раз за сезон </t>
  </si>
  <si>
    <t>Чердак, подвал, технический этаж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</si>
  <si>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</si>
  <si>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</si>
  <si>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</si>
  <si>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</si>
  <si>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100м3</t>
  </si>
  <si>
    <t>Спуск воды и наполнение системы без осмотра</t>
  </si>
  <si>
    <t>1000м3</t>
  </si>
  <si>
    <t>Гидравлическое испытание СО</t>
  </si>
  <si>
    <t>100м</t>
  </si>
  <si>
    <t>Проверка на прогрев отопительных приборов</t>
  </si>
  <si>
    <t>прибор</t>
  </si>
  <si>
    <t>Электроснабжение</t>
  </si>
  <si>
    <t>Смена ламп накаливания</t>
  </si>
  <si>
    <t>10 шт</t>
  </si>
  <si>
    <t>Мелкий ремонт электропроводки</t>
  </si>
  <si>
    <t>1п.м.</t>
  </si>
  <si>
    <t>Вентканалы, дымоходы</t>
  </si>
  <si>
    <t>ГЭСН60-16</t>
  </si>
  <si>
    <t>Аварийно-диспетчерское обслуживание</t>
  </si>
  <si>
    <t>1 м2</t>
  </si>
  <si>
    <t>Услуги по выпуску квитанций, сопровождение собраний, работа с должниками</t>
  </si>
  <si>
    <t>ИТОГО</t>
  </si>
  <si>
    <t xml:space="preserve">ВСЕГО </t>
  </si>
  <si>
    <t>Площадь жилых помещений и нежилых</t>
  </si>
  <si>
    <t xml:space="preserve">     </t>
  </si>
  <si>
    <t>Затраты на 1 кв.м  в месяц в рублях  по плану</t>
  </si>
  <si>
    <t>Текущий ремонт</t>
  </si>
  <si>
    <t>итого по текущему ремонту</t>
  </si>
  <si>
    <t>Размер платы по текущему ремонту, руб/м2 в мес.</t>
  </si>
  <si>
    <t xml:space="preserve">Затраты в рублях  по плану   </t>
  </si>
  <si>
    <t xml:space="preserve">1 раз в год     </t>
  </si>
  <si>
    <t xml:space="preserve">1 раз в год  </t>
  </si>
  <si>
    <t>Влажная протирка шкафов для щитов и слаботочн. устройств</t>
  </si>
  <si>
    <t>3 раза в год</t>
  </si>
  <si>
    <t>Очистка чердака, подвала от мусора</t>
  </si>
  <si>
    <t>30 раз за сезон</t>
  </si>
  <si>
    <t>Вода для промывки СО</t>
  </si>
  <si>
    <t>Сброс воды после промывки СО в канализацию</t>
  </si>
  <si>
    <t>Смена плавкой вставки в электрощите</t>
  </si>
  <si>
    <t>Осмотр деревянных конструкций стропил</t>
  </si>
  <si>
    <t>100 м3</t>
  </si>
  <si>
    <t>1 раз в месяц</t>
  </si>
  <si>
    <t>1 раз в два месяца</t>
  </si>
  <si>
    <t>35 раз за сезон</t>
  </si>
  <si>
    <t>Замена ламп ДРЛ</t>
  </si>
  <si>
    <t xml:space="preserve">Выполнение    январь  </t>
  </si>
  <si>
    <t>Выполнение   февраль</t>
  </si>
  <si>
    <t>Выполнение   март</t>
  </si>
  <si>
    <t>Выполнение    апрель</t>
  </si>
  <si>
    <t>Выполнение    май</t>
  </si>
  <si>
    <t>Выполнение    июнь</t>
  </si>
  <si>
    <t>Выполнение    июль</t>
  </si>
  <si>
    <t>Выполнение    август</t>
  </si>
  <si>
    <t>Выполнение    сентябрь</t>
  </si>
  <si>
    <t>Выполнение    октябрь</t>
  </si>
  <si>
    <t>Выполнение    ноябрь</t>
  </si>
  <si>
    <t>Выполнение    декабрь</t>
  </si>
  <si>
    <t>Стоимость (руб.)</t>
  </si>
  <si>
    <t>3 этажа, 2 подъезда</t>
  </si>
  <si>
    <t>договор</t>
  </si>
  <si>
    <t>ТО внутридомового газ.оборудования</t>
  </si>
  <si>
    <t>калькуляция</t>
  </si>
  <si>
    <t xml:space="preserve">Погрузка травы, ветвей </t>
  </si>
  <si>
    <t>Сдвигание снега в дни снегопада (крыльца, тротуары)</t>
  </si>
  <si>
    <t xml:space="preserve">Подметание снега с тротуара, крылец, конт. площадок 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</si>
  <si>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</si>
  <si>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 xml:space="preserve">Пескопосыпка территории: крыльца и тротуары </t>
  </si>
  <si>
    <t>Стоимость песка -100м2-0,002м3</t>
  </si>
  <si>
    <t>Очистка края кровли от слежавшегося снега со сбрасыванием сосулек (10% от S кровли и козырьки)</t>
  </si>
  <si>
    <t>Вывоз смета, травы, ветвей и т.п.- м/ч</t>
  </si>
  <si>
    <t>Осмотр шиферной кровли</t>
  </si>
  <si>
    <t>Влажное подметание лестничных клеток 2-3 этажа</t>
  </si>
  <si>
    <t>Мытье лестничных  площадок и маршей 1-3 этаж.</t>
  </si>
  <si>
    <t>ТЕР 51-001</t>
  </si>
  <si>
    <t>ТЕР 51-009</t>
  </si>
  <si>
    <t>ТЕР 51-031</t>
  </si>
  <si>
    <t>ТЕР 51-025</t>
  </si>
  <si>
    <t>ТЕР 51-023</t>
  </si>
  <si>
    <t>ТЕР 51-018</t>
  </si>
  <si>
    <t>ТЕР 51-019</t>
  </si>
  <si>
    <t>ТЕР 51-020</t>
  </si>
  <si>
    <t>ТЕР 51-022</t>
  </si>
  <si>
    <t>ТЕР 51-024</t>
  </si>
  <si>
    <t>ТЕР 53-020</t>
  </si>
  <si>
    <t>ТЕР 53-001</t>
  </si>
  <si>
    <t>ТЕР 53-021</t>
  </si>
  <si>
    <t>ТЕР 52-033</t>
  </si>
  <si>
    <t>пр.ТЕР 52-003</t>
  </si>
  <si>
    <t>ТЕР 53-030</t>
  </si>
  <si>
    <t>ТЕР 54-013</t>
  </si>
  <si>
    <t>ТЕР 54-003</t>
  </si>
  <si>
    <t>ТЕР 54-022</t>
  </si>
  <si>
    <t>ТЕР 54-025</t>
  </si>
  <si>
    <t>ТЕР 3-7-1в</t>
  </si>
  <si>
    <t>ТЕР 42-007</t>
  </si>
  <si>
    <t>ТЕР 42-009</t>
  </si>
  <si>
    <t>ТЕР 42-010</t>
  </si>
  <si>
    <t>ТЕР 42-003</t>
  </si>
  <si>
    <t>ТЕР 42-011</t>
  </si>
  <si>
    <t>ТЕР 42-013</t>
  </si>
  <si>
    <t>ТЕР 42-012</t>
  </si>
  <si>
    <t>ТЕР 42-014</t>
  </si>
  <si>
    <t xml:space="preserve">пр.ТЕР 54-041 </t>
  </si>
  <si>
    <t>ТЕР 51-034</t>
  </si>
  <si>
    <t>ТЕР 31-065</t>
  </si>
  <si>
    <t>ТЕР 31-064</t>
  </si>
  <si>
    <t>ТЕР 31-052</t>
  </si>
  <si>
    <t>ТЕР 31-043</t>
  </si>
  <si>
    <t>ТЕР 31-068</t>
  </si>
  <si>
    <t>ТЕР 31-045</t>
  </si>
  <si>
    <t>ТЕР 33-019</t>
  </si>
  <si>
    <t>ТЕР 33-049</t>
  </si>
  <si>
    <t>ТЕР 33-043</t>
  </si>
  <si>
    <t>Внеплановый осмотр электросетей, арматуры и электрооборудования на лестничных клетках</t>
  </si>
  <si>
    <t>Баланс выполненных работ на 01.01.2018 г. ( -долг за предприятием, +долг за населением)</t>
  </si>
  <si>
    <r>
      <t xml:space="preserve">по адресу:  </t>
    </r>
    <r>
      <rPr>
        <b/>
        <sz val="14"/>
        <color indexed="10"/>
        <rFont val="Arial"/>
        <family val="2"/>
        <charset val="204"/>
      </rPr>
      <t>ул. Октябрьская, 47</t>
    </r>
    <r>
      <rPr>
        <b/>
        <sz val="14"/>
        <rFont val="Arial"/>
        <family val="2"/>
        <charset val="204"/>
      </rPr>
      <t xml:space="preserve">  (п. Ярега)  </t>
    </r>
    <r>
      <rPr>
        <b/>
        <sz val="14"/>
        <color indexed="10"/>
        <rFont val="Arial"/>
        <family val="2"/>
        <charset val="204"/>
      </rPr>
      <t>за 2018 год</t>
    </r>
  </si>
  <si>
    <t>Уборка газонов</t>
  </si>
  <si>
    <t>Подметание территории с усовершенствованным покрытием асф.: крыльца, контейнерн. пл., проезд, тротуар</t>
  </si>
  <si>
    <t>Уборка контейнерной площадки (16 кв.м.)</t>
  </si>
  <si>
    <t>Прочистка каналов</t>
  </si>
  <si>
    <t>Дератизация</t>
  </si>
  <si>
    <t>м2</t>
  </si>
  <si>
    <t>Работа автовышки</t>
  </si>
  <si>
    <t>маш-час</t>
  </si>
  <si>
    <t>Ремонт отдельных мест покрытия из асбоцементных листов обыкновенного профиля</t>
  </si>
  <si>
    <t>10 м2</t>
  </si>
  <si>
    <t>ТЕР 17-006</t>
  </si>
  <si>
    <t>ТЕР 11-013</t>
  </si>
  <si>
    <t>смета</t>
  </si>
  <si>
    <t>Смена трубопровода на полипропиленовые трубы PN25 Dу25</t>
  </si>
  <si>
    <t>м</t>
  </si>
  <si>
    <t>счет</t>
  </si>
  <si>
    <t>Колено 25-90</t>
  </si>
  <si>
    <t>Муфта разъемная 25*3/4 ВР</t>
  </si>
  <si>
    <t>Муфта разъемная 25*3/4 НР</t>
  </si>
  <si>
    <t>Тройник 25*20</t>
  </si>
  <si>
    <t>Муфта 25</t>
  </si>
  <si>
    <t>Вентиль(ш) ПП Dу 25</t>
  </si>
  <si>
    <t>Муфта разъемная 20*1/2 НР</t>
  </si>
  <si>
    <t>Генеральный директор ООО "Движение"_______Ю.Л.Куканов</t>
  </si>
  <si>
    <t>Смена светильников с лампами накаливания</t>
  </si>
  <si>
    <t>ТЕР 33-023</t>
  </si>
  <si>
    <t>Смена обделок из листовой стали, примыканий к каменным стенам</t>
  </si>
  <si>
    <t>10 м</t>
  </si>
  <si>
    <t>ТЕР 17-058</t>
  </si>
  <si>
    <t>1 место</t>
  </si>
  <si>
    <t>ТЕР 2-2-1-2-17</t>
  </si>
  <si>
    <t>Герметизация трубопроводов</t>
  </si>
  <si>
    <t>Фактически оплачено за 2018 г.</t>
  </si>
  <si>
    <t>Выполнено работ по текущему ремонту за 2018 г.</t>
  </si>
  <si>
    <t>Выполнено работ по содержанию за 2018 г.</t>
  </si>
  <si>
    <t>Начислено за содержание и текущий ремонт за 2018 г.</t>
  </si>
  <si>
    <t>Смена выключателей</t>
  </si>
  <si>
    <t>ТЕР 33-025</t>
  </si>
  <si>
    <t>1 м</t>
  </si>
  <si>
    <t>ТЕР Q2-2-1-3-3</t>
  </si>
  <si>
    <t>Подключение и отключение сварочного аппарата</t>
  </si>
  <si>
    <t>ТЕР 33-060</t>
  </si>
  <si>
    <t>Закрыли слуховое окно</t>
  </si>
  <si>
    <t>Очистка канализационной сети внутренней</t>
  </si>
  <si>
    <t>1м</t>
  </si>
  <si>
    <t>ТЕР 32-093</t>
  </si>
  <si>
    <t>Муфта переходная (ниппель) 3/4*1 ВР</t>
  </si>
  <si>
    <t>Пресс муфта НР 20*3/4</t>
  </si>
  <si>
    <t>Смена дверных приборов - петли</t>
  </si>
  <si>
    <t>ТЕР 15-013</t>
  </si>
  <si>
    <t>пр. ТЕР 15-028</t>
  </si>
  <si>
    <t>Утепление окна</t>
  </si>
  <si>
    <t>Ремонт групповых щитков на лестничной клетке без ремонта автоматов</t>
  </si>
  <si>
    <t>ТЕР 33-030</t>
  </si>
  <si>
    <t>Ремонт и регулировка доводчика ( со стоимостью доводчика)</t>
  </si>
  <si>
    <t>Очистка вручную от снега и наледи люков каналиационных и водопроводных колодцев</t>
  </si>
  <si>
    <t>ТЕР 54-028</t>
  </si>
  <si>
    <t>Просроченная задолженность по Вашему дому по статье "Содержание и текущий ремонт МКД" на конец декабря 2018 г., составляет:</t>
  </si>
  <si>
    <t>Баланс выполненных работ на 01.01.2019 г. ( -долг за предприятием, +долг за населением)</t>
  </si>
  <si>
    <t>Осмотр водопроводов, канализации, отопления в квартирах</t>
  </si>
  <si>
    <t>100 кв.</t>
  </si>
  <si>
    <t>ТЕР 42-0 IS</t>
  </si>
  <si>
    <t>Ремонт внутренних трубопроводов и стояков д=51 - 75 мм</t>
  </si>
  <si>
    <t>место</t>
  </si>
  <si>
    <t>ТЕР 32-097</t>
  </si>
  <si>
    <t>ТЕР 12-001</t>
  </si>
  <si>
    <t>Ремонт кирпичной кладки главного фасада</t>
  </si>
  <si>
    <t>пр.ТЕР 21-052</t>
  </si>
  <si>
    <t>Оштукатуривание цоколя с щебенением</t>
  </si>
  <si>
    <t>Оштукатуривание цоколя</t>
  </si>
</sst>
</file>

<file path=xl/styles.xml><?xml version="1.0" encoding="utf-8"?>
<styleSheet xmlns="http://schemas.openxmlformats.org/spreadsheetml/2006/main">
  <numFmts count="2">
    <numFmt numFmtId="164" formatCode="0.000"/>
    <numFmt numFmtId="165" formatCode="#,##0.000"/>
  </numFmts>
  <fonts count="20">
    <font>
      <sz val="10"/>
      <name val="Arial Cyr"/>
      <family val="2"/>
      <charset val="204"/>
    </font>
    <font>
      <sz val="10"/>
      <name val="Arial"/>
      <family val="2"/>
      <charset val="204"/>
    </font>
    <font>
      <b/>
      <sz val="10"/>
      <color indexed="18"/>
      <name val="Arial"/>
      <family val="2"/>
      <charset val="204"/>
    </font>
    <font>
      <b/>
      <sz val="10"/>
      <name val="Arial"/>
      <family val="2"/>
      <charset val="204"/>
    </font>
    <font>
      <b/>
      <u/>
      <sz val="10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name val="Arial Cyr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4"/>
      <name val="Arial"/>
      <family val="2"/>
      <charset val="204"/>
    </font>
    <font>
      <b/>
      <sz val="14"/>
      <color indexed="10"/>
      <name val="Arial"/>
      <family val="2"/>
      <charset val="204"/>
    </font>
    <font>
      <sz val="11"/>
      <name val="Arial"/>
      <family val="2"/>
      <charset val="204"/>
    </font>
    <font>
      <sz val="10"/>
      <color rgb="FFFF0000"/>
      <name val="Arial"/>
      <family val="2"/>
      <charset val="204"/>
    </font>
    <font>
      <b/>
      <i/>
      <sz val="10"/>
      <name val="Arial"/>
      <family val="2"/>
      <charset val="204"/>
    </font>
    <font>
      <i/>
      <sz val="10"/>
      <name val="Arial"/>
      <family val="2"/>
      <charset val="204"/>
    </font>
    <font>
      <sz val="14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0"/>
      <color indexed="8"/>
      <name val="Arial"/>
      <family val="2"/>
      <charset val="204"/>
    </font>
    <font>
      <sz val="1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2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26"/>
      </patternFill>
    </fill>
    <fill>
      <patternFill patternType="solid">
        <fgColor theme="2"/>
        <bgColor indexed="64"/>
      </patternFill>
    </fill>
    <fill>
      <patternFill patternType="solid">
        <fgColor theme="2"/>
        <bgColor indexed="26"/>
      </patternFill>
    </fill>
    <fill>
      <patternFill patternType="solid">
        <fgColor rgb="FFFFFF00"/>
        <bgColor indexed="41"/>
      </patternFill>
    </fill>
    <fill>
      <patternFill patternType="solid">
        <fgColor rgb="FFFFFF00"/>
        <bgColor indexed="34"/>
      </patternFill>
    </fill>
    <fill>
      <patternFill patternType="solid">
        <fgColor theme="6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62">
    <xf numFmtId="0" fontId="0" fillId="0" borderId="0" xfId="0"/>
    <xf numFmtId="0" fontId="0" fillId="3" borderId="0" xfId="0" applyFill="1"/>
    <xf numFmtId="4" fontId="0" fillId="0" borderId="0" xfId="0" applyNumberFormat="1"/>
    <xf numFmtId="4" fontId="6" fillId="0" borderId="0" xfId="0" applyNumberFormat="1" applyFont="1"/>
    <xf numFmtId="0" fontId="6" fillId="0" borderId="0" xfId="0" applyFont="1"/>
    <xf numFmtId="164" fontId="0" fillId="0" borderId="0" xfId="0" applyNumberFormat="1"/>
    <xf numFmtId="2" fontId="0" fillId="0" borderId="0" xfId="0" applyNumberFormat="1"/>
    <xf numFmtId="0" fontId="1" fillId="4" borderId="1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" fillId="7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7" borderId="5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left" vertical="center" wrapText="1"/>
    </xf>
    <xf numFmtId="0" fontId="5" fillId="7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0" fillId="2" borderId="0" xfId="0" applyFill="1"/>
    <xf numFmtId="0" fontId="3" fillId="2" borderId="1" xfId="0" applyFont="1" applyFill="1" applyBorder="1" applyAlignment="1">
      <alignment horizontal="left" vertical="center" wrapText="1"/>
    </xf>
    <xf numFmtId="0" fontId="0" fillId="5" borderId="0" xfId="0" applyFill="1"/>
    <xf numFmtId="0" fontId="1" fillId="4" borderId="3" xfId="0" applyFont="1" applyFill="1" applyBorder="1" applyAlignment="1">
      <alignment horizontal="left" vertical="center"/>
    </xf>
    <xf numFmtId="0" fontId="12" fillId="8" borderId="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164" fontId="1" fillId="4" borderId="2" xfId="0" applyNumberFormat="1" applyFont="1" applyFill="1" applyBorder="1" applyAlignment="1">
      <alignment horizontal="center" vertical="center"/>
    </xf>
    <xf numFmtId="0" fontId="1" fillId="8" borderId="3" xfId="0" applyFont="1" applyFill="1" applyBorder="1" applyAlignment="1">
      <alignment vertical="center"/>
    </xf>
    <xf numFmtId="4" fontId="1" fillId="8" borderId="7" xfId="0" applyNumberFormat="1" applyFont="1" applyFill="1" applyBorder="1" applyAlignment="1">
      <alignment vertical="center"/>
    </xf>
    <xf numFmtId="0" fontId="1" fillId="8" borderId="3" xfId="0" applyFont="1" applyFill="1" applyBorder="1"/>
    <xf numFmtId="4" fontId="1" fillId="4" borderId="1" xfId="0" applyNumberFormat="1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/>
    </xf>
    <xf numFmtId="4" fontId="1" fillId="8" borderId="3" xfId="0" applyNumberFormat="1" applyFont="1" applyFill="1" applyBorder="1" applyAlignment="1">
      <alignment horizontal="center" vertical="center"/>
    </xf>
    <xf numFmtId="4" fontId="1" fillId="8" borderId="7" xfId="0" applyNumberFormat="1" applyFont="1" applyFill="1" applyBorder="1" applyAlignment="1">
      <alignment horizontal="center" vertical="center"/>
    </xf>
    <xf numFmtId="4" fontId="1" fillId="4" borderId="4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/>
    </xf>
    <xf numFmtId="4" fontId="3" fillId="11" borderId="2" xfId="0" applyNumberFormat="1" applyFont="1" applyFill="1" applyBorder="1" applyAlignment="1">
      <alignment horizontal="center" vertical="center"/>
    </xf>
    <xf numFmtId="4" fontId="3" fillId="2" borderId="3" xfId="0" applyNumberFormat="1" applyFont="1" applyFill="1" applyBorder="1" applyAlignment="1">
      <alignment horizontal="center" vertical="center"/>
    </xf>
    <xf numFmtId="4" fontId="3" fillId="2" borderId="7" xfId="0" applyNumberFormat="1" applyFont="1" applyFill="1" applyBorder="1" applyAlignment="1">
      <alignment horizontal="center" vertical="center"/>
    </xf>
    <xf numFmtId="4" fontId="13" fillId="4" borderId="1" xfId="0" applyNumberFormat="1" applyFont="1" applyFill="1" applyBorder="1" applyAlignment="1">
      <alignment horizontal="center" vertical="center" wrapText="1"/>
    </xf>
    <xf numFmtId="4" fontId="1" fillId="7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/>
    </xf>
    <xf numFmtId="4" fontId="3" fillId="10" borderId="2" xfId="0" applyNumberFormat="1" applyFont="1" applyFill="1" applyBorder="1" applyAlignment="1">
      <alignment horizontal="center" vertical="center"/>
    </xf>
    <xf numFmtId="4" fontId="1" fillId="7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4" fontId="1" fillId="9" borderId="3" xfId="0" applyNumberFormat="1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/>
    </xf>
    <xf numFmtId="4" fontId="1" fillId="7" borderId="3" xfId="0" applyNumberFormat="1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4" fontId="3" fillId="5" borderId="1" xfId="0" applyNumberFormat="1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horizontal="center" vertical="center"/>
    </xf>
    <xf numFmtId="4" fontId="3" fillId="5" borderId="3" xfId="0" applyNumberFormat="1" applyFont="1" applyFill="1" applyBorder="1" applyAlignment="1">
      <alignment horizontal="center" vertical="center"/>
    </xf>
    <xf numFmtId="4" fontId="1" fillId="4" borderId="0" xfId="0" applyNumberFormat="1" applyFont="1" applyFill="1" applyBorder="1" applyAlignment="1">
      <alignment horizontal="center" vertical="center"/>
    </xf>
    <xf numFmtId="4" fontId="1" fillId="4" borderId="10" xfId="0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left" vertical="center" wrapText="1"/>
    </xf>
    <xf numFmtId="4" fontId="1" fillId="4" borderId="5" xfId="0" applyNumberFormat="1" applyFont="1" applyFill="1" applyBorder="1" applyAlignment="1">
      <alignment horizontal="center" vertical="center" wrapText="1"/>
    </xf>
    <xf numFmtId="4" fontId="1" fillId="4" borderId="5" xfId="0" applyNumberFormat="1" applyFont="1" applyFill="1" applyBorder="1" applyAlignment="1">
      <alignment horizontal="center" vertical="center"/>
    </xf>
    <xf numFmtId="4" fontId="1" fillId="4" borderId="6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4" fontId="1" fillId="4" borderId="3" xfId="0" applyNumberFormat="1" applyFont="1" applyFill="1" applyBorder="1" applyAlignment="1">
      <alignment horizontal="center" vertical="center" wrapText="1"/>
    </xf>
    <xf numFmtId="4" fontId="1" fillId="4" borderId="7" xfId="0" applyNumberFormat="1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0" borderId="0" xfId="0" applyFont="1"/>
    <xf numFmtId="0" fontId="3" fillId="4" borderId="3" xfId="0" applyFont="1" applyFill="1" applyBorder="1" applyAlignment="1">
      <alignment horizontal="left" vertical="center"/>
    </xf>
    <xf numFmtId="0" fontId="1" fillId="7" borderId="3" xfId="0" applyFont="1" applyFill="1" applyBorder="1" applyAlignment="1">
      <alignment horizontal="left" vertical="center"/>
    </xf>
    <xf numFmtId="4" fontId="1" fillId="7" borderId="3" xfId="0" applyNumberFormat="1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left" vertical="center" wrapText="1"/>
    </xf>
    <xf numFmtId="4" fontId="3" fillId="5" borderId="3" xfId="0" applyNumberFormat="1" applyFont="1" applyFill="1" applyBorder="1" applyAlignment="1">
      <alignment horizontal="center" vertical="center" wrapText="1"/>
    </xf>
    <xf numFmtId="4" fontId="3" fillId="10" borderId="7" xfId="0" applyNumberFormat="1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left" vertical="center" wrapText="1"/>
    </xf>
    <xf numFmtId="4" fontId="1" fillId="6" borderId="3" xfId="0" applyNumberFormat="1" applyFont="1" applyFill="1" applyBorder="1" applyAlignment="1">
      <alignment horizontal="center" vertical="center"/>
    </xf>
    <xf numFmtId="4" fontId="3" fillId="6" borderId="3" xfId="0" applyNumberFormat="1" applyFont="1" applyFill="1" applyBorder="1" applyAlignment="1">
      <alignment horizontal="center" vertical="center"/>
    </xf>
    <xf numFmtId="1" fontId="1" fillId="4" borderId="3" xfId="0" applyNumberFormat="1" applyFont="1" applyFill="1" applyBorder="1" applyAlignment="1">
      <alignment horizontal="left" vertical="center" wrapText="1"/>
    </xf>
    <xf numFmtId="4" fontId="3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2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left" vertical="center"/>
    </xf>
    <xf numFmtId="4" fontId="1" fillId="2" borderId="3" xfId="0" applyNumberFormat="1" applyFont="1" applyFill="1" applyBorder="1" applyAlignment="1">
      <alignment horizontal="center" vertical="center"/>
    </xf>
    <xf numFmtId="4" fontId="1" fillId="4" borderId="2" xfId="0" applyNumberFormat="1" applyFont="1" applyFill="1" applyBorder="1" applyAlignment="1">
      <alignment horizontal="center" vertical="center" wrapText="1"/>
    </xf>
    <xf numFmtId="4" fontId="14" fillId="2" borderId="6" xfId="0" applyNumberFormat="1" applyFont="1" applyFill="1" applyBorder="1" applyAlignment="1">
      <alignment horizontal="center" vertical="center"/>
    </xf>
    <xf numFmtId="0" fontId="1" fillId="4" borderId="3" xfId="0" applyFont="1" applyFill="1" applyBorder="1" applyAlignment="1" applyProtection="1">
      <alignment horizontal="center" vertical="center" wrapText="1"/>
    </xf>
    <xf numFmtId="4" fontId="14" fillId="4" borderId="3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3" fillId="4" borderId="3" xfId="0" applyFont="1" applyFill="1" applyBorder="1" applyAlignment="1">
      <alignment vertical="center"/>
    </xf>
    <xf numFmtId="0" fontId="1" fillId="4" borderId="3" xfId="0" applyFont="1" applyFill="1" applyBorder="1" applyAlignment="1">
      <alignment vertical="center"/>
    </xf>
    <xf numFmtId="4" fontId="3" fillId="4" borderId="7" xfId="0" applyNumberFormat="1" applyFont="1" applyFill="1" applyBorder="1" applyAlignment="1">
      <alignment horizontal="center" vertical="center"/>
    </xf>
    <xf numFmtId="4" fontId="14" fillId="4" borderId="7" xfId="0" applyNumberFormat="1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left" vertical="center"/>
    </xf>
    <xf numFmtId="0" fontId="1" fillId="2" borderId="8" xfId="0" applyFont="1" applyFill="1" applyBorder="1" applyAlignment="1">
      <alignment horizontal="center" vertical="center"/>
    </xf>
    <xf numFmtId="4" fontId="1" fillId="2" borderId="8" xfId="0" applyNumberFormat="1" applyFont="1" applyFill="1" applyBorder="1" applyAlignment="1">
      <alignment horizontal="center" vertical="center"/>
    </xf>
    <xf numFmtId="4" fontId="14" fillId="2" borderId="8" xfId="0" applyNumberFormat="1" applyFont="1" applyFill="1" applyBorder="1" applyAlignment="1">
      <alignment horizontal="center" vertical="center"/>
    </xf>
    <xf numFmtId="4" fontId="3" fillId="2" borderId="9" xfId="0" applyNumberFormat="1" applyFont="1" applyFill="1" applyBorder="1" applyAlignment="1">
      <alignment horizontal="center" vertical="center"/>
    </xf>
    <xf numFmtId="4" fontId="1" fillId="0" borderId="0" xfId="0" applyNumberFormat="1" applyFont="1"/>
    <xf numFmtId="4" fontId="15" fillId="0" borderId="0" xfId="0" applyNumberFormat="1" applyFont="1"/>
    <xf numFmtId="0" fontId="15" fillId="0" borderId="0" xfId="0" applyFont="1"/>
    <xf numFmtId="0" fontId="16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4" fontId="3" fillId="10" borderId="3" xfId="0" applyNumberFormat="1" applyFont="1" applyFill="1" applyBorder="1" applyAlignment="1">
      <alignment horizontal="center" vertical="center"/>
    </xf>
    <xf numFmtId="4" fontId="14" fillId="2" borderId="3" xfId="0" applyNumberFormat="1" applyFont="1" applyFill="1" applyBorder="1" applyAlignment="1">
      <alignment horizontal="center" vertical="center"/>
    </xf>
    <xf numFmtId="4" fontId="14" fillId="8" borderId="3" xfId="0" applyNumberFormat="1" applyFont="1" applyFill="1" applyBorder="1" applyAlignment="1">
      <alignment horizontal="center" vertical="center"/>
    </xf>
    <xf numFmtId="4" fontId="3" fillId="8" borderId="3" xfId="0" applyNumberFormat="1" applyFont="1" applyFill="1" applyBorder="1" applyAlignment="1">
      <alignment horizontal="center" vertical="center"/>
    </xf>
    <xf numFmtId="0" fontId="17" fillId="0" borderId="0" xfId="0" applyFont="1" applyAlignment="1"/>
    <xf numFmtId="4" fontId="1" fillId="4" borderId="0" xfId="0" applyNumberFormat="1" applyFont="1" applyFill="1" applyBorder="1" applyAlignment="1">
      <alignment horizontal="center" vertical="center" wrapText="1"/>
    </xf>
    <xf numFmtId="0" fontId="0" fillId="12" borderId="0" xfId="0" applyFill="1"/>
    <xf numFmtId="0" fontId="12" fillId="4" borderId="14" xfId="0" applyFont="1" applyFill="1" applyBorder="1" applyAlignment="1">
      <alignment horizontal="center" vertical="center" wrapText="1"/>
    </xf>
    <xf numFmtId="0" fontId="12" fillId="4" borderId="15" xfId="0" applyFont="1" applyFill="1" applyBorder="1" applyAlignment="1">
      <alignment horizontal="center" vertical="center" wrapText="1"/>
    </xf>
    <xf numFmtId="0" fontId="12" fillId="4" borderId="16" xfId="0" applyFont="1" applyFill="1" applyBorder="1" applyAlignment="1">
      <alignment horizontal="center" vertical="center" wrapText="1"/>
    </xf>
    <xf numFmtId="0" fontId="1" fillId="4" borderId="17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7" borderId="17" xfId="0" applyFont="1" applyFill="1" applyBorder="1" applyAlignment="1">
      <alignment horizontal="center" vertical="center"/>
    </xf>
    <xf numFmtId="0" fontId="1" fillId="0" borderId="18" xfId="0" applyFont="1" applyBorder="1"/>
    <xf numFmtId="0" fontId="1" fillId="5" borderId="18" xfId="0" applyFont="1" applyFill="1" applyBorder="1"/>
    <xf numFmtId="0" fontId="1" fillId="4" borderId="18" xfId="0" applyFont="1" applyFill="1" applyBorder="1" applyAlignment="1">
      <alignment horizontal="center" vertical="center"/>
    </xf>
    <xf numFmtId="4" fontId="1" fillId="2" borderId="19" xfId="0" applyNumberFormat="1" applyFont="1" applyFill="1" applyBorder="1" applyAlignment="1">
      <alignment horizontal="center" vertical="center" wrapText="1"/>
    </xf>
    <xf numFmtId="0" fontId="0" fillId="4" borderId="0" xfId="0" applyFont="1" applyFill="1" applyBorder="1" applyAlignment="1">
      <alignment horizontal="center" vertical="center"/>
    </xf>
    <xf numFmtId="0" fontId="1" fillId="4" borderId="20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4" fontId="1" fillId="8" borderId="1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left" vertical="center" wrapText="1"/>
    </xf>
    <xf numFmtId="0" fontId="1" fillId="4" borderId="21" xfId="0" applyFont="1" applyFill="1" applyBorder="1" applyAlignment="1">
      <alignment horizontal="center" vertical="center"/>
    </xf>
    <xf numFmtId="0" fontId="1" fillId="4" borderId="3" xfId="0" applyNumberFormat="1" applyFont="1" applyFill="1" applyBorder="1" applyAlignment="1" applyProtection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left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3" xfId="0" applyNumberFormat="1" applyFont="1" applyFill="1" applyBorder="1" applyAlignment="1" applyProtection="1">
      <alignment horizontal="center" vertical="center"/>
    </xf>
    <xf numFmtId="0" fontId="12" fillId="4" borderId="3" xfId="0" applyNumberFormat="1" applyFont="1" applyFill="1" applyBorder="1" applyAlignment="1" applyProtection="1">
      <alignment horizontal="center" vertical="center"/>
    </xf>
    <xf numFmtId="0" fontId="19" fillId="4" borderId="3" xfId="0" applyNumberFormat="1" applyFont="1" applyFill="1" applyBorder="1" applyAlignment="1" applyProtection="1">
      <alignment horizontal="center" vertical="center"/>
    </xf>
    <xf numFmtId="0" fontId="1" fillId="4" borderId="3" xfId="0" applyNumberFormat="1" applyFont="1" applyFill="1" applyBorder="1" applyAlignment="1" applyProtection="1">
      <alignment horizontal="left" vertical="center"/>
    </xf>
    <xf numFmtId="165" fontId="1" fillId="4" borderId="3" xfId="0" applyNumberFormat="1" applyFont="1" applyFill="1" applyBorder="1" applyAlignment="1">
      <alignment horizontal="center" vertical="center"/>
    </xf>
    <xf numFmtId="4" fontId="7" fillId="0" borderId="7" xfId="0" applyNumberFormat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2" fontId="7" fillId="0" borderId="7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5" tint="-0.249977111117893"/>
  </sheetPr>
  <dimension ref="A1:U132"/>
  <sheetViews>
    <sheetView tabSelected="1" view="pageBreakPreview" zoomScale="70" zoomScaleNormal="75" zoomScaleSheetLayoutView="70" workbookViewId="0">
      <pane ySplit="7" topLeftCell="A101" activePane="bottomLeft" state="frozen"/>
      <selection activeCell="B1" sqref="B1"/>
      <selection pane="bottomLeft" activeCell="P112" sqref="P112"/>
    </sheetView>
  </sheetViews>
  <sheetFormatPr defaultRowHeight="12.75"/>
  <cols>
    <col min="1" max="1" width="14.42578125" customWidth="1"/>
    <col min="2" max="2" width="42.85546875" customWidth="1"/>
    <col min="3" max="3" width="9.140625" customWidth="1"/>
    <col min="4" max="4" width="22" customWidth="1"/>
    <col min="5" max="6" width="10.140625" customWidth="1"/>
    <col min="7" max="7" width="11" customWidth="1"/>
    <col min="8" max="8" width="11.5703125" customWidth="1"/>
    <col min="9" max="9" width="10.140625" customWidth="1"/>
    <col min="10" max="10" width="10.5703125" customWidth="1"/>
    <col min="11" max="11" width="9.85546875" customWidth="1"/>
    <col min="12" max="12" width="10.42578125" customWidth="1"/>
    <col min="13" max="13" width="10.28515625" customWidth="1"/>
    <col min="14" max="14" width="10.140625" customWidth="1"/>
    <col min="15" max="15" width="10.42578125" customWidth="1"/>
    <col min="16" max="16" width="10.5703125" customWidth="1"/>
    <col min="17" max="17" width="10.42578125" customWidth="1"/>
    <col min="18" max="18" width="10.85546875" customWidth="1"/>
    <col min="19" max="19" width="11.140625" customWidth="1"/>
    <col min="20" max="20" width="10.85546875" customWidth="1"/>
    <col min="21" max="21" width="12.28515625" customWidth="1"/>
  </cols>
  <sheetData>
    <row r="1" spans="1:21" ht="14.25" customHeight="1">
      <c r="A1" s="132"/>
    </row>
    <row r="3" spans="1:21" ht="18">
      <c r="A3" s="119"/>
      <c r="B3" s="159" t="s">
        <v>0</v>
      </c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67"/>
      <c r="N3" s="67"/>
      <c r="O3" s="67"/>
      <c r="P3" s="67"/>
      <c r="Q3" s="67"/>
      <c r="R3" s="67"/>
      <c r="S3" s="67"/>
      <c r="T3" s="67"/>
      <c r="U3" s="67"/>
    </row>
    <row r="4" spans="1:21" ht="36.75" customHeight="1">
      <c r="A4" s="67"/>
      <c r="B4" s="160" t="s">
        <v>1</v>
      </c>
      <c r="C4" s="160"/>
      <c r="D4" s="160"/>
      <c r="E4" s="160"/>
      <c r="F4" s="160"/>
      <c r="G4" s="160"/>
      <c r="H4" s="160"/>
      <c r="I4" s="160"/>
      <c r="J4" s="160"/>
      <c r="K4" s="160"/>
      <c r="L4" s="160"/>
      <c r="M4" s="67"/>
      <c r="N4" s="67"/>
      <c r="O4" s="67"/>
      <c r="P4" s="67"/>
      <c r="Q4" s="67"/>
      <c r="R4" s="67"/>
      <c r="S4" s="67"/>
      <c r="T4" s="67"/>
      <c r="U4" s="67"/>
    </row>
    <row r="5" spans="1:21" ht="18">
      <c r="A5" s="67"/>
      <c r="B5" s="160" t="s">
        <v>181</v>
      </c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67"/>
      <c r="N5" s="67"/>
      <c r="O5" s="67"/>
      <c r="P5" s="67"/>
      <c r="Q5" s="67"/>
      <c r="R5" s="67"/>
      <c r="S5" s="67"/>
      <c r="T5" s="67"/>
      <c r="U5" s="67"/>
    </row>
    <row r="6" spans="1:21" ht="14.25">
      <c r="A6" s="67"/>
      <c r="B6" s="161" t="s">
        <v>124</v>
      </c>
      <c r="C6" s="161"/>
      <c r="D6" s="161"/>
      <c r="E6" s="161"/>
      <c r="F6" s="161"/>
      <c r="G6" s="161"/>
      <c r="H6" s="161"/>
      <c r="I6" s="161"/>
      <c r="J6" s="161"/>
      <c r="K6" s="161"/>
      <c r="L6" s="161"/>
      <c r="M6" s="67"/>
      <c r="N6" s="67"/>
      <c r="O6" s="67"/>
      <c r="P6" s="67"/>
      <c r="Q6" s="67"/>
      <c r="R6" s="67"/>
      <c r="S6" s="67"/>
      <c r="T6" s="67"/>
      <c r="U6" s="67"/>
    </row>
    <row r="7" spans="1:21" ht="54.75" customHeight="1">
      <c r="A7" s="122" t="s">
        <v>2</v>
      </c>
      <c r="B7" s="123" t="s">
        <v>3</v>
      </c>
      <c r="C7" s="123" t="s">
        <v>4</v>
      </c>
      <c r="D7" s="123" t="s">
        <v>5</v>
      </c>
      <c r="E7" s="123" t="s">
        <v>6</v>
      </c>
      <c r="F7" s="123" t="s">
        <v>7</v>
      </c>
      <c r="G7" s="123" t="s">
        <v>8</v>
      </c>
      <c r="H7" s="124" t="s">
        <v>9</v>
      </c>
      <c r="I7" s="23" t="s">
        <v>111</v>
      </c>
      <c r="J7" s="23" t="s">
        <v>112</v>
      </c>
      <c r="K7" s="23" t="s">
        <v>113</v>
      </c>
      <c r="L7" s="23" t="s">
        <v>114</v>
      </c>
      <c r="M7" s="23" t="s">
        <v>115</v>
      </c>
      <c r="N7" s="23" t="s">
        <v>116</v>
      </c>
      <c r="O7" s="23" t="s">
        <v>117</v>
      </c>
      <c r="P7" s="23" t="s">
        <v>118</v>
      </c>
      <c r="Q7" s="23" t="s">
        <v>119</v>
      </c>
      <c r="R7" s="23" t="s">
        <v>120</v>
      </c>
      <c r="S7" s="23" t="s">
        <v>121</v>
      </c>
      <c r="T7" s="23" t="s">
        <v>122</v>
      </c>
      <c r="U7" s="23" t="s">
        <v>123</v>
      </c>
    </row>
    <row r="8" spans="1:21">
      <c r="A8" s="125">
        <v>1</v>
      </c>
      <c r="B8" s="7">
        <v>2</v>
      </c>
      <c r="C8" s="24">
        <v>3</v>
      </c>
      <c r="D8" s="7">
        <v>4</v>
      </c>
      <c r="E8" s="7">
        <v>5</v>
      </c>
      <c r="F8" s="24">
        <v>6</v>
      </c>
      <c r="G8" s="24">
        <v>7</v>
      </c>
      <c r="H8" s="25">
        <v>8</v>
      </c>
      <c r="I8" s="26">
        <v>9</v>
      </c>
      <c r="J8" s="26">
        <v>10</v>
      </c>
      <c r="K8" s="26">
        <v>11</v>
      </c>
      <c r="L8" s="26">
        <v>12</v>
      </c>
      <c r="M8" s="26">
        <v>13</v>
      </c>
      <c r="N8" s="26">
        <v>14</v>
      </c>
      <c r="O8" s="26">
        <v>15</v>
      </c>
      <c r="P8" s="26">
        <v>16</v>
      </c>
      <c r="Q8" s="26">
        <v>17</v>
      </c>
      <c r="R8" s="26">
        <v>18</v>
      </c>
      <c r="S8" s="26">
        <v>19</v>
      </c>
      <c r="T8" s="26">
        <v>20</v>
      </c>
      <c r="U8" s="26">
        <v>13</v>
      </c>
    </row>
    <row r="9" spans="1:21" ht="38.25">
      <c r="A9" s="125"/>
      <c r="B9" s="9" t="s">
        <v>10</v>
      </c>
      <c r="C9" s="24"/>
      <c r="D9" s="10"/>
      <c r="E9" s="10"/>
      <c r="F9" s="24"/>
      <c r="G9" s="24"/>
      <c r="H9" s="27"/>
      <c r="I9" s="28"/>
      <c r="J9" s="28"/>
      <c r="K9" s="28"/>
      <c r="L9" s="28"/>
      <c r="M9" s="29"/>
      <c r="N9" s="30"/>
      <c r="O9" s="30"/>
      <c r="P9" s="30"/>
      <c r="Q9" s="30"/>
      <c r="R9" s="30"/>
      <c r="S9" s="30"/>
      <c r="T9" s="30"/>
      <c r="U9" s="30"/>
    </row>
    <row r="10" spans="1:21">
      <c r="A10" s="125"/>
      <c r="B10" s="9" t="s">
        <v>11</v>
      </c>
      <c r="C10" s="24"/>
      <c r="D10" s="10"/>
      <c r="E10" s="10"/>
      <c r="F10" s="24"/>
      <c r="G10" s="24"/>
      <c r="H10" s="27"/>
      <c r="I10" s="28"/>
      <c r="J10" s="28"/>
      <c r="K10" s="28"/>
      <c r="L10" s="28"/>
      <c r="M10" s="29"/>
      <c r="N10" s="30"/>
      <c r="O10" s="30"/>
      <c r="P10" s="30"/>
      <c r="Q10" s="30"/>
      <c r="R10" s="30"/>
      <c r="S10" s="30"/>
      <c r="T10" s="30"/>
      <c r="U10" s="30"/>
    </row>
    <row r="11" spans="1:21" ht="25.5">
      <c r="A11" s="125" t="s">
        <v>139</v>
      </c>
      <c r="B11" s="10" t="s">
        <v>12</v>
      </c>
      <c r="C11" s="24" t="s">
        <v>13</v>
      </c>
      <c r="D11" s="10" t="s">
        <v>14</v>
      </c>
      <c r="E11" s="31">
        <v>37.6</v>
      </c>
      <c r="F11" s="32">
        <f>SUM(E11*156/100)</f>
        <v>58.656000000000006</v>
      </c>
      <c r="G11" s="32">
        <v>187.48</v>
      </c>
      <c r="H11" s="33">
        <f t="shared" ref="H11:H21" si="0">SUM(F11*G11/1000)</f>
        <v>10.99682688</v>
      </c>
      <c r="I11" s="34">
        <f>F11/12*G11</f>
        <v>916.40224000000012</v>
      </c>
      <c r="J11" s="34">
        <f>K11</f>
        <v>916.40224000000012</v>
      </c>
      <c r="K11" s="34">
        <f>F11/12*G11</f>
        <v>916.40224000000012</v>
      </c>
      <c r="L11" s="34">
        <f>F11/12*G11</f>
        <v>916.40224000000012</v>
      </c>
      <c r="M11" s="34">
        <f>F11/12*G11</f>
        <v>916.40224000000012</v>
      </c>
      <c r="N11" s="34">
        <f>F11/12*G11</f>
        <v>916.40224000000012</v>
      </c>
      <c r="O11" s="34">
        <f>F11/12*G11</f>
        <v>916.40224000000012</v>
      </c>
      <c r="P11" s="34">
        <f>F11/12*G11</f>
        <v>916.40224000000012</v>
      </c>
      <c r="Q11" s="34">
        <f>F11/12*G11</f>
        <v>916.40224000000012</v>
      </c>
      <c r="R11" s="34">
        <f>F11/12*G11</f>
        <v>916.40224000000012</v>
      </c>
      <c r="S11" s="34">
        <f>F11/12*G11</f>
        <v>916.40224000000012</v>
      </c>
      <c r="T11" s="34">
        <f>F11/12*G11</f>
        <v>916.40224000000012</v>
      </c>
      <c r="U11" s="34">
        <f>SUM(I11:T11)</f>
        <v>10996.826880000001</v>
      </c>
    </row>
    <row r="12" spans="1:21" ht="25.5">
      <c r="A12" s="125" t="s">
        <v>139</v>
      </c>
      <c r="B12" s="10" t="s">
        <v>137</v>
      </c>
      <c r="C12" s="24" t="s">
        <v>13</v>
      </c>
      <c r="D12" s="10" t="s">
        <v>15</v>
      </c>
      <c r="E12" s="31">
        <v>75.2</v>
      </c>
      <c r="F12" s="32">
        <f>SUM(E12*104/100)</f>
        <v>78.207999999999998</v>
      </c>
      <c r="G12" s="32">
        <v>187.48</v>
      </c>
      <c r="H12" s="33">
        <f t="shared" si="0"/>
        <v>14.662435839999999</v>
      </c>
      <c r="I12" s="34">
        <f>F12/12*G12</f>
        <v>1221.8696533333332</v>
      </c>
      <c r="J12" s="34">
        <f>K12</f>
        <v>1221.8696533333332</v>
      </c>
      <c r="K12" s="34">
        <f>F12/12*G12</f>
        <v>1221.8696533333332</v>
      </c>
      <c r="L12" s="34">
        <f>F12/12*G12</f>
        <v>1221.8696533333332</v>
      </c>
      <c r="M12" s="34">
        <f>F12/12*G12</f>
        <v>1221.8696533333332</v>
      </c>
      <c r="N12" s="34">
        <f>F12/12*G12</f>
        <v>1221.8696533333332</v>
      </c>
      <c r="O12" s="34">
        <f>F12/12*G12</f>
        <v>1221.8696533333332</v>
      </c>
      <c r="P12" s="34">
        <f>F12/12*G12</f>
        <v>1221.8696533333332</v>
      </c>
      <c r="Q12" s="34">
        <f>F12/12*G12</f>
        <v>1221.8696533333332</v>
      </c>
      <c r="R12" s="34">
        <f>F12/12*G12</f>
        <v>1221.8696533333332</v>
      </c>
      <c r="S12" s="34">
        <f>F12/12*G12</f>
        <v>1221.8696533333332</v>
      </c>
      <c r="T12" s="34">
        <f>F12/12*G12</f>
        <v>1221.8696533333332</v>
      </c>
      <c r="U12" s="34">
        <f t="shared" ref="U12:U21" si="1">SUM(I12:T12)</f>
        <v>14662.435839999998</v>
      </c>
    </row>
    <row r="13" spans="1:21" ht="25.5">
      <c r="A13" s="125" t="s">
        <v>140</v>
      </c>
      <c r="B13" s="10" t="s">
        <v>138</v>
      </c>
      <c r="C13" s="24" t="s">
        <v>13</v>
      </c>
      <c r="D13" s="10" t="s">
        <v>16</v>
      </c>
      <c r="E13" s="31">
        <f>SUM(E11+E12)</f>
        <v>112.80000000000001</v>
      </c>
      <c r="F13" s="32">
        <f>SUM(E13*24/100)</f>
        <v>27.072000000000003</v>
      </c>
      <c r="G13" s="32">
        <v>539.30999999999995</v>
      </c>
      <c r="H13" s="33">
        <f t="shared" si="0"/>
        <v>14.600200320000001</v>
      </c>
      <c r="I13" s="34">
        <f>F13/12*G13</f>
        <v>1216.68336</v>
      </c>
      <c r="J13" s="34">
        <f>F13/12*G13</f>
        <v>1216.68336</v>
      </c>
      <c r="K13" s="34">
        <f>F13/12*G13</f>
        <v>1216.68336</v>
      </c>
      <c r="L13" s="34">
        <f>F13/12*G13</f>
        <v>1216.68336</v>
      </c>
      <c r="M13" s="34">
        <f>F13/12*G13</f>
        <v>1216.68336</v>
      </c>
      <c r="N13" s="34">
        <f>F13/12*G13</f>
        <v>1216.68336</v>
      </c>
      <c r="O13" s="34">
        <f>F13/12*G13</f>
        <v>1216.68336</v>
      </c>
      <c r="P13" s="34">
        <f>F13/12*G13</f>
        <v>1216.68336</v>
      </c>
      <c r="Q13" s="34">
        <f>F13/12*G13</f>
        <v>1216.68336</v>
      </c>
      <c r="R13" s="34">
        <f>F13/12*G13</f>
        <v>1216.68336</v>
      </c>
      <c r="S13" s="34">
        <f>F13/12*G13</f>
        <v>1216.68336</v>
      </c>
      <c r="T13" s="34">
        <f>F13/12*G13</f>
        <v>1216.68336</v>
      </c>
      <c r="U13" s="34">
        <f t="shared" si="1"/>
        <v>14600.200319999996</v>
      </c>
    </row>
    <row r="14" spans="1:21">
      <c r="A14" s="125" t="s">
        <v>141</v>
      </c>
      <c r="B14" s="10" t="s">
        <v>17</v>
      </c>
      <c r="C14" s="24" t="s">
        <v>18</v>
      </c>
      <c r="D14" s="10" t="s">
        <v>96</v>
      </c>
      <c r="E14" s="31">
        <v>15</v>
      </c>
      <c r="F14" s="32">
        <f>SUM(E14/10)</f>
        <v>1.5</v>
      </c>
      <c r="G14" s="32">
        <v>160.22999999999999</v>
      </c>
      <c r="H14" s="33">
        <f t="shared" si="0"/>
        <v>0.24034499999999998</v>
      </c>
      <c r="I14" s="34">
        <v>0</v>
      </c>
      <c r="J14" s="34">
        <v>0</v>
      </c>
      <c r="K14" s="34">
        <v>0</v>
      </c>
      <c r="L14" s="34">
        <v>0</v>
      </c>
      <c r="M14" s="34">
        <f>F14*G14</f>
        <v>240.34499999999997</v>
      </c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f t="shared" si="1"/>
        <v>240.34499999999997</v>
      </c>
    </row>
    <row r="15" spans="1:21">
      <c r="A15" s="125" t="s">
        <v>142</v>
      </c>
      <c r="B15" s="10" t="s">
        <v>19</v>
      </c>
      <c r="C15" s="24" t="s">
        <v>13</v>
      </c>
      <c r="D15" s="10" t="s">
        <v>107</v>
      </c>
      <c r="E15" s="31">
        <v>8.76</v>
      </c>
      <c r="F15" s="32">
        <f>SUM(E15*12/100)</f>
        <v>1.0512000000000001</v>
      </c>
      <c r="G15" s="32">
        <v>205.16</v>
      </c>
      <c r="H15" s="33">
        <f t="shared" si="0"/>
        <v>0.215664192</v>
      </c>
      <c r="I15" s="34">
        <f>F15/12*G15</f>
        <v>17.972016000000004</v>
      </c>
      <c r="J15" s="34">
        <f>K15</f>
        <v>17.972016000000004</v>
      </c>
      <c r="K15" s="34">
        <f>F15/12*G15</f>
        <v>17.972016000000004</v>
      </c>
      <c r="L15" s="34">
        <f>F15/12*G15</f>
        <v>17.972016000000004</v>
      </c>
      <c r="M15" s="34">
        <f>F15/12*G15</f>
        <v>17.972016000000004</v>
      </c>
      <c r="N15" s="34">
        <f>F15/12*G15</f>
        <v>17.972016000000004</v>
      </c>
      <c r="O15" s="34">
        <f>F15/12*G15</f>
        <v>17.972016000000004</v>
      </c>
      <c r="P15" s="34">
        <f>F15/12*G15</f>
        <v>17.972016000000004</v>
      </c>
      <c r="Q15" s="34">
        <f>F15/12*G15</f>
        <v>17.972016000000004</v>
      </c>
      <c r="R15" s="34">
        <f>F15/12*G15</f>
        <v>17.972016000000004</v>
      </c>
      <c r="S15" s="34">
        <f>F15/12*G15</f>
        <v>17.972016000000004</v>
      </c>
      <c r="T15" s="34">
        <f>F15/12*G15</f>
        <v>17.972016000000004</v>
      </c>
      <c r="U15" s="34">
        <f t="shared" si="1"/>
        <v>215.66419199999999</v>
      </c>
    </row>
    <row r="16" spans="1:21">
      <c r="A16" s="125" t="s">
        <v>143</v>
      </c>
      <c r="B16" s="10" t="s">
        <v>20</v>
      </c>
      <c r="C16" s="24" t="s">
        <v>13</v>
      </c>
      <c r="D16" s="10" t="s">
        <v>108</v>
      </c>
      <c r="E16" s="31">
        <v>1.08</v>
      </c>
      <c r="F16" s="32">
        <f>SUM(E16*6/100)</f>
        <v>6.480000000000001E-2</v>
      </c>
      <c r="G16" s="32">
        <v>203.5</v>
      </c>
      <c r="H16" s="33">
        <f t="shared" si="0"/>
        <v>1.3186800000000002E-2</v>
      </c>
      <c r="I16" s="34">
        <f>F16/6*G16</f>
        <v>2.1978000000000004</v>
      </c>
      <c r="J16" s="34">
        <v>0</v>
      </c>
      <c r="K16" s="34">
        <f>F16/6*G16</f>
        <v>2.1978000000000004</v>
      </c>
      <c r="L16" s="34">
        <v>0</v>
      </c>
      <c r="M16" s="34">
        <f>F16/6*G16</f>
        <v>2.1978000000000004</v>
      </c>
      <c r="N16" s="34">
        <v>0</v>
      </c>
      <c r="O16" s="34">
        <f>F16/6*G16</f>
        <v>2.1978000000000004</v>
      </c>
      <c r="P16" s="34">
        <f>0</f>
        <v>0</v>
      </c>
      <c r="Q16" s="34">
        <f>F16/6*G16</f>
        <v>2.1978000000000004</v>
      </c>
      <c r="R16" s="34">
        <v>0</v>
      </c>
      <c r="S16" s="34">
        <f>F16/6*G16</f>
        <v>2.1978000000000004</v>
      </c>
      <c r="T16" s="34">
        <v>0</v>
      </c>
      <c r="U16" s="34">
        <f t="shared" si="1"/>
        <v>13.186800000000003</v>
      </c>
    </row>
    <row r="17" spans="1:21">
      <c r="A17" s="125" t="s">
        <v>144</v>
      </c>
      <c r="B17" s="10" t="s">
        <v>21</v>
      </c>
      <c r="C17" s="24" t="s">
        <v>22</v>
      </c>
      <c r="D17" s="10" t="s">
        <v>96</v>
      </c>
      <c r="E17" s="31">
        <v>107.1</v>
      </c>
      <c r="F17" s="32">
        <f>SUM(E17/100)</f>
        <v>1.071</v>
      </c>
      <c r="G17" s="32">
        <v>253.54</v>
      </c>
      <c r="H17" s="33">
        <f t="shared" si="0"/>
        <v>0.27154133999999996</v>
      </c>
      <c r="I17" s="34">
        <v>0</v>
      </c>
      <c r="J17" s="34">
        <v>0</v>
      </c>
      <c r="K17" s="34">
        <v>0</v>
      </c>
      <c r="L17" s="34">
        <v>0</v>
      </c>
      <c r="M17" s="34">
        <f>F17*G17</f>
        <v>271.54133999999999</v>
      </c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f t="shared" si="1"/>
        <v>271.54133999999999</v>
      </c>
    </row>
    <row r="18" spans="1:21">
      <c r="A18" s="125" t="s">
        <v>145</v>
      </c>
      <c r="B18" s="10" t="s">
        <v>23</v>
      </c>
      <c r="C18" s="24" t="s">
        <v>22</v>
      </c>
      <c r="D18" s="10" t="s">
        <v>96</v>
      </c>
      <c r="E18" s="36">
        <v>14.5</v>
      </c>
      <c r="F18" s="32">
        <f>SUM(E18/100)</f>
        <v>0.14499999999999999</v>
      </c>
      <c r="G18" s="32">
        <v>41.7</v>
      </c>
      <c r="H18" s="33">
        <f t="shared" si="0"/>
        <v>6.0464999999999998E-3</v>
      </c>
      <c r="I18" s="34">
        <v>0</v>
      </c>
      <c r="J18" s="34">
        <v>0</v>
      </c>
      <c r="K18" s="34">
        <v>0</v>
      </c>
      <c r="L18" s="34">
        <v>0</v>
      </c>
      <c r="M18" s="34">
        <f t="shared" ref="M18:M21" si="2">F18*G18</f>
        <v>6.0465</v>
      </c>
      <c r="N18" s="34">
        <v>0</v>
      </c>
      <c r="O18" s="34">
        <v>0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f t="shared" si="1"/>
        <v>6.0465</v>
      </c>
    </row>
    <row r="19" spans="1:21">
      <c r="A19" s="125" t="s">
        <v>146</v>
      </c>
      <c r="B19" s="10" t="s">
        <v>24</v>
      </c>
      <c r="C19" s="24" t="s">
        <v>22</v>
      </c>
      <c r="D19" s="10" t="s">
        <v>97</v>
      </c>
      <c r="E19" s="31">
        <v>6</v>
      </c>
      <c r="F19" s="32">
        <f>E19/100</f>
        <v>0.06</v>
      </c>
      <c r="G19" s="32">
        <v>366.97</v>
      </c>
      <c r="H19" s="33">
        <f t="shared" si="0"/>
        <v>2.2018200000000002E-2</v>
      </c>
      <c r="I19" s="34">
        <v>0</v>
      </c>
      <c r="J19" s="34">
        <v>0</v>
      </c>
      <c r="K19" s="34">
        <v>0</v>
      </c>
      <c r="L19" s="34">
        <v>0</v>
      </c>
      <c r="M19" s="34">
        <f t="shared" si="2"/>
        <v>22.0182</v>
      </c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f t="shared" si="1"/>
        <v>22.0182</v>
      </c>
    </row>
    <row r="20" spans="1:21" ht="25.5">
      <c r="A20" s="125" t="s">
        <v>147</v>
      </c>
      <c r="B20" s="10" t="s">
        <v>98</v>
      </c>
      <c r="C20" s="24" t="s">
        <v>22</v>
      </c>
      <c r="D20" s="10" t="s">
        <v>32</v>
      </c>
      <c r="E20" s="31">
        <v>5.7</v>
      </c>
      <c r="F20" s="32">
        <f>E20/100</f>
        <v>5.7000000000000002E-2</v>
      </c>
      <c r="G20" s="32">
        <v>203.5</v>
      </c>
      <c r="H20" s="33">
        <f t="shared" si="0"/>
        <v>1.15995E-2</v>
      </c>
      <c r="I20" s="34">
        <v>0</v>
      </c>
      <c r="J20" s="34">
        <v>0</v>
      </c>
      <c r="K20" s="34">
        <v>0</v>
      </c>
      <c r="L20" s="34">
        <v>0</v>
      </c>
      <c r="M20" s="34">
        <f t="shared" si="2"/>
        <v>11.599500000000001</v>
      </c>
      <c r="N20" s="34">
        <v>0</v>
      </c>
      <c r="O20" s="34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f t="shared" si="1"/>
        <v>11.599500000000001</v>
      </c>
    </row>
    <row r="21" spans="1:21">
      <c r="A21" s="125" t="s">
        <v>148</v>
      </c>
      <c r="B21" s="10" t="s">
        <v>25</v>
      </c>
      <c r="C21" s="24" t="s">
        <v>22</v>
      </c>
      <c r="D21" s="10" t="s">
        <v>96</v>
      </c>
      <c r="E21" s="31">
        <v>2.5499999999999998</v>
      </c>
      <c r="F21" s="32">
        <f>SUM(E21/100)</f>
        <v>2.5499999999999998E-2</v>
      </c>
      <c r="G21" s="32">
        <v>408.4</v>
      </c>
      <c r="H21" s="33">
        <f t="shared" si="0"/>
        <v>1.0414199999999998E-2</v>
      </c>
      <c r="I21" s="34">
        <v>0</v>
      </c>
      <c r="J21" s="34">
        <v>0</v>
      </c>
      <c r="K21" s="34">
        <v>0</v>
      </c>
      <c r="L21" s="34">
        <v>0</v>
      </c>
      <c r="M21" s="34">
        <f t="shared" si="2"/>
        <v>10.414199999999999</v>
      </c>
      <c r="N21" s="34">
        <v>0</v>
      </c>
      <c r="O21" s="34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f t="shared" si="1"/>
        <v>10.414199999999999</v>
      </c>
    </row>
    <row r="22" spans="1:21" s="19" customFormat="1">
      <c r="A22" s="126"/>
      <c r="B22" s="20" t="s">
        <v>26</v>
      </c>
      <c r="C22" s="37"/>
      <c r="D22" s="20"/>
      <c r="E22" s="38"/>
      <c r="F22" s="39"/>
      <c r="G22" s="39"/>
      <c r="H22" s="40">
        <f>SUM(H11:H21)</f>
        <v>41.050278771999992</v>
      </c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>
        <f>SUM(U11:U21)</f>
        <v>41050.278771999991</v>
      </c>
    </row>
    <row r="23" spans="1:21">
      <c r="A23" s="125"/>
      <c r="B23" s="12" t="s">
        <v>27</v>
      </c>
      <c r="C23" s="24"/>
      <c r="D23" s="10"/>
      <c r="E23" s="31"/>
      <c r="F23" s="32"/>
      <c r="G23" s="32"/>
      <c r="H23" s="33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</row>
    <row r="24" spans="1:21" ht="25.5" customHeight="1">
      <c r="A24" s="125" t="s">
        <v>149</v>
      </c>
      <c r="B24" s="10" t="s">
        <v>182</v>
      </c>
      <c r="C24" s="24" t="s">
        <v>29</v>
      </c>
      <c r="D24" s="10" t="s">
        <v>28</v>
      </c>
      <c r="E24" s="32">
        <v>266.57</v>
      </c>
      <c r="F24" s="32">
        <f>SUM(E24*52/1000)</f>
        <v>13.86164</v>
      </c>
      <c r="G24" s="32">
        <v>146.79</v>
      </c>
      <c r="H24" s="33">
        <f t="shared" ref="H24:H31" si="3">SUM(F24*G24/1000)</f>
        <v>2.0347501356</v>
      </c>
      <c r="I24" s="34">
        <v>0</v>
      </c>
      <c r="J24" s="34">
        <v>0</v>
      </c>
      <c r="K24" s="34">
        <v>0</v>
      </c>
      <c r="L24" s="34">
        <v>0</v>
      </c>
      <c r="M24" s="34">
        <f>F24/6*G24</f>
        <v>339.12502259999997</v>
      </c>
      <c r="N24" s="34">
        <f>F24/6*G24</f>
        <v>339.12502259999997</v>
      </c>
      <c r="O24" s="34">
        <f>F24/6*G24</f>
        <v>339.12502259999997</v>
      </c>
      <c r="P24" s="34">
        <f>F24/6*G24</f>
        <v>339.12502259999997</v>
      </c>
      <c r="Q24" s="34">
        <f>F24/6*G24</f>
        <v>339.12502259999997</v>
      </c>
      <c r="R24" s="34">
        <f>F24/6*G24</f>
        <v>339.12502259999997</v>
      </c>
      <c r="S24" s="34">
        <v>0</v>
      </c>
      <c r="T24" s="34">
        <v>0</v>
      </c>
      <c r="U24" s="34">
        <f>SUM(I24:T24)</f>
        <v>2034.7501355999998</v>
      </c>
    </row>
    <row r="25" spans="1:21" ht="38.25" customHeight="1">
      <c r="A25" s="125" t="s">
        <v>150</v>
      </c>
      <c r="B25" s="10" t="s">
        <v>183</v>
      </c>
      <c r="C25" s="24" t="s">
        <v>29</v>
      </c>
      <c r="D25" s="10" t="s">
        <v>30</v>
      </c>
      <c r="E25" s="32">
        <v>48.03</v>
      </c>
      <c r="F25" s="32">
        <f>SUM(E25*78/1000)</f>
        <v>3.74634</v>
      </c>
      <c r="G25" s="32">
        <v>243.54</v>
      </c>
      <c r="H25" s="33">
        <f t="shared" si="3"/>
        <v>0.91238364360000002</v>
      </c>
      <c r="I25" s="34">
        <v>0</v>
      </c>
      <c r="J25" s="34">
        <v>0</v>
      </c>
      <c r="K25" s="34">
        <v>0</v>
      </c>
      <c r="L25" s="34">
        <v>0</v>
      </c>
      <c r="M25" s="34">
        <f>F25/6*G25</f>
        <v>152.0639406</v>
      </c>
      <c r="N25" s="34">
        <f>F25/6*G25</f>
        <v>152.0639406</v>
      </c>
      <c r="O25" s="34">
        <f>F25/6*G25</f>
        <v>152.0639406</v>
      </c>
      <c r="P25" s="34">
        <f>F25/6*G25</f>
        <v>152.0639406</v>
      </c>
      <c r="Q25" s="34">
        <f>F25/6*G25</f>
        <v>152.0639406</v>
      </c>
      <c r="R25" s="34">
        <f>F25/6*G25</f>
        <v>152.0639406</v>
      </c>
      <c r="S25" s="34">
        <v>0</v>
      </c>
      <c r="T25" s="34">
        <v>0</v>
      </c>
      <c r="U25" s="34">
        <f t="shared" ref="U25:U31" si="4">SUM(I25:T25)</f>
        <v>912.38364360000003</v>
      </c>
    </row>
    <row r="26" spans="1:21">
      <c r="A26" s="125" t="s">
        <v>151</v>
      </c>
      <c r="B26" s="10" t="s">
        <v>31</v>
      </c>
      <c r="C26" s="24" t="s">
        <v>29</v>
      </c>
      <c r="D26" s="10" t="s">
        <v>32</v>
      </c>
      <c r="E26" s="32">
        <v>266.57</v>
      </c>
      <c r="F26" s="32">
        <f>SUM(E26/1000)</f>
        <v>0.26656999999999997</v>
      </c>
      <c r="G26" s="32">
        <v>2844</v>
      </c>
      <c r="H26" s="33">
        <f t="shared" si="3"/>
        <v>0.7581250799999999</v>
      </c>
      <c r="I26" s="34">
        <v>0</v>
      </c>
      <c r="J26" s="34">
        <v>0</v>
      </c>
      <c r="K26" s="34">
        <v>0</v>
      </c>
      <c r="L26" s="34">
        <v>0</v>
      </c>
      <c r="M26" s="34">
        <f>F26*G26</f>
        <v>758.12507999999991</v>
      </c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f t="shared" si="4"/>
        <v>758.12507999999991</v>
      </c>
    </row>
    <row r="27" spans="1:21">
      <c r="A27" s="125" t="s">
        <v>152</v>
      </c>
      <c r="B27" s="10" t="s">
        <v>184</v>
      </c>
      <c r="C27" s="24" t="s">
        <v>33</v>
      </c>
      <c r="D27" s="10" t="s">
        <v>34</v>
      </c>
      <c r="E27" s="43">
        <v>0.33333333333333331</v>
      </c>
      <c r="F27" s="32">
        <f>155/3</f>
        <v>51.666666666666664</v>
      </c>
      <c r="G27" s="32">
        <v>53.38</v>
      </c>
      <c r="H27" s="33">
        <f t="shared" si="3"/>
        <v>2.7579666666666669</v>
      </c>
      <c r="I27" s="34">
        <v>0</v>
      </c>
      <c r="J27" s="34">
        <v>0</v>
      </c>
      <c r="K27" s="34">
        <v>0</v>
      </c>
      <c r="L27" s="34">
        <v>0</v>
      </c>
      <c r="M27" s="34">
        <f>F27/6*G27</f>
        <v>459.6611111111111</v>
      </c>
      <c r="N27" s="34">
        <f>F27/6*G27</f>
        <v>459.6611111111111</v>
      </c>
      <c r="O27" s="34">
        <f>F27/6*G27</f>
        <v>459.6611111111111</v>
      </c>
      <c r="P27" s="34">
        <f>F27/6*G27</f>
        <v>459.6611111111111</v>
      </c>
      <c r="Q27" s="34">
        <f>F27/6*G27</f>
        <v>459.6611111111111</v>
      </c>
      <c r="R27" s="34">
        <f>F27/6*G27</f>
        <v>459.6611111111111</v>
      </c>
      <c r="S27" s="34">
        <v>0</v>
      </c>
      <c r="T27" s="34">
        <v>0</v>
      </c>
      <c r="U27" s="34">
        <f t="shared" si="4"/>
        <v>2757.9666666666667</v>
      </c>
    </row>
    <row r="28" spans="1:21" ht="12.75" customHeight="1">
      <c r="A28" s="125" t="s">
        <v>153</v>
      </c>
      <c r="B28" s="10" t="s">
        <v>35</v>
      </c>
      <c r="C28" s="24" t="s">
        <v>36</v>
      </c>
      <c r="D28" s="10" t="s">
        <v>37</v>
      </c>
      <c r="E28" s="44">
        <v>0.1</v>
      </c>
      <c r="F28" s="32">
        <f>SUM(E28*365)</f>
        <v>36.5</v>
      </c>
      <c r="G28" s="32">
        <v>138.44999999999999</v>
      </c>
      <c r="H28" s="33">
        <f t="shared" si="3"/>
        <v>5.0534249999999989</v>
      </c>
      <c r="I28" s="34">
        <f>F28/12*G28</f>
        <v>421.11874999999992</v>
      </c>
      <c r="J28" s="34">
        <f>K28</f>
        <v>421.11874999999992</v>
      </c>
      <c r="K28" s="34">
        <f>F28/12*G28</f>
        <v>421.11874999999992</v>
      </c>
      <c r="L28" s="34">
        <f>F28/12*G28</f>
        <v>421.11874999999992</v>
      </c>
      <c r="M28" s="34">
        <f>F28/12*G28</f>
        <v>421.11874999999992</v>
      </c>
      <c r="N28" s="34">
        <f>F28/12*G28</f>
        <v>421.11874999999992</v>
      </c>
      <c r="O28" s="34">
        <f>F28/12*G28</f>
        <v>421.11874999999992</v>
      </c>
      <c r="P28" s="34">
        <f>F28/12*G28</f>
        <v>421.11874999999992</v>
      </c>
      <c r="Q28" s="34">
        <f>F28/12*G28</f>
        <v>421.11874999999992</v>
      </c>
      <c r="R28" s="34">
        <f>F28/12*G28</f>
        <v>421.11874999999992</v>
      </c>
      <c r="S28" s="34">
        <f>F28/12*G28</f>
        <v>421.11874999999992</v>
      </c>
      <c r="T28" s="34">
        <f>F28/12*G28</f>
        <v>421.11874999999992</v>
      </c>
      <c r="U28" s="34">
        <f t="shared" si="4"/>
        <v>5053.4249999999993</v>
      </c>
    </row>
    <row r="29" spans="1:21" ht="12.75" customHeight="1">
      <c r="A29" s="125" t="s">
        <v>154</v>
      </c>
      <c r="B29" s="10" t="s">
        <v>128</v>
      </c>
      <c r="C29" s="24" t="s">
        <v>36</v>
      </c>
      <c r="D29" s="10" t="s">
        <v>38</v>
      </c>
      <c r="E29" s="31"/>
      <c r="F29" s="32">
        <v>1</v>
      </c>
      <c r="G29" s="32">
        <v>180.15</v>
      </c>
      <c r="H29" s="33">
        <f t="shared" si="3"/>
        <v>0.18015</v>
      </c>
      <c r="I29" s="34">
        <v>0</v>
      </c>
      <c r="J29" s="34">
        <v>0</v>
      </c>
      <c r="K29" s="34">
        <v>0</v>
      </c>
      <c r="L29" s="34">
        <v>0</v>
      </c>
      <c r="M29" s="34">
        <v>0</v>
      </c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f t="shared" si="4"/>
        <v>0</v>
      </c>
    </row>
    <row r="30" spans="1:21" ht="12.75" customHeight="1">
      <c r="A30" s="125" t="s">
        <v>127</v>
      </c>
      <c r="B30" s="10" t="s">
        <v>135</v>
      </c>
      <c r="C30" s="24" t="s">
        <v>39</v>
      </c>
      <c r="D30" s="10" t="s">
        <v>38</v>
      </c>
      <c r="E30" s="31"/>
      <c r="F30" s="32">
        <v>1</v>
      </c>
      <c r="G30" s="32">
        <v>1214.74</v>
      </c>
      <c r="H30" s="33">
        <f t="shared" si="3"/>
        <v>1.2147399999999999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f t="shared" si="4"/>
        <v>0</v>
      </c>
    </row>
    <row r="31" spans="1:21">
      <c r="A31" s="125"/>
      <c r="B31" s="45" t="s">
        <v>40</v>
      </c>
      <c r="C31" s="24" t="s">
        <v>41</v>
      </c>
      <c r="D31" s="45" t="s">
        <v>42</v>
      </c>
      <c r="E31" s="31">
        <v>1042.5999999999999</v>
      </c>
      <c r="F31" s="32">
        <f>SUM(E31*12)</f>
        <v>12511.199999999999</v>
      </c>
      <c r="G31" s="32">
        <v>6.15</v>
      </c>
      <c r="H31" s="33">
        <f t="shared" si="3"/>
        <v>76.943880000000007</v>
      </c>
      <c r="I31" s="34">
        <f>F31/12*G31</f>
        <v>6411.99</v>
      </c>
      <c r="J31" s="34">
        <f>K31</f>
        <v>6411.99</v>
      </c>
      <c r="K31" s="34">
        <f>F31/12*G31</f>
        <v>6411.99</v>
      </c>
      <c r="L31" s="34">
        <f>F31/12*G31</f>
        <v>6411.99</v>
      </c>
      <c r="M31" s="34">
        <f>F31/12*G31</f>
        <v>6411.99</v>
      </c>
      <c r="N31" s="34">
        <f>F31/12*G31</f>
        <v>6411.99</v>
      </c>
      <c r="O31" s="34">
        <f>F31/12*G31</f>
        <v>6411.99</v>
      </c>
      <c r="P31" s="34">
        <f>F31/12*G31</f>
        <v>6411.99</v>
      </c>
      <c r="Q31" s="34">
        <f>F31/12*G31</f>
        <v>6411.99</v>
      </c>
      <c r="R31" s="34">
        <f>F31/12*G31</f>
        <v>6411.99</v>
      </c>
      <c r="S31" s="34">
        <v>0</v>
      </c>
      <c r="T31" s="34">
        <v>0</v>
      </c>
      <c r="U31" s="34">
        <f t="shared" si="4"/>
        <v>64119.899999999987</v>
      </c>
    </row>
    <row r="32" spans="1:21" s="19" customFormat="1">
      <c r="A32" s="126"/>
      <c r="B32" s="20" t="s">
        <v>26</v>
      </c>
      <c r="C32" s="37"/>
      <c r="D32" s="20"/>
      <c r="E32" s="38"/>
      <c r="F32" s="39"/>
      <c r="G32" s="39"/>
      <c r="H32" s="46">
        <f>SUM(H24:H31)</f>
        <v>89.855420525866677</v>
      </c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>
        <f>SUM(U24:U31)</f>
        <v>75636.550525866653</v>
      </c>
    </row>
    <row r="33" spans="1:21">
      <c r="A33" s="125"/>
      <c r="B33" s="12" t="s">
        <v>43</v>
      </c>
      <c r="C33" s="24"/>
      <c r="D33" s="10"/>
      <c r="E33" s="31"/>
      <c r="F33" s="32"/>
      <c r="G33" s="32"/>
      <c r="H33" s="33" t="s">
        <v>42</v>
      </c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</row>
    <row r="34" spans="1:21" ht="12.75" customHeight="1">
      <c r="A34" s="125" t="s">
        <v>127</v>
      </c>
      <c r="B34" s="13" t="s">
        <v>44</v>
      </c>
      <c r="C34" s="24" t="s">
        <v>39</v>
      </c>
      <c r="D34" s="10"/>
      <c r="E34" s="31"/>
      <c r="F34" s="32">
        <v>3</v>
      </c>
      <c r="G34" s="32">
        <v>1632.6</v>
      </c>
      <c r="H34" s="33">
        <f t="shared" ref="H34:H39" si="5">SUM(F34*G34/1000)</f>
        <v>4.8977999999999993</v>
      </c>
      <c r="I34" s="34">
        <f>J34</f>
        <v>816.3</v>
      </c>
      <c r="J34" s="34">
        <f>K34</f>
        <v>816.3</v>
      </c>
      <c r="K34" s="34">
        <f>F34/6*G34</f>
        <v>816.3</v>
      </c>
      <c r="L34" s="34">
        <f t="shared" ref="L34:L37" si="6">F34/6*G34</f>
        <v>816.3</v>
      </c>
      <c r="M34" s="34">
        <v>0</v>
      </c>
      <c r="N34" s="34">
        <v>0</v>
      </c>
      <c r="O34" s="34">
        <v>0</v>
      </c>
      <c r="P34" s="34">
        <v>0</v>
      </c>
      <c r="Q34" s="34">
        <v>0</v>
      </c>
      <c r="R34" s="34">
        <v>0</v>
      </c>
      <c r="S34" s="34">
        <f t="shared" ref="S34:S37" si="7">F34/6*G34</f>
        <v>816.3</v>
      </c>
      <c r="T34" s="34">
        <f t="shared" ref="T34:T37" si="8">F34/6*G34</f>
        <v>816.3</v>
      </c>
      <c r="U34" s="34">
        <f>SUM(I34:T34)</f>
        <v>4897.8</v>
      </c>
    </row>
    <row r="35" spans="1:21" ht="25.5">
      <c r="A35" s="127" t="s">
        <v>155</v>
      </c>
      <c r="B35" s="13" t="s">
        <v>129</v>
      </c>
      <c r="C35" s="48" t="s">
        <v>45</v>
      </c>
      <c r="D35" s="10" t="s">
        <v>101</v>
      </c>
      <c r="E35" s="31">
        <v>48.03</v>
      </c>
      <c r="F35" s="47">
        <v>1.44</v>
      </c>
      <c r="G35" s="32">
        <v>1979.95</v>
      </c>
      <c r="H35" s="33">
        <f t="shared" si="5"/>
        <v>2.8511280000000001</v>
      </c>
      <c r="I35" s="34">
        <f t="shared" ref="I35:I37" si="9">F35/6*G35</f>
        <v>475.18799999999999</v>
      </c>
      <c r="J35" s="34">
        <f t="shared" ref="J35:J37" si="10">F35/6*G35</f>
        <v>475.18799999999999</v>
      </c>
      <c r="K35" s="34">
        <f>F35/6*G35</f>
        <v>475.18799999999999</v>
      </c>
      <c r="L35" s="34">
        <f t="shared" si="6"/>
        <v>475.18799999999999</v>
      </c>
      <c r="M35" s="34">
        <v>0</v>
      </c>
      <c r="N35" s="34">
        <v>0</v>
      </c>
      <c r="O35" s="34">
        <v>0</v>
      </c>
      <c r="P35" s="34">
        <v>0</v>
      </c>
      <c r="Q35" s="34">
        <v>0</v>
      </c>
      <c r="R35" s="34">
        <v>0</v>
      </c>
      <c r="S35" s="34">
        <f t="shared" si="7"/>
        <v>475.18799999999999</v>
      </c>
      <c r="T35" s="34">
        <f t="shared" si="8"/>
        <v>475.18799999999999</v>
      </c>
      <c r="U35" s="34">
        <f t="shared" ref="U35:U39" si="11">SUM(I35:T35)</f>
        <v>2851.1280000000002</v>
      </c>
    </row>
    <row r="36" spans="1:21" ht="24.75" customHeight="1">
      <c r="A36" s="125" t="s">
        <v>156</v>
      </c>
      <c r="B36" s="10" t="s">
        <v>130</v>
      </c>
      <c r="C36" s="24" t="s">
        <v>45</v>
      </c>
      <c r="D36" s="10" t="s">
        <v>46</v>
      </c>
      <c r="E36" s="32">
        <v>48.03</v>
      </c>
      <c r="F36" s="47">
        <f>SUM(E36*155/1000)</f>
        <v>7.4446500000000002</v>
      </c>
      <c r="G36" s="32">
        <v>330.27</v>
      </c>
      <c r="H36" s="33">
        <f t="shared" si="5"/>
        <v>2.4587445555</v>
      </c>
      <c r="I36" s="34">
        <f t="shared" si="9"/>
        <v>409.79075924999995</v>
      </c>
      <c r="J36" s="34">
        <f>F36/6*G36</f>
        <v>409.79075924999995</v>
      </c>
      <c r="K36" s="34">
        <f>J36</f>
        <v>409.79075924999995</v>
      </c>
      <c r="L36" s="34">
        <f t="shared" si="6"/>
        <v>409.79075924999995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f t="shared" si="7"/>
        <v>409.79075924999995</v>
      </c>
      <c r="T36" s="34">
        <f t="shared" si="8"/>
        <v>409.79075924999995</v>
      </c>
      <c r="U36" s="34">
        <f t="shared" si="11"/>
        <v>2458.7445554999999</v>
      </c>
    </row>
    <row r="37" spans="1:21" ht="51" customHeight="1">
      <c r="A37" s="125" t="s">
        <v>157</v>
      </c>
      <c r="B37" s="10" t="s">
        <v>131</v>
      </c>
      <c r="C37" s="24" t="s">
        <v>29</v>
      </c>
      <c r="D37" s="10" t="s">
        <v>109</v>
      </c>
      <c r="E37" s="32">
        <v>48.03</v>
      </c>
      <c r="F37" s="47">
        <f>SUM(E37*35/1000)</f>
        <v>1.6810499999999999</v>
      </c>
      <c r="G37" s="32">
        <v>5464.48</v>
      </c>
      <c r="H37" s="33">
        <f t="shared" si="5"/>
        <v>9.1860641039999997</v>
      </c>
      <c r="I37" s="34">
        <f t="shared" si="9"/>
        <v>1531.0106839999999</v>
      </c>
      <c r="J37" s="34">
        <f t="shared" si="10"/>
        <v>1531.0106839999999</v>
      </c>
      <c r="K37" s="34">
        <f>F37/6*G37</f>
        <v>1531.0106839999999</v>
      </c>
      <c r="L37" s="34">
        <f t="shared" si="6"/>
        <v>1531.0106839999999</v>
      </c>
      <c r="M37" s="34">
        <v>0</v>
      </c>
      <c r="N37" s="34">
        <v>0</v>
      </c>
      <c r="O37" s="34">
        <v>0</v>
      </c>
      <c r="P37" s="34">
        <v>0</v>
      </c>
      <c r="Q37" s="34">
        <v>0</v>
      </c>
      <c r="R37" s="34">
        <v>0</v>
      </c>
      <c r="S37" s="34">
        <f t="shared" si="7"/>
        <v>1531.0106839999999</v>
      </c>
      <c r="T37" s="34">
        <f t="shared" si="8"/>
        <v>1531.0106839999999</v>
      </c>
      <c r="U37" s="34">
        <f t="shared" si="11"/>
        <v>9186.0641039999991</v>
      </c>
    </row>
    <row r="38" spans="1:21" ht="12.75" customHeight="1">
      <c r="A38" s="125" t="s">
        <v>158</v>
      </c>
      <c r="B38" s="10" t="s">
        <v>132</v>
      </c>
      <c r="C38" s="24" t="s">
        <v>29</v>
      </c>
      <c r="D38" s="10" t="s">
        <v>47</v>
      </c>
      <c r="E38" s="32">
        <v>48.03</v>
      </c>
      <c r="F38" s="47">
        <f>SUM(E38*45/1000)</f>
        <v>2.1613500000000001</v>
      </c>
      <c r="G38" s="32">
        <v>403.67</v>
      </c>
      <c r="H38" s="33">
        <f t="shared" si="5"/>
        <v>0.87247215450000015</v>
      </c>
      <c r="I38" s="34">
        <f>F38/7.5*G38</f>
        <v>116.3296206</v>
      </c>
      <c r="J38" s="34">
        <f>F38/7.5*G38</f>
        <v>116.3296206</v>
      </c>
      <c r="K38" s="34">
        <f>F38/7.5*1.5*G38</f>
        <v>174.4944309</v>
      </c>
      <c r="L38" s="34">
        <f>K38</f>
        <v>174.4944309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f>F38/7.5*G38</f>
        <v>116.3296206</v>
      </c>
      <c r="T38" s="34">
        <f>F38/7.5*1.5*G38</f>
        <v>174.4944309</v>
      </c>
      <c r="U38" s="34">
        <f t="shared" si="11"/>
        <v>872.47215449999999</v>
      </c>
    </row>
    <row r="39" spans="1:21" s="1" customFormat="1">
      <c r="A39" s="127"/>
      <c r="B39" s="13" t="s">
        <v>133</v>
      </c>
      <c r="C39" s="48" t="s">
        <v>36</v>
      </c>
      <c r="D39" s="13"/>
      <c r="E39" s="44"/>
      <c r="F39" s="47">
        <v>0.53</v>
      </c>
      <c r="G39" s="47">
        <v>750.34</v>
      </c>
      <c r="H39" s="33">
        <f t="shared" si="5"/>
        <v>0.39768020000000004</v>
      </c>
      <c r="I39" s="34">
        <f>F39/7.5*G39</f>
        <v>53.024026666666671</v>
      </c>
      <c r="J39" s="34">
        <f>F39/7.5*G39</f>
        <v>53.024026666666671</v>
      </c>
      <c r="K39" s="34">
        <f>F39/7.5*1.5*G39</f>
        <v>79.536040000000014</v>
      </c>
      <c r="L39" s="49">
        <f>K39</f>
        <v>79.536040000000014</v>
      </c>
      <c r="M39" s="49">
        <v>0</v>
      </c>
      <c r="N39" s="49">
        <v>0</v>
      </c>
      <c r="O39" s="49">
        <v>0</v>
      </c>
      <c r="P39" s="49">
        <v>0</v>
      </c>
      <c r="Q39" s="49">
        <v>0</v>
      </c>
      <c r="R39" s="49">
        <v>0</v>
      </c>
      <c r="S39" s="49">
        <f>F39/7.5*G39</f>
        <v>53.024026666666671</v>
      </c>
      <c r="T39" s="49">
        <f>F39/7.5*1.5*G39</f>
        <v>79.536040000000014</v>
      </c>
      <c r="U39" s="34">
        <f t="shared" si="11"/>
        <v>397.68020000000001</v>
      </c>
    </row>
    <row r="40" spans="1:21" s="19" customFormat="1">
      <c r="A40" s="126"/>
      <c r="B40" s="20" t="s">
        <v>26</v>
      </c>
      <c r="C40" s="37"/>
      <c r="D40" s="20"/>
      <c r="E40" s="38"/>
      <c r="F40" s="39" t="s">
        <v>42</v>
      </c>
      <c r="G40" s="39"/>
      <c r="H40" s="46">
        <f>SUM(H34:H39)</f>
        <v>20.663889013999999</v>
      </c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>
        <f>SUM(U34:U39)</f>
        <v>20663.889013999997</v>
      </c>
    </row>
    <row r="41" spans="1:21">
      <c r="A41" s="125"/>
      <c r="B41" s="14" t="s">
        <v>48</v>
      </c>
      <c r="C41" s="24"/>
      <c r="D41" s="10"/>
      <c r="E41" s="31"/>
      <c r="F41" s="32"/>
      <c r="G41" s="32"/>
      <c r="H41" s="33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</row>
    <row r="42" spans="1:21">
      <c r="A42" s="125" t="s">
        <v>159</v>
      </c>
      <c r="B42" s="10" t="s">
        <v>136</v>
      </c>
      <c r="C42" s="24" t="s">
        <v>29</v>
      </c>
      <c r="D42" s="10" t="s">
        <v>49</v>
      </c>
      <c r="E42" s="31">
        <v>636.25</v>
      </c>
      <c r="F42" s="32">
        <f>SUM(E42*2/1000)</f>
        <v>1.2725</v>
      </c>
      <c r="G42" s="50">
        <v>762.53</v>
      </c>
      <c r="H42" s="33">
        <f t="shared" ref="H42:H51" si="12">SUM(F42*G42/1000)</f>
        <v>0.9703194249999999</v>
      </c>
      <c r="I42" s="34">
        <v>0</v>
      </c>
      <c r="J42" s="34">
        <v>0</v>
      </c>
      <c r="K42" s="34">
        <v>0</v>
      </c>
      <c r="L42" s="34">
        <v>0</v>
      </c>
      <c r="M42" s="34">
        <f>F42/2*G42</f>
        <v>485.15971249999996</v>
      </c>
      <c r="N42" s="34">
        <v>0</v>
      </c>
      <c r="O42" s="34">
        <v>0</v>
      </c>
      <c r="P42" s="34">
        <v>0</v>
      </c>
      <c r="Q42" s="34">
        <f>F42/2*G42</f>
        <v>485.15971249999996</v>
      </c>
      <c r="R42" s="34">
        <v>0</v>
      </c>
      <c r="S42" s="34">
        <v>0</v>
      </c>
      <c r="T42" s="34">
        <v>0</v>
      </c>
      <c r="U42" s="34">
        <f>SUM(I42:T42)</f>
        <v>970.31942499999991</v>
      </c>
    </row>
    <row r="43" spans="1:21">
      <c r="A43" s="125" t="s">
        <v>160</v>
      </c>
      <c r="B43" s="10" t="s">
        <v>50</v>
      </c>
      <c r="C43" s="24" t="s">
        <v>29</v>
      </c>
      <c r="D43" s="10" t="s">
        <v>49</v>
      </c>
      <c r="E43" s="31">
        <v>26</v>
      </c>
      <c r="F43" s="32">
        <f>SUM(E43*2/1000)</f>
        <v>5.1999999999999998E-2</v>
      </c>
      <c r="G43" s="50">
        <v>545.65</v>
      </c>
      <c r="H43" s="33">
        <f t="shared" si="12"/>
        <v>2.8373799999999998E-2</v>
      </c>
      <c r="I43" s="34">
        <v>0</v>
      </c>
      <c r="J43" s="34">
        <v>0</v>
      </c>
      <c r="K43" s="34">
        <v>0</v>
      </c>
      <c r="L43" s="34">
        <v>0</v>
      </c>
      <c r="M43" s="34">
        <f t="shared" ref="M43:M46" si="13">F43/2*G43</f>
        <v>14.1869</v>
      </c>
      <c r="N43" s="34">
        <v>0</v>
      </c>
      <c r="O43" s="34">
        <v>0</v>
      </c>
      <c r="P43" s="34">
        <v>0</v>
      </c>
      <c r="Q43" s="34">
        <f>F43/2*G43</f>
        <v>14.1869</v>
      </c>
      <c r="R43" s="34">
        <v>0</v>
      </c>
      <c r="S43" s="34">
        <v>0</v>
      </c>
      <c r="T43" s="34">
        <v>0</v>
      </c>
      <c r="U43" s="34">
        <f t="shared" ref="U43:U51" si="14">SUM(I43:T43)</f>
        <v>28.373799999999999</v>
      </c>
    </row>
    <row r="44" spans="1:21" ht="12.75" customHeight="1">
      <c r="A44" s="125" t="s">
        <v>161</v>
      </c>
      <c r="B44" s="10" t="s">
        <v>51</v>
      </c>
      <c r="C44" s="24" t="s">
        <v>29</v>
      </c>
      <c r="D44" s="10" t="s">
        <v>49</v>
      </c>
      <c r="E44" s="31">
        <v>579</v>
      </c>
      <c r="F44" s="32">
        <f>SUM(E44*2/1000)</f>
        <v>1.1579999999999999</v>
      </c>
      <c r="G44" s="50">
        <v>545.65</v>
      </c>
      <c r="H44" s="33">
        <f t="shared" si="12"/>
        <v>0.63186269999999989</v>
      </c>
      <c r="I44" s="34">
        <v>0</v>
      </c>
      <c r="J44" s="34">
        <v>0</v>
      </c>
      <c r="K44" s="34">
        <v>0</v>
      </c>
      <c r="L44" s="34">
        <v>0</v>
      </c>
      <c r="M44" s="34">
        <f t="shared" si="13"/>
        <v>315.93134999999995</v>
      </c>
      <c r="N44" s="34">
        <v>0</v>
      </c>
      <c r="O44" s="34">
        <v>0</v>
      </c>
      <c r="P44" s="34">
        <v>0</v>
      </c>
      <c r="Q44" s="34">
        <f>F44/2*G44</f>
        <v>315.93134999999995</v>
      </c>
      <c r="R44" s="34">
        <v>0</v>
      </c>
      <c r="S44" s="34">
        <v>0</v>
      </c>
      <c r="T44" s="34">
        <v>0</v>
      </c>
      <c r="U44" s="34">
        <f t="shared" si="14"/>
        <v>631.8626999999999</v>
      </c>
    </row>
    <row r="45" spans="1:21">
      <c r="A45" s="125" t="s">
        <v>162</v>
      </c>
      <c r="B45" s="10" t="s">
        <v>52</v>
      </c>
      <c r="C45" s="24" t="s">
        <v>29</v>
      </c>
      <c r="D45" s="10" t="s">
        <v>49</v>
      </c>
      <c r="E45" s="31">
        <v>683.33</v>
      </c>
      <c r="F45" s="32">
        <f>SUM(E45*2/1000)</f>
        <v>1.36666</v>
      </c>
      <c r="G45" s="50">
        <v>571.35</v>
      </c>
      <c r="H45" s="33">
        <f t="shared" si="12"/>
        <v>0.78084119099999993</v>
      </c>
      <c r="I45" s="34">
        <v>0</v>
      </c>
      <c r="J45" s="34">
        <v>0</v>
      </c>
      <c r="K45" s="34">
        <v>0</v>
      </c>
      <c r="L45" s="34">
        <v>0</v>
      </c>
      <c r="M45" s="34">
        <f t="shared" si="13"/>
        <v>390.42059549999999</v>
      </c>
      <c r="N45" s="34">
        <v>0</v>
      </c>
      <c r="O45" s="34">
        <v>0</v>
      </c>
      <c r="P45" s="34">
        <v>0</v>
      </c>
      <c r="Q45" s="34">
        <f>F45/2*G45</f>
        <v>390.42059549999999</v>
      </c>
      <c r="R45" s="34">
        <v>0</v>
      </c>
      <c r="S45" s="34">
        <v>0</v>
      </c>
      <c r="T45" s="34">
        <v>0</v>
      </c>
      <c r="U45" s="34">
        <f t="shared" si="14"/>
        <v>780.84119099999998</v>
      </c>
    </row>
    <row r="46" spans="1:21">
      <c r="A46" s="125" t="s">
        <v>163</v>
      </c>
      <c r="B46" s="10" t="s">
        <v>105</v>
      </c>
      <c r="C46" s="24" t="s">
        <v>106</v>
      </c>
      <c r="D46" s="10" t="s">
        <v>49</v>
      </c>
      <c r="E46" s="31">
        <v>44.11</v>
      </c>
      <c r="F46" s="32">
        <f>SUM(E46*2/100)</f>
        <v>0.88219999999999998</v>
      </c>
      <c r="G46" s="50">
        <v>68.56</v>
      </c>
      <c r="H46" s="33">
        <f t="shared" si="12"/>
        <v>6.0483632000000002E-2</v>
      </c>
      <c r="I46" s="34">
        <v>0</v>
      </c>
      <c r="J46" s="34">
        <v>0</v>
      </c>
      <c r="K46" s="34">
        <v>0</v>
      </c>
      <c r="L46" s="34">
        <v>0</v>
      </c>
      <c r="M46" s="34">
        <f t="shared" si="13"/>
        <v>30.241816</v>
      </c>
      <c r="N46" s="34">
        <v>0</v>
      </c>
      <c r="O46" s="34">
        <v>0</v>
      </c>
      <c r="P46" s="34">
        <v>0</v>
      </c>
      <c r="Q46" s="34">
        <f>F46/2*G46</f>
        <v>30.241816</v>
      </c>
      <c r="R46" s="34">
        <v>0</v>
      </c>
      <c r="S46" s="34">
        <v>0</v>
      </c>
      <c r="T46" s="34">
        <v>0</v>
      </c>
      <c r="U46" s="34">
        <f t="shared" si="14"/>
        <v>60.483632</v>
      </c>
    </row>
    <row r="47" spans="1:21" ht="25.5">
      <c r="A47" s="125" t="s">
        <v>164</v>
      </c>
      <c r="B47" s="10" t="s">
        <v>53</v>
      </c>
      <c r="C47" s="24" t="s">
        <v>29</v>
      </c>
      <c r="D47" s="10" t="s">
        <v>54</v>
      </c>
      <c r="E47" s="31">
        <v>1140</v>
      </c>
      <c r="F47" s="32">
        <f>SUM(E47*5/1000)</f>
        <v>5.7</v>
      </c>
      <c r="G47" s="50">
        <v>1142.7</v>
      </c>
      <c r="H47" s="33">
        <f t="shared" si="12"/>
        <v>6.5133900000000002</v>
      </c>
      <c r="I47" s="34">
        <f>F47/5*G47</f>
        <v>1302.6780000000001</v>
      </c>
      <c r="J47" s="34">
        <f>F47/5*G47</f>
        <v>1302.6780000000001</v>
      </c>
      <c r="K47" s="34">
        <v>0</v>
      </c>
      <c r="L47" s="34">
        <v>0</v>
      </c>
      <c r="M47" s="34">
        <f>F47/5*G47</f>
        <v>1302.6780000000001</v>
      </c>
      <c r="N47" s="34">
        <v>0</v>
      </c>
      <c r="O47" s="34">
        <v>0</v>
      </c>
      <c r="P47" s="34">
        <v>0</v>
      </c>
      <c r="Q47" s="34">
        <f>F47/5*G47</f>
        <v>1302.6780000000001</v>
      </c>
      <c r="R47" s="34">
        <v>0</v>
      </c>
      <c r="S47" s="34">
        <v>0</v>
      </c>
      <c r="T47" s="34">
        <f>F47/5*G47</f>
        <v>1302.6780000000001</v>
      </c>
      <c r="U47" s="34">
        <f t="shared" si="14"/>
        <v>6513.39</v>
      </c>
    </row>
    <row r="48" spans="1:21" ht="38.25" customHeight="1">
      <c r="A48" s="125" t="s">
        <v>165</v>
      </c>
      <c r="B48" s="10" t="s">
        <v>55</v>
      </c>
      <c r="C48" s="24" t="s">
        <v>29</v>
      </c>
      <c r="D48" s="10" t="s">
        <v>49</v>
      </c>
      <c r="E48" s="31">
        <v>1140</v>
      </c>
      <c r="F48" s="32">
        <f>SUM(E48*2/1000)</f>
        <v>2.2799999999999998</v>
      </c>
      <c r="G48" s="50">
        <v>1142.7</v>
      </c>
      <c r="H48" s="33">
        <f t="shared" si="12"/>
        <v>2.6053559999999996</v>
      </c>
      <c r="I48" s="34">
        <v>0</v>
      </c>
      <c r="J48" s="34">
        <v>0</v>
      </c>
      <c r="K48" s="34">
        <v>0</v>
      </c>
      <c r="L48" s="34">
        <f>F48/2*G48</f>
        <v>1302.6779999999999</v>
      </c>
      <c r="M48" s="34">
        <v>0</v>
      </c>
      <c r="N48" s="34">
        <v>0</v>
      </c>
      <c r="O48" s="34">
        <v>0</v>
      </c>
      <c r="P48" s="34">
        <v>0</v>
      </c>
      <c r="Q48" s="34">
        <v>0</v>
      </c>
      <c r="R48" s="34">
        <f>G48*F48/2</f>
        <v>1302.6779999999999</v>
      </c>
      <c r="S48" s="34">
        <v>0</v>
      </c>
      <c r="T48" s="34">
        <v>0</v>
      </c>
      <c r="U48" s="34">
        <f t="shared" si="14"/>
        <v>2605.3559999999998</v>
      </c>
    </row>
    <row r="49" spans="1:21" ht="25.5" customHeight="1">
      <c r="A49" s="125" t="s">
        <v>166</v>
      </c>
      <c r="B49" s="10" t="s">
        <v>56</v>
      </c>
      <c r="C49" s="24" t="s">
        <v>57</v>
      </c>
      <c r="D49" s="10" t="s">
        <v>49</v>
      </c>
      <c r="E49" s="31">
        <v>9</v>
      </c>
      <c r="F49" s="32">
        <f>SUM(E49*2/100)</f>
        <v>0.18</v>
      </c>
      <c r="G49" s="50">
        <v>2571.08</v>
      </c>
      <c r="H49" s="33">
        <f t="shared" si="12"/>
        <v>0.46279439999999999</v>
      </c>
      <c r="I49" s="34">
        <v>0</v>
      </c>
      <c r="J49" s="34">
        <v>0</v>
      </c>
      <c r="K49" s="34">
        <v>0</v>
      </c>
      <c r="L49" s="34">
        <f t="shared" ref="L49:L50" si="15">F49/2*G49</f>
        <v>231.3972</v>
      </c>
      <c r="M49" s="34">
        <v>0</v>
      </c>
      <c r="N49" s="34">
        <v>0</v>
      </c>
      <c r="O49" s="34">
        <v>0</v>
      </c>
      <c r="P49" s="34">
        <v>0</v>
      </c>
      <c r="Q49" s="34">
        <v>0</v>
      </c>
      <c r="R49" s="34">
        <f>G49*F49/2</f>
        <v>231.3972</v>
      </c>
      <c r="S49" s="34">
        <v>0</v>
      </c>
      <c r="T49" s="34">
        <v>0</v>
      </c>
      <c r="U49" s="34">
        <f t="shared" si="14"/>
        <v>462.7944</v>
      </c>
    </row>
    <row r="50" spans="1:21">
      <c r="A50" s="125" t="s">
        <v>167</v>
      </c>
      <c r="B50" s="10" t="s">
        <v>58</v>
      </c>
      <c r="C50" s="24" t="s">
        <v>59</v>
      </c>
      <c r="D50" s="10" t="s">
        <v>49</v>
      </c>
      <c r="E50" s="31">
        <v>1</v>
      </c>
      <c r="F50" s="32">
        <v>0.02</v>
      </c>
      <c r="G50" s="50">
        <v>5322.15</v>
      </c>
      <c r="H50" s="33">
        <f t="shared" si="12"/>
        <v>0.106443</v>
      </c>
      <c r="I50" s="34">
        <v>0</v>
      </c>
      <c r="J50" s="34">
        <v>0</v>
      </c>
      <c r="K50" s="34">
        <v>0</v>
      </c>
      <c r="L50" s="34">
        <f t="shared" si="15"/>
        <v>53.221499999999999</v>
      </c>
      <c r="M50" s="34">
        <v>0</v>
      </c>
      <c r="N50" s="34">
        <v>0</v>
      </c>
      <c r="O50" s="34">
        <v>0</v>
      </c>
      <c r="P50" s="34">
        <v>0</v>
      </c>
      <c r="Q50" s="34">
        <v>0</v>
      </c>
      <c r="R50" s="34">
        <f>G50*F50/2</f>
        <v>53.221499999999999</v>
      </c>
      <c r="S50" s="34">
        <v>0</v>
      </c>
      <c r="T50" s="34">
        <v>0</v>
      </c>
      <c r="U50" s="34">
        <f t="shared" si="14"/>
        <v>106.443</v>
      </c>
    </row>
    <row r="51" spans="1:21" ht="13.5" customHeight="1">
      <c r="A51" s="125" t="s">
        <v>61</v>
      </c>
      <c r="B51" s="10" t="s">
        <v>62</v>
      </c>
      <c r="C51" s="24" t="s">
        <v>60</v>
      </c>
      <c r="D51" s="10" t="s">
        <v>99</v>
      </c>
      <c r="E51" s="31">
        <v>36</v>
      </c>
      <c r="F51" s="32">
        <f>SUM(E51)*3</f>
        <v>108</v>
      </c>
      <c r="G51" s="51">
        <v>61.84</v>
      </c>
      <c r="H51" s="33">
        <f t="shared" si="12"/>
        <v>6.6787200000000002</v>
      </c>
      <c r="I51" s="34">
        <f>E51*G51</f>
        <v>2226.2400000000002</v>
      </c>
      <c r="J51" s="34">
        <v>0</v>
      </c>
      <c r="K51" s="34">
        <v>0</v>
      </c>
      <c r="L51" s="34">
        <v>0</v>
      </c>
      <c r="M51" s="34">
        <f>E51*G51</f>
        <v>2226.2400000000002</v>
      </c>
      <c r="N51" s="34">
        <v>0</v>
      </c>
      <c r="O51" s="34">
        <f>0</f>
        <v>0</v>
      </c>
      <c r="P51" s="34">
        <v>0</v>
      </c>
      <c r="Q51" s="34">
        <f>E51*G51</f>
        <v>2226.2400000000002</v>
      </c>
      <c r="R51" s="34">
        <v>0</v>
      </c>
      <c r="S51" s="34">
        <v>0</v>
      </c>
      <c r="T51" s="34">
        <v>0</v>
      </c>
      <c r="U51" s="34">
        <f t="shared" si="14"/>
        <v>6678.7200000000012</v>
      </c>
    </row>
    <row r="52" spans="1:21" s="21" customFormat="1">
      <c r="A52" s="126"/>
      <c r="B52" s="20" t="s">
        <v>26</v>
      </c>
      <c r="C52" s="52"/>
      <c r="D52" s="20"/>
      <c r="E52" s="53"/>
      <c r="F52" s="54"/>
      <c r="G52" s="54"/>
      <c r="H52" s="46">
        <f>SUM(H42:H51)</f>
        <v>18.838584147999999</v>
      </c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>
        <f>SUM(U42:U51)</f>
        <v>18838.584148000002</v>
      </c>
    </row>
    <row r="53" spans="1:21">
      <c r="A53" s="125"/>
      <c r="B53" s="12" t="s">
        <v>63</v>
      </c>
      <c r="C53" s="24"/>
      <c r="D53" s="10"/>
      <c r="E53" s="31"/>
      <c r="F53" s="32"/>
      <c r="G53" s="32"/>
      <c r="H53" s="33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</row>
    <row r="54" spans="1:21" ht="38.25" customHeight="1">
      <c r="A54" s="125" t="s">
        <v>168</v>
      </c>
      <c r="B54" s="10" t="s">
        <v>134</v>
      </c>
      <c r="C54" s="24" t="s">
        <v>13</v>
      </c>
      <c r="D54" s="10" t="s">
        <v>64</v>
      </c>
      <c r="E54" s="31">
        <v>72.33</v>
      </c>
      <c r="F54" s="32">
        <f>SUM(E54*6/100)</f>
        <v>4.3398000000000003</v>
      </c>
      <c r="G54" s="50">
        <v>1456.95</v>
      </c>
      <c r="H54" s="33">
        <f>SUM(F54*G54/1000)</f>
        <v>6.3228716100000009</v>
      </c>
      <c r="I54" s="34">
        <v>0</v>
      </c>
      <c r="J54" s="34">
        <v>0</v>
      </c>
      <c r="K54" s="34">
        <v>0</v>
      </c>
      <c r="L54" s="34">
        <f>G54*0.36</f>
        <v>524.50199999999995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  <c r="R54" s="34">
        <v>0</v>
      </c>
      <c r="S54" s="34">
        <v>0</v>
      </c>
      <c r="T54" s="34">
        <v>0</v>
      </c>
      <c r="U54" s="34">
        <f>SUM(I54:T54)</f>
        <v>524.50199999999995</v>
      </c>
    </row>
    <row r="55" spans="1:21">
      <c r="A55" s="125"/>
      <c r="B55" s="11" t="s">
        <v>65</v>
      </c>
      <c r="C55" s="24"/>
      <c r="D55" s="10"/>
      <c r="E55" s="31"/>
      <c r="F55" s="32"/>
      <c r="G55" s="56"/>
      <c r="H55" s="33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</row>
    <row r="56" spans="1:21">
      <c r="A56" s="125" t="s">
        <v>169</v>
      </c>
      <c r="B56" s="10" t="s">
        <v>100</v>
      </c>
      <c r="C56" s="24"/>
      <c r="D56" s="10" t="s">
        <v>32</v>
      </c>
      <c r="E56" s="31">
        <v>952</v>
      </c>
      <c r="F56" s="33">
        <v>9.52</v>
      </c>
      <c r="G56" s="50">
        <v>848.37</v>
      </c>
      <c r="H56" s="57">
        <f>F56*G56/1000</f>
        <v>8.0764823999999997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  <c r="Q56" s="34">
        <v>0</v>
      </c>
      <c r="R56" s="34">
        <v>0</v>
      </c>
      <c r="S56" s="34">
        <v>0</v>
      </c>
      <c r="T56" s="34">
        <v>0</v>
      </c>
      <c r="U56" s="34">
        <f>SUM(I56:T56)</f>
        <v>0</v>
      </c>
    </row>
    <row r="57" spans="1:21">
      <c r="A57" s="133"/>
      <c r="B57" s="15" t="s">
        <v>66</v>
      </c>
      <c r="C57" s="58"/>
      <c r="D57" s="59"/>
      <c r="E57" s="60"/>
      <c r="F57" s="61"/>
      <c r="G57" s="61"/>
      <c r="H57" s="62" t="s">
        <v>42</v>
      </c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</row>
    <row r="58" spans="1:21" ht="12.75" customHeight="1">
      <c r="A58" s="63" t="s">
        <v>170</v>
      </c>
      <c r="B58" s="16" t="s">
        <v>67</v>
      </c>
      <c r="C58" s="63" t="s">
        <v>60</v>
      </c>
      <c r="D58" s="8" t="s">
        <v>38</v>
      </c>
      <c r="E58" s="64">
        <v>5</v>
      </c>
      <c r="F58" s="32">
        <v>5</v>
      </c>
      <c r="G58" s="50">
        <v>237.74</v>
      </c>
      <c r="H58" s="65">
        <f t="shared" ref="H58:H72" si="16">SUM(F58*G58/1000)</f>
        <v>1.1887000000000001</v>
      </c>
      <c r="I58" s="34">
        <v>0</v>
      </c>
      <c r="J58" s="34">
        <v>0</v>
      </c>
      <c r="K58" s="34">
        <v>0</v>
      </c>
      <c r="L58" s="34">
        <v>0</v>
      </c>
      <c r="M58" s="34">
        <v>0</v>
      </c>
      <c r="N58" s="34">
        <f>G58*2</f>
        <v>475.48</v>
      </c>
      <c r="O58" s="34">
        <v>0</v>
      </c>
      <c r="P58" s="34">
        <f>G58*1</f>
        <v>237.74</v>
      </c>
      <c r="Q58" s="34">
        <v>0</v>
      </c>
      <c r="R58" s="34">
        <v>0</v>
      </c>
      <c r="S58" s="34">
        <v>0</v>
      </c>
      <c r="T58" s="34">
        <v>0</v>
      </c>
      <c r="U58" s="34">
        <f>SUM(I58:T58)</f>
        <v>713.22</v>
      </c>
    </row>
    <row r="59" spans="1:21" ht="12.75" customHeight="1">
      <c r="A59" s="63" t="s">
        <v>171</v>
      </c>
      <c r="B59" s="16" t="s">
        <v>68</v>
      </c>
      <c r="C59" s="63" t="s">
        <v>60</v>
      </c>
      <c r="D59" s="8" t="s">
        <v>38</v>
      </c>
      <c r="E59" s="64">
        <v>2</v>
      </c>
      <c r="F59" s="32">
        <v>2</v>
      </c>
      <c r="G59" s="50">
        <v>81.510000000000005</v>
      </c>
      <c r="H59" s="65">
        <f t="shared" si="16"/>
        <v>0.16302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  <c r="Q59" s="34">
        <v>0</v>
      </c>
      <c r="R59" s="34">
        <v>0</v>
      </c>
      <c r="S59" s="34">
        <v>0</v>
      </c>
      <c r="T59" s="34">
        <v>0</v>
      </c>
      <c r="U59" s="34">
        <f t="shared" ref="U59:U65" si="17">SUM(I59:T59)</f>
        <v>0</v>
      </c>
    </row>
    <row r="60" spans="1:21" s="1" customFormat="1">
      <c r="A60" s="66" t="s">
        <v>172</v>
      </c>
      <c r="B60" s="16" t="s">
        <v>69</v>
      </c>
      <c r="C60" s="66" t="s">
        <v>70</v>
      </c>
      <c r="D60" s="8" t="s">
        <v>32</v>
      </c>
      <c r="E60" s="31">
        <v>4292</v>
      </c>
      <c r="F60" s="51">
        <f>SUM(E60/100)</f>
        <v>42.92</v>
      </c>
      <c r="G60" s="50">
        <v>226.79</v>
      </c>
      <c r="H60" s="65">
        <f t="shared" si="16"/>
        <v>9.733826800000001</v>
      </c>
      <c r="I60" s="49">
        <v>0</v>
      </c>
      <c r="J60" s="49">
        <v>0</v>
      </c>
      <c r="K60" s="49">
        <v>0</v>
      </c>
      <c r="L60" s="49">
        <v>0</v>
      </c>
      <c r="M60" s="49">
        <f>F60*G60</f>
        <v>9733.8268000000007</v>
      </c>
      <c r="N60" s="49">
        <v>0</v>
      </c>
      <c r="O60" s="49">
        <v>0</v>
      </c>
      <c r="P60" s="49">
        <v>0</v>
      </c>
      <c r="Q60" s="49">
        <v>0</v>
      </c>
      <c r="R60" s="49">
        <v>0</v>
      </c>
      <c r="S60" s="49">
        <v>0</v>
      </c>
      <c r="T60" s="49">
        <v>0</v>
      </c>
      <c r="U60" s="34">
        <f t="shared" si="17"/>
        <v>9733.8268000000007</v>
      </c>
    </row>
    <row r="61" spans="1:21" ht="12.75" customHeight="1">
      <c r="A61" s="63" t="s">
        <v>173</v>
      </c>
      <c r="B61" s="16" t="s">
        <v>71</v>
      </c>
      <c r="C61" s="63" t="s">
        <v>72</v>
      </c>
      <c r="D61" s="8"/>
      <c r="E61" s="31">
        <v>4292</v>
      </c>
      <c r="F61" s="50">
        <f>SUM(E61/1000)</f>
        <v>4.2919999999999998</v>
      </c>
      <c r="G61" s="50">
        <v>176.61</v>
      </c>
      <c r="H61" s="65">
        <f t="shared" si="16"/>
        <v>0.75801012000000001</v>
      </c>
      <c r="I61" s="34">
        <v>0</v>
      </c>
      <c r="J61" s="34">
        <v>0</v>
      </c>
      <c r="K61" s="34">
        <v>0</v>
      </c>
      <c r="L61" s="34">
        <v>0</v>
      </c>
      <c r="M61" s="34">
        <f>F61*G61</f>
        <v>758.01012000000003</v>
      </c>
      <c r="N61" s="34">
        <v>0</v>
      </c>
      <c r="O61" s="34">
        <v>0</v>
      </c>
      <c r="P61" s="34">
        <v>0</v>
      </c>
      <c r="Q61" s="34">
        <v>0</v>
      </c>
      <c r="R61" s="34">
        <v>0</v>
      </c>
      <c r="S61" s="34">
        <v>0</v>
      </c>
      <c r="T61" s="34">
        <v>0</v>
      </c>
      <c r="U61" s="34">
        <f t="shared" si="17"/>
        <v>758.01012000000003</v>
      </c>
    </row>
    <row r="62" spans="1:21">
      <c r="A62" s="63" t="s">
        <v>174</v>
      </c>
      <c r="B62" s="16" t="s">
        <v>73</v>
      </c>
      <c r="C62" s="63" t="s">
        <v>74</v>
      </c>
      <c r="D62" s="8" t="s">
        <v>32</v>
      </c>
      <c r="E62" s="31">
        <v>510</v>
      </c>
      <c r="F62" s="50">
        <f>SUM(E62/100)</f>
        <v>5.0999999999999996</v>
      </c>
      <c r="G62" s="50">
        <v>2217.7800000000002</v>
      </c>
      <c r="H62" s="65">
        <f t="shared" si="16"/>
        <v>11.310677999999999</v>
      </c>
      <c r="I62" s="34">
        <v>0</v>
      </c>
      <c r="J62" s="34">
        <v>0</v>
      </c>
      <c r="K62" s="34">
        <v>0</v>
      </c>
      <c r="L62" s="34">
        <v>0</v>
      </c>
      <c r="M62" s="34">
        <f>F62*G62</f>
        <v>11310.678</v>
      </c>
      <c r="N62" s="34">
        <v>0</v>
      </c>
      <c r="O62" s="34">
        <v>0</v>
      </c>
      <c r="P62" s="34">
        <v>0</v>
      </c>
      <c r="Q62" s="34">
        <v>0</v>
      </c>
      <c r="R62" s="34">
        <v>0</v>
      </c>
      <c r="S62" s="34">
        <v>0</v>
      </c>
      <c r="T62" s="34">
        <v>0</v>
      </c>
      <c r="U62" s="34">
        <f t="shared" si="17"/>
        <v>11310.678</v>
      </c>
    </row>
    <row r="63" spans="1:21">
      <c r="A63" s="63"/>
      <c r="B63" s="17" t="s">
        <v>102</v>
      </c>
      <c r="C63" s="63" t="s">
        <v>36</v>
      </c>
      <c r="D63" s="8"/>
      <c r="E63" s="31">
        <v>4.5999999999999996</v>
      </c>
      <c r="F63" s="50">
        <f>SUM(E63)</f>
        <v>4.5999999999999996</v>
      </c>
      <c r="G63" s="50">
        <v>42.67</v>
      </c>
      <c r="H63" s="65">
        <f t="shared" si="16"/>
        <v>0.19628199999999998</v>
      </c>
      <c r="I63" s="34">
        <v>0</v>
      </c>
      <c r="J63" s="34">
        <v>0</v>
      </c>
      <c r="K63" s="34">
        <v>0</v>
      </c>
      <c r="L63" s="34">
        <v>0</v>
      </c>
      <c r="M63" s="34">
        <f>F63*G63</f>
        <v>196.28199999999998</v>
      </c>
      <c r="N63" s="34">
        <v>0</v>
      </c>
      <c r="O63" s="34">
        <v>0</v>
      </c>
      <c r="P63" s="34">
        <v>0</v>
      </c>
      <c r="Q63" s="34">
        <v>0</v>
      </c>
      <c r="R63" s="34">
        <v>0</v>
      </c>
      <c r="S63" s="34">
        <v>0</v>
      </c>
      <c r="T63" s="34">
        <v>0</v>
      </c>
      <c r="U63" s="34">
        <f t="shared" si="17"/>
        <v>196.28199999999998</v>
      </c>
    </row>
    <row r="64" spans="1:21" ht="12.75" customHeight="1">
      <c r="A64" s="128"/>
      <c r="B64" s="17" t="s">
        <v>103</v>
      </c>
      <c r="C64" s="63" t="s">
        <v>36</v>
      </c>
      <c r="D64" s="8"/>
      <c r="E64" s="31">
        <v>4.5999999999999996</v>
      </c>
      <c r="F64" s="50">
        <f>SUM(E64)</f>
        <v>4.5999999999999996</v>
      </c>
      <c r="G64" s="50">
        <v>39.81</v>
      </c>
      <c r="H64" s="65">
        <f t="shared" si="16"/>
        <v>0.18312600000000001</v>
      </c>
      <c r="I64" s="34">
        <v>0</v>
      </c>
      <c r="J64" s="34">
        <v>0</v>
      </c>
      <c r="K64" s="34">
        <v>0</v>
      </c>
      <c r="L64" s="34">
        <v>0</v>
      </c>
      <c r="M64" s="34">
        <f>F64*G64</f>
        <v>183.126</v>
      </c>
      <c r="N64" s="34">
        <v>0</v>
      </c>
      <c r="O64" s="34">
        <v>0</v>
      </c>
      <c r="P64" s="34">
        <v>0</v>
      </c>
      <c r="Q64" s="34">
        <v>0</v>
      </c>
      <c r="R64" s="34">
        <v>0</v>
      </c>
      <c r="S64" s="34">
        <v>0</v>
      </c>
      <c r="T64" s="34">
        <v>0</v>
      </c>
      <c r="U64" s="34">
        <f t="shared" si="17"/>
        <v>183.126</v>
      </c>
    </row>
    <row r="65" spans="1:21">
      <c r="A65" s="63" t="s">
        <v>175</v>
      </c>
      <c r="B65" s="8" t="s">
        <v>75</v>
      </c>
      <c r="C65" s="63" t="s">
        <v>76</v>
      </c>
      <c r="D65" s="8" t="s">
        <v>32</v>
      </c>
      <c r="E65" s="64">
        <v>3</v>
      </c>
      <c r="F65" s="32">
        <v>3</v>
      </c>
      <c r="G65" s="50">
        <v>53.32</v>
      </c>
      <c r="H65" s="65">
        <f t="shared" si="16"/>
        <v>0.15996000000000002</v>
      </c>
      <c r="I65" s="34">
        <v>0</v>
      </c>
      <c r="J65" s="34">
        <v>0</v>
      </c>
      <c r="K65" s="34">
        <v>0</v>
      </c>
      <c r="L65" s="34">
        <v>0</v>
      </c>
      <c r="M65" s="34">
        <v>0</v>
      </c>
      <c r="N65" s="34">
        <v>0</v>
      </c>
      <c r="O65" s="34">
        <v>0</v>
      </c>
      <c r="P65" s="34">
        <v>0</v>
      </c>
      <c r="Q65" s="34">
        <f>F65*G65</f>
        <v>159.96</v>
      </c>
      <c r="R65" s="34">
        <v>0</v>
      </c>
      <c r="S65" s="34">
        <v>0</v>
      </c>
      <c r="T65" s="34">
        <v>0</v>
      </c>
      <c r="U65" s="34">
        <f t="shared" si="17"/>
        <v>159.96</v>
      </c>
    </row>
    <row r="66" spans="1:21">
      <c r="A66" s="128"/>
      <c r="B66" s="18" t="s">
        <v>77</v>
      </c>
      <c r="C66" s="63"/>
      <c r="D66" s="8"/>
      <c r="E66" s="64"/>
      <c r="F66" s="50"/>
      <c r="G66" s="50"/>
      <c r="H66" s="65" t="s">
        <v>42</v>
      </c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</row>
    <row r="67" spans="1:21">
      <c r="A67" s="63" t="s">
        <v>176</v>
      </c>
      <c r="B67" s="8" t="s">
        <v>78</v>
      </c>
      <c r="C67" s="63" t="s">
        <v>79</v>
      </c>
      <c r="D67" s="8"/>
      <c r="E67" s="64">
        <v>2</v>
      </c>
      <c r="F67" s="50">
        <v>0.2</v>
      </c>
      <c r="G67" s="50">
        <v>536.23</v>
      </c>
      <c r="H67" s="65">
        <f t="shared" si="16"/>
        <v>0.10724600000000001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0</v>
      </c>
      <c r="R67" s="34">
        <v>0</v>
      </c>
      <c r="S67" s="34">
        <v>0</v>
      </c>
      <c r="T67" s="34">
        <v>0</v>
      </c>
      <c r="U67" s="34">
        <f>SUM(I67:T67)</f>
        <v>0</v>
      </c>
    </row>
    <row r="68" spans="1:21">
      <c r="A68" s="63" t="s">
        <v>178</v>
      </c>
      <c r="B68" s="8" t="s">
        <v>104</v>
      </c>
      <c r="C68" s="63" t="s">
        <v>33</v>
      </c>
      <c r="D68" s="8"/>
      <c r="E68" s="64">
        <v>1</v>
      </c>
      <c r="F68" s="56">
        <v>1</v>
      </c>
      <c r="G68" s="50">
        <v>911.85</v>
      </c>
      <c r="H68" s="65">
        <f t="shared" si="16"/>
        <v>0.91185000000000005</v>
      </c>
      <c r="I68" s="34">
        <v>0</v>
      </c>
      <c r="J68" s="34">
        <v>0</v>
      </c>
      <c r="K68" s="34">
        <v>0</v>
      </c>
      <c r="L68" s="34">
        <v>0</v>
      </c>
      <c r="M68" s="34">
        <v>0</v>
      </c>
      <c r="N68" s="34">
        <v>0</v>
      </c>
      <c r="O68" s="34">
        <v>0</v>
      </c>
      <c r="P68" s="34">
        <v>0</v>
      </c>
      <c r="Q68" s="34">
        <v>0</v>
      </c>
      <c r="R68" s="34">
        <v>0</v>
      </c>
      <c r="S68" s="34">
        <v>0</v>
      </c>
      <c r="T68" s="34">
        <v>0</v>
      </c>
      <c r="U68" s="34">
        <f t="shared" ref="U68:U70" si="18">SUM(I68:T68)</f>
        <v>0</v>
      </c>
    </row>
    <row r="69" spans="1:21" hidden="1">
      <c r="A69" s="63"/>
      <c r="B69" s="8" t="s">
        <v>80</v>
      </c>
      <c r="C69" s="63" t="s">
        <v>81</v>
      </c>
      <c r="D69" s="8"/>
      <c r="E69" s="64"/>
      <c r="F69" s="50"/>
      <c r="G69" s="50">
        <v>31.54</v>
      </c>
      <c r="H69" s="65">
        <f t="shared" si="16"/>
        <v>0</v>
      </c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>
        <f t="shared" si="18"/>
        <v>0</v>
      </c>
    </row>
    <row r="70" spans="1:21">
      <c r="A70" s="63" t="s">
        <v>177</v>
      </c>
      <c r="B70" s="8" t="s">
        <v>110</v>
      </c>
      <c r="C70" s="63" t="s">
        <v>33</v>
      </c>
      <c r="D70" s="8"/>
      <c r="E70" s="64">
        <v>1</v>
      </c>
      <c r="F70" s="50">
        <v>1</v>
      </c>
      <c r="G70" s="50">
        <v>383.25</v>
      </c>
      <c r="H70" s="65">
        <f>G70*F70/1000</f>
        <v>0.38324999999999998</v>
      </c>
      <c r="I70" s="34">
        <v>0</v>
      </c>
      <c r="J70" s="34">
        <v>0</v>
      </c>
      <c r="K70" s="34">
        <v>0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  <c r="Q70" s="34">
        <v>0</v>
      </c>
      <c r="R70" s="34">
        <v>0</v>
      </c>
      <c r="S70" s="34">
        <v>0</v>
      </c>
      <c r="T70" s="34">
        <v>0</v>
      </c>
      <c r="U70" s="34">
        <f t="shared" si="18"/>
        <v>0</v>
      </c>
    </row>
    <row r="71" spans="1:21">
      <c r="A71" s="128"/>
      <c r="B71" s="68" t="s">
        <v>82</v>
      </c>
      <c r="C71" s="63"/>
      <c r="D71" s="8"/>
      <c r="E71" s="64"/>
      <c r="F71" s="50"/>
      <c r="G71" s="50" t="s">
        <v>42</v>
      </c>
      <c r="H71" s="65" t="s">
        <v>42</v>
      </c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</row>
    <row r="72" spans="1:21" s="1" customFormat="1">
      <c r="A72" s="66" t="s">
        <v>83</v>
      </c>
      <c r="B72" s="69" t="s">
        <v>185</v>
      </c>
      <c r="C72" s="66" t="s">
        <v>74</v>
      </c>
      <c r="D72" s="16"/>
      <c r="E72" s="70"/>
      <c r="F72" s="51">
        <v>0.1</v>
      </c>
      <c r="G72" s="51">
        <v>2949.85</v>
      </c>
      <c r="H72" s="65">
        <f t="shared" si="16"/>
        <v>0.294985</v>
      </c>
      <c r="I72" s="49">
        <v>0</v>
      </c>
      <c r="J72" s="49">
        <v>0</v>
      </c>
      <c r="K72" s="49">
        <v>0</v>
      </c>
      <c r="L72" s="49">
        <v>0</v>
      </c>
      <c r="M72" s="49">
        <f>G72*0.03</f>
        <v>88.495499999999993</v>
      </c>
      <c r="N72" s="49">
        <v>0</v>
      </c>
      <c r="O72" s="49">
        <v>0</v>
      </c>
      <c r="P72" s="49">
        <v>0</v>
      </c>
      <c r="Q72" s="49">
        <v>0</v>
      </c>
      <c r="R72" s="49">
        <v>0</v>
      </c>
      <c r="S72" s="49">
        <v>0</v>
      </c>
      <c r="T72" s="49">
        <v>0</v>
      </c>
      <c r="U72" s="34">
        <f>SUM(I72:T72)</f>
        <v>88.495499999999993</v>
      </c>
    </row>
    <row r="73" spans="1:21" s="21" customFormat="1">
      <c r="A73" s="129"/>
      <c r="B73" s="20" t="s">
        <v>26</v>
      </c>
      <c r="C73" s="71"/>
      <c r="D73" s="72"/>
      <c r="E73" s="73"/>
      <c r="F73" s="55"/>
      <c r="G73" s="55"/>
      <c r="H73" s="74">
        <f>SUM(H54:H72)</f>
        <v>39.790287929999998</v>
      </c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>
        <f>SUM(U54:U72)</f>
        <v>23668.100420000002</v>
      </c>
    </row>
    <row r="74" spans="1:21">
      <c r="A74" s="130" t="s">
        <v>125</v>
      </c>
      <c r="B74" s="10" t="s">
        <v>126</v>
      </c>
      <c r="C74" s="75"/>
      <c r="D74" s="76"/>
      <c r="E74" s="120"/>
      <c r="F74" s="77">
        <v>1</v>
      </c>
      <c r="G74" s="78">
        <v>3592.8</v>
      </c>
      <c r="H74" s="65">
        <f>G74*F74/1000</f>
        <v>3.5928</v>
      </c>
      <c r="I74" s="34">
        <v>0</v>
      </c>
      <c r="J74" s="34">
        <v>0</v>
      </c>
      <c r="K74" s="34">
        <v>0</v>
      </c>
      <c r="L74" s="34">
        <v>0</v>
      </c>
      <c r="M74" s="35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f>SUM(I74:T74)</f>
        <v>0</v>
      </c>
    </row>
    <row r="75" spans="1:21" ht="12.75" customHeight="1">
      <c r="A75" s="63"/>
      <c r="B75" s="11" t="s">
        <v>84</v>
      </c>
      <c r="C75" s="63" t="s">
        <v>85</v>
      </c>
      <c r="D75" s="79"/>
      <c r="E75" s="50">
        <v>1042.5999999999999</v>
      </c>
      <c r="F75" s="50">
        <f>SUM(E75*12)</f>
        <v>12511.199999999999</v>
      </c>
      <c r="G75" s="80">
        <v>2.2400000000000002</v>
      </c>
      <c r="H75" s="65">
        <f>SUM(F75*G75/1000)</f>
        <v>28.025088</v>
      </c>
      <c r="I75" s="34">
        <f>F75/12*G75</f>
        <v>2335.424</v>
      </c>
      <c r="J75" s="34">
        <f>F75/12*G75</f>
        <v>2335.424</v>
      </c>
      <c r="K75" s="34">
        <f>F75/12*G75</f>
        <v>2335.424</v>
      </c>
      <c r="L75" s="34">
        <f>F75/12*G75</f>
        <v>2335.424</v>
      </c>
      <c r="M75" s="34">
        <f>F75/12*G75</f>
        <v>2335.424</v>
      </c>
      <c r="N75" s="34">
        <f>F75/12*G75</f>
        <v>2335.424</v>
      </c>
      <c r="O75" s="34">
        <f>F75/12*G75</f>
        <v>2335.424</v>
      </c>
      <c r="P75" s="34">
        <f>F75/12*G75</f>
        <v>2335.424</v>
      </c>
      <c r="Q75" s="34">
        <f>F75/12*G75</f>
        <v>2335.424</v>
      </c>
      <c r="R75" s="34">
        <f>F75/12*G75</f>
        <v>2335.424</v>
      </c>
      <c r="S75" s="34">
        <f>F75/12*G75</f>
        <v>2335.424</v>
      </c>
      <c r="T75" s="34">
        <f>F75/12*G75</f>
        <v>2335.424</v>
      </c>
      <c r="U75" s="34">
        <f>SUM(I75:T75)</f>
        <v>28025.087999999992</v>
      </c>
    </row>
    <row r="76" spans="1:21" s="19" customFormat="1">
      <c r="A76" s="81"/>
      <c r="B76" s="20" t="s">
        <v>26</v>
      </c>
      <c r="C76" s="82"/>
      <c r="D76" s="83"/>
      <c r="E76" s="84"/>
      <c r="F76" s="41"/>
      <c r="G76" s="85"/>
      <c r="H76" s="42">
        <f>SUM(H74:H75)</f>
        <v>31.617888000000001</v>
      </c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>
        <f>SUM(U74:U75)</f>
        <v>28025.087999999992</v>
      </c>
    </row>
    <row r="77" spans="1:21" ht="39" customHeight="1">
      <c r="A77" s="128"/>
      <c r="B77" s="8" t="s">
        <v>86</v>
      </c>
      <c r="C77" s="63"/>
      <c r="D77" s="22"/>
      <c r="E77" s="31">
        <f>E75</f>
        <v>1042.5999999999999</v>
      </c>
      <c r="F77" s="50">
        <f>E77*12</f>
        <v>12511.199999999999</v>
      </c>
      <c r="G77" s="50">
        <v>1.74</v>
      </c>
      <c r="H77" s="65">
        <f>F77*G77/1000</f>
        <v>21.769487999999999</v>
      </c>
      <c r="I77" s="34">
        <f>F77/12*G77</f>
        <v>1814.1239999999998</v>
      </c>
      <c r="J77" s="34">
        <f>K77</f>
        <v>1814.1239999999998</v>
      </c>
      <c r="K77" s="34">
        <f>F77/12*G77</f>
        <v>1814.1239999999998</v>
      </c>
      <c r="L77" s="34">
        <f>F77/12*G77</f>
        <v>1814.1239999999998</v>
      </c>
      <c r="M77" s="34">
        <f>F77/12*G77</f>
        <v>1814.1239999999998</v>
      </c>
      <c r="N77" s="34">
        <f>F77/12*G77</f>
        <v>1814.1239999999998</v>
      </c>
      <c r="O77" s="34">
        <f>F77/12*G77</f>
        <v>1814.1239999999998</v>
      </c>
      <c r="P77" s="34">
        <f>F77/12*G77</f>
        <v>1814.1239999999998</v>
      </c>
      <c r="Q77" s="34">
        <f>F77/12*G77</f>
        <v>1814.1239999999998</v>
      </c>
      <c r="R77" s="34">
        <f>F77/12*G77</f>
        <v>1814.1239999999998</v>
      </c>
      <c r="S77" s="34">
        <f>F77/12*G77</f>
        <v>1814.1239999999998</v>
      </c>
      <c r="T77" s="34">
        <f t="shared" ref="T77" si="19">F77/12*G77</f>
        <v>1814.1239999999998</v>
      </c>
      <c r="U77" s="34">
        <f>SUM(I77:T77)</f>
        <v>21769.487999999998</v>
      </c>
    </row>
    <row r="78" spans="1:21" s="19" customFormat="1">
      <c r="A78" s="81"/>
      <c r="B78" s="86" t="s">
        <v>87</v>
      </c>
      <c r="C78" s="87"/>
      <c r="D78" s="86"/>
      <c r="E78" s="41"/>
      <c r="F78" s="41"/>
      <c r="G78" s="41"/>
      <c r="H78" s="74">
        <f>H77</f>
        <v>21.769487999999999</v>
      </c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115">
        <f>U77</f>
        <v>21769.487999999998</v>
      </c>
    </row>
    <row r="79" spans="1:21" s="19" customFormat="1">
      <c r="A79" s="81"/>
      <c r="B79" s="86" t="s">
        <v>88</v>
      </c>
      <c r="C79" s="88"/>
      <c r="D79" s="89"/>
      <c r="E79" s="90"/>
      <c r="F79" s="90"/>
      <c r="G79" s="90"/>
      <c r="H79" s="74">
        <f>SUM(H78+H76+H73+H52+H40+H32+H22)</f>
        <v>263.5858363898667</v>
      </c>
      <c r="I79" s="90"/>
      <c r="J79" s="90"/>
      <c r="K79" s="90"/>
      <c r="L79" s="90"/>
      <c r="M79" s="90"/>
      <c r="N79" s="90"/>
      <c r="O79" s="90"/>
      <c r="P79" s="90"/>
      <c r="Q79" s="90"/>
      <c r="R79" s="90"/>
      <c r="S79" s="90"/>
      <c r="T79" s="90"/>
      <c r="U79" s="115">
        <f>SUM(U78+U76+U73+U52+U40+U32+U22)</f>
        <v>229651.97887986666</v>
      </c>
    </row>
    <row r="80" spans="1:21">
      <c r="A80" s="128"/>
      <c r="B80" s="22" t="s">
        <v>89</v>
      </c>
      <c r="C80" s="63"/>
      <c r="D80" s="22"/>
      <c r="E80" s="50"/>
      <c r="F80" s="50"/>
      <c r="G80" s="50" t="s">
        <v>90</v>
      </c>
      <c r="H80" s="91">
        <f>E77</f>
        <v>1042.5999999999999</v>
      </c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</row>
    <row r="81" spans="1:21" s="19" customFormat="1">
      <c r="A81" s="81"/>
      <c r="B81" s="89" t="s">
        <v>91</v>
      </c>
      <c r="C81" s="88"/>
      <c r="D81" s="89"/>
      <c r="E81" s="90"/>
      <c r="F81" s="90"/>
      <c r="G81" s="90"/>
      <c r="H81" s="92">
        <f>SUM(H79/H80/12*1000)</f>
        <v>21.067989992156367</v>
      </c>
      <c r="I81" s="90"/>
      <c r="J81" s="90"/>
      <c r="K81" s="90"/>
      <c r="L81" s="90"/>
      <c r="M81" s="90"/>
      <c r="N81" s="90"/>
      <c r="O81" s="90"/>
      <c r="P81" s="90"/>
      <c r="Q81" s="90"/>
      <c r="R81" s="90"/>
      <c r="S81" s="90"/>
      <c r="T81" s="90"/>
      <c r="U81" s="116"/>
    </row>
    <row r="82" spans="1:21">
      <c r="A82" s="93"/>
      <c r="B82" s="22"/>
      <c r="C82" s="63"/>
      <c r="D82" s="22"/>
      <c r="E82" s="50"/>
      <c r="F82" s="50"/>
      <c r="G82" s="50"/>
      <c r="H82" s="9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117"/>
    </row>
    <row r="83" spans="1:21">
      <c r="A83" s="128"/>
      <c r="B83" s="68" t="s">
        <v>92</v>
      </c>
      <c r="C83" s="63"/>
      <c r="D83" s="22"/>
      <c r="E83" s="50"/>
      <c r="F83" s="50"/>
      <c r="G83" s="50"/>
      <c r="H83" s="50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</row>
    <row r="84" spans="1:21">
      <c r="A84" s="133" t="s">
        <v>125</v>
      </c>
      <c r="B84" s="59" t="s">
        <v>186</v>
      </c>
      <c r="C84" s="58" t="s">
        <v>187</v>
      </c>
      <c r="D84" s="59"/>
      <c r="E84" s="60"/>
      <c r="F84" s="61">
        <v>300</v>
      </c>
      <c r="G84" s="56">
        <v>1.2</v>
      </c>
      <c r="H84" s="62">
        <f>F84*G84/1000</f>
        <v>0.36</v>
      </c>
      <c r="I84" s="135">
        <f>G84*100</f>
        <v>120</v>
      </c>
      <c r="J84" s="135">
        <f>G84*100</f>
        <v>120</v>
      </c>
      <c r="K84" s="135">
        <f>G84*100</f>
        <v>120</v>
      </c>
      <c r="L84" s="135">
        <f>G84*100</f>
        <v>120</v>
      </c>
      <c r="M84" s="135">
        <f>G84*100</f>
        <v>120</v>
      </c>
      <c r="N84" s="135">
        <f>I84</f>
        <v>120</v>
      </c>
      <c r="O84" s="135">
        <f t="shared" ref="O84:T84" si="20">N84</f>
        <v>120</v>
      </c>
      <c r="P84" s="135">
        <f t="shared" si="20"/>
        <v>120</v>
      </c>
      <c r="Q84" s="135">
        <f t="shared" si="20"/>
        <v>120</v>
      </c>
      <c r="R84" s="135">
        <f t="shared" si="20"/>
        <v>120</v>
      </c>
      <c r="S84" s="135">
        <f t="shared" si="20"/>
        <v>120</v>
      </c>
      <c r="T84" s="135">
        <f t="shared" si="20"/>
        <v>120</v>
      </c>
      <c r="U84" s="34">
        <f>SUM(I84:T84)</f>
        <v>1440</v>
      </c>
    </row>
    <row r="85" spans="1:21">
      <c r="A85" s="138" t="s">
        <v>127</v>
      </c>
      <c r="B85" s="10" t="s">
        <v>188</v>
      </c>
      <c r="C85" s="24" t="s">
        <v>189</v>
      </c>
      <c r="D85" s="59"/>
      <c r="E85" s="60"/>
      <c r="F85" s="61">
        <v>1</v>
      </c>
      <c r="G85" s="50">
        <v>1501</v>
      </c>
      <c r="H85" s="50">
        <f t="shared" ref="H85:H115" si="21">G85*F85/1000</f>
        <v>1.5009999999999999</v>
      </c>
      <c r="I85" s="135">
        <v>0</v>
      </c>
      <c r="J85" s="135">
        <v>0</v>
      </c>
      <c r="K85" s="135">
        <v>0</v>
      </c>
      <c r="L85" s="135">
        <f>G85*1</f>
        <v>1501</v>
      </c>
      <c r="M85" s="135">
        <f>G85*1</f>
        <v>1501</v>
      </c>
      <c r="N85" s="135">
        <v>0</v>
      </c>
      <c r="O85" s="135">
        <v>0</v>
      </c>
      <c r="P85" s="135">
        <v>0</v>
      </c>
      <c r="Q85" s="135">
        <v>0</v>
      </c>
      <c r="R85" s="135">
        <v>0</v>
      </c>
      <c r="S85" s="135">
        <v>0</v>
      </c>
      <c r="T85" s="135">
        <v>0</v>
      </c>
      <c r="U85" s="34">
        <f t="shared" ref="U85:U115" si="22">SUM(I85:T85)</f>
        <v>3002</v>
      </c>
    </row>
    <row r="86" spans="1:21">
      <c r="A86" s="141" t="s">
        <v>193</v>
      </c>
      <c r="B86" s="142" t="s">
        <v>224</v>
      </c>
      <c r="C86" s="143" t="s">
        <v>18</v>
      </c>
      <c r="D86" s="8"/>
      <c r="E86" s="64"/>
      <c r="F86" s="50">
        <v>0.18</v>
      </c>
      <c r="G86" s="50">
        <v>3413.41</v>
      </c>
      <c r="H86" s="65">
        <f t="shared" si="21"/>
        <v>0.6144137999999999</v>
      </c>
      <c r="I86" s="135">
        <v>0</v>
      </c>
      <c r="J86" s="135">
        <v>0</v>
      </c>
      <c r="K86" s="135">
        <v>0</v>
      </c>
      <c r="L86" s="135">
        <v>0</v>
      </c>
      <c r="M86" s="135">
        <v>0</v>
      </c>
      <c r="N86" s="135">
        <f>G86*0.12</f>
        <v>409.60919999999999</v>
      </c>
      <c r="O86" s="135">
        <v>0</v>
      </c>
      <c r="P86" s="135">
        <v>0</v>
      </c>
      <c r="Q86" s="135">
        <f>G86*0.06</f>
        <v>204.80459999999999</v>
      </c>
      <c r="R86" s="135">
        <v>0</v>
      </c>
      <c r="S86" s="135">
        <v>0</v>
      </c>
      <c r="T86" s="135">
        <v>0</v>
      </c>
      <c r="U86" s="34">
        <f t="shared" si="22"/>
        <v>614.41380000000004</v>
      </c>
    </row>
    <row r="87" spans="1:21">
      <c r="A87" s="139" t="s">
        <v>227</v>
      </c>
      <c r="B87" s="140" t="s">
        <v>225</v>
      </c>
      <c r="C87" s="139" t="s">
        <v>226</v>
      </c>
      <c r="D87" s="8"/>
      <c r="E87" s="64"/>
      <c r="F87" s="50">
        <f>9+16+10</f>
        <v>35</v>
      </c>
      <c r="G87" s="50">
        <v>134.12</v>
      </c>
      <c r="H87" s="65">
        <f>G87*F87/1000</f>
        <v>4.6941999999999995</v>
      </c>
      <c r="I87" s="135">
        <v>0</v>
      </c>
      <c r="J87" s="135">
        <v>0</v>
      </c>
      <c r="K87" s="135">
        <v>0</v>
      </c>
      <c r="L87" s="135">
        <v>0</v>
      </c>
      <c r="M87" s="135">
        <v>0</v>
      </c>
      <c r="N87" s="135">
        <v>0</v>
      </c>
      <c r="O87" s="135">
        <v>0</v>
      </c>
      <c r="P87" s="135">
        <v>0</v>
      </c>
      <c r="Q87" s="135">
        <f>G87*9</f>
        <v>1207.08</v>
      </c>
      <c r="R87" s="135">
        <f>G87*26</f>
        <v>3487.12</v>
      </c>
      <c r="S87" s="135">
        <v>0</v>
      </c>
      <c r="T87" s="135">
        <v>0</v>
      </c>
      <c r="U87" s="34">
        <f t="shared" si="22"/>
        <v>4694.2</v>
      </c>
    </row>
    <row r="88" spans="1:21">
      <c r="A88" s="139" t="s">
        <v>197</v>
      </c>
      <c r="B88" s="140" t="s">
        <v>228</v>
      </c>
      <c r="C88" s="139" t="s">
        <v>60</v>
      </c>
      <c r="D88" s="8"/>
      <c r="E88" s="64"/>
      <c r="F88" s="50">
        <v>1</v>
      </c>
      <c r="G88" s="50">
        <v>55.24</v>
      </c>
      <c r="H88" s="65">
        <f>G88*F88/1000</f>
        <v>5.5240000000000004E-2</v>
      </c>
      <c r="I88" s="135">
        <v>0</v>
      </c>
      <c r="J88" s="135">
        <v>0</v>
      </c>
      <c r="K88" s="135">
        <v>0</v>
      </c>
      <c r="L88" s="135">
        <v>0</v>
      </c>
      <c r="M88" s="135">
        <v>0</v>
      </c>
      <c r="N88" s="135">
        <v>0</v>
      </c>
      <c r="O88" s="135">
        <v>0</v>
      </c>
      <c r="P88" s="135">
        <v>0</v>
      </c>
      <c r="Q88" s="135">
        <v>0</v>
      </c>
      <c r="R88" s="135">
        <f>G88*1</f>
        <v>55.24</v>
      </c>
      <c r="S88" s="135">
        <v>0</v>
      </c>
      <c r="T88" s="135">
        <v>0</v>
      </c>
      <c r="U88" s="34">
        <f t="shared" si="22"/>
        <v>55.24</v>
      </c>
    </row>
    <row r="89" spans="1:21">
      <c r="A89" s="139" t="s">
        <v>197</v>
      </c>
      <c r="B89" s="140" t="s">
        <v>229</v>
      </c>
      <c r="C89" s="139" t="s">
        <v>60</v>
      </c>
      <c r="D89" s="8"/>
      <c r="E89" s="64"/>
      <c r="F89" s="50">
        <v>1</v>
      </c>
      <c r="G89" s="50">
        <v>148.22999999999999</v>
      </c>
      <c r="H89" s="65">
        <f>G89*F89/1000</f>
        <v>0.14823</v>
      </c>
      <c r="I89" s="135">
        <v>0</v>
      </c>
      <c r="J89" s="135">
        <v>0</v>
      </c>
      <c r="K89" s="135">
        <v>0</v>
      </c>
      <c r="L89" s="135">
        <v>0</v>
      </c>
      <c r="M89" s="135">
        <v>0</v>
      </c>
      <c r="N89" s="135">
        <v>0</v>
      </c>
      <c r="O89" s="135">
        <v>0</v>
      </c>
      <c r="P89" s="135">
        <v>0</v>
      </c>
      <c r="Q89" s="135">
        <v>0</v>
      </c>
      <c r="R89" s="135">
        <f>G89*1</f>
        <v>148.22999999999999</v>
      </c>
      <c r="S89" s="135">
        <v>0</v>
      </c>
      <c r="T89" s="135">
        <v>0</v>
      </c>
      <c r="U89" s="34">
        <f t="shared" si="22"/>
        <v>148.22999999999999</v>
      </c>
    </row>
    <row r="90" spans="1:21">
      <c r="A90" s="141" t="s">
        <v>231</v>
      </c>
      <c r="B90" s="147" t="s">
        <v>230</v>
      </c>
      <c r="C90" s="144" t="s">
        <v>79</v>
      </c>
      <c r="D90" s="8"/>
      <c r="E90" s="64"/>
      <c r="F90" s="50">
        <v>0.1</v>
      </c>
      <c r="G90" s="50">
        <v>4165.3999999999996</v>
      </c>
      <c r="H90" s="65">
        <f>G90*F90/1000</f>
        <v>0.41653999999999997</v>
      </c>
      <c r="I90" s="135">
        <v>0</v>
      </c>
      <c r="J90" s="135">
        <v>0</v>
      </c>
      <c r="K90" s="135">
        <v>0</v>
      </c>
      <c r="L90" s="135">
        <v>0</v>
      </c>
      <c r="M90" s="135">
        <v>0</v>
      </c>
      <c r="N90" s="135">
        <v>0</v>
      </c>
      <c r="O90" s="135">
        <v>0</v>
      </c>
      <c r="P90" s="135">
        <v>0</v>
      </c>
      <c r="Q90" s="135">
        <v>0</v>
      </c>
      <c r="R90" s="135">
        <f>G90*0.1</f>
        <v>416.53999999999996</v>
      </c>
      <c r="S90" s="135">
        <v>0</v>
      </c>
      <c r="T90" s="135">
        <v>0</v>
      </c>
      <c r="U90" s="34">
        <f t="shared" si="22"/>
        <v>416.53999999999996</v>
      </c>
    </row>
    <row r="91" spans="1:21">
      <c r="A91" s="141" t="s">
        <v>232</v>
      </c>
      <c r="B91" s="147" t="s">
        <v>233</v>
      </c>
      <c r="C91" s="144" t="s">
        <v>79</v>
      </c>
      <c r="D91" s="8"/>
      <c r="E91" s="64"/>
      <c r="F91" s="50">
        <v>0.1</v>
      </c>
      <c r="G91" s="50">
        <v>7332.06</v>
      </c>
      <c r="H91" s="65">
        <f>G91*F91/1000</f>
        <v>0.73320600000000014</v>
      </c>
      <c r="I91" s="135">
        <v>0</v>
      </c>
      <c r="J91" s="135">
        <v>0</v>
      </c>
      <c r="K91" s="135">
        <v>0</v>
      </c>
      <c r="L91" s="135">
        <v>0</v>
      </c>
      <c r="M91" s="135">
        <v>0</v>
      </c>
      <c r="N91" s="135">
        <v>0</v>
      </c>
      <c r="O91" s="135">
        <v>0</v>
      </c>
      <c r="P91" s="135">
        <v>0</v>
      </c>
      <c r="Q91" s="135">
        <v>0</v>
      </c>
      <c r="R91" s="135">
        <f>G91*0.1</f>
        <v>733.20600000000013</v>
      </c>
      <c r="S91" s="135">
        <v>0</v>
      </c>
      <c r="T91" s="135">
        <v>0</v>
      </c>
      <c r="U91" s="34">
        <f t="shared" si="22"/>
        <v>733.20600000000013</v>
      </c>
    </row>
    <row r="92" spans="1:21" ht="25.5">
      <c r="A92" s="141" t="s">
        <v>194</v>
      </c>
      <c r="B92" s="142" t="s">
        <v>195</v>
      </c>
      <c r="C92" s="143" t="s">
        <v>196</v>
      </c>
      <c r="D92" s="8"/>
      <c r="E92" s="64"/>
      <c r="F92" s="50">
        <v>12</v>
      </c>
      <c r="G92" s="50">
        <v>1272</v>
      </c>
      <c r="H92" s="65">
        <f t="shared" si="21"/>
        <v>15.263999999999999</v>
      </c>
      <c r="I92" s="135">
        <v>0</v>
      </c>
      <c r="J92" s="135">
        <v>0</v>
      </c>
      <c r="K92" s="135">
        <v>0</v>
      </c>
      <c r="L92" s="135">
        <v>0</v>
      </c>
      <c r="M92" s="135">
        <v>0</v>
      </c>
      <c r="N92" s="135">
        <f>G92*12</f>
        <v>15264</v>
      </c>
      <c r="O92" s="135">
        <v>0</v>
      </c>
      <c r="P92" s="135">
        <v>0</v>
      </c>
      <c r="Q92" s="135">
        <v>0</v>
      </c>
      <c r="R92" s="135">
        <v>0</v>
      </c>
      <c r="S92" s="135">
        <v>0</v>
      </c>
      <c r="T92" s="135">
        <v>0</v>
      </c>
      <c r="U92" s="34">
        <f t="shared" si="22"/>
        <v>15264</v>
      </c>
    </row>
    <row r="93" spans="1:21">
      <c r="A93" s="141" t="s">
        <v>197</v>
      </c>
      <c r="B93" s="142" t="s">
        <v>198</v>
      </c>
      <c r="C93" s="143" t="s">
        <v>60</v>
      </c>
      <c r="D93" s="8"/>
      <c r="E93" s="64"/>
      <c r="F93" s="50">
        <v>6</v>
      </c>
      <c r="G93" s="50">
        <v>8.44</v>
      </c>
      <c r="H93" s="65">
        <f t="shared" si="21"/>
        <v>5.0639999999999998E-2</v>
      </c>
      <c r="I93" s="135">
        <v>0</v>
      </c>
      <c r="J93" s="135">
        <v>0</v>
      </c>
      <c r="K93" s="135">
        <v>0</v>
      </c>
      <c r="L93" s="135">
        <v>0</v>
      </c>
      <c r="M93" s="135">
        <v>0</v>
      </c>
      <c r="N93" s="135">
        <f>G93*6</f>
        <v>50.64</v>
      </c>
      <c r="O93" s="135">
        <v>0</v>
      </c>
      <c r="P93" s="135">
        <v>0</v>
      </c>
      <c r="Q93" s="135">
        <v>0</v>
      </c>
      <c r="R93" s="135">
        <v>0</v>
      </c>
      <c r="S93" s="135">
        <v>0</v>
      </c>
      <c r="T93" s="135">
        <v>0</v>
      </c>
      <c r="U93" s="34">
        <f t="shared" si="22"/>
        <v>50.64</v>
      </c>
    </row>
    <row r="94" spans="1:21">
      <c r="A94" s="141" t="s">
        <v>197</v>
      </c>
      <c r="B94" s="142" t="s">
        <v>199</v>
      </c>
      <c r="C94" s="143" t="s">
        <v>60</v>
      </c>
      <c r="D94" s="8"/>
      <c r="E94" s="64"/>
      <c r="F94" s="50">
        <v>5</v>
      </c>
      <c r="G94" s="50">
        <v>151.31</v>
      </c>
      <c r="H94" s="65">
        <f t="shared" si="21"/>
        <v>0.75654999999999994</v>
      </c>
      <c r="I94" s="135">
        <v>0</v>
      </c>
      <c r="J94" s="135">
        <v>0</v>
      </c>
      <c r="K94" s="135">
        <v>0</v>
      </c>
      <c r="L94" s="135">
        <v>0</v>
      </c>
      <c r="M94" s="135">
        <v>0</v>
      </c>
      <c r="N94" s="135">
        <f>G94*5</f>
        <v>756.55</v>
      </c>
      <c r="O94" s="135">
        <v>0</v>
      </c>
      <c r="P94" s="135">
        <v>0</v>
      </c>
      <c r="Q94" s="135">
        <v>0</v>
      </c>
      <c r="R94" s="135">
        <v>0</v>
      </c>
      <c r="S94" s="135">
        <v>0</v>
      </c>
      <c r="T94" s="135">
        <v>0</v>
      </c>
      <c r="U94" s="34">
        <f t="shared" si="22"/>
        <v>756.55</v>
      </c>
    </row>
    <row r="95" spans="1:21">
      <c r="A95" s="141" t="s">
        <v>197</v>
      </c>
      <c r="B95" s="142" t="s">
        <v>200</v>
      </c>
      <c r="C95" s="143" t="s">
        <v>60</v>
      </c>
      <c r="D95" s="8"/>
      <c r="E95" s="64"/>
      <c r="F95" s="50">
        <v>5</v>
      </c>
      <c r="G95" s="50">
        <v>169.34</v>
      </c>
      <c r="H95" s="65">
        <f t="shared" si="21"/>
        <v>0.84670000000000001</v>
      </c>
      <c r="I95" s="135">
        <v>0</v>
      </c>
      <c r="J95" s="135">
        <v>0</v>
      </c>
      <c r="K95" s="135">
        <v>0</v>
      </c>
      <c r="L95" s="135">
        <v>0</v>
      </c>
      <c r="M95" s="135">
        <v>0</v>
      </c>
      <c r="N95" s="135">
        <f>G95*5</f>
        <v>846.7</v>
      </c>
      <c r="O95" s="135">
        <v>0</v>
      </c>
      <c r="P95" s="135">
        <v>0</v>
      </c>
      <c r="Q95" s="135">
        <v>0</v>
      </c>
      <c r="R95" s="135">
        <v>0</v>
      </c>
      <c r="S95" s="135">
        <v>0</v>
      </c>
      <c r="T95" s="135">
        <v>0</v>
      </c>
      <c r="U95" s="34">
        <f t="shared" si="22"/>
        <v>846.7</v>
      </c>
    </row>
    <row r="96" spans="1:21">
      <c r="A96" s="141" t="s">
        <v>197</v>
      </c>
      <c r="B96" s="142" t="s">
        <v>201</v>
      </c>
      <c r="C96" s="143" t="s">
        <v>60</v>
      </c>
      <c r="D96" s="8"/>
      <c r="E96" s="64"/>
      <c r="F96" s="50">
        <v>4</v>
      </c>
      <c r="G96" s="50">
        <v>65.260000000000005</v>
      </c>
      <c r="H96" s="65">
        <f t="shared" si="21"/>
        <v>0.26103999999999999</v>
      </c>
      <c r="I96" s="135">
        <v>0</v>
      </c>
      <c r="J96" s="135">
        <v>0</v>
      </c>
      <c r="K96" s="135">
        <v>0</v>
      </c>
      <c r="L96" s="135">
        <v>0</v>
      </c>
      <c r="M96" s="135">
        <v>0</v>
      </c>
      <c r="N96" s="135">
        <f>G96*4</f>
        <v>261.04000000000002</v>
      </c>
      <c r="O96" s="135">
        <v>0</v>
      </c>
      <c r="P96" s="135">
        <v>0</v>
      </c>
      <c r="Q96" s="135">
        <v>0</v>
      </c>
      <c r="R96" s="135">
        <v>0</v>
      </c>
      <c r="S96" s="135">
        <v>0</v>
      </c>
      <c r="T96" s="135">
        <v>0</v>
      </c>
      <c r="U96" s="34">
        <f t="shared" si="22"/>
        <v>261.04000000000002</v>
      </c>
    </row>
    <row r="97" spans="1:21">
      <c r="A97" s="141" t="s">
        <v>197</v>
      </c>
      <c r="B97" s="142" t="s">
        <v>202</v>
      </c>
      <c r="C97" s="143" t="s">
        <v>60</v>
      </c>
      <c r="D97" s="8"/>
      <c r="E97" s="64"/>
      <c r="F97" s="50">
        <v>2</v>
      </c>
      <c r="G97" s="50">
        <v>5.42</v>
      </c>
      <c r="H97" s="65">
        <f t="shared" si="21"/>
        <v>1.0840000000000001E-2</v>
      </c>
      <c r="I97" s="135">
        <v>0</v>
      </c>
      <c r="J97" s="135">
        <v>0</v>
      </c>
      <c r="K97" s="135">
        <v>0</v>
      </c>
      <c r="L97" s="135">
        <v>0</v>
      </c>
      <c r="M97" s="135">
        <v>0</v>
      </c>
      <c r="N97" s="135">
        <f>G97*2</f>
        <v>10.84</v>
      </c>
      <c r="O97" s="135">
        <v>0</v>
      </c>
      <c r="P97" s="135">
        <v>0</v>
      </c>
      <c r="Q97" s="135">
        <v>0</v>
      </c>
      <c r="R97" s="135">
        <v>0</v>
      </c>
      <c r="S97" s="135">
        <v>0</v>
      </c>
      <c r="T97" s="135">
        <v>0</v>
      </c>
      <c r="U97" s="34">
        <f t="shared" si="22"/>
        <v>10.84</v>
      </c>
    </row>
    <row r="98" spans="1:21">
      <c r="A98" s="141" t="s">
        <v>197</v>
      </c>
      <c r="B98" s="142" t="s">
        <v>203</v>
      </c>
      <c r="C98" s="143" t="s">
        <v>60</v>
      </c>
      <c r="D98" s="8"/>
      <c r="E98" s="64"/>
      <c r="F98" s="50">
        <v>2</v>
      </c>
      <c r="G98" s="50">
        <v>1008.38</v>
      </c>
      <c r="H98" s="65">
        <f t="shared" si="21"/>
        <v>2.0167600000000001</v>
      </c>
      <c r="I98" s="135">
        <v>0</v>
      </c>
      <c r="J98" s="135">
        <v>0</v>
      </c>
      <c r="K98" s="135">
        <v>0</v>
      </c>
      <c r="L98" s="135">
        <v>0</v>
      </c>
      <c r="M98" s="135">
        <v>0</v>
      </c>
      <c r="N98" s="135">
        <f>G98*2</f>
        <v>2016.76</v>
      </c>
      <c r="O98" s="135">
        <v>0</v>
      </c>
      <c r="P98" s="135">
        <v>0</v>
      </c>
      <c r="Q98" s="135">
        <v>0</v>
      </c>
      <c r="R98" s="135">
        <v>0</v>
      </c>
      <c r="S98" s="135">
        <v>0</v>
      </c>
      <c r="T98" s="135">
        <v>0</v>
      </c>
      <c r="U98" s="34">
        <f t="shared" si="22"/>
        <v>2016.76</v>
      </c>
    </row>
    <row r="99" spans="1:21">
      <c r="A99" s="141" t="s">
        <v>197</v>
      </c>
      <c r="B99" s="142" t="s">
        <v>204</v>
      </c>
      <c r="C99" s="143" t="s">
        <v>60</v>
      </c>
      <c r="D99" s="8"/>
      <c r="E99" s="64"/>
      <c r="F99" s="50">
        <v>2</v>
      </c>
      <c r="G99" s="50">
        <v>95.25</v>
      </c>
      <c r="H99" s="65">
        <f t="shared" si="21"/>
        <v>0.1905</v>
      </c>
      <c r="I99" s="135">
        <v>0</v>
      </c>
      <c r="J99" s="135">
        <v>0</v>
      </c>
      <c r="K99" s="135">
        <v>0</v>
      </c>
      <c r="L99" s="135">
        <v>0</v>
      </c>
      <c r="M99" s="135">
        <v>0</v>
      </c>
      <c r="N99" s="135">
        <f>G99*2</f>
        <v>190.5</v>
      </c>
      <c r="O99" s="135">
        <v>0</v>
      </c>
      <c r="P99" s="135">
        <v>0</v>
      </c>
      <c r="Q99" s="135">
        <v>0</v>
      </c>
      <c r="R99" s="135">
        <v>0</v>
      </c>
      <c r="S99" s="135">
        <v>0</v>
      </c>
      <c r="T99" s="135">
        <v>0</v>
      </c>
      <c r="U99" s="34">
        <f t="shared" si="22"/>
        <v>190.5</v>
      </c>
    </row>
    <row r="100" spans="1:21" ht="27.75" customHeight="1">
      <c r="A100" s="144" t="s">
        <v>207</v>
      </c>
      <c r="B100" s="140" t="s">
        <v>206</v>
      </c>
      <c r="C100" s="139" t="s">
        <v>60</v>
      </c>
      <c r="D100" s="8"/>
      <c r="E100" s="64"/>
      <c r="F100" s="50">
        <v>2</v>
      </c>
      <c r="G100" s="50">
        <v>873.22</v>
      </c>
      <c r="H100" s="65">
        <f t="shared" si="21"/>
        <v>1.74644</v>
      </c>
      <c r="I100" s="135">
        <v>0</v>
      </c>
      <c r="J100" s="135">
        <v>0</v>
      </c>
      <c r="K100" s="135">
        <v>0</v>
      </c>
      <c r="L100" s="135">
        <v>0</v>
      </c>
      <c r="M100" s="135">
        <v>0</v>
      </c>
      <c r="N100" s="135">
        <v>0</v>
      </c>
      <c r="O100" s="135">
        <f>G100*1</f>
        <v>873.22</v>
      </c>
      <c r="P100" s="135">
        <v>0</v>
      </c>
      <c r="Q100" s="135">
        <f>G100*1</f>
        <v>873.22</v>
      </c>
      <c r="R100" s="135">
        <v>0</v>
      </c>
      <c r="S100" s="135">
        <v>0</v>
      </c>
      <c r="T100" s="135">
        <v>0</v>
      </c>
      <c r="U100" s="34">
        <f t="shared" si="22"/>
        <v>1746.44</v>
      </c>
    </row>
    <row r="101" spans="1:21" ht="25.5">
      <c r="A101" s="141" t="s">
        <v>210</v>
      </c>
      <c r="B101" s="140" t="s">
        <v>208</v>
      </c>
      <c r="C101" s="145" t="s">
        <v>209</v>
      </c>
      <c r="D101" s="8"/>
      <c r="E101" s="64"/>
      <c r="F101" s="50">
        <v>2.5000000000000001E-2</v>
      </c>
      <c r="G101" s="50">
        <v>3186.62</v>
      </c>
      <c r="H101" s="65">
        <f t="shared" si="21"/>
        <v>7.9665500000000014E-2</v>
      </c>
      <c r="I101" s="135">
        <v>0</v>
      </c>
      <c r="J101" s="135">
        <v>0</v>
      </c>
      <c r="K101" s="135">
        <v>0</v>
      </c>
      <c r="L101" s="135">
        <v>0</v>
      </c>
      <c r="M101" s="135">
        <v>0</v>
      </c>
      <c r="N101" s="135">
        <v>0</v>
      </c>
      <c r="O101" s="135">
        <f>G101*0.025</f>
        <v>79.665500000000009</v>
      </c>
      <c r="P101" s="135">
        <v>0</v>
      </c>
      <c r="Q101" s="135">
        <v>0</v>
      </c>
      <c r="R101" s="135">
        <v>0</v>
      </c>
      <c r="S101" s="135">
        <v>0</v>
      </c>
      <c r="T101" s="135">
        <v>0</v>
      </c>
      <c r="U101" s="34">
        <f t="shared" si="22"/>
        <v>79.665500000000009</v>
      </c>
    </row>
    <row r="102" spans="1:21" ht="15">
      <c r="A102" s="139" t="s">
        <v>212</v>
      </c>
      <c r="B102" s="140" t="s">
        <v>213</v>
      </c>
      <c r="C102" s="146" t="s">
        <v>211</v>
      </c>
      <c r="D102" s="8"/>
      <c r="E102" s="64"/>
      <c r="F102" s="50">
        <v>1</v>
      </c>
      <c r="G102" s="50">
        <v>300.61</v>
      </c>
      <c r="H102" s="65">
        <f t="shared" si="21"/>
        <v>0.30060999999999999</v>
      </c>
      <c r="I102" s="135">
        <v>0</v>
      </c>
      <c r="J102" s="135">
        <v>0</v>
      </c>
      <c r="K102" s="135">
        <v>0</v>
      </c>
      <c r="L102" s="135">
        <v>0</v>
      </c>
      <c r="M102" s="135">
        <v>0</v>
      </c>
      <c r="N102" s="135">
        <v>0</v>
      </c>
      <c r="O102" s="135">
        <f>G102*1</f>
        <v>300.61</v>
      </c>
      <c r="P102" s="135">
        <v>0</v>
      </c>
      <c r="Q102" s="135">
        <v>0</v>
      </c>
      <c r="R102" s="135">
        <v>0</v>
      </c>
      <c r="S102" s="135">
        <v>0</v>
      </c>
      <c r="T102" s="135">
        <v>0</v>
      </c>
      <c r="U102" s="34">
        <f t="shared" si="22"/>
        <v>300.61</v>
      </c>
    </row>
    <row r="103" spans="1:21" ht="25.5">
      <c r="A103" s="139" t="s">
        <v>223</v>
      </c>
      <c r="B103" s="140" t="s">
        <v>222</v>
      </c>
      <c r="C103" s="139" t="s">
        <v>60</v>
      </c>
      <c r="D103" s="8"/>
      <c r="E103" s="64"/>
      <c r="F103" s="50">
        <v>1</v>
      </c>
      <c r="G103" s="50">
        <v>197.48</v>
      </c>
      <c r="H103" s="65">
        <f t="shared" si="21"/>
        <v>0.19747999999999999</v>
      </c>
      <c r="I103" s="135">
        <v>0</v>
      </c>
      <c r="J103" s="135">
        <v>0</v>
      </c>
      <c r="K103" s="135">
        <v>0</v>
      </c>
      <c r="L103" s="135">
        <v>0</v>
      </c>
      <c r="M103" s="135">
        <v>0</v>
      </c>
      <c r="N103" s="135">
        <v>0</v>
      </c>
      <c r="O103" s="135">
        <v>0</v>
      </c>
      <c r="P103" s="135">
        <f>G103*1</f>
        <v>197.48</v>
      </c>
      <c r="Q103" s="135">
        <v>0</v>
      </c>
      <c r="R103" s="135">
        <v>0</v>
      </c>
      <c r="S103" s="135">
        <v>0</v>
      </c>
      <c r="T103" s="135">
        <v>0</v>
      </c>
      <c r="U103" s="34">
        <f t="shared" si="22"/>
        <v>197.48</v>
      </c>
    </row>
    <row r="104" spans="1:21" ht="38.25">
      <c r="A104" s="139" t="s">
        <v>192</v>
      </c>
      <c r="B104" s="140" t="s">
        <v>190</v>
      </c>
      <c r="C104" s="139" t="s">
        <v>191</v>
      </c>
      <c r="D104" s="8"/>
      <c r="E104" s="64"/>
      <c r="F104" s="50">
        <f>0.3+0.154</f>
        <v>0.45399999999999996</v>
      </c>
      <c r="G104" s="50">
        <v>6183.75</v>
      </c>
      <c r="H104" s="65">
        <f t="shared" si="21"/>
        <v>2.8074224999999995</v>
      </c>
      <c r="I104" s="135">
        <v>0</v>
      </c>
      <c r="J104" s="135">
        <v>0</v>
      </c>
      <c r="K104" s="135">
        <v>0</v>
      </c>
      <c r="L104" s="135">
        <v>0</v>
      </c>
      <c r="M104" s="135">
        <f>G104*0.3</f>
        <v>1855.125</v>
      </c>
      <c r="N104" s="135">
        <v>0</v>
      </c>
      <c r="O104" s="135">
        <f>G104*0.154</f>
        <v>952.29750000000001</v>
      </c>
      <c r="P104" s="135">
        <v>0</v>
      </c>
      <c r="Q104" s="135">
        <v>0</v>
      </c>
      <c r="R104" s="135">
        <v>0</v>
      </c>
      <c r="S104" s="135">
        <v>0</v>
      </c>
      <c r="T104" s="135">
        <v>0</v>
      </c>
      <c r="U104" s="34">
        <f t="shared" si="22"/>
        <v>2807.4225000000001</v>
      </c>
    </row>
    <row r="105" spans="1:21">
      <c r="A105" s="139" t="s">
        <v>221</v>
      </c>
      <c r="B105" s="140" t="s">
        <v>80</v>
      </c>
      <c r="C105" s="144" t="s">
        <v>220</v>
      </c>
      <c r="D105" s="8"/>
      <c r="E105" s="64"/>
      <c r="F105" s="50">
        <v>1</v>
      </c>
      <c r="G105" s="50">
        <v>19</v>
      </c>
      <c r="H105" s="65">
        <f t="shared" ref="H105:H114" si="23">G105*F105/1000</f>
        <v>1.9E-2</v>
      </c>
      <c r="I105" s="135">
        <v>0</v>
      </c>
      <c r="J105" s="135">
        <v>0</v>
      </c>
      <c r="K105" s="135">
        <v>0</v>
      </c>
      <c r="L105" s="135">
        <v>0</v>
      </c>
      <c r="M105" s="135">
        <v>0</v>
      </c>
      <c r="N105" s="135">
        <v>0</v>
      </c>
      <c r="O105" s="135">
        <v>0</v>
      </c>
      <c r="P105" s="135">
        <f>G105*1</f>
        <v>19</v>
      </c>
      <c r="Q105" s="135">
        <v>0</v>
      </c>
      <c r="R105" s="135">
        <v>0</v>
      </c>
      <c r="S105" s="135">
        <v>0</v>
      </c>
      <c r="T105" s="135">
        <v>0</v>
      </c>
      <c r="U105" s="34">
        <f t="shared" si="22"/>
        <v>19</v>
      </c>
    </row>
    <row r="106" spans="1:21">
      <c r="A106" s="144" t="s">
        <v>219</v>
      </c>
      <c r="B106" s="140" t="s">
        <v>218</v>
      </c>
      <c r="C106" s="139" t="s">
        <v>60</v>
      </c>
      <c r="D106" s="8"/>
      <c r="E106" s="64"/>
      <c r="F106" s="50">
        <v>1</v>
      </c>
      <c r="G106" s="50">
        <v>136.19999999999999</v>
      </c>
      <c r="H106" s="65">
        <f t="shared" si="23"/>
        <v>0.13619999999999999</v>
      </c>
      <c r="I106" s="135">
        <v>0</v>
      </c>
      <c r="J106" s="135">
        <v>0</v>
      </c>
      <c r="K106" s="135">
        <v>0</v>
      </c>
      <c r="L106" s="135">
        <v>0</v>
      </c>
      <c r="M106" s="135">
        <v>0</v>
      </c>
      <c r="N106" s="135">
        <v>0</v>
      </c>
      <c r="O106" s="135">
        <v>0</v>
      </c>
      <c r="P106" s="135">
        <f>G106*1</f>
        <v>136.19999999999999</v>
      </c>
      <c r="Q106" s="135">
        <v>0</v>
      </c>
      <c r="R106" s="135">
        <v>0</v>
      </c>
      <c r="S106" s="135">
        <v>0</v>
      </c>
      <c r="T106" s="135">
        <v>0</v>
      </c>
      <c r="U106" s="34">
        <f t="shared" si="22"/>
        <v>136.19999999999999</v>
      </c>
    </row>
    <row r="107" spans="1:21" ht="25.5">
      <c r="A107" s="144" t="s">
        <v>235</v>
      </c>
      <c r="B107" s="140" t="s">
        <v>234</v>
      </c>
      <c r="C107" s="139" t="s">
        <v>60</v>
      </c>
      <c r="D107" s="8"/>
      <c r="E107" s="64"/>
      <c r="F107" s="50">
        <v>1</v>
      </c>
      <c r="G107" s="50">
        <v>86.69</v>
      </c>
      <c r="H107" s="65">
        <f t="shared" si="23"/>
        <v>8.6690000000000003E-2</v>
      </c>
      <c r="I107" s="135">
        <v>0</v>
      </c>
      <c r="J107" s="135">
        <v>0</v>
      </c>
      <c r="K107" s="135">
        <v>0</v>
      </c>
      <c r="L107" s="135">
        <v>0</v>
      </c>
      <c r="M107" s="135">
        <v>0</v>
      </c>
      <c r="N107" s="135">
        <v>0</v>
      </c>
      <c r="O107" s="135">
        <v>0</v>
      </c>
      <c r="P107" s="135">
        <v>0</v>
      </c>
      <c r="Q107" s="135">
        <v>0</v>
      </c>
      <c r="R107" s="135">
        <v>0</v>
      </c>
      <c r="S107" s="135">
        <f>G107*1</f>
        <v>86.69</v>
      </c>
      <c r="T107" s="135">
        <v>0</v>
      </c>
      <c r="U107" s="34">
        <f t="shared" si="22"/>
        <v>86.69</v>
      </c>
    </row>
    <row r="108" spans="1:21" ht="25.5">
      <c r="A108" s="139" t="s">
        <v>243</v>
      </c>
      <c r="B108" s="140" t="s">
        <v>241</v>
      </c>
      <c r="C108" s="139" t="s">
        <v>242</v>
      </c>
      <c r="D108" s="8"/>
      <c r="E108" s="64"/>
      <c r="F108" s="50">
        <v>0.02</v>
      </c>
      <c r="G108" s="50">
        <v>24829.08</v>
      </c>
      <c r="H108" s="65">
        <f t="shared" si="23"/>
        <v>0.49658160000000001</v>
      </c>
      <c r="I108" s="135">
        <v>0</v>
      </c>
      <c r="J108" s="135">
        <v>0</v>
      </c>
      <c r="K108" s="135">
        <v>0</v>
      </c>
      <c r="L108" s="135">
        <v>0</v>
      </c>
      <c r="M108" s="135">
        <v>0</v>
      </c>
      <c r="N108" s="135">
        <v>0</v>
      </c>
      <c r="O108" s="135">
        <v>0</v>
      </c>
      <c r="P108" s="135">
        <v>0</v>
      </c>
      <c r="Q108" s="135">
        <v>0</v>
      </c>
      <c r="R108" s="135">
        <v>0</v>
      </c>
      <c r="S108" s="135">
        <v>0</v>
      </c>
      <c r="T108" s="135">
        <f>G108*0.02</f>
        <v>496.58160000000004</v>
      </c>
      <c r="U108" s="34">
        <f>SUM(I108:T108)</f>
        <v>496.58160000000004</v>
      </c>
    </row>
    <row r="109" spans="1:21" ht="25.5">
      <c r="A109" s="139" t="s">
        <v>246</v>
      </c>
      <c r="B109" s="140" t="s">
        <v>244</v>
      </c>
      <c r="C109" s="139" t="s">
        <v>245</v>
      </c>
      <c r="D109" s="8"/>
      <c r="E109" s="64"/>
      <c r="F109" s="50">
        <v>1</v>
      </c>
      <c r="G109" s="50">
        <v>246.93</v>
      </c>
      <c r="H109" s="65">
        <f t="shared" si="23"/>
        <v>0.24693000000000001</v>
      </c>
      <c r="I109" s="135">
        <v>0</v>
      </c>
      <c r="J109" s="135">
        <v>0</v>
      </c>
      <c r="K109" s="135">
        <v>0</v>
      </c>
      <c r="L109" s="135">
        <v>0</v>
      </c>
      <c r="M109" s="135">
        <v>0</v>
      </c>
      <c r="N109" s="135">
        <v>0</v>
      </c>
      <c r="O109" s="135">
        <v>0</v>
      </c>
      <c r="P109" s="135">
        <v>0</v>
      </c>
      <c r="Q109" s="135">
        <v>0</v>
      </c>
      <c r="R109" s="135">
        <v>0</v>
      </c>
      <c r="S109" s="135">
        <v>0</v>
      </c>
      <c r="T109" s="135">
        <f>G109*1</f>
        <v>246.93</v>
      </c>
      <c r="U109" s="34">
        <f>SUM(I109:T109)</f>
        <v>246.93</v>
      </c>
    </row>
    <row r="110" spans="1:21" ht="36" customHeight="1">
      <c r="A110" s="144" t="s">
        <v>238</v>
      </c>
      <c r="B110" s="140" t="s">
        <v>237</v>
      </c>
      <c r="C110" s="139" t="s">
        <v>45</v>
      </c>
      <c r="D110" s="8"/>
      <c r="E110" s="64"/>
      <c r="F110" s="148">
        <f>0.599*6/1000</f>
        <v>3.594E-3</v>
      </c>
      <c r="G110" s="50">
        <v>18798.34</v>
      </c>
      <c r="H110" s="65">
        <f t="shared" si="23"/>
        <v>6.7561233959999994E-2</v>
      </c>
      <c r="I110" s="135">
        <v>0</v>
      </c>
      <c r="J110" s="135">
        <v>0</v>
      </c>
      <c r="K110" s="135">
        <v>0</v>
      </c>
      <c r="L110" s="135">
        <v>0</v>
      </c>
      <c r="M110" s="135">
        <v>0</v>
      </c>
      <c r="N110" s="135">
        <v>0</v>
      </c>
      <c r="O110" s="135">
        <v>0</v>
      </c>
      <c r="P110" s="135">
        <v>0</v>
      </c>
      <c r="Q110" s="135">
        <v>0</v>
      </c>
      <c r="R110" s="135">
        <v>0</v>
      </c>
      <c r="S110" s="135">
        <f>G110*2*0.599/1000</f>
        <v>22.520411320000001</v>
      </c>
      <c r="T110" s="135">
        <f>G110*0.599*4/1000</f>
        <v>45.040822640000002</v>
      </c>
      <c r="U110" s="34">
        <f t="shared" si="22"/>
        <v>67.56123396000001</v>
      </c>
    </row>
    <row r="111" spans="1:21" ht="25.5">
      <c r="A111" s="144" t="s">
        <v>127</v>
      </c>
      <c r="B111" s="140" t="s">
        <v>236</v>
      </c>
      <c r="C111" s="139" t="s">
        <v>60</v>
      </c>
      <c r="D111" s="8"/>
      <c r="E111" s="64"/>
      <c r="F111" s="50">
        <v>1</v>
      </c>
      <c r="G111" s="50">
        <v>2012.33</v>
      </c>
      <c r="H111" s="65">
        <f t="shared" si="23"/>
        <v>2.01233</v>
      </c>
      <c r="I111" s="135">
        <v>0</v>
      </c>
      <c r="J111" s="135">
        <v>0</v>
      </c>
      <c r="K111" s="135">
        <v>0</v>
      </c>
      <c r="L111" s="135">
        <v>0</v>
      </c>
      <c r="M111" s="135">
        <v>0</v>
      </c>
      <c r="N111" s="135">
        <v>0</v>
      </c>
      <c r="O111" s="135">
        <v>0</v>
      </c>
      <c r="P111" s="135">
        <v>0</v>
      </c>
      <c r="Q111" s="135">
        <v>0</v>
      </c>
      <c r="R111" s="135">
        <v>0</v>
      </c>
      <c r="S111" s="135">
        <f>G111*1</f>
        <v>2012.33</v>
      </c>
      <c r="T111" s="135">
        <v>0</v>
      </c>
      <c r="U111" s="34">
        <f t="shared" si="22"/>
        <v>2012.33</v>
      </c>
    </row>
    <row r="112" spans="1:21">
      <c r="A112" s="141" t="s">
        <v>247</v>
      </c>
      <c r="B112" s="142" t="s">
        <v>248</v>
      </c>
      <c r="C112" s="143" t="s">
        <v>18</v>
      </c>
      <c r="D112" s="8"/>
      <c r="E112" s="64"/>
      <c r="F112" s="50">
        <v>0.02</v>
      </c>
      <c r="G112" s="50">
        <v>45187.4</v>
      </c>
      <c r="H112" s="65">
        <f t="shared" si="23"/>
        <v>0.903748</v>
      </c>
      <c r="I112" s="135">
        <v>0</v>
      </c>
      <c r="J112" s="135">
        <v>0</v>
      </c>
      <c r="K112" s="135">
        <v>0</v>
      </c>
      <c r="L112" s="135">
        <v>0</v>
      </c>
      <c r="M112" s="135">
        <v>0</v>
      </c>
      <c r="N112" s="135">
        <v>0</v>
      </c>
      <c r="O112" s="135">
        <v>0</v>
      </c>
      <c r="P112" s="135">
        <f>G112*0.02</f>
        <v>903.74800000000005</v>
      </c>
      <c r="Q112" s="135">
        <v>0</v>
      </c>
      <c r="R112" s="135">
        <v>0</v>
      </c>
      <c r="S112" s="135">
        <v>0</v>
      </c>
      <c r="T112" s="135">
        <v>0</v>
      </c>
      <c r="U112" s="34">
        <f>SUM(I112:T112)</f>
        <v>903.74800000000005</v>
      </c>
    </row>
    <row r="113" spans="1:21">
      <c r="A113" s="139" t="s">
        <v>249</v>
      </c>
      <c r="B113" s="147" t="s">
        <v>250</v>
      </c>
      <c r="C113" s="139" t="s">
        <v>191</v>
      </c>
      <c r="D113" s="8"/>
      <c r="E113" s="64"/>
      <c r="F113" s="50">
        <v>1.4</v>
      </c>
      <c r="G113" s="50">
        <v>6365.06</v>
      </c>
      <c r="H113" s="65">
        <f t="shared" si="23"/>
        <v>8.9110840000000007</v>
      </c>
      <c r="I113" s="135">
        <v>0</v>
      </c>
      <c r="J113" s="135">
        <v>0</v>
      </c>
      <c r="K113" s="135">
        <v>0</v>
      </c>
      <c r="L113" s="135">
        <v>0</v>
      </c>
      <c r="M113" s="135">
        <v>0</v>
      </c>
      <c r="N113" s="135">
        <v>0</v>
      </c>
      <c r="O113" s="135">
        <v>0</v>
      </c>
      <c r="P113" s="135">
        <f>G113*1.4</f>
        <v>8911.0840000000007</v>
      </c>
      <c r="Q113" s="135">
        <v>0</v>
      </c>
      <c r="R113" s="135">
        <v>0</v>
      </c>
      <c r="S113" s="135">
        <v>0</v>
      </c>
      <c r="T113" s="135">
        <v>0</v>
      </c>
      <c r="U113" s="34">
        <f>SUM(I113:T113)</f>
        <v>8911.0840000000007</v>
      </c>
    </row>
    <row r="114" spans="1:21">
      <c r="A114" s="139" t="s">
        <v>249</v>
      </c>
      <c r="B114" s="147" t="s">
        <v>251</v>
      </c>
      <c r="C114" s="139" t="s">
        <v>191</v>
      </c>
      <c r="D114" s="8"/>
      <c r="E114" s="64"/>
      <c r="F114" s="50">
        <v>0.996</v>
      </c>
      <c r="G114" s="50">
        <v>6325.06</v>
      </c>
      <c r="H114" s="65">
        <f t="shared" si="23"/>
        <v>6.2997597600000006</v>
      </c>
      <c r="I114" s="135">
        <v>0</v>
      </c>
      <c r="J114" s="135">
        <v>0</v>
      </c>
      <c r="K114" s="135">
        <v>0</v>
      </c>
      <c r="L114" s="135">
        <v>0</v>
      </c>
      <c r="M114" s="135">
        <v>0</v>
      </c>
      <c r="N114" s="135">
        <v>0</v>
      </c>
      <c r="O114" s="135">
        <v>0</v>
      </c>
      <c r="P114" s="135">
        <f>G114*0.996</f>
        <v>6299.7597600000008</v>
      </c>
      <c r="Q114" s="135">
        <v>0</v>
      </c>
      <c r="R114" s="135">
        <v>0</v>
      </c>
      <c r="S114" s="135">
        <v>0</v>
      </c>
      <c r="T114" s="135">
        <v>0</v>
      </c>
      <c r="U114" s="34">
        <f>SUM(I114:T114)</f>
        <v>6299.7597600000008</v>
      </c>
    </row>
    <row r="115" spans="1:21" s="121" customFormat="1" ht="37.5" customHeight="1">
      <c r="A115" s="136" t="s">
        <v>166</v>
      </c>
      <c r="B115" s="137" t="s">
        <v>179</v>
      </c>
      <c r="C115" s="136" t="s">
        <v>57</v>
      </c>
      <c r="D115" s="22"/>
      <c r="E115" s="50"/>
      <c r="F115" s="50">
        <v>0.06</v>
      </c>
      <c r="G115" s="50">
        <v>3724.37</v>
      </c>
      <c r="H115" s="65">
        <f t="shared" si="21"/>
        <v>0.2234622</v>
      </c>
      <c r="I115" s="34">
        <v>0</v>
      </c>
      <c r="J115" s="34">
        <v>0</v>
      </c>
      <c r="K115" s="34">
        <f>G115*0.01</f>
        <v>37.243699999999997</v>
      </c>
      <c r="L115" s="34">
        <v>0</v>
      </c>
      <c r="M115" s="34">
        <v>0</v>
      </c>
      <c r="N115" s="34">
        <v>0</v>
      </c>
      <c r="O115" s="34">
        <v>0</v>
      </c>
      <c r="P115" s="34">
        <f>G115*0.01</f>
        <v>37.243699999999997</v>
      </c>
      <c r="Q115" s="34">
        <v>0</v>
      </c>
      <c r="R115" s="34">
        <f>G115*0.01</f>
        <v>37.243699999999997</v>
      </c>
      <c r="S115" s="34">
        <f>G115*0.01</f>
        <v>37.243699999999997</v>
      </c>
      <c r="T115" s="34">
        <f>G115*0.01</f>
        <v>37.243699999999997</v>
      </c>
      <c r="U115" s="34">
        <f t="shared" si="22"/>
        <v>186.21849999999998</v>
      </c>
    </row>
    <row r="116" spans="1:21" s="19" customFormat="1">
      <c r="A116" s="95"/>
      <c r="B116" s="96" t="s">
        <v>93</v>
      </c>
      <c r="C116" s="95"/>
      <c r="D116" s="95"/>
      <c r="E116" s="90"/>
      <c r="F116" s="90"/>
      <c r="G116" s="90"/>
      <c r="H116" s="42">
        <f>SUM(H83:H115)</f>
        <v>52.454824593959998</v>
      </c>
      <c r="I116" s="90"/>
      <c r="J116" s="90"/>
      <c r="K116" s="90"/>
      <c r="L116" s="90"/>
      <c r="M116" s="90"/>
      <c r="N116" s="90"/>
      <c r="O116" s="90"/>
      <c r="P116" s="90"/>
      <c r="Q116" s="90"/>
      <c r="R116" s="90"/>
      <c r="S116" s="90"/>
      <c r="T116" s="90"/>
      <c r="U116" s="41">
        <f>SUM(U84:U115)</f>
        <v>54998.580893960003</v>
      </c>
    </row>
    <row r="117" spans="1:21">
      <c r="A117" s="93"/>
      <c r="B117" s="97"/>
      <c r="C117" s="98"/>
      <c r="D117" s="98"/>
      <c r="E117" s="50"/>
      <c r="F117" s="50"/>
      <c r="G117" s="50"/>
      <c r="H117" s="99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118"/>
    </row>
    <row r="118" spans="1:21" ht="12" customHeight="1">
      <c r="A118" s="128"/>
      <c r="B118" s="18" t="s">
        <v>94</v>
      </c>
      <c r="C118" s="63"/>
      <c r="D118" s="22"/>
      <c r="E118" s="50"/>
      <c r="F118" s="50"/>
      <c r="G118" s="50"/>
      <c r="H118" s="100">
        <f>H116/E119/12*1000</f>
        <v>4.1926293715998471</v>
      </c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118"/>
    </row>
    <row r="119" spans="1:21" s="19" customFormat="1">
      <c r="A119" s="81"/>
      <c r="B119" s="101" t="s">
        <v>95</v>
      </c>
      <c r="C119" s="102"/>
      <c r="D119" s="101"/>
      <c r="E119" s="131">
        <v>1042.5999999999999</v>
      </c>
      <c r="F119" s="103">
        <f>SUM(E119*12)</f>
        <v>12511.199999999999</v>
      </c>
      <c r="G119" s="104">
        <f>H81+H118</f>
        <v>25.260619363756213</v>
      </c>
      <c r="H119" s="105">
        <f>SUM(F119*G119/1000)</f>
        <v>316.04066098382668</v>
      </c>
      <c r="I119" s="90">
        <f>SUM(I11:I118)</f>
        <v>21408.342909849998</v>
      </c>
      <c r="J119" s="90">
        <f>SUM(J11:J118)</f>
        <v>19179.905109849999</v>
      </c>
      <c r="K119" s="90">
        <f t="shared" ref="K119:R119" si="24">SUM(K11:K118)</f>
        <v>18001.345433483333</v>
      </c>
      <c r="L119" s="90">
        <f t="shared" si="24"/>
        <v>21574.702633483332</v>
      </c>
      <c r="M119" s="90">
        <f t="shared" si="24"/>
        <v>47140.123507644443</v>
      </c>
      <c r="N119" s="90">
        <f t="shared" si="24"/>
        <v>35708.553293644443</v>
      </c>
      <c r="O119" s="90">
        <f t="shared" si="24"/>
        <v>17634.424893644442</v>
      </c>
      <c r="P119" s="90">
        <f t="shared" si="24"/>
        <v>32168.689553644443</v>
      </c>
      <c r="Q119" s="90">
        <f t="shared" si="24"/>
        <v>22638.554867644445</v>
      </c>
      <c r="R119" s="90">
        <f t="shared" si="24"/>
        <v>21891.310493644443</v>
      </c>
      <c r="S119" s="90">
        <f>SUM(S11:S118)</f>
        <v>13626.219021170002</v>
      </c>
      <c r="T119" s="90">
        <f>SUM(T11:T118)</f>
        <v>13678.388056123335</v>
      </c>
      <c r="U119" s="41">
        <f>U79+U116</f>
        <v>284650.55977382668</v>
      </c>
    </row>
    <row r="120" spans="1:21">
      <c r="A120" s="67"/>
      <c r="B120" s="67"/>
      <c r="C120" s="67"/>
      <c r="D120" s="67"/>
      <c r="E120" s="106"/>
      <c r="F120" s="106"/>
      <c r="G120" s="106"/>
      <c r="H120" s="106"/>
      <c r="I120" s="106"/>
      <c r="J120" s="106"/>
      <c r="K120" s="106"/>
      <c r="L120" s="106"/>
      <c r="M120" s="67"/>
      <c r="N120" s="106"/>
      <c r="O120" s="67"/>
      <c r="P120" s="67"/>
      <c r="Q120" s="67"/>
      <c r="R120" s="67"/>
      <c r="S120" s="67"/>
      <c r="T120" s="67"/>
      <c r="U120" s="67"/>
    </row>
    <row r="121" spans="1:21">
      <c r="A121" s="67"/>
      <c r="B121" s="67"/>
      <c r="C121" s="67"/>
      <c r="D121" s="67"/>
      <c r="E121" s="106"/>
      <c r="F121" s="106"/>
      <c r="G121" s="106"/>
      <c r="H121" s="106"/>
      <c r="I121" s="106"/>
      <c r="J121" s="107"/>
      <c r="K121" s="108"/>
      <c r="L121" s="107"/>
      <c r="M121" s="106"/>
      <c r="N121" s="67"/>
      <c r="O121" s="67"/>
      <c r="P121" s="67"/>
      <c r="Q121" s="67"/>
      <c r="R121" s="67"/>
      <c r="S121" s="67"/>
      <c r="T121" s="67"/>
      <c r="U121" s="67"/>
    </row>
    <row r="122" spans="1:21" ht="45">
      <c r="A122" s="67"/>
      <c r="B122" s="113" t="s">
        <v>180</v>
      </c>
      <c r="C122" s="155">
        <v>296426.68</v>
      </c>
      <c r="D122" s="150"/>
      <c r="E122" s="150"/>
      <c r="F122" s="151"/>
      <c r="G122" s="106"/>
      <c r="H122" s="106"/>
      <c r="I122" s="106"/>
      <c r="J122" s="107"/>
      <c r="K122" s="108"/>
      <c r="L122" s="107"/>
      <c r="M122" s="106"/>
      <c r="N122" s="67"/>
      <c r="O122" s="67"/>
      <c r="P122" s="67"/>
      <c r="Q122" s="67"/>
      <c r="R122" s="67"/>
      <c r="S122" s="67"/>
      <c r="T122" s="67"/>
      <c r="U122" s="106"/>
    </row>
    <row r="123" spans="1:21" ht="30">
      <c r="A123" s="67"/>
      <c r="B123" s="113" t="s">
        <v>217</v>
      </c>
      <c r="C123" s="152">
        <f>23760.87*6+24119.7+23760.87*3+17348.85*2</f>
        <v>272665.23000000004</v>
      </c>
      <c r="D123" s="153"/>
      <c r="E123" s="153"/>
      <c r="F123" s="154"/>
      <c r="G123" s="106"/>
      <c r="H123" s="106"/>
      <c r="I123" s="106"/>
      <c r="J123" s="107"/>
      <c r="K123" s="108"/>
      <c r="L123" s="107"/>
      <c r="M123" s="106"/>
      <c r="N123" s="67"/>
      <c r="O123" s="67"/>
      <c r="P123" s="67"/>
      <c r="Q123" s="67"/>
      <c r="R123" s="67"/>
      <c r="S123" s="67"/>
      <c r="T123" s="67"/>
      <c r="U123" s="67"/>
    </row>
    <row r="124" spans="1:21" ht="30">
      <c r="A124" s="67"/>
      <c r="B124" s="113" t="s">
        <v>216</v>
      </c>
      <c r="C124" s="152">
        <f>SUM(U119-U116)</f>
        <v>229651.97887986669</v>
      </c>
      <c r="D124" s="153"/>
      <c r="E124" s="153"/>
      <c r="F124" s="154"/>
      <c r="G124" s="106"/>
      <c r="H124" s="106"/>
      <c r="I124" s="106"/>
      <c r="J124" s="107"/>
      <c r="K124" s="108"/>
      <c r="L124" s="107"/>
      <c r="M124" s="106"/>
      <c r="N124" s="67"/>
      <c r="O124" s="67"/>
      <c r="P124" s="67"/>
      <c r="Q124" s="67"/>
      <c r="R124" s="67"/>
      <c r="S124" s="67"/>
      <c r="T124" s="67"/>
      <c r="U124" s="67"/>
    </row>
    <row r="125" spans="1:21" ht="30">
      <c r="A125" s="67"/>
      <c r="B125" s="113" t="s">
        <v>215</v>
      </c>
      <c r="C125" s="152">
        <f>SUM(U116)</f>
        <v>54998.580893960003</v>
      </c>
      <c r="D125" s="153"/>
      <c r="E125" s="153"/>
      <c r="F125" s="154"/>
      <c r="G125" s="106"/>
      <c r="H125" s="106"/>
      <c r="I125" s="106"/>
      <c r="J125" s="107"/>
      <c r="K125" s="108"/>
      <c r="L125" s="107"/>
      <c r="M125" s="106"/>
      <c r="N125" s="67"/>
      <c r="O125" s="67"/>
      <c r="P125" s="67"/>
      <c r="Q125" s="67"/>
      <c r="R125" s="67"/>
      <c r="S125" s="67"/>
      <c r="T125" s="67"/>
      <c r="U125" s="67"/>
    </row>
    <row r="126" spans="1:21" ht="18">
      <c r="A126" s="67"/>
      <c r="B126" s="114" t="s">
        <v>214</v>
      </c>
      <c r="C126" s="155">
        <f>22202.03+21044.3+31739.33+29735.77+18428.51+22236.45+24190.82+20339.78+30500.66+25046.59+24080.21+19521.68</f>
        <v>289066.13</v>
      </c>
      <c r="D126" s="150"/>
      <c r="E126" s="150"/>
      <c r="F126" s="151"/>
      <c r="G126" s="67"/>
      <c r="J126" s="110"/>
      <c r="K126" s="111"/>
      <c r="L126" s="112"/>
      <c r="M126" s="109"/>
      <c r="N126" s="109"/>
      <c r="O126" s="67"/>
      <c r="P126" s="67"/>
      <c r="Q126" s="67"/>
      <c r="R126" s="67"/>
      <c r="S126" s="67"/>
      <c r="T126" s="67"/>
      <c r="U126" s="67"/>
    </row>
    <row r="127" spans="1:21" ht="78.75">
      <c r="A127" s="67"/>
      <c r="B127" s="134" t="s">
        <v>239</v>
      </c>
      <c r="C127" s="156">
        <v>35473.22</v>
      </c>
      <c r="D127" s="157"/>
      <c r="E127" s="157"/>
      <c r="F127" s="158"/>
      <c r="G127" s="67"/>
      <c r="H127" s="109" t="s">
        <v>205</v>
      </c>
      <c r="I127" s="67"/>
      <c r="J127" s="67"/>
      <c r="K127" s="67"/>
      <c r="L127" s="67"/>
      <c r="M127" s="67"/>
      <c r="N127" s="67"/>
      <c r="O127" s="67"/>
      <c r="P127" s="67"/>
      <c r="Q127" s="67"/>
      <c r="R127" s="67"/>
      <c r="S127" s="67"/>
      <c r="T127" s="67"/>
      <c r="U127" s="67"/>
    </row>
    <row r="128" spans="1:21" ht="45">
      <c r="A128" s="67"/>
      <c r="B128" s="113" t="s">
        <v>240</v>
      </c>
      <c r="C128" s="149">
        <f>(C125+C124-C123)+C122</f>
        <v>308412.00977382663</v>
      </c>
      <c r="D128" s="150"/>
      <c r="E128" s="150"/>
      <c r="F128" s="151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7"/>
      <c r="T128" s="67"/>
      <c r="U128" s="67"/>
    </row>
    <row r="130" spans="7:13">
      <c r="J130" s="3"/>
      <c r="K130" s="4"/>
      <c r="L130" s="4"/>
      <c r="M130" s="2"/>
    </row>
    <row r="131" spans="7:13">
      <c r="G131" s="5"/>
      <c r="H131" s="5"/>
    </row>
    <row r="132" spans="7:13">
      <c r="G132" s="6"/>
    </row>
  </sheetData>
  <mergeCells count="11">
    <mergeCell ref="B3:L3"/>
    <mergeCell ref="B4:L4"/>
    <mergeCell ref="B5:L5"/>
    <mergeCell ref="B6:L6"/>
    <mergeCell ref="C122:F122"/>
    <mergeCell ref="C128:F128"/>
    <mergeCell ref="C123:F123"/>
    <mergeCell ref="C124:F124"/>
    <mergeCell ref="C125:F125"/>
    <mergeCell ref="C126:F126"/>
    <mergeCell ref="C127:F127"/>
  </mergeCells>
  <pageMargins left="0.31496062992125984" right="0.31496062992125984" top="0.15748031496062992" bottom="0.19685039370078741" header="0.15748031496062992" footer="0.15748031496062992"/>
  <pageSetup paperSize="9" scale="53" firstPageNumber="0" orientation="landscape" horizontalDpi="300" verticalDpi="300" r:id="rId1"/>
  <headerFooter alignWithMargins="0"/>
  <rowBreaks count="2" manualBreakCount="2">
    <brk id="60" max="20" man="1"/>
    <brk id="120" max="20" man="1"/>
  </rowBreaks>
  <ignoredErrors>
    <ignoredError sqref="M26 K36 U73 O10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Окт. 47</vt:lpstr>
      <vt:lpstr>'Окт. 47'!Область_печати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Партнёр</dc:creator>
  <cp:lastModifiedBy>user</cp:lastModifiedBy>
  <cp:lastPrinted>2019-09-27T05:17:45Z</cp:lastPrinted>
  <dcterms:created xsi:type="dcterms:W3CDTF">2014-02-05T12:20:20Z</dcterms:created>
  <dcterms:modified xsi:type="dcterms:W3CDTF">2019-09-27T05:18:39Z</dcterms:modified>
</cp:coreProperties>
</file>