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Print_Area" localSheetId="0">'01.20'!$A$1:$I$113</definedName>
    <definedName name="_xlnm.Print_Area" localSheetId="1">'02.20'!$A$1:$I$111</definedName>
    <definedName name="_xlnm.Print_Area" localSheetId="2">'03.20'!$A$1:$I$117</definedName>
    <definedName name="_xlnm.Print_Area" localSheetId="3">'04.20'!$A$1:$I$113</definedName>
    <definedName name="_xlnm.Print_Area" localSheetId="4">'05.20'!$A$1:$I$113</definedName>
    <definedName name="_xlnm.Print_Area" localSheetId="5">'06.20'!$A$1:$I$109</definedName>
    <definedName name="_xlnm.Print_Area" localSheetId="6">'07.20'!$A$1:$I$110</definedName>
    <definedName name="_xlnm.Print_Area" localSheetId="7">'08.20'!$A$1:$I$120</definedName>
    <definedName name="_xlnm.Print_Area" localSheetId="8">'09.20'!$A$1:$I$112</definedName>
    <definedName name="_xlnm.Print_Area" localSheetId="9">'10.20'!$A$1:$I$113</definedName>
    <definedName name="_xlnm.Print_Area" localSheetId="10">'11.20'!$A$1:$I$115</definedName>
    <definedName name="_xlnm.Print_Area" localSheetId="11">'12.20'!$A$1:$I$113</definedName>
  </definedNames>
  <calcPr calcId="124519"/>
</workbook>
</file>

<file path=xl/calcChain.xml><?xml version="1.0" encoding="utf-8"?>
<calcChain xmlns="http://schemas.openxmlformats.org/spreadsheetml/2006/main">
  <c r="I85" i="28"/>
  <c r="I81"/>
  <c r="I90" l="1"/>
  <c r="I87"/>
  <c r="I38"/>
  <c r="I85" i="27" l="1"/>
  <c r="I92"/>
  <c r="I90"/>
  <c r="I89"/>
  <c r="I88"/>
  <c r="I44"/>
  <c r="I84" i="26"/>
  <c r="I90"/>
  <c r="I88"/>
  <c r="I62"/>
  <c r="I89" i="25"/>
  <c r="I88"/>
  <c r="I83"/>
  <c r="I81" i="24" l="1"/>
  <c r="I85" i="25"/>
  <c r="I83" i="23" l="1"/>
  <c r="I97" i="24"/>
  <c r="I96"/>
  <c r="I95"/>
  <c r="F95"/>
  <c r="I93" l="1"/>
  <c r="I92"/>
  <c r="I91"/>
  <c r="I90"/>
  <c r="I89"/>
  <c r="I88"/>
  <c r="I87"/>
  <c r="I86"/>
  <c r="I85"/>
  <c r="I84"/>
  <c r="I83"/>
  <c r="I87" i="23"/>
  <c r="I85"/>
  <c r="I83" i="22" l="1"/>
  <c r="I86"/>
  <c r="I85"/>
  <c r="F27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18" l="1"/>
  <c r="H18"/>
  <c r="I16"/>
  <c r="I19"/>
  <c r="I21"/>
  <c r="I23"/>
  <c r="I25"/>
  <c r="I27"/>
  <c r="I87" i="21" l="1"/>
  <c r="I84"/>
  <c r="I90"/>
  <c r="I88"/>
  <c r="I58"/>
  <c r="I85" i="20"/>
  <c r="I90" l="1"/>
  <c r="I88"/>
  <c r="I87"/>
  <c r="I93" i="19"/>
  <c r="I92"/>
  <c r="I37" l="1"/>
  <c r="I86" l="1"/>
  <c r="I90"/>
  <c r="I89"/>
  <c r="I59"/>
  <c r="I58"/>
  <c r="I85" i="17" l="1"/>
  <c r="I59"/>
  <c r="I58"/>
  <c r="F58"/>
  <c r="I85" i="18" l="1"/>
  <c r="E84"/>
  <c r="F84" s="1"/>
  <c r="F83"/>
  <c r="H83" s="1"/>
  <c r="I77"/>
  <c r="F77"/>
  <c r="F72"/>
  <c r="I72" s="1"/>
  <c r="F61"/>
  <c r="I61" s="1"/>
  <c r="F52"/>
  <c r="H52" s="1"/>
  <c r="F42"/>
  <c r="H42" s="1"/>
  <c r="F41"/>
  <c r="I41" s="1"/>
  <c r="H40"/>
  <c r="H39"/>
  <c r="F39"/>
  <c r="I39" s="1"/>
  <c r="F45"/>
  <c r="I45" s="1"/>
  <c r="I44" i="17"/>
  <c r="F27" i="18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H19"/>
  <c r="F19"/>
  <c r="I19" s="1"/>
  <c r="E18"/>
  <c r="F18" s="1"/>
  <c r="I18" s="1"/>
  <c r="F17"/>
  <c r="I17" s="1"/>
  <c r="F16"/>
  <c r="I16" s="1"/>
  <c r="I38"/>
  <c r="I90" i="17"/>
  <c r="E84"/>
  <c r="F84" s="1"/>
  <c r="F83"/>
  <c r="H83" s="1"/>
  <c r="I77"/>
  <c r="F77"/>
  <c r="F61"/>
  <c r="I61" s="1"/>
  <c r="H63"/>
  <c r="F72"/>
  <c r="I72" s="1"/>
  <c r="F51"/>
  <c r="H51" s="1"/>
  <c r="I37"/>
  <c r="F44"/>
  <c r="I43"/>
  <c r="H43"/>
  <c r="F42"/>
  <c r="H42" s="1"/>
  <c r="F41"/>
  <c r="I41" s="1"/>
  <c r="F40"/>
  <c r="H40" s="1"/>
  <c r="H39"/>
  <c r="F38"/>
  <c r="H38" s="1"/>
  <c r="H37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52" i="28"/>
  <c r="E84"/>
  <c r="F84" s="1"/>
  <c r="F83"/>
  <c r="H83" s="1"/>
  <c r="I77"/>
  <c r="F77"/>
  <c r="F61"/>
  <c r="I61" s="1"/>
  <c r="F72"/>
  <c r="I72" s="1"/>
  <c r="F45"/>
  <c r="I45" s="1"/>
  <c r="I44"/>
  <c r="H44"/>
  <c r="F43"/>
  <c r="I43" s="1"/>
  <c r="F42"/>
  <c r="H42" s="1"/>
  <c r="F41"/>
  <c r="H41" s="1"/>
  <c r="H40"/>
  <c r="F39"/>
  <c r="H39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6" i="18" l="1"/>
  <c r="H41"/>
  <c r="H84"/>
  <c r="I84"/>
  <c r="I83"/>
  <c r="I52"/>
  <c r="I42"/>
  <c r="H23"/>
  <c r="H21"/>
  <c r="H25"/>
  <c r="H17"/>
  <c r="H18"/>
  <c r="H20"/>
  <c r="H22"/>
  <c r="H24"/>
  <c r="H26"/>
  <c r="I27"/>
  <c r="H17" i="17"/>
  <c r="H20"/>
  <c r="H24"/>
  <c r="H22"/>
  <c r="H26"/>
  <c r="H84"/>
  <c r="I84"/>
  <c r="I83"/>
  <c r="I51"/>
  <c r="I38"/>
  <c r="I40"/>
  <c r="H41"/>
  <c r="I42"/>
  <c r="I18"/>
  <c r="H18"/>
  <c r="I16"/>
  <c r="I19"/>
  <c r="I21"/>
  <c r="I23"/>
  <c r="I25"/>
  <c r="I27"/>
  <c r="H17" i="28"/>
  <c r="H43"/>
  <c r="H84"/>
  <c r="I84"/>
  <c r="I83"/>
  <c r="I42"/>
  <c r="I39"/>
  <c r="I41"/>
  <c r="I18"/>
  <c r="H18"/>
  <c r="I16"/>
  <c r="I19"/>
  <c r="H20"/>
  <c r="I21"/>
  <c r="H22"/>
  <c r="I23"/>
  <c r="H24"/>
  <c r="I25"/>
  <c r="H26"/>
  <c r="I27"/>
  <c r="I81" i="27" l="1"/>
  <c r="I38"/>
  <c r="E84"/>
  <c r="F84" s="1"/>
  <c r="F83"/>
  <c r="H83" s="1"/>
  <c r="I77"/>
  <c r="F77"/>
  <c r="F72"/>
  <c r="I72" s="1"/>
  <c r="F61"/>
  <c r="I61" s="1"/>
  <c r="F45"/>
  <c r="I45" s="1"/>
  <c r="F43"/>
  <c r="I43" s="1"/>
  <c r="F42"/>
  <c r="F41"/>
  <c r="F39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22" l="1"/>
  <c r="H26"/>
  <c r="H17"/>
  <c r="H20"/>
  <c r="H24"/>
  <c r="H84"/>
  <c r="I84"/>
  <c r="I83"/>
  <c r="H18"/>
  <c r="I16"/>
  <c r="I19"/>
  <c r="I21"/>
  <c r="I23"/>
  <c r="I25"/>
  <c r="I27"/>
  <c r="I44" i="26" l="1"/>
  <c r="F44"/>
  <c r="E83" l="1"/>
  <c r="F83" s="1"/>
  <c r="F82"/>
  <c r="H82" s="1"/>
  <c r="I76"/>
  <c r="F76"/>
  <c r="F71"/>
  <c r="I71" s="1"/>
  <c r="F60"/>
  <c r="I60" s="1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83"/>
  <c r="I83"/>
  <c r="I82"/>
  <c r="H30"/>
  <c r="I31"/>
  <c r="H32"/>
  <c r="H22"/>
  <c r="H24"/>
  <c r="H26"/>
  <c r="I18"/>
  <c r="H18"/>
  <c r="I16"/>
  <c r="I19"/>
  <c r="I21"/>
  <c r="I23"/>
  <c r="I25"/>
  <c r="I27"/>
  <c r="E82" i="25" l="1"/>
  <c r="F82" s="1"/>
  <c r="F81"/>
  <c r="H81" s="1"/>
  <c r="F79"/>
  <c r="I79" s="1"/>
  <c r="I73"/>
  <c r="F73"/>
  <c r="F59"/>
  <c r="I59" s="1"/>
  <c r="I53"/>
  <c r="F52"/>
  <c r="I52" s="1"/>
  <c r="F51"/>
  <c r="I51" s="1"/>
  <c r="F50"/>
  <c r="F49"/>
  <c r="F48"/>
  <c r="F47"/>
  <c r="F46"/>
  <c r="F45"/>
  <c r="H33"/>
  <c r="F33"/>
  <c r="I33" s="1"/>
  <c r="F32"/>
  <c r="I32" s="1"/>
  <c r="F31"/>
  <c r="I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E80" i="24"/>
  <c r="F80" s="1"/>
  <c r="F79"/>
  <c r="H79" s="1"/>
  <c r="I73"/>
  <c r="F75"/>
  <c r="I75" s="1"/>
  <c r="F73"/>
  <c r="F59"/>
  <c r="I59" s="1"/>
  <c r="F54"/>
  <c r="H33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6" i="25" l="1"/>
  <c r="H31"/>
  <c r="H82"/>
  <c r="I82"/>
  <c r="I81"/>
  <c r="H30"/>
  <c r="H32"/>
  <c r="I18"/>
  <c r="H18"/>
  <c r="I16"/>
  <c r="H17"/>
  <c r="I19"/>
  <c r="H20"/>
  <c r="I21"/>
  <c r="H22"/>
  <c r="I23"/>
  <c r="H24"/>
  <c r="I25"/>
  <c r="I27"/>
  <c r="H80" i="24"/>
  <c r="I80"/>
  <c r="I79"/>
  <c r="H17"/>
  <c r="H20"/>
  <c r="H24"/>
  <c r="H22"/>
  <c r="H26"/>
  <c r="H30"/>
  <c r="I31"/>
  <c r="H32"/>
  <c r="I18"/>
  <c r="H18"/>
  <c r="I16"/>
  <c r="I19"/>
  <c r="I21"/>
  <c r="I23"/>
  <c r="I25"/>
  <c r="I27"/>
  <c r="H33" i="23" l="1"/>
  <c r="F33"/>
  <c r="I33" s="1"/>
  <c r="H32"/>
  <c r="F32"/>
  <c r="I32" s="1"/>
  <c r="F31"/>
  <c r="H31" s="1"/>
  <c r="F30"/>
  <c r="I30" s="1"/>
  <c r="H70"/>
  <c r="I70"/>
  <c r="H71"/>
  <c r="H72"/>
  <c r="E82"/>
  <c r="F82" s="1"/>
  <c r="F81"/>
  <c r="H81" s="1"/>
  <c r="F75"/>
  <c r="I75" s="1"/>
  <c r="F73"/>
  <c r="I73" s="1"/>
  <c r="F59"/>
  <c r="I59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18" i="19"/>
  <c r="I18" i="20"/>
  <c r="I18" i="21"/>
  <c r="E82" i="22"/>
  <c r="F82" s="1"/>
  <c r="H82" s="1"/>
  <c r="F81"/>
  <c r="H81" s="1"/>
  <c r="F75"/>
  <c r="I75" s="1"/>
  <c r="F73"/>
  <c r="I73" s="1"/>
  <c r="F59"/>
  <c r="I59" s="1"/>
  <c r="F67"/>
  <c r="I67" s="1"/>
  <c r="F66"/>
  <c r="I66" s="1"/>
  <c r="F65"/>
  <c r="I65" s="1"/>
  <c r="F64"/>
  <c r="I64" s="1"/>
  <c r="F63"/>
  <c r="I63" s="1"/>
  <c r="F62"/>
  <c r="F61"/>
  <c r="H33"/>
  <c r="F33"/>
  <c r="I33" s="1"/>
  <c r="F32"/>
  <c r="I32" s="1"/>
  <c r="F31"/>
  <c r="H31" s="1"/>
  <c r="F30"/>
  <c r="I30" s="1"/>
  <c r="H30" i="23" l="1"/>
  <c r="I31"/>
  <c r="H82"/>
  <c r="I82"/>
  <c r="I81"/>
  <c r="I18"/>
  <c r="H18"/>
  <c r="I16"/>
  <c r="H17"/>
  <c r="I19"/>
  <c r="H20"/>
  <c r="I21"/>
  <c r="H22"/>
  <c r="I23"/>
  <c r="H24"/>
  <c r="I25"/>
  <c r="H26"/>
  <c r="I27"/>
  <c r="I81" i="22"/>
  <c r="I82"/>
  <c r="H30"/>
  <c r="I31"/>
  <c r="H32"/>
  <c r="I62" i="21" l="1"/>
  <c r="F54" l="1"/>
  <c r="I53"/>
  <c r="E83"/>
  <c r="F83" s="1"/>
  <c r="F82"/>
  <c r="F71"/>
  <c r="I71" s="1"/>
  <c r="F76"/>
  <c r="I76" s="1"/>
  <c r="F68"/>
  <c r="F67"/>
  <c r="F66"/>
  <c r="F65"/>
  <c r="F64"/>
  <c r="F63"/>
  <c r="F62"/>
  <c r="F60"/>
  <c r="I60" s="1"/>
  <c r="F52"/>
  <c r="I52" s="1"/>
  <c r="F51"/>
  <c r="I51" s="1"/>
  <c r="F50"/>
  <c r="F49"/>
  <c r="F48"/>
  <c r="F47"/>
  <c r="F46"/>
  <c r="F45"/>
  <c r="F33"/>
  <c r="F32"/>
  <c r="F31"/>
  <c r="F30"/>
  <c r="F27"/>
  <c r="F26"/>
  <c r="F25"/>
  <c r="F24"/>
  <c r="F23"/>
  <c r="F22"/>
  <c r="F21"/>
  <c r="I21" s="1"/>
  <c r="F20"/>
  <c r="F19"/>
  <c r="E18"/>
  <c r="F18" s="1"/>
  <c r="F17"/>
  <c r="F16"/>
  <c r="I37" i="20" l="1"/>
  <c r="E84"/>
  <c r="F84" s="1"/>
  <c r="F83"/>
  <c r="H83" s="1"/>
  <c r="F77"/>
  <c r="I77" s="1"/>
  <c r="F61"/>
  <c r="I61" s="1"/>
  <c r="F72"/>
  <c r="I72" s="1"/>
  <c r="F45"/>
  <c r="I45" s="1"/>
  <c r="I44"/>
  <c r="H44"/>
  <c r="F43"/>
  <c r="H43" s="1"/>
  <c r="I41"/>
  <c r="F42"/>
  <c r="H42" s="1"/>
  <c r="F40"/>
  <c r="H40" s="1"/>
  <c r="H39"/>
  <c r="F38"/>
  <c r="H38" s="1"/>
  <c r="H37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21" i="19"/>
  <c r="H17" i="20" l="1"/>
  <c r="H21"/>
  <c r="H84"/>
  <c r="I84"/>
  <c r="I83"/>
  <c r="I43"/>
  <c r="I42"/>
  <c r="I38"/>
  <c r="I40"/>
  <c r="H18"/>
  <c r="I16"/>
  <c r="I20"/>
  <c r="I27"/>
  <c r="F85" i="19" l="1"/>
  <c r="I85" s="1"/>
  <c r="E84"/>
  <c r="F84" s="1"/>
  <c r="F83"/>
  <c r="F81"/>
  <c r="I81" s="1"/>
  <c r="F75"/>
  <c r="I75" s="1"/>
  <c r="F61"/>
  <c r="I61" s="1"/>
  <c r="F58"/>
  <c r="F55"/>
  <c r="I55" s="1"/>
  <c r="F42"/>
  <c r="F41"/>
  <c r="F40"/>
  <c r="F38"/>
  <c r="F27"/>
  <c r="F21"/>
  <c r="F20"/>
  <c r="E18"/>
  <c r="F18" s="1"/>
  <c r="F17"/>
  <c r="F16"/>
  <c r="I79" i="17"/>
  <c r="I55"/>
  <c r="I63" i="28" l="1"/>
  <c r="I79" i="27" l="1"/>
  <c r="I80" i="26" l="1"/>
  <c r="I54" l="1"/>
  <c r="H86" i="25"/>
  <c r="I61" i="24" l="1"/>
  <c r="I59" i="20" l="1"/>
  <c r="I59" i="18"/>
  <c r="I61" i="23"/>
  <c r="I61" i="22" l="1"/>
  <c r="I68"/>
  <c r="H86" i="21"/>
  <c r="H88" i="20"/>
  <c r="H87"/>
  <c r="H89" i="19" l="1"/>
  <c r="H88"/>
  <c r="I63"/>
  <c r="I43"/>
  <c r="I88" i="18"/>
  <c r="H87"/>
  <c r="I44"/>
  <c r="H81" i="28" l="1"/>
  <c r="H79"/>
  <c r="H76"/>
  <c r="H75"/>
  <c r="I74"/>
  <c r="H74"/>
  <c r="H70"/>
  <c r="F69"/>
  <c r="H69" s="1"/>
  <c r="F68"/>
  <c r="H68" s="1"/>
  <c r="F67"/>
  <c r="H67" s="1"/>
  <c r="F66"/>
  <c r="H66" s="1"/>
  <c r="F65"/>
  <c r="H65" s="1"/>
  <c r="H64"/>
  <c r="H63"/>
  <c r="F59"/>
  <c r="I59" s="1"/>
  <c r="I56"/>
  <c r="F56"/>
  <c r="H56" s="1"/>
  <c r="I55"/>
  <c r="H55"/>
  <c r="F54"/>
  <c r="I54" s="1"/>
  <c r="F53"/>
  <c r="H53" s="1"/>
  <c r="I52"/>
  <c r="F51"/>
  <c r="H51" s="1"/>
  <c r="F50"/>
  <c r="H50" s="1"/>
  <c r="F49"/>
  <c r="H49" s="1"/>
  <c r="F48"/>
  <c r="H48" s="1"/>
  <c r="F47"/>
  <c r="H47" s="1"/>
  <c r="H38"/>
  <c r="H36"/>
  <c r="H35"/>
  <c r="H34"/>
  <c r="F34"/>
  <c r="I34" s="1"/>
  <c r="F33"/>
  <c r="H33" s="1"/>
  <c r="F32"/>
  <c r="I32" s="1"/>
  <c r="F31"/>
  <c r="H31" s="1"/>
  <c r="F28"/>
  <c r="I28" s="1"/>
  <c r="I74" i="27"/>
  <c r="I55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44"/>
  <c r="I42"/>
  <c r="I41"/>
  <c r="H40"/>
  <c r="I39"/>
  <c r="H38"/>
  <c r="H36"/>
  <c r="H35"/>
  <c r="H34"/>
  <c r="F34"/>
  <c r="I34" s="1"/>
  <c r="F33"/>
  <c r="I33" s="1"/>
  <c r="F32"/>
  <c r="I32" s="1"/>
  <c r="F31"/>
  <c r="I31" s="1"/>
  <c r="F28"/>
  <c r="I28" s="1"/>
  <c r="H87" i="26"/>
  <c r="H85" i="28" l="1"/>
  <c r="H28"/>
  <c r="I31"/>
  <c r="H32"/>
  <c r="I33"/>
  <c r="H52"/>
  <c r="I53"/>
  <c r="H54"/>
  <c r="H59"/>
  <c r="H80" s="1"/>
  <c r="H33" i="27"/>
  <c r="H39"/>
  <c r="H43"/>
  <c r="I53"/>
  <c r="I54"/>
  <c r="H59"/>
  <c r="H80" s="1"/>
  <c r="H31"/>
  <c r="H41"/>
  <c r="H85"/>
  <c r="H28"/>
  <c r="H32"/>
  <c r="H42"/>
  <c r="H52"/>
  <c r="I94" l="1"/>
  <c r="I92" i="28"/>
  <c r="I70" i="22" l="1"/>
  <c r="I53" i="19"/>
  <c r="I81" i="17"/>
  <c r="H86" i="26" l="1"/>
  <c r="H80"/>
  <c r="H78"/>
  <c r="H75"/>
  <c r="H74"/>
  <c r="H73"/>
  <c r="H69"/>
  <c r="F68"/>
  <c r="H68" s="1"/>
  <c r="F67"/>
  <c r="H67" s="1"/>
  <c r="F66"/>
  <c r="H66" s="1"/>
  <c r="F65"/>
  <c r="H65" s="1"/>
  <c r="F64"/>
  <c r="H64" s="1"/>
  <c r="H63"/>
  <c r="H62"/>
  <c r="F58"/>
  <c r="I58" s="1"/>
  <c r="I55"/>
  <c r="F55"/>
  <c r="H55" s="1"/>
  <c r="H54"/>
  <c r="F53"/>
  <c r="F52"/>
  <c r="F51"/>
  <c r="I51" s="1"/>
  <c r="F50"/>
  <c r="H50" s="1"/>
  <c r="F49"/>
  <c r="H49" s="1"/>
  <c r="F48"/>
  <c r="H48" s="1"/>
  <c r="F47"/>
  <c r="H47" s="1"/>
  <c r="F46"/>
  <c r="H46" s="1"/>
  <c r="I43"/>
  <c r="H43"/>
  <c r="F42"/>
  <c r="I42" s="1"/>
  <c r="F41"/>
  <c r="I41" s="1"/>
  <c r="F40"/>
  <c r="I40" s="1"/>
  <c r="H39"/>
  <c r="F38"/>
  <c r="I38" s="1"/>
  <c r="I37"/>
  <c r="H37"/>
  <c r="H35"/>
  <c r="H34"/>
  <c r="I68" i="25"/>
  <c r="H85"/>
  <c r="H77"/>
  <c r="H75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F57"/>
  <c r="H57" s="1"/>
  <c r="I54"/>
  <c r="F54"/>
  <c r="H54" s="1"/>
  <c r="H53"/>
  <c r="H52"/>
  <c r="H51"/>
  <c r="I50"/>
  <c r="H49"/>
  <c r="H48"/>
  <c r="H47"/>
  <c r="H46"/>
  <c r="H45"/>
  <c r="I43"/>
  <c r="H43"/>
  <c r="F42"/>
  <c r="I42" s="1"/>
  <c r="F41"/>
  <c r="I41" s="1"/>
  <c r="F40"/>
  <c r="I40" s="1"/>
  <c r="H39"/>
  <c r="F38"/>
  <c r="I38" s="1"/>
  <c r="I37"/>
  <c r="H37"/>
  <c r="H35"/>
  <c r="H34"/>
  <c r="I53" i="24"/>
  <c r="H77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F57"/>
  <c r="H57" s="1"/>
  <c r="I54"/>
  <c r="H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79" i="23"/>
  <c r="H77"/>
  <c r="H68"/>
  <c r="F67"/>
  <c r="H67" s="1"/>
  <c r="F66"/>
  <c r="H66" s="1"/>
  <c r="F65"/>
  <c r="H65" s="1"/>
  <c r="F64"/>
  <c r="H64" s="1"/>
  <c r="F63"/>
  <c r="H63" s="1"/>
  <c r="H62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79" i="22"/>
  <c r="H77"/>
  <c r="H72"/>
  <c r="H71"/>
  <c r="H70"/>
  <c r="H68"/>
  <c r="H67"/>
  <c r="H66"/>
  <c r="H65"/>
  <c r="H64"/>
  <c r="H63"/>
  <c r="H62"/>
  <c r="H6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H39"/>
  <c r="F38"/>
  <c r="I38" s="1"/>
  <c r="I37"/>
  <c r="H37"/>
  <c r="H35"/>
  <c r="H34"/>
  <c r="I82" i="21"/>
  <c r="H80"/>
  <c r="H78"/>
  <c r="H75"/>
  <c r="H74"/>
  <c r="H73"/>
  <c r="H69"/>
  <c r="H68"/>
  <c r="H67"/>
  <c r="H66"/>
  <c r="H65"/>
  <c r="H64"/>
  <c r="H63"/>
  <c r="H62"/>
  <c r="F57"/>
  <c r="I57" s="1"/>
  <c r="I54"/>
  <c r="H54"/>
  <c r="H53"/>
  <c r="H52"/>
  <c r="H51"/>
  <c r="I50"/>
  <c r="H49"/>
  <c r="H48"/>
  <c r="H47"/>
  <c r="H46"/>
  <c r="H45"/>
  <c r="I43"/>
  <c r="H43"/>
  <c r="F42"/>
  <c r="I42" s="1"/>
  <c r="F41"/>
  <c r="I41" s="1"/>
  <c r="F40"/>
  <c r="I40" s="1"/>
  <c r="H39"/>
  <c r="F38"/>
  <c r="I38" s="1"/>
  <c r="I37"/>
  <c r="H37"/>
  <c r="H35"/>
  <c r="H34"/>
  <c r="H33"/>
  <c r="I33"/>
  <c r="I32"/>
  <c r="I31"/>
  <c r="I30"/>
  <c r="I27"/>
  <c r="H26"/>
  <c r="H25"/>
  <c r="H24"/>
  <c r="H23"/>
  <c r="H22"/>
  <c r="I20"/>
  <c r="I17"/>
  <c r="I16"/>
  <c r="I55" i="20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35"/>
  <c r="H34"/>
  <c r="H33"/>
  <c r="F33"/>
  <c r="I33" s="1"/>
  <c r="F32"/>
  <c r="I32" s="1"/>
  <c r="F31"/>
  <c r="I31" s="1"/>
  <c r="F30"/>
  <c r="I30" s="1"/>
  <c r="I83" i="19"/>
  <c r="H79"/>
  <c r="H77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58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I42"/>
  <c r="I41"/>
  <c r="I40"/>
  <c r="H39"/>
  <c r="I38"/>
  <c r="H37"/>
  <c r="H35"/>
  <c r="H34"/>
  <c r="H33"/>
  <c r="F33"/>
  <c r="I33" s="1"/>
  <c r="F32"/>
  <c r="I32" s="1"/>
  <c r="F31"/>
  <c r="I31" s="1"/>
  <c r="F30"/>
  <c r="H30" s="1"/>
  <c r="H27"/>
  <c r="F26"/>
  <c r="H26" s="1"/>
  <c r="F25"/>
  <c r="H25" s="1"/>
  <c r="F24"/>
  <c r="H24" s="1"/>
  <c r="F23"/>
  <c r="H23" s="1"/>
  <c r="F22"/>
  <c r="H22" s="1"/>
  <c r="H20"/>
  <c r="F19"/>
  <c r="H19" s="1"/>
  <c r="I17"/>
  <c r="H16"/>
  <c r="I74" i="18"/>
  <c r="I63"/>
  <c r="H8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H63"/>
  <c r="F59"/>
  <c r="H59" s="1"/>
  <c r="H80" s="1"/>
  <c r="I56"/>
  <c r="F56"/>
  <c r="H56" s="1"/>
  <c r="H55"/>
  <c r="F54"/>
  <c r="H54" s="1"/>
  <c r="F53"/>
  <c r="H53" s="1"/>
  <c r="F51"/>
  <c r="H51" s="1"/>
  <c r="F50"/>
  <c r="H50" s="1"/>
  <c r="F49"/>
  <c r="H49" s="1"/>
  <c r="F48"/>
  <c r="H48" s="1"/>
  <c r="F47"/>
  <c r="H47" s="1"/>
  <c r="H44"/>
  <c r="F43"/>
  <c r="H38"/>
  <c r="H36"/>
  <c r="H35"/>
  <c r="H34"/>
  <c r="F34"/>
  <c r="I34" s="1"/>
  <c r="F33"/>
  <c r="H33" s="1"/>
  <c r="F32"/>
  <c r="I32" s="1"/>
  <c r="F31"/>
  <c r="H31" s="1"/>
  <c r="F28"/>
  <c r="I28" s="1"/>
  <c r="H52" i="26" l="1"/>
  <c r="I52"/>
  <c r="H53"/>
  <c r="I53"/>
  <c r="H19" i="21"/>
  <c r="I19"/>
  <c r="H80" i="20"/>
  <c r="H78" i="19"/>
  <c r="H42"/>
  <c r="H43" i="18"/>
  <c r="I43"/>
  <c r="H28"/>
  <c r="H78" i="23"/>
  <c r="H76" i="25"/>
  <c r="H78" i="22"/>
  <c r="H38" i="26"/>
  <c r="H58"/>
  <c r="H79" s="1"/>
  <c r="H42"/>
  <c r="H40"/>
  <c r="H84"/>
  <c r="H41"/>
  <c r="H51"/>
  <c r="I49" i="25"/>
  <c r="I47"/>
  <c r="I45"/>
  <c r="I48"/>
  <c r="I46"/>
  <c r="H38"/>
  <c r="H42"/>
  <c r="H40"/>
  <c r="H83"/>
  <c r="H41"/>
  <c r="H50"/>
  <c r="I57"/>
  <c r="H50" i="24"/>
  <c r="H41"/>
  <c r="H81"/>
  <c r="H76"/>
  <c r="I38"/>
  <c r="I40"/>
  <c r="I42"/>
  <c r="I57"/>
  <c r="H83" i="23"/>
  <c r="I38"/>
  <c r="I40"/>
  <c r="H41"/>
  <c r="I42"/>
  <c r="H50"/>
  <c r="I57"/>
  <c r="H38" i="22"/>
  <c r="H40"/>
  <c r="H42"/>
  <c r="H83"/>
  <c r="H41"/>
  <c r="H50"/>
  <c r="I57"/>
  <c r="H16" i="21"/>
  <c r="H38"/>
  <c r="I26"/>
  <c r="I24"/>
  <c r="I49"/>
  <c r="I47"/>
  <c r="I45"/>
  <c r="I68"/>
  <c r="I66"/>
  <c r="I22"/>
  <c r="I25"/>
  <c r="I23"/>
  <c r="I48"/>
  <c r="I46"/>
  <c r="I64"/>
  <c r="I67"/>
  <c r="I65"/>
  <c r="H57"/>
  <c r="H79" s="1"/>
  <c r="H40"/>
  <c r="H42"/>
  <c r="H20"/>
  <c r="H27"/>
  <c r="H30"/>
  <c r="H32"/>
  <c r="I83"/>
  <c r="H83"/>
  <c r="H84" s="1"/>
  <c r="H17"/>
  <c r="H18"/>
  <c r="H21"/>
  <c r="H31"/>
  <c r="H41"/>
  <c r="H50"/>
  <c r="H82"/>
  <c r="H32" i="20"/>
  <c r="I53"/>
  <c r="I54"/>
  <c r="H30"/>
  <c r="H85"/>
  <c r="H31"/>
  <c r="H52"/>
  <c r="H38" i="19"/>
  <c r="H32"/>
  <c r="H17"/>
  <c r="H40"/>
  <c r="H18"/>
  <c r="I84"/>
  <c r="H84"/>
  <c r="H86" s="1"/>
  <c r="I16"/>
  <c r="I20"/>
  <c r="H21"/>
  <c r="I27"/>
  <c r="I30"/>
  <c r="H31"/>
  <c r="H41"/>
  <c r="H50"/>
  <c r="H83"/>
  <c r="H32" i="18"/>
  <c r="H85"/>
  <c r="I31"/>
  <c r="I33"/>
  <c r="I92" i="21" l="1"/>
  <c r="I92" i="26"/>
  <c r="I99" i="24"/>
  <c r="I89" i="23"/>
  <c r="I88" i="22"/>
  <c r="I92" i="20"/>
  <c r="I95" i="19"/>
  <c r="I90" i="18"/>
  <c r="I91" i="25"/>
  <c r="H81" i="17" l="1"/>
  <c r="H79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F55"/>
  <c r="H55" s="1"/>
  <c r="H54"/>
  <c r="F53"/>
  <c r="H53" s="1"/>
  <c r="F52"/>
  <c r="H52" s="1"/>
  <c r="F50"/>
  <c r="H50" s="1"/>
  <c r="F49"/>
  <c r="H49" s="1"/>
  <c r="F48"/>
  <c r="H48" s="1"/>
  <c r="F47"/>
  <c r="H47" s="1"/>
  <c r="F46"/>
  <c r="H46" s="1"/>
  <c r="H35"/>
  <c r="H34"/>
  <c r="H33"/>
  <c r="F33"/>
  <c r="I33" s="1"/>
  <c r="F32"/>
  <c r="H32" s="1"/>
  <c r="F31"/>
  <c r="H31" s="1"/>
  <c r="F30"/>
  <c r="H30" s="1"/>
  <c r="I32" l="1"/>
  <c r="I30"/>
  <c r="I31"/>
  <c r="H85"/>
  <c r="H58"/>
  <c r="H80" s="1"/>
  <c r="I92" l="1"/>
</calcChain>
</file>

<file path=xl/sharedStrings.xml><?xml version="1.0" encoding="utf-8"?>
<sst xmlns="http://schemas.openxmlformats.org/spreadsheetml/2006/main" count="2642" uniqueCount="286">
  <si>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</si>
  <si>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</si>
  <si>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</si>
  <si>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</si>
  <si>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</si>
  <si>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</si>
  <si>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</si>
  <si>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</si>
  <si>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</si>
  <si>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</si>
  <si>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</si>
  <si>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</si>
  <si>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</si>
  <si>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</si>
  <si>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</si>
  <si>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</si>
  <si>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</si>
  <si>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</si>
  <si>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</si>
  <si>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</si>
  <si>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</si>
  <si>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</si>
  <si>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</si>
  <si>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</si>
  <si>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</si>
  <si>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</si>
  <si>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</si>
  <si>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</si>
  <si>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</si>
  <si>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</si>
  <si>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</si>
  <si>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</si>
  <si>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</si>
  <si>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</si>
  <si>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</si>
  <si>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</si>
  <si>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</si>
  <si>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</si>
  <si>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</si>
  <si>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</si>
  <si>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</si>
  <si>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</si>
  <si>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</si>
  <si>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</si>
  <si>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</si>
  <si>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</si>
  <si>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</si>
  <si>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</si>
  <si>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</si>
  <si>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</si>
  <si>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</si>
  <si>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</si>
  <si>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</si>
  <si>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</si>
  <si>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</si>
  <si>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</si>
  <si>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</si>
  <si>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</si>
  <si>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</si>
  <si>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</si>
  <si>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</si>
  <si>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</si>
  <si>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</si>
  <si>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</si>
  <si>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</si>
  <si>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</si>
  <si>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</si>
  <si>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</si>
  <si>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</si>
  <si>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</si>
  <si>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</si>
  <si>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</si>
  <si>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</si>
  <si>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</si>
  <si>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</si>
  <si>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</si>
  <si>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</si>
  <si>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</si>
  <si>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</si>
  <si>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</si>
  <si>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</si>
  <si>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</si>
  <si>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</si>
  <si>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</si>
  <si>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</si>
  <si>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</si>
  <si>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</si>
  <si>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</si>
  <si>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</si>
  <si>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</si>
  <si>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</si>
  <si>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</si>
  <si>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</si>
  <si>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</si>
  <si>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</si>
  <si>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</si>
  <si>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</si>
  <si>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</si>
  <si>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</si>
  <si>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</si>
  <si>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</si>
  <si>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</si>
  <si>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</si>
  <si>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</si>
  <si>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</si>
  <si>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</si>
  <si>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</si>
  <si>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</si>
  <si>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</si>
  <si>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</si>
  <si>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</si>
  <si>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</si>
  <si>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</si>
  <si>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</si>
  <si>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</si>
  <si>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Влажное подметание лестничных клеток 2-4 этажа</t>
  </si>
  <si>
    <t>Мытье лестничных  площадок и маршей 1-4 этаж.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</si>
  <si>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</si>
  <si>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</si>
  <si>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</si>
  <si>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Замена ламп ДРЛ</t>
  </si>
  <si>
    <t xml:space="preserve">приемки оказанных услуг и выполненных работ по содержанию и текущему ремонту
общего имущества в многоквартирном доме №51 по ул.Октябрьская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</si>
  <si>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</si>
  <si>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</si>
  <si>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</si>
  <si>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</si>
  <si>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</si>
  <si>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Вывоз снега с придомовой территории</t>
  </si>
  <si>
    <t>1м3</t>
  </si>
  <si>
    <t>Работа автовышки</t>
  </si>
  <si>
    <t>маш/час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</si>
  <si>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</si>
  <si>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</si>
  <si>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</si>
  <si>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</si>
  <si>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</si>
  <si>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</si>
  <si>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</si>
  <si>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</si>
  <si>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</si>
  <si>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</si>
  <si>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</si>
  <si>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</si>
  <si>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д.51</t>
    </r>
  </si>
  <si>
    <t>Итого затраты за месяц</t>
  </si>
  <si>
    <t>52 раза в сезон</t>
  </si>
  <si>
    <t>78 раз за сезон</t>
  </si>
  <si>
    <t>АКТ №11</t>
  </si>
  <si>
    <t>АКТ №12</t>
  </si>
  <si>
    <t>Дератизация</t>
  </si>
  <si>
    <t>м2</t>
  </si>
  <si>
    <t>102 м2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</si>
  <si>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</si>
  <si>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 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</si>
  <si>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Организация и содержание мест накопления ТКО</t>
  </si>
  <si>
    <t>Очистка вручную от снега и наледи люков канализационных и водопроводных колодцев</t>
  </si>
  <si>
    <t>по мере необходимости</t>
  </si>
  <si>
    <t>Чердак, подвал,технический этаж</t>
  </si>
  <si>
    <t>Обслуживание ОДПУ эл. Энергии и холодной воды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</si>
  <si>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</si>
  <si>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</si>
  <si>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мес.</t>
  </si>
  <si>
    <t>Работы по ведению технической и отчетной документации, сбору и начислению платежей</t>
  </si>
  <si>
    <t xml:space="preserve">Работы по проведению одного общего собрания собственников МКД </t>
  </si>
  <si>
    <t>1м2</t>
  </si>
  <si>
    <t>13м3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</si>
  <si>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</si>
  <si>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урн от мусора</t>
  </si>
  <si>
    <t>Осмотр электросетей, армазуры и электрооборудования на лестничных клетках</t>
  </si>
  <si>
    <t>13 раз</t>
  </si>
  <si>
    <t>8 раз</t>
  </si>
  <si>
    <t>4 раза</t>
  </si>
  <si>
    <t>25 раз</t>
  </si>
  <si>
    <t>1 раз</t>
  </si>
  <si>
    <t xml:space="preserve">1 раз </t>
  </si>
  <si>
    <t>2 раза</t>
  </si>
  <si>
    <t xml:space="preserve">1 раз     </t>
  </si>
  <si>
    <t xml:space="preserve">1 раз  </t>
  </si>
  <si>
    <t xml:space="preserve">1 раз   </t>
  </si>
  <si>
    <t xml:space="preserve">1 раз    </t>
  </si>
  <si>
    <t>21 раз</t>
  </si>
  <si>
    <t>1 раз в</t>
  </si>
  <si>
    <t>5 раз</t>
  </si>
  <si>
    <t>4 раз</t>
  </si>
  <si>
    <t xml:space="preserve">2 раза </t>
  </si>
  <si>
    <t>2 раз</t>
  </si>
  <si>
    <t>1 ра</t>
  </si>
  <si>
    <t>за период с 01.01.2020 г. по 31.01.2020 г.</t>
  </si>
  <si>
    <t>Осмотр деревянных и иных  заполнений проемов</t>
  </si>
  <si>
    <t>Прочистка канализационной сети внутреней</t>
  </si>
  <si>
    <t>м</t>
  </si>
  <si>
    <t>за период с 01.02.2020 г. по 29.02.2020 г.</t>
  </si>
  <si>
    <t>10,18,20,26 февраля</t>
  </si>
  <si>
    <t>Осмотр кровель из штучных материалов</t>
  </si>
  <si>
    <t>за период с 01.03.2020 г. по 31.03.2020 г.</t>
  </si>
  <si>
    <t>2 маш/час</t>
  </si>
  <si>
    <t>Смена арматуры - вентилей и клапанов обратных муфтовых диаметром до 20 мм</t>
  </si>
  <si>
    <t>1 шт</t>
  </si>
  <si>
    <t>Смена внутренних трубопроводов на полипропиленовые трубы PN 25 Dу 25</t>
  </si>
  <si>
    <t>кв.10 ГВС и п/с - 2 шт.</t>
  </si>
  <si>
    <t>подвод к п/с 1м кв.10</t>
  </si>
  <si>
    <t>2,13,19 марта</t>
  </si>
  <si>
    <t>Смена арматуры - вентилей и клапанов обратных муфтовых диаметром до 20 мм ( без материалов-вентилей)</t>
  </si>
  <si>
    <t>ГВС кв 10 2 шт.</t>
  </si>
  <si>
    <t>за период с 01.04.2020 г. по 30.04.2020 г.</t>
  </si>
  <si>
    <t>Переборка вентиля</t>
  </si>
  <si>
    <t>кв.17</t>
  </si>
  <si>
    <t>Смена пакетных выключателей ( без материалов)</t>
  </si>
  <si>
    <t>за период с 01.05.2020 г. по 31.05.2020 г.</t>
  </si>
  <si>
    <t>3 маш/часа</t>
  </si>
  <si>
    <t>Ремонт отдельных мест покрытия из асбоцементных листов обыкновенного профиля</t>
  </si>
  <si>
    <t>10 м2</t>
  </si>
  <si>
    <t>Шифер</t>
  </si>
  <si>
    <t>12,4 м2</t>
  </si>
  <si>
    <t>8 шт.</t>
  </si>
  <si>
    <t>за период с 01.06.2020 г. по 30.06.2020 г.</t>
  </si>
  <si>
    <t>Смена внутренних трубопроводов на полипропиленовые трубы PN 25 Dу 20</t>
  </si>
  <si>
    <t>кв.11 ГВС - 2 м</t>
  </si>
  <si>
    <t>2. Всего за период с 01.06.2020 по 30.06.2020 выполнено работ (оказано услуг) на общую сумму: 104392,06 руб.</t>
  </si>
  <si>
    <t>(сто четыре тысячи триста девяносто два рубля 06 копеек)</t>
  </si>
  <si>
    <t>за период с 01.07.2020 г. по 31.07.2020 г.</t>
  </si>
  <si>
    <t>Установка заглушек диаметром трубопроводов до 100 мм</t>
  </si>
  <si>
    <t>заглушка</t>
  </si>
  <si>
    <t>Осмотр водопроводов, канализации, отопления</t>
  </si>
  <si>
    <t>за период с 01.08.2020 г. по 31.08.2020 г.</t>
  </si>
  <si>
    <t>смена полипропиленовых канализационных труб ПП 50*1000</t>
  </si>
  <si>
    <t>смена полипропиленовых канализационных труб ПП 50*2000</t>
  </si>
  <si>
    <t>Переход чугун-пластик 50</t>
  </si>
  <si>
    <t>Отвод 50-90</t>
  </si>
  <si>
    <t>Отвод 50-45</t>
  </si>
  <si>
    <t>тройник 50-45</t>
  </si>
  <si>
    <t>Заглушка</t>
  </si>
  <si>
    <t>Демонтаж трубы ГВС</t>
  </si>
  <si>
    <t>1 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</si>
  <si>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</si>
  <si>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</si>
  <si>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ХВС кв.12</t>
  </si>
  <si>
    <t>кух.стояк подвал</t>
  </si>
  <si>
    <t>кв.29</t>
  </si>
  <si>
    <t>ХВС кв.31-1 шт;ГВС кв.7 - 1 шт.</t>
  </si>
  <si>
    <t>ГВС кв.7 - 1 м</t>
  </si>
  <si>
    <t>1,57 м2</t>
  </si>
  <si>
    <t>за период с 01.09.2020 г. по 30.09.2020 г.</t>
  </si>
  <si>
    <t xml:space="preserve">Смена сгонов у трубопроводов диаметром до 20 мм </t>
  </si>
  <si>
    <t>1 сгон</t>
  </si>
  <si>
    <t>ГВС подсобка 1 шт.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</si>
  <si>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</si>
  <si>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Кочановой 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</si>
  <si>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Осмотр фановой трубы</t>
  </si>
  <si>
    <t>кв.12</t>
  </si>
  <si>
    <t>за период с 01.11.2020 г. по 30.11.2020 г.</t>
  </si>
  <si>
    <t>Закрыли слуховое окно</t>
  </si>
  <si>
    <t>Подключение и отключение сварочного аппарата</t>
  </si>
  <si>
    <t>Подключение переносного узла учета эл.энергии</t>
  </si>
  <si>
    <t>генеральный директор Кочанова И.Л.</t>
  </si>
  <si>
    <t>за период с 01.12.2020 г. по 31.12.2020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</si>
  <si>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18.02.2019г.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</si>
  <si>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0,8 ч ( 18 и 21 дек.)</t>
  </si>
  <si>
    <t>Установка хомута диаметром до 50 мм</t>
  </si>
  <si>
    <t>место</t>
  </si>
  <si>
    <t>Внеплановая провека вентканалов</t>
  </si>
  <si>
    <t>ГВС 1 шт. кв25</t>
  </si>
  <si>
    <t>кв.32</t>
  </si>
  <si>
    <t>4 м</t>
  </si>
  <si>
    <t>2. Всего за период с 01.01.2020 по 31.01.2020 выполнено работ (оказано услуг) на общую сумму: 42401,31 руб.</t>
  </si>
  <si>
    <t>(сорок две тысячи четыреста один рубль 31 копейка)</t>
  </si>
  <si>
    <t>2. Всего за период с 01.02.2020 по 29.02.2020 выполнено работ (оказано услуг) на общую сумму: 39435,46 руб.</t>
  </si>
  <si>
    <t>(тридцать девять тысяч четыреста тридцать пять рублей 46 копеек)</t>
  </si>
  <si>
    <t>2. Всего за период с 01.03.2020 по 31.03.2020 выполнено работ (оказано услуг) на общую сумму: 45042,92 руб.</t>
  </si>
  <si>
    <t>(сорок пять тысяч сорок два рубля 92 копейки)</t>
  </si>
  <si>
    <t>2. Всего за период с 01.04.2020 по 30.04.2020 выполнено работ (оказано услуг) на общую сумму: 35047,26 руб.</t>
  </si>
  <si>
    <t>(тридцать пять тысяч сорок семь рублей 26 копеек)</t>
  </si>
  <si>
    <t>2. Всего за период с 01.05.2020 по 31.05.2020 выполнено работ (оказано услуг) на общую сумму: 61338,01 руб.</t>
  </si>
  <si>
    <t>(шестьдесят одна тысяча триста тридцать восемь рублей 01 копейка)</t>
  </si>
  <si>
    <t>2. Всего за период с 01.07.2020 по 31.07.2020 выполнено работ (оказано услуг) на общую сумму: 30821,43 руб.</t>
  </si>
  <si>
    <t>(тридцать тысяч восемьсот двадцать один рубль 43 копейки)</t>
  </si>
  <si>
    <t>2. Всего за период с 01.08.2020 по 31.08.2020 выполнено работ (оказано услуг) на общую сумму: 42441,69 руб.</t>
  </si>
  <si>
    <t>( сорок две тысячи четыреста сорок один рубль 69 копеек)</t>
  </si>
  <si>
    <t>2. Всего за период с 01.09.2020 по 30.09.2020 выполнено работ (оказано услуг) на общую сумму: 41310,41 руб.</t>
  </si>
  <si>
    <t>(сорок одна тысяча триста десять рублей 41 копейка)</t>
  </si>
  <si>
    <t>2. Всего за период с 01.10.2020 по 31.10.2020 выполнено работ (оказано услуг) на общую сумму: 30447,72 руб.</t>
  </si>
  <si>
    <t>(тридцать тысяч четыреста сорок семь рублей 72 копейки)</t>
  </si>
  <si>
    <t>2. Всего за период с 01.11.2020 по 30.11.2020 выполнено работ (оказано услуг) на общую сумму: 37025,86 руб.</t>
  </si>
  <si>
    <t>(тридцать семь тысяч двадцать пять рублей 86 копеек)</t>
  </si>
  <si>
    <t>2. Всего за период с 01.12.2020 по 31.12.2020 выполнено работ (оказано услуг) на общую сумму: 45834,43 руб.</t>
  </si>
  <si>
    <t>(сорок пять тысяч восемьсот тридцать четыре рубля 43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</si>
</sst>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4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left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4" fontId="19" fillId="2" borderId="8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topLeftCell="A82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126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187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41"/>
      <c r="C6" s="41"/>
      <c r="D6" s="41"/>
      <c r="E6" s="41"/>
      <c r="F6" s="41"/>
      <c r="G6" s="41"/>
      <c r="H6" s="41"/>
      <c r="I6" s="22">
        <v>43861</v>
      </c>
    </row>
    <row r="7" spans="1:9" ht="15.75">
      <c r="B7" s="42"/>
      <c r="C7" s="42"/>
      <c r="D7" s="42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173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hidden="1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102</v>
      </c>
      <c r="C30" s="59" t="s">
        <v>83</v>
      </c>
      <c r="D30" s="58" t="s">
        <v>98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2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101</v>
      </c>
      <c r="C31" s="59" t="s">
        <v>83</v>
      </c>
      <c r="D31" s="58" t="s">
        <v>99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2"/>
        <v>4.0195823615999995</v>
      </c>
      <c r="I31" s="10">
        <f t="shared" ref="I31:I33" si="3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83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2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100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3"/>
        <v>521.83333333333337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2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2"/>
        <v>1.2147399999999999</v>
      </c>
      <c r="I35" s="10">
        <v>0</v>
      </c>
    </row>
    <row r="36" spans="1:9" ht="15.75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customHeight="1">
      <c r="A37" s="21">
        <v>7</v>
      </c>
      <c r="B37" s="107" t="s">
        <v>25</v>
      </c>
      <c r="C37" s="29" t="s">
        <v>30</v>
      </c>
      <c r="D37" s="144">
        <v>43839</v>
      </c>
      <c r="E37" s="104"/>
      <c r="F37" s="105">
        <v>5</v>
      </c>
      <c r="G37" s="105">
        <v>1855</v>
      </c>
      <c r="H37" s="62">
        <f t="shared" ref="H37:H43" si="4">SUM(F37*G37/1000)</f>
        <v>9.2750000000000004</v>
      </c>
      <c r="I37" s="10">
        <f>G37*0.3</f>
        <v>556.5</v>
      </c>
    </row>
    <row r="38" spans="1:9" ht="15.75" customHeight="1">
      <c r="A38" s="21">
        <v>8</v>
      </c>
      <c r="B38" s="107" t="s">
        <v>117</v>
      </c>
      <c r="C38" s="108" t="s">
        <v>28</v>
      </c>
      <c r="D38" s="25" t="s">
        <v>182</v>
      </c>
      <c r="E38" s="104">
        <v>186.39</v>
      </c>
      <c r="F38" s="109">
        <f>E38*30/1000</f>
        <v>5.5916999999999994</v>
      </c>
      <c r="G38" s="105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25" t="s">
        <v>127</v>
      </c>
      <c r="C39" s="29" t="s">
        <v>128</v>
      </c>
      <c r="D39" s="25" t="s">
        <v>156</v>
      </c>
      <c r="E39" s="104"/>
      <c r="F39" s="109">
        <v>13</v>
      </c>
      <c r="G39" s="105">
        <v>330</v>
      </c>
      <c r="H39" s="62">
        <f>G39*F39/1000</f>
        <v>4.29</v>
      </c>
      <c r="I39" s="10">
        <v>0</v>
      </c>
    </row>
    <row r="40" spans="1:9" ht="15.75" customHeight="1">
      <c r="A40" s="21">
        <v>9</v>
      </c>
      <c r="B40" s="25" t="s">
        <v>65</v>
      </c>
      <c r="C40" s="29" t="s">
        <v>28</v>
      </c>
      <c r="D40" s="25" t="s">
        <v>172</v>
      </c>
      <c r="E40" s="105">
        <v>186.39</v>
      </c>
      <c r="F40" s="109">
        <f>SUM(E40*155/1000)</f>
        <v>28.890449999999998</v>
      </c>
      <c r="G40" s="105">
        <v>502.82</v>
      </c>
      <c r="H40" s="62">
        <f t="shared" si="4"/>
        <v>14.526696068999998</v>
      </c>
      <c r="I40" s="10">
        <f>F40/6*G40</f>
        <v>2421.1160114999998</v>
      </c>
    </row>
    <row r="41" spans="1:9" ht="47.25" customHeight="1">
      <c r="A41" s="21">
        <v>10</v>
      </c>
      <c r="B41" s="25" t="s">
        <v>77</v>
      </c>
      <c r="C41" s="29" t="s">
        <v>83</v>
      </c>
      <c r="D41" s="25" t="s">
        <v>171</v>
      </c>
      <c r="E41" s="105">
        <v>52.2</v>
      </c>
      <c r="F41" s="109">
        <f>E41*24/1000</f>
        <v>1.2528000000000001</v>
      </c>
      <c r="G41" s="105">
        <v>8319.2999999999993</v>
      </c>
      <c r="H41" s="62">
        <f t="shared" si="4"/>
        <v>10.422419040000001</v>
      </c>
      <c r="I41" s="10">
        <f>F41/6*G41</f>
        <v>1737.0698399999999</v>
      </c>
    </row>
    <row r="42" spans="1:9" ht="15.75" hidden="1" customHeight="1">
      <c r="A42" s="21">
        <v>11</v>
      </c>
      <c r="B42" s="25" t="s">
        <v>119</v>
      </c>
      <c r="C42" s="29" t="s">
        <v>83</v>
      </c>
      <c r="D42" s="25" t="s">
        <v>175</v>
      </c>
      <c r="E42" s="105">
        <v>52.2</v>
      </c>
      <c r="F42" s="109">
        <f>SUM(E42*15/1000)</f>
        <v>0.78300000000000003</v>
      </c>
      <c r="G42" s="105">
        <v>614.55999999999995</v>
      </c>
      <c r="H42" s="62">
        <f t="shared" si="4"/>
        <v>0.48120047999999999</v>
      </c>
      <c r="I42" s="10">
        <f>F42/7.5*G42</f>
        <v>64.160063999999991</v>
      </c>
    </row>
    <row r="43" spans="1:9" ht="15.75" hidden="1" customHeight="1">
      <c r="A43" s="21">
        <v>12</v>
      </c>
      <c r="B43" s="107" t="s">
        <v>67</v>
      </c>
      <c r="C43" s="108" t="s">
        <v>31</v>
      </c>
      <c r="D43" s="107"/>
      <c r="E43" s="106"/>
      <c r="F43" s="109">
        <v>0.5</v>
      </c>
      <c r="G43" s="109">
        <v>800</v>
      </c>
      <c r="H43" s="62">
        <f t="shared" si="4"/>
        <v>0.4</v>
      </c>
      <c r="I43" s="10">
        <f>F43/7.5*G43</f>
        <v>53.333333333333336</v>
      </c>
    </row>
    <row r="44" spans="1:9" ht="30" customHeight="1">
      <c r="A44" s="21">
        <v>11</v>
      </c>
      <c r="B44" s="148" t="s">
        <v>155</v>
      </c>
      <c r="C44" s="108" t="s">
        <v>83</v>
      </c>
      <c r="D44" s="107" t="s">
        <v>175</v>
      </c>
      <c r="E44" s="106">
        <v>1.8</v>
      </c>
      <c r="F44" s="109">
        <f>E44*12/1000</f>
        <v>2.1600000000000001E-2</v>
      </c>
      <c r="G44" s="109">
        <v>19757.060000000001</v>
      </c>
      <c r="H44" s="54"/>
      <c r="I44" s="10">
        <f>G44*F44/6</f>
        <v>71.125416000000016</v>
      </c>
    </row>
    <row r="45" spans="1:9" ht="15.75" customHeight="1">
      <c r="A45" s="159" t="s">
        <v>122</v>
      </c>
      <c r="B45" s="160"/>
      <c r="C45" s="160"/>
      <c r="D45" s="160"/>
      <c r="E45" s="160"/>
      <c r="F45" s="160"/>
      <c r="G45" s="160"/>
      <c r="H45" s="160"/>
      <c r="I45" s="161"/>
    </row>
    <row r="46" spans="1:9" ht="15.75" hidden="1" customHeight="1">
      <c r="A46" s="21"/>
      <c r="B46" s="58" t="s">
        <v>103</v>
      </c>
      <c r="C46" s="59" t="s">
        <v>83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5">SUM(F46*G46/1000)</f>
        <v>1.5888271549999999</v>
      </c>
      <c r="I46" s="10">
        <v>0</v>
      </c>
    </row>
    <row r="47" spans="1:9" ht="15.75" hidden="1" customHeight="1">
      <c r="A47" s="21"/>
      <c r="B47" s="58" t="s">
        <v>34</v>
      </c>
      <c r="C47" s="59" t="s">
        <v>83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5"/>
        <v>5.9468160000000006E-2</v>
      </c>
      <c r="I47" s="10">
        <v>0</v>
      </c>
    </row>
    <row r="48" spans="1:9" ht="15.75" hidden="1" customHeight="1">
      <c r="A48" s="21"/>
      <c r="B48" s="58" t="s">
        <v>35</v>
      </c>
      <c r="C48" s="59" t="s">
        <v>83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5"/>
        <v>1.161363608</v>
      </c>
      <c r="I48" s="10">
        <v>0</v>
      </c>
    </row>
    <row r="49" spans="1:9" ht="15.75" hidden="1" customHeight="1">
      <c r="A49" s="21"/>
      <c r="B49" s="58" t="s">
        <v>36</v>
      </c>
      <c r="C49" s="59" t="s">
        <v>83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5"/>
        <v>1.6128822783999999</v>
      </c>
      <c r="I49" s="10">
        <v>0</v>
      </c>
    </row>
    <row r="50" spans="1:9" ht="15.7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5"/>
        <v>0.10041360000000001</v>
      </c>
      <c r="I50" s="10">
        <v>0</v>
      </c>
    </row>
    <row r="51" spans="1:9" ht="15.75" customHeight="1">
      <c r="A51" s="21">
        <v>12</v>
      </c>
      <c r="B51" s="25" t="s">
        <v>54</v>
      </c>
      <c r="C51" s="29" t="s">
        <v>83</v>
      </c>
      <c r="D51" s="25" t="s">
        <v>173</v>
      </c>
      <c r="E51" s="104">
        <v>2054.6</v>
      </c>
      <c r="F51" s="105">
        <f>SUM(E51*5/1000)</f>
        <v>10.273</v>
      </c>
      <c r="G51" s="27">
        <v>1739.68</v>
      </c>
      <c r="H51" s="62">
        <f t="shared" si="5"/>
        <v>17.871732639999998</v>
      </c>
      <c r="I51" s="10">
        <f>F51/5*G51</f>
        <v>3574.3465279999996</v>
      </c>
    </row>
    <row r="52" spans="1:9" ht="31.5" hidden="1" customHeight="1">
      <c r="A52" s="21"/>
      <c r="B52" s="58" t="s">
        <v>84</v>
      </c>
      <c r="C52" s="59" t="s">
        <v>83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5"/>
        <v>1.7601495039999999</v>
      </c>
      <c r="I52" s="10">
        <v>0</v>
      </c>
    </row>
    <row r="53" spans="1:9" ht="31.5" hidden="1" customHeight="1">
      <c r="A53" s="21"/>
      <c r="B53" s="58" t="s">
        <v>85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5"/>
        <v>0.70053359999999998</v>
      </c>
      <c r="I53" s="10">
        <v>0</v>
      </c>
    </row>
    <row r="54" spans="1:9" ht="15.75" hidden="1" customHeight="1">
      <c r="A54" s="21"/>
      <c r="B54" s="58" t="s">
        <v>38</v>
      </c>
      <c r="C54" s="59" t="s">
        <v>39</v>
      </c>
      <c r="D54" s="58" t="s">
        <v>41</v>
      </c>
      <c r="E54" s="60">
        <v>1</v>
      </c>
      <c r="F54" s="61">
        <v>0.02</v>
      </c>
      <c r="G54" s="10">
        <v>6042.12</v>
      </c>
      <c r="H54" s="62">
        <f t="shared" si="5"/>
        <v>0.1208424</v>
      </c>
      <c r="I54" s="10">
        <v>0</v>
      </c>
    </row>
    <row r="55" spans="1:9" ht="15.75" hidden="1" customHeight="1">
      <c r="A55" s="21">
        <v>14</v>
      </c>
      <c r="B55" s="58" t="s">
        <v>40</v>
      </c>
      <c r="C55" s="59" t="s">
        <v>104</v>
      </c>
      <c r="D55" s="58" t="s">
        <v>68</v>
      </c>
      <c r="E55" s="60">
        <v>72</v>
      </c>
      <c r="F55" s="61">
        <f>SUM(E55)*3</f>
        <v>216</v>
      </c>
      <c r="G55" s="10">
        <v>70.209999999999994</v>
      </c>
      <c r="H55" s="62">
        <f t="shared" si="5"/>
        <v>15.165359999999998</v>
      </c>
      <c r="I55" s="10">
        <f>G55*7</f>
        <v>491.46999999999997</v>
      </c>
    </row>
    <row r="56" spans="1:9" ht="15.75" customHeight="1">
      <c r="A56" s="159" t="s">
        <v>123</v>
      </c>
      <c r="B56" s="160"/>
      <c r="C56" s="160"/>
      <c r="D56" s="160"/>
      <c r="E56" s="160"/>
      <c r="F56" s="160"/>
      <c r="G56" s="160"/>
      <c r="H56" s="160"/>
      <c r="I56" s="161"/>
    </row>
    <row r="57" spans="1:9" ht="15.75" customHeight="1">
      <c r="A57" s="21"/>
      <c r="B57" s="78" t="s">
        <v>42</v>
      </c>
      <c r="C57" s="59"/>
      <c r="D57" s="58"/>
      <c r="E57" s="60"/>
      <c r="F57" s="61"/>
      <c r="G57" s="61"/>
      <c r="H57" s="62"/>
      <c r="I57" s="10"/>
    </row>
    <row r="58" spans="1:9" ht="31.5" customHeight="1">
      <c r="A58" s="21">
        <v>13</v>
      </c>
      <c r="B58" s="25" t="s">
        <v>105</v>
      </c>
      <c r="C58" s="29" t="s">
        <v>80</v>
      </c>
      <c r="D58" s="25"/>
      <c r="E58" s="104">
        <v>80.69</v>
      </c>
      <c r="F58" s="105">
        <f>SUM(E58*6/100)</f>
        <v>4.8414000000000001</v>
      </c>
      <c r="G58" s="27">
        <v>2218.11</v>
      </c>
      <c r="H58" s="62">
        <f>SUM(F58*G58/1000)</f>
        <v>10.738757754</v>
      </c>
      <c r="I58" s="10">
        <f>G58*0.279</f>
        <v>618.85269000000005</v>
      </c>
    </row>
    <row r="59" spans="1:9" ht="18.75" customHeight="1">
      <c r="A59" s="21">
        <v>14</v>
      </c>
      <c r="B59" s="110" t="s">
        <v>129</v>
      </c>
      <c r="C59" s="111" t="s">
        <v>130</v>
      </c>
      <c r="D59" s="110"/>
      <c r="E59" s="112"/>
      <c r="F59" s="113">
        <v>5</v>
      </c>
      <c r="G59" s="114">
        <v>1730</v>
      </c>
      <c r="H59" s="97"/>
      <c r="I59" s="10">
        <f>G59*2</f>
        <v>3460</v>
      </c>
    </row>
    <row r="60" spans="1:9" ht="18.75" customHeight="1">
      <c r="A60" s="21"/>
      <c r="B60" s="115" t="s">
        <v>157</v>
      </c>
      <c r="C60" s="111"/>
      <c r="D60" s="110"/>
      <c r="E60" s="112"/>
      <c r="F60" s="116"/>
      <c r="G60" s="27"/>
      <c r="H60" s="97"/>
      <c r="I60" s="10"/>
    </row>
    <row r="61" spans="1:9" ht="18" customHeight="1">
      <c r="A61" s="21">
        <v>15</v>
      </c>
      <c r="B61" s="95" t="s">
        <v>149</v>
      </c>
      <c r="C61" s="117" t="s">
        <v>150</v>
      </c>
      <c r="D61" s="95" t="s">
        <v>173</v>
      </c>
      <c r="E61" s="130">
        <v>120</v>
      </c>
      <c r="F61" s="116">
        <f>E61*12</f>
        <v>1440</v>
      </c>
      <c r="G61" s="27">
        <v>1.4</v>
      </c>
      <c r="H61" s="71"/>
      <c r="I61" s="10">
        <f>G61*F61/12</f>
        <v>167.99999999999997</v>
      </c>
    </row>
    <row r="62" spans="1:9" ht="15.75" hidden="1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5.75" hidden="1" customHeight="1">
      <c r="A63" s="21">
        <v>17</v>
      </c>
      <c r="B63" s="11" t="s">
        <v>44</v>
      </c>
      <c r="C63" s="13" t="s">
        <v>104</v>
      </c>
      <c r="D63" s="11" t="s">
        <v>64</v>
      </c>
      <c r="E63" s="15">
        <v>8</v>
      </c>
      <c r="F63" s="61">
        <v>8</v>
      </c>
      <c r="G63" s="10">
        <v>237.74</v>
      </c>
      <c r="H63" s="72">
        <f t="shared" ref="H63:H79" si="6">SUM(F63*G63/1000)</f>
        <v>1.9019200000000001</v>
      </c>
      <c r="I63" s="10">
        <f>G63</f>
        <v>237.74</v>
      </c>
    </row>
    <row r="64" spans="1:9" ht="15.7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6"/>
        <v>0.24453000000000003</v>
      </c>
      <c r="I64" s="10">
        <v>0</v>
      </c>
    </row>
    <row r="65" spans="1:9" ht="15.7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6"/>
        <v>19.3655981</v>
      </c>
      <c r="I65" s="10">
        <v>0</v>
      </c>
    </row>
    <row r="66" spans="1:9" ht="15.75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6"/>
        <v>1.5080727900000002</v>
      </c>
      <c r="I66" s="10">
        <v>0</v>
      </c>
    </row>
    <row r="67" spans="1:9" ht="15.7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6"/>
        <v>30.383586000000005</v>
      </c>
      <c r="I67" s="10">
        <v>0</v>
      </c>
    </row>
    <row r="68" spans="1:9" ht="15.75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6"/>
        <v>0.38403000000000004</v>
      </c>
      <c r="I68" s="10">
        <v>0</v>
      </c>
    </row>
    <row r="69" spans="1:9" ht="15.7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6"/>
        <v>0.35829</v>
      </c>
      <c r="I69" s="10">
        <v>0</v>
      </c>
    </row>
    <row r="70" spans="1:9" ht="15.7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6"/>
        <v>0.16085999999999998</v>
      </c>
      <c r="I70" s="10">
        <v>0</v>
      </c>
    </row>
    <row r="71" spans="1:9" ht="15.75" customHeight="1">
      <c r="A71" s="21"/>
      <c r="B71" s="118" t="s">
        <v>159</v>
      </c>
      <c r="C71" s="119"/>
      <c r="D71" s="120"/>
      <c r="E71" s="121"/>
      <c r="F71" s="122"/>
      <c r="G71" s="122"/>
      <c r="H71" s="10"/>
      <c r="I71" s="10"/>
    </row>
    <row r="72" spans="1:9" ht="32.25" customHeight="1">
      <c r="A72" s="21">
        <v>16</v>
      </c>
      <c r="B72" s="95" t="s">
        <v>160</v>
      </c>
      <c r="C72" s="123" t="s">
        <v>161</v>
      </c>
      <c r="D72" s="120"/>
      <c r="E72" s="121">
        <v>2054.6</v>
      </c>
      <c r="F72" s="122">
        <f>E72*12</f>
        <v>24655.199999999997</v>
      </c>
      <c r="G72" s="122">
        <v>2.4900000000000002</v>
      </c>
      <c r="H72" s="10"/>
      <c r="I72" s="10">
        <f>G72*F72/12</f>
        <v>5115.9539999999997</v>
      </c>
    </row>
    <row r="73" spans="1:9" ht="15.75" customHeight="1">
      <c r="A73" s="21"/>
      <c r="B73" s="23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15.75" hidden="1" customHeight="1">
      <c r="A74" s="21"/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6"/>
        <v>0.10724600000000001</v>
      </c>
      <c r="I74" s="10">
        <v>0</v>
      </c>
    </row>
    <row r="75" spans="1:9" ht="15.7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5.7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5.75" customHeight="1">
      <c r="A77" s="21">
        <v>17</v>
      </c>
      <c r="B77" s="95" t="s">
        <v>158</v>
      </c>
      <c r="C77" s="117" t="s">
        <v>104</v>
      </c>
      <c r="D77" s="95" t="s">
        <v>174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7.25" hidden="1" customHeight="1">
      <c r="A78" s="21"/>
      <c r="B78" s="74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4.25" hidden="1" customHeight="1">
      <c r="A79" s="21">
        <v>15</v>
      </c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6"/>
        <v>3.9822975</v>
      </c>
      <c r="I79" s="10">
        <f>G79*0.03</f>
        <v>88.495499999999993</v>
      </c>
    </row>
    <row r="80" spans="1:9" ht="18.75" hidden="1" customHeight="1">
      <c r="A80" s="21"/>
      <c r="B80" s="53" t="s">
        <v>86</v>
      </c>
      <c r="C80" s="75"/>
      <c r="D80" s="23"/>
      <c r="E80" s="24"/>
      <c r="F80" s="64"/>
      <c r="G80" s="64"/>
      <c r="H80" s="76">
        <f>SUM(H58:H79)</f>
        <v>70.430288144000002</v>
      </c>
      <c r="I80" s="64"/>
    </row>
    <row r="81" spans="1:9" ht="16.5" hidden="1" customHeight="1">
      <c r="A81" s="21">
        <v>18</v>
      </c>
      <c r="B81" s="58" t="s">
        <v>111</v>
      </c>
      <c r="C81" s="13"/>
      <c r="D81" s="11"/>
      <c r="E81" s="77"/>
      <c r="F81" s="10">
        <v>1</v>
      </c>
      <c r="G81" s="86">
        <v>7669.4</v>
      </c>
      <c r="H81" s="72">
        <f>G81*F81/1000</f>
        <v>7.6693999999999996</v>
      </c>
      <c r="I81" s="10">
        <f>G81</f>
        <v>7669.4</v>
      </c>
    </row>
    <row r="82" spans="1:9" ht="15.75" customHeight="1">
      <c r="A82" s="159" t="s">
        <v>124</v>
      </c>
      <c r="B82" s="160"/>
      <c r="C82" s="160"/>
      <c r="D82" s="160"/>
      <c r="E82" s="160"/>
      <c r="F82" s="160"/>
      <c r="G82" s="160"/>
      <c r="H82" s="160"/>
      <c r="I82" s="161"/>
    </row>
    <row r="83" spans="1:9" ht="15.75" customHeight="1">
      <c r="A83" s="21">
        <v>18</v>
      </c>
      <c r="B83" s="95" t="s">
        <v>112</v>
      </c>
      <c r="C83" s="117" t="s">
        <v>53</v>
      </c>
      <c r="D83" s="135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19</v>
      </c>
      <c r="B84" s="95" t="s">
        <v>162</v>
      </c>
      <c r="C84" s="117" t="s">
        <v>53</v>
      </c>
      <c r="D84" s="133"/>
      <c r="E84" s="134">
        <f>E83</f>
        <v>2054.6</v>
      </c>
      <c r="F84" s="126">
        <f>E84*12</f>
        <v>24655.199999999997</v>
      </c>
      <c r="G84" s="126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I84+I83+I77+I72+I61+I51+I44+I41+I40+I38+I37+I27+I21+I20+I18+I17+I16+I59+I58</f>
        <v>42401.312775499995</v>
      </c>
    </row>
    <row r="86" spans="1:9" ht="15.75" customHeight="1">
      <c r="A86" s="173" t="s">
        <v>58</v>
      </c>
      <c r="B86" s="174"/>
      <c r="C86" s="174"/>
      <c r="D86" s="174"/>
      <c r="E86" s="174"/>
      <c r="F86" s="174"/>
      <c r="G86" s="174"/>
      <c r="H86" s="174"/>
      <c r="I86" s="175"/>
    </row>
    <row r="87" spans="1:9" ht="15.75" customHeight="1">
      <c r="A87" s="21">
        <v>20</v>
      </c>
      <c r="B87" s="88" t="s">
        <v>188</v>
      </c>
      <c r="C87" s="40" t="s">
        <v>28</v>
      </c>
      <c r="D87" s="39" t="s">
        <v>173</v>
      </c>
      <c r="E87" s="27"/>
      <c r="F87" s="96">
        <v>4.0000000000000001E-3</v>
      </c>
      <c r="G87" s="27">
        <v>863.92</v>
      </c>
      <c r="H87" s="145"/>
      <c r="I87" s="150">
        <v>0</v>
      </c>
    </row>
    <row r="88" spans="1:9" ht="15.75" customHeight="1">
      <c r="A88" s="21">
        <v>21</v>
      </c>
      <c r="B88" s="88" t="s">
        <v>189</v>
      </c>
      <c r="C88" s="40" t="s">
        <v>190</v>
      </c>
      <c r="D88" s="39" t="s">
        <v>263</v>
      </c>
      <c r="E88" s="27"/>
      <c r="F88" s="27">
        <v>4</v>
      </c>
      <c r="G88" s="27">
        <v>284</v>
      </c>
      <c r="H88" s="145"/>
      <c r="I88" s="150">
        <v>0</v>
      </c>
    </row>
    <row r="89" spans="1:9" ht="32.25" customHeight="1">
      <c r="A89" s="21">
        <v>22</v>
      </c>
      <c r="B89" s="88" t="s">
        <v>168</v>
      </c>
      <c r="C89" s="40" t="s">
        <v>37</v>
      </c>
      <c r="D89" s="39" t="s">
        <v>173</v>
      </c>
      <c r="E89" s="27"/>
      <c r="F89" s="27">
        <v>0.01</v>
      </c>
      <c r="G89" s="27">
        <v>4070.89</v>
      </c>
      <c r="H89" s="30"/>
      <c r="I89" s="146">
        <v>0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SUM(I87:I89)</f>
        <v>0</v>
      </c>
    </row>
    <row r="91" spans="1:9" ht="15.75" customHeight="1">
      <c r="A91" s="21"/>
      <c r="B91" s="36" t="s">
        <v>75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144</v>
      </c>
      <c r="C92" s="26"/>
      <c r="D92" s="26"/>
      <c r="E92" s="26"/>
      <c r="F92" s="26"/>
      <c r="G92" s="26"/>
      <c r="H92" s="26"/>
      <c r="I92" s="33">
        <f>I85+I90</f>
        <v>42401.312775499995</v>
      </c>
    </row>
    <row r="93" spans="1:9" ht="15.75">
      <c r="A93" s="172" t="s">
        <v>264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46"/>
      <c r="B94" s="167" t="s">
        <v>265</v>
      </c>
      <c r="C94" s="167"/>
      <c r="D94" s="167"/>
      <c r="E94" s="167"/>
      <c r="F94" s="167"/>
      <c r="G94" s="167"/>
      <c r="H94" s="57"/>
      <c r="I94" s="2"/>
    </row>
    <row r="95" spans="1:9">
      <c r="A95" s="45"/>
      <c r="B95" s="163" t="s">
        <v>6</v>
      </c>
      <c r="C95" s="163"/>
      <c r="D95" s="163"/>
      <c r="E95" s="163"/>
      <c r="F95" s="163"/>
      <c r="G95" s="163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8"/>
    </row>
    <row r="101" spans="1:9" ht="15.75">
      <c r="A101" s="170" t="s">
        <v>9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3"/>
    </row>
    <row r="103" spans="1:9" ht="15.75">
      <c r="B103" s="42" t="s">
        <v>10</v>
      </c>
      <c r="C103" s="162" t="s">
        <v>125</v>
      </c>
      <c r="D103" s="162"/>
      <c r="E103" s="162"/>
      <c r="F103" s="55"/>
      <c r="I103" s="44"/>
    </row>
    <row r="104" spans="1:9">
      <c r="A104" s="45"/>
      <c r="C104" s="163" t="s">
        <v>11</v>
      </c>
      <c r="D104" s="163"/>
      <c r="E104" s="163"/>
      <c r="F104" s="16"/>
      <c r="I104" s="43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42" t="s">
        <v>13</v>
      </c>
      <c r="C106" s="164"/>
      <c r="D106" s="164"/>
      <c r="E106" s="164"/>
      <c r="F106" s="56"/>
      <c r="I106" s="44"/>
    </row>
    <row r="107" spans="1:9">
      <c r="A107" s="45"/>
      <c r="C107" s="165" t="s">
        <v>11</v>
      </c>
      <c r="D107" s="165"/>
      <c r="E107" s="165"/>
      <c r="F107" s="45"/>
      <c r="I107" s="43" t="s">
        <v>12</v>
      </c>
    </row>
    <row r="108" spans="1:9" ht="15.75">
      <c r="A108" s="3" t="s">
        <v>14</v>
      </c>
    </row>
    <row r="109" spans="1:9">
      <c r="A109" s="166" t="s">
        <v>15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45" customHeight="1">
      <c r="A110" s="158" t="s">
        <v>16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0" customHeight="1">
      <c r="A111" s="158" t="s">
        <v>17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21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" customHeight="1">
      <c r="A113" s="158" t="s">
        <v>20</v>
      </c>
      <c r="B113" s="158"/>
      <c r="C113" s="158"/>
      <c r="D113" s="158"/>
      <c r="E113" s="158"/>
      <c r="F113" s="158"/>
      <c r="G113" s="158"/>
      <c r="H113" s="158"/>
      <c r="I113" s="158"/>
    </row>
  </sheetData>
  <mergeCells count="28">
    <mergeCell ref="A14:I14"/>
    <mergeCell ref="A3:I3"/>
    <mergeCell ref="A4:I4"/>
    <mergeCell ref="A5:I5"/>
    <mergeCell ref="A8:I8"/>
    <mergeCell ref="A10:I10"/>
    <mergeCell ref="A99:I99"/>
    <mergeCell ref="A101:I101"/>
    <mergeCell ref="A15:I15"/>
    <mergeCell ref="A28:I28"/>
    <mergeCell ref="A93:I93"/>
    <mergeCell ref="A86:I86"/>
    <mergeCell ref="A111:I111"/>
    <mergeCell ref="A112:I112"/>
    <mergeCell ref="A113:I113"/>
    <mergeCell ref="A45:I45"/>
    <mergeCell ref="A56:I56"/>
    <mergeCell ref="A82:I82"/>
    <mergeCell ref="C103:E103"/>
    <mergeCell ref="C104:E104"/>
    <mergeCell ref="C106:E106"/>
    <mergeCell ref="C107:E107"/>
    <mergeCell ref="A109:I109"/>
    <mergeCell ref="A110:I110"/>
    <mergeCell ref="B94:G94"/>
    <mergeCell ref="B95:G95"/>
    <mergeCell ref="A97:I97"/>
    <mergeCell ref="A98:I9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3"/>
  <sheetViews>
    <sheetView topLeftCell="A62"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2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142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246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44135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247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8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8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8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2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3.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102</v>
      </c>
      <c r="C30" s="29" t="s">
        <v>83</v>
      </c>
      <c r="D30" s="25" t="s">
        <v>171</v>
      </c>
      <c r="E30" s="105">
        <v>124</v>
      </c>
      <c r="F30" s="105">
        <f>SUM(E30*24/1000)</f>
        <v>2.976</v>
      </c>
      <c r="G30" s="105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101</v>
      </c>
      <c r="C31" s="29" t="s">
        <v>83</v>
      </c>
      <c r="D31" s="25" t="s">
        <v>170</v>
      </c>
      <c r="E31" s="105">
        <v>128</v>
      </c>
      <c r="F31" s="105">
        <f>SUM(E31*52/1000)</f>
        <v>6.6559999999999997</v>
      </c>
      <c r="G31" s="105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5">
        <v>124</v>
      </c>
      <c r="F32" s="105">
        <f>SUM(E32/1000)</f>
        <v>0.124</v>
      </c>
      <c r="G32" s="105">
        <v>4329.78</v>
      </c>
      <c r="H32" s="62">
        <f t="shared" si="2"/>
        <v>0.53689271999999999</v>
      </c>
      <c r="I32" s="10">
        <f>F32*G32</f>
        <v>536.89271999999994</v>
      </c>
    </row>
    <row r="33" spans="1:9" ht="14.25" customHeight="1">
      <c r="A33" s="21">
        <v>9</v>
      </c>
      <c r="B33" s="25" t="s">
        <v>167</v>
      </c>
      <c r="C33" s="29" t="s">
        <v>39</v>
      </c>
      <c r="D33" s="25" t="s">
        <v>172</v>
      </c>
      <c r="E33" s="137">
        <v>1</v>
      </c>
      <c r="F33" s="105">
        <f>E33*155/100</f>
        <v>1.55</v>
      </c>
      <c r="G33" s="105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33.75" hidden="1" customHeight="1">
      <c r="A44" s="147">
        <v>10</v>
      </c>
      <c r="B44" s="107" t="s">
        <v>155</v>
      </c>
      <c r="C44" s="108" t="s">
        <v>83</v>
      </c>
      <c r="D44" s="107" t="s">
        <v>173</v>
      </c>
      <c r="E44" s="106">
        <v>1.8</v>
      </c>
      <c r="F44" s="109">
        <f>E44*12/1000</f>
        <v>2.1600000000000001E-2</v>
      </c>
      <c r="G44" s="109">
        <v>19757.060000000001</v>
      </c>
      <c r="H44" s="54"/>
      <c r="I44" s="10">
        <f>G44*1.8/1000</f>
        <v>35.562708000000008</v>
      </c>
    </row>
    <row r="45" spans="1:9" ht="18" hidden="1" customHeight="1">
      <c r="A45" s="159" t="s">
        <v>122</v>
      </c>
      <c r="B45" s="160"/>
      <c r="C45" s="160"/>
      <c r="D45" s="160"/>
      <c r="E45" s="160"/>
      <c r="F45" s="160"/>
      <c r="G45" s="160"/>
      <c r="H45" s="160"/>
      <c r="I45" s="161"/>
    </row>
    <row r="46" spans="1:9" ht="21.75" hidden="1" customHeight="1">
      <c r="A46" s="21"/>
      <c r="B46" s="58" t="s">
        <v>103</v>
      </c>
      <c r="C46" s="59" t="s">
        <v>83</v>
      </c>
      <c r="D46" s="58" t="s">
        <v>41</v>
      </c>
      <c r="E46" s="60">
        <v>917.75</v>
      </c>
      <c r="F46" s="61">
        <f>SUM(E46*2/1000)</f>
        <v>1.8354999999999999</v>
      </c>
      <c r="G46" s="10">
        <v>865.61</v>
      </c>
      <c r="H46" s="62">
        <f t="shared" ref="H46:H55" si="6">SUM(F46*G46/1000)</f>
        <v>1.5888271549999999</v>
      </c>
      <c r="I46" s="10">
        <v>0</v>
      </c>
    </row>
    <row r="47" spans="1:9" ht="21" hidden="1" customHeight="1">
      <c r="A47" s="21"/>
      <c r="B47" s="58" t="s">
        <v>34</v>
      </c>
      <c r="C47" s="59" t="s">
        <v>83</v>
      </c>
      <c r="D47" s="58" t="s">
        <v>41</v>
      </c>
      <c r="E47" s="60">
        <v>48</v>
      </c>
      <c r="F47" s="61">
        <f>E47*2/1000</f>
        <v>9.6000000000000002E-2</v>
      </c>
      <c r="G47" s="10">
        <v>619.46</v>
      </c>
      <c r="H47" s="62">
        <f t="shared" si="6"/>
        <v>5.9468160000000006E-2</v>
      </c>
      <c r="I47" s="10">
        <v>0</v>
      </c>
    </row>
    <row r="48" spans="1:9" ht="21" hidden="1" customHeight="1">
      <c r="A48" s="21"/>
      <c r="B48" s="58" t="s">
        <v>35</v>
      </c>
      <c r="C48" s="59" t="s">
        <v>83</v>
      </c>
      <c r="D48" s="58" t="s">
        <v>41</v>
      </c>
      <c r="E48" s="60">
        <v>937.4</v>
      </c>
      <c r="F48" s="61">
        <f>SUM(E48*2/1000)</f>
        <v>1.8748</v>
      </c>
      <c r="G48" s="10">
        <v>619.46</v>
      </c>
      <c r="H48" s="62">
        <f t="shared" si="6"/>
        <v>1.161363608</v>
      </c>
      <c r="I48" s="10">
        <v>0</v>
      </c>
    </row>
    <row r="49" spans="1:9" ht="21.75" hidden="1" customHeight="1">
      <c r="A49" s="21"/>
      <c r="B49" s="58" t="s">
        <v>36</v>
      </c>
      <c r="C49" s="59" t="s">
        <v>83</v>
      </c>
      <c r="D49" s="58" t="s">
        <v>41</v>
      </c>
      <c r="E49" s="60">
        <v>1243.28</v>
      </c>
      <c r="F49" s="61">
        <f>SUM(E49*2/1000)</f>
        <v>2.4865599999999999</v>
      </c>
      <c r="G49" s="10">
        <v>648.64</v>
      </c>
      <c r="H49" s="62">
        <f t="shared" si="6"/>
        <v>1.6128822783999999</v>
      </c>
      <c r="I49" s="10">
        <v>0</v>
      </c>
    </row>
    <row r="50" spans="1:9" ht="22.5" hidden="1" customHeight="1">
      <c r="A50" s="21"/>
      <c r="B50" s="58" t="s">
        <v>32</v>
      </c>
      <c r="C50" s="59" t="s">
        <v>33</v>
      </c>
      <c r="D50" s="58" t="s">
        <v>41</v>
      </c>
      <c r="E50" s="60">
        <v>64.5</v>
      </c>
      <c r="F50" s="61">
        <f>SUM(E50*2/100)</f>
        <v>1.29</v>
      </c>
      <c r="G50" s="10">
        <v>77.84</v>
      </c>
      <c r="H50" s="62">
        <f t="shared" si="6"/>
        <v>0.10041360000000001</v>
      </c>
      <c r="I50" s="10">
        <v>0</v>
      </c>
    </row>
    <row r="51" spans="1:9" ht="23.25" hidden="1" customHeight="1">
      <c r="A51" s="21">
        <v>14</v>
      </c>
      <c r="B51" s="58" t="s">
        <v>54</v>
      </c>
      <c r="C51" s="59" t="s">
        <v>83</v>
      </c>
      <c r="D51" s="58" t="s">
        <v>131</v>
      </c>
      <c r="E51" s="60">
        <v>678.4</v>
      </c>
      <c r="F51" s="61">
        <f>SUM(E51*5/1000)</f>
        <v>3.3919999999999999</v>
      </c>
      <c r="G51" s="10">
        <v>1297.28</v>
      </c>
      <c r="H51" s="62">
        <f t="shared" si="6"/>
        <v>4.4003737599999999</v>
      </c>
      <c r="I51" s="10">
        <f>F51/5*G51</f>
        <v>880.07475199999999</v>
      </c>
    </row>
    <row r="52" spans="1:9" ht="30.75" hidden="1" customHeight="1">
      <c r="A52" s="21">
        <v>10</v>
      </c>
      <c r="B52" s="58" t="s">
        <v>84</v>
      </c>
      <c r="C52" s="59" t="s">
        <v>83</v>
      </c>
      <c r="D52" s="58" t="s">
        <v>41</v>
      </c>
      <c r="E52" s="60">
        <v>678.4</v>
      </c>
      <c r="F52" s="61">
        <f>SUM(E52*2/1000)</f>
        <v>1.3568</v>
      </c>
      <c r="G52" s="10">
        <v>1297.28</v>
      </c>
      <c r="H52" s="62">
        <f t="shared" si="6"/>
        <v>1.7601495039999999</v>
      </c>
      <c r="I52" s="10">
        <f>G52*F52/2</f>
        <v>880.07475199999999</v>
      </c>
    </row>
    <row r="53" spans="1:9" ht="29.25" hidden="1" customHeight="1">
      <c r="A53" s="21">
        <v>11</v>
      </c>
      <c r="B53" s="58" t="s">
        <v>85</v>
      </c>
      <c r="C53" s="59" t="s">
        <v>37</v>
      </c>
      <c r="D53" s="58" t="s">
        <v>41</v>
      </c>
      <c r="E53" s="60">
        <v>12</v>
      </c>
      <c r="F53" s="61">
        <f>SUM(E53*2/100)</f>
        <v>0.24</v>
      </c>
      <c r="G53" s="10">
        <v>2918.89</v>
      </c>
      <c r="H53" s="62">
        <f t="shared" si="6"/>
        <v>0.70053359999999998</v>
      </c>
      <c r="I53" s="10">
        <f>G53*F53/2</f>
        <v>350.26679999999999</v>
      </c>
    </row>
    <row r="54" spans="1:9" ht="21.75" hidden="1" customHeight="1">
      <c r="A54" s="21">
        <v>12</v>
      </c>
      <c r="B54" s="58" t="s">
        <v>38</v>
      </c>
      <c r="C54" s="59" t="s">
        <v>39</v>
      </c>
      <c r="D54" s="58" t="s">
        <v>41</v>
      </c>
      <c r="E54" s="60">
        <v>1</v>
      </c>
      <c r="F54" s="61">
        <v>0.02</v>
      </c>
      <c r="G54" s="10">
        <v>6042.12</v>
      </c>
      <c r="H54" s="62">
        <f t="shared" si="6"/>
        <v>0.1208424</v>
      </c>
      <c r="I54" s="10">
        <f>G54*F54/2</f>
        <v>60.421199999999999</v>
      </c>
    </row>
    <row r="55" spans="1:9" ht="21" hidden="1" customHeight="1">
      <c r="A55" s="21">
        <v>15</v>
      </c>
      <c r="B55" s="58" t="s">
        <v>40</v>
      </c>
      <c r="C55" s="59" t="s">
        <v>104</v>
      </c>
      <c r="D55" s="58" t="s">
        <v>68</v>
      </c>
      <c r="E55" s="60">
        <v>72</v>
      </c>
      <c r="F55" s="61">
        <f>SUM(E55)*3</f>
        <v>216</v>
      </c>
      <c r="G55" s="10">
        <v>70.209999999999994</v>
      </c>
      <c r="H55" s="62">
        <f t="shared" si="6"/>
        <v>15.165359999999998</v>
      </c>
      <c r="I55" s="10">
        <f>E55*G55</f>
        <v>5055.12</v>
      </c>
    </row>
    <row r="56" spans="1:9" ht="15.75" customHeight="1">
      <c r="A56" s="159" t="s">
        <v>134</v>
      </c>
      <c r="B56" s="160"/>
      <c r="C56" s="160"/>
      <c r="D56" s="160"/>
      <c r="E56" s="160"/>
      <c r="F56" s="160"/>
      <c r="G56" s="160"/>
      <c r="H56" s="160"/>
      <c r="I56" s="161"/>
    </row>
    <row r="57" spans="1:9" ht="15.75" hidden="1" customHeight="1">
      <c r="A57" s="21"/>
      <c r="B57" s="78" t="s">
        <v>42</v>
      </c>
      <c r="C57" s="59"/>
      <c r="D57" s="58"/>
      <c r="E57" s="60"/>
      <c r="F57" s="61"/>
      <c r="G57" s="61"/>
      <c r="H57" s="62"/>
      <c r="I57" s="10"/>
    </row>
    <row r="58" spans="1:9" ht="31.5" hidden="1" customHeight="1">
      <c r="A58" s="21">
        <v>16</v>
      </c>
      <c r="B58" s="58" t="s">
        <v>105</v>
      </c>
      <c r="C58" s="59" t="s">
        <v>80</v>
      </c>
      <c r="D58" s="58" t="s">
        <v>106</v>
      </c>
      <c r="E58" s="60">
        <v>110.66</v>
      </c>
      <c r="F58" s="61">
        <f>SUM(E58*6/100)</f>
        <v>6.6396000000000006</v>
      </c>
      <c r="G58" s="10">
        <v>1654.04</v>
      </c>
      <c r="H58" s="62">
        <f>SUM(F58*G58/1000)</f>
        <v>10.982163984000001</v>
      </c>
      <c r="I58" s="10">
        <f>F58/6*G58</f>
        <v>1830.360664</v>
      </c>
    </row>
    <row r="59" spans="1:9" ht="19.5" customHeight="1">
      <c r="A59" s="21"/>
      <c r="B59" s="115" t="s">
        <v>157</v>
      </c>
      <c r="C59" s="111"/>
      <c r="D59" s="110"/>
      <c r="E59" s="112"/>
      <c r="F59" s="116"/>
      <c r="G59" s="27"/>
      <c r="H59" s="97"/>
      <c r="I59" s="10"/>
    </row>
    <row r="60" spans="1:9" ht="16.5" customHeight="1">
      <c r="A60" s="21">
        <v>10</v>
      </c>
      <c r="B60" s="95" t="s">
        <v>149</v>
      </c>
      <c r="C60" s="117" t="s">
        <v>150</v>
      </c>
      <c r="D60" s="95" t="s">
        <v>173</v>
      </c>
      <c r="E60" s="130">
        <v>120</v>
      </c>
      <c r="F60" s="116">
        <f>E60*12</f>
        <v>1440</v>
      </c>
      <c r="G60" s="27">
        <v>1.4</v>
      </c>
      <c r="H60" s="71"/>
      <c r="I60" s="10">
        <f>G60*F60/12</f>
        <v>167.99999999999997</v>
      </c>
    </row>
    <row r="61" spans="1:9" ht="15.75" customHeight="1">
      <c r="A61" s="21"/>
      <c r="B61" s="79" t="s">
        <v>43</v>
      </c>
      <c r="C61" s="67"/>
      <c r="D61" s="68"/>
      <c r="E61" s="69"/>
      <c r="F61" s="70"/>
      <c r="G61" s="70"/>
      <c r="H61" s="71" t="s">
        <v>113</v>
      </c>
      <c r="I61" s="10"/>
    </row>
    <row r="62" spans="1:9" ht="15.75" customHeight="1">
      <c r="A62" s="21">
        <v>11</v>
      </c>
      <c r="B62" s="11" t="s">
        <v>44</v>
      </c>
      <c r="C62" s="13" t="s">
        <v>104</v>
      </c>
      <c r="D62" s="11" t="s">
        <v>175</v>
      </c>
      <c r="E62" s="15">
        <v>8</v>
      </c>
      <c r="F62" s="61">
        <v>8</v>
      </c>
      <c r="G62" s="27">
        <v>318.82</v>
      </c>
      <c r="H62" s="72">
        <f t="shared" ref="H62:H78" si="7">SUM(F62*G62/1000)</f>
        <v>2.5505599999999999</v>
      </c>
      <c r="I62" s="10">
        <f>G62*2</f>
        <v>637.64</v>
      </c>
    </row>
    <row r="63" spans="1:9" ht="15.75" hidden="1" customHeight="1">
      <c r="A63" s="21"/>
      <c r="B63" s="11" t="s">
        <v>45</v>
      </c>
      <c r="C63" s="13" t="s">
        <v>104</v>
      </c>
      <c r="D63" s="11" t="s">
        <v>64</v>
      </c>
      <c r="E63" s="15">
        <v>3</v>
      </c>
      <c r="F63" s="61">
        <v>3</v>
      </c>
      <c r="G63" s="10">
        <v>81.510000000000005</v>
      </c>
      <c r="H63" s="72">
        <f t="shared" si="7"/>
        <v>0.24453000000000003</v>
      </c>
      <c r="I63" s="10">
        <v>0</v>
      </c>
    </row>
    <row r="64" spans="1:9" ht="15.75" hidden="1" customHeight="1">
      <c r="A64" s="21"/>
      <c r="B64" s="11" t="s">
        <v>46</v>
      </c>
      <c r="C64" s="13" t="s">
        <v>107</v>
      </c>
      <c r="D64" s="11" t="s">
        <v>52</v>
      </c>
      <c r="E64" s="60">
        <v>8539</v>
      </c>
      <c r="F64" s="10">
        <f>SUM(E64/100)</f>
        <v>85.39</v>
      </c>
      <c r="G64" s="10">
        <v>226.79</v>
      </c>
      <c r="H64" s="72">
        <f t="shared" si="7"/>
        <v>19.3655981</v>
      </c>
      <c r="I64" s="10">
        <v>0</v>
      </c>
    </row>
    <row r="65" spans="1:9" ht="15.75" hidden="1" customHeight="1">
      <c r="A65" s="21"/>
      <c r="B65" s="11" t="s">
        <v>47</v>
      </c>
      <c r="C65" s="13" t="s">
        <v>108</v>
      </c>
      <c r="D65" s="11"/>
      <c r="E65" s="60">
        <v>8539</v>
      </c>
      <c r="F65" s="10">
        <f>SUM(E65/1000)</f>
        <v>8.5389999999999997</v>
      </c>
      <c r="G65" s="10">
        <v>176.61</v>
      </c>
      <c r="H65" s="72">
        <f t="shared" si="7"/>
        <v>1.5080727900000002</v>
      </c>
      <c r="I65" s="10">
        <v>0</v>
      </c>
    </row>
    <row r="66" spans="1:9" ht="15.75" hidden="1" customHeight="1">
      <c r="A66" s="21"/>
      <c r="B66" s="11" t="s">
        <v>48</v>
      </c>
      <c r="C66" s="13" t="s">
        <v>74</v>
      </c>
      <c r="D66" s="11" t="s">
        <v>52</v>
      </c>
      <c r="E66" s="60">
        <v>1370</v>
      </c>
      <c r="F66" s="10">
        <f>SUM(E66/100)</f>
        <v>13.7</v>
      </c>
      <c r="G66" s="10">
        <v>2217.7800000000002</v>
      </c>
      <c r="H66" s="72">
        <f t="shared" si="7"/>
        <v>30.383586000000005</v>
      </c>
      <c r="I66" s="10">
        <v>0</v>
      </c>
    </row>
    <row r="67" spans="1:9" ht="15.75" hidden="1" customHeight="1">
      <c r="A67" s="21"/>
      <c r="B67" s="73" t="s">
        <v>109</v>
      </c>
      <c r="C67" s="13" t="s">
        <v>31</v>
      </c>
      <c r="D67" s="11"/>
      <c r="E67" s="60">
        <v>9</v>
      </c>
      <c r="F67" s="10">
        <f>SUM(E67)</f>
        <v>9</v>
      </c>
      <c r="G67" s="10">
        <v>42.67</v>
      </c>
      <c r="H67" s="72">
        <f t="shared" si="7"/>
        <v>0.38403000000000004</v>
      </c>
      <c r="I67" s="10">
        <v>0</v>
      </c>
    </row>
    <row r="68" spans="1:9" ht="15.75" hidden="1" customHeight="1">
      <c r="A68" s="21"/>
      <c r="B68" s="73" t="s">
        <v>110</v>
      </c>
      <c r="C68" s="13" t="s">
        <v>31</v>
      </c>
      <c r="D68" s="11"/>
      <c r="E68" s="60">
        <v>9</v>
      </c>
      <c r="F68" s="10">
        <f>SUM(E68)</f>
        <v>9</v>
      </c>
      <c r="G68" s="10">
        <v>39.81</v>
      </c>
      <c r="H68" s="72">
        <f t="shared" si="7"/>
        <v>0.35829</v>
      </c>
      <c r="I68" s="10">
        <v>0</v>
      </c>
    </row>
    <row r="69" spans="1:9" ht="15.75" hidden="1" customHeight="1">
      <c r="A69" s="21"/>
      <c r="B69" s="11" t="s">
        <v>55</v>
      </c>
      <c r="C69" s="13" t="s">
        <v>56</v>
      </c>
      <c r="D69" s="11" t="s">
        <v>52</v>
      </c>
      <c r="E69" s="15">
        <v>3</v>
      </c>
      <c r="F69" s="61">
        <v>3</v>
      </c>
      <c r="G69" s="10">
        <v>53.62</v>
      </c>
      <c r="H69" s="72">
        <f t="shared" si="7"/>
        <v>0.16085999999999998</v>
      </c>
      <c r="I69" s="10">
        <v>0</v>
      </c>
    </row>
    <row r="70" spans="1:9" ht="15.75" customHeight="1">
      <c r="A70" s="21"/>
      <c r="B70" s="118" t="s">
        <v>159</v>
      </c>
      <c r="C70" s="119"/>
      <c r="D70" s="120"/>
      <c r="E70" s="121"/>
      <c r="F70" s="122"/>
      <c r="G70" s="122"/>
      <c r="H70" s="10"/>
      <c r="I70" s="10"/>
    </row>
    <row r="71" spans="1:9" ht="33" customHeight="1">
      <c r="A71" s="21">
        <v>12</v>
      </c>
      <c r="B71" s="95" t="s">
        <v>160</v>
      </c>
      <c r="C71" s="123" t="s">
        <v>161</v>
      </c>
      <c r="D71" s="120"/>
      <c r="E71" s="121">
        <v>2054.6</v>
      </c>
      <c r="F71" s="122">
        <f>E71*12</f>
        <v>24655.199999999997</v>
      </c>
      <c r="G71" s="122">
        <v>2.4900000000000002</v>
      </c>
      <c r="H71" s="10"/>
      <c r="I71" s="10">
        <f>G71*F71/12</f>
        <v>5115.9539999999997</v>
      </c>
    </row>
    <row r="72" spans="1:9" ht="15.75" customHeight="1">
      <c r="A72" s="21"/>
      <c r="B72" s="23" t="s">
        <v>69</v>
      </c>
      <c r="C72" s="13"/>
      <c r="D72" s="11"/>
      <c r="E72" s="15"/>
      <c r="F72" s="10"/>
      <c r="G72" s="10"/>
      <c r="H72" s="72" t="s">
        <v>113</v>
      </c>
      <c r="I72" s="10"/>
    </row>
    <row r="73" spans="1:9" ht="15.75" hidden="1" customHeight="1">
      <c r="A73" s="21"/>
      <c r="B73" s="11" t="s">
        <v>70</v>
      </c>
      <c r="C73" s="13" t="s">
        <v>72</v>
      </c>
      <c r="D73" s="11"/>
      <c r="E73" s="15">
        <v>2</v>
      </c>
      <c r="F73" s="10">
        <v>0.2</v>
      </c>
      <c r="G73" s="10">
        <v>536.23</v>
      </c>
      <c r="H73" s="72">
        <f t="shared" si="7"/>
        <v>0.10724600000000001</v>
      </c>
      <c r="I73" s="10">
        <v>0</v>
      </c>
    </row>
    <row r="74" spans="1:9" ht="15.75" hidden="1" customHeight="1">
      <c r="A74" s="21"/>
      <c r="B74" s="11" t="s">
        <v>71</v>
      </c>
      <c r="C74" s="13" t="s">
        <v>29</v>
      </c>
      <c r="D74" s="11"/>
      <c r="E74" s="15">
        <v>1</v>
      </c>
      <c r="F74" s="54">
        <v>1</v>
      </c>
      <c r="G74" s="10">
        <v>911.85</v>
      </c>
      <c r="H74" s="72">
        <f>F74*G74/1000</f>
        <v>0.91185000000000005</v>
      </c>
      <c r="I74" s="10">
        <v>0</v>
      </c>
    </row>
    <row r="75" spans="1:9" ht="15.75" hidden="1" customHeight="1">
      <c r="A75" s="21"/>
      <c r="B75" s="11" t="s">
        <v>120</v>
      </c>
      <c r="C75" s="13" t="s">
        <v>29</v>
      </c>
      <c r="D75" s="11"/>
      <c r="E75" s="15">
        <v>1</v>
      </c>
      <c r="F75" s="10">
        <v>1</v>
      </c>
      <c r="G75" s="10">
        <v>383.25</v>
      </c>
      <c r="H75" s="72">
        <f>G75*F75/1000</f>
        <v>0.38324999999999998</v>
      </c>
      <c r="I75" s="10">
        <v>0</v>
      </c>
    </row>
    <row r="76" spans="1:9" ht="15.75" customHeight="1">
      <c r="A76" s="21">
        <v>13</v>
      </c>
      <c r="B76" s="95" t="s">
        <v>158</v>
      </c>
      <c r="C76" s="117" t="s">
        <v>104</v>
      </c>
      <c r="D76" s="95" t="s">
        <v>174</v>
      </c>
      <c r="E76" s="14">
        <v>2</v>
      </c>
      <c r="F76" s="27">
        <f>E76*12</f>
        <v>24</v>
      </c>
      <c r="G76" s="27">
        <v>404</v>
      </c>
      <c r="H76" s="72"/>
      <c r="I76" s="10">
        <f>G76*2</f>
        <v>808</v>
      </c>
    </row>
    <row r="77" spans="1:9" ht="15.75" hidden="1" customHeight="1">
      <c r="A77" s="21"/>
      <c r="B77" s="74" t="s">
        <v>73</v>
      </c>
      <c r="C77" s="13"/>
      <c r="D77" s="11"/>
      <c r="E77" s="15"/>
      <c r="F77" s="10"/>
      <c r="G77" s="10" t="s">
        <v>113</v>
      </c>
      <c r="H77" s="72" t="s">
        <v>113</v>
      </c>
      <c r="I77" s="10"/>
    </row>
    <row r="78" spans="1:9" ht="15.75" hidden="1" customHeight="1">
      <c r="A78" s="21"/>
      <c r="B78" s="36" t="s">
        <v>114</v>
      </c>
      <c r="C78" s="13" t="s">
        <v>74</v>
      </c>
      <c r="D78" s="11"/>
      <c r="E78" s="15"/>
      <c r="F78" s="10">
        <v>1.35</v>
      </c>
      <c r="G78" s="10">
        <v>2949.85</v>
      </c>
      <c r="H78" s="72">
        <f t="shared" si="7"/>
        <v>3.9822975</v>
      </c>
      <c r="I78" s="10">
        <v>0</v>
      </c>
    </row>
    <row r="79" spans="1:9" ht="19.5" hidden="1" customHeight="1">
      <c r="A79" s="21"/>
      <c r="B79" s="53" t="s">
        <v>86</v>
      </c>
      <c r="C79" s="75"/>
      <c r="D79" s="23"/>
      <c r="E79" s="24"/>
      <c r="F79" s="64"/>
      <c r="G79" s="64"/>
      <c r="H79" s="76">
        <f>SUM(H58:H78)</f>
        <v>71.322334374000008</v>
      </c>
      <c r="I79" s="64"/>
    </row>
    <row r="80" spans="1:9" ht="15" hidden="1" customHeight="1">
      <c r="A80" s="21">
        <v>14</v>
      </c>
      <c r="B80" s="58" t="s">
        <v>111</v>
      </c>
      <c r="C80" s="13"/>
      <c r="D80" s="11"/>
      <c r="E80" s="77"/>
      <c r="F80" s="10">
        <v>1</v>
      </c>
      <c r="G80" s="10">
        <v>1046.8</v>
      </c>
      <c r="H80" s="72">
        <f>G80*F80/1000</f>
        <v>1.0468</v>
      </c>
      <c r="I80" s="10">
        <f>G80*1</f>
        <v>1046.8</v>
      </c>
    </row>
    <row r="81" spans="1:9" ht="15.75" customHeight="1">
      <c r="A81" s="159" t="s">
        <v>135</v>
      </c>
      <c r="B81" s="160"/>
      <c r="C81" s="160"/>
      <c r="D81" s="160"/>
      <c r="E81" s="160"/>
      <c r="F81" s="160"/>
      <c r="G81" s="160"/>
      <c r="H81" s="160"/>
      <c r="I81" s="161"/>
    </row>
    <row r="82" spans="1:9" ht="15.75" customHeight="1">
      <c r="A82" s="21">
        <v>14</v>
      </c>
      <c r="B82" s="95" t="s">
        <v>112</v>
      </c>
      <c r="C82" s="117" t="s">
        <v>53</v>
      </c>
      <c r="D82" s="135"/>
      <c r="E82" s="27">
        <v>2054.6</v>
      </c>
      <c r="F82" s="27">
        <f>SUM(E82*12)</f>
        <v>24655.199999999997</v>
      </c>
      <c r="G82" s="27">
        <v>3.38</v>
      </c>
      <c r="H82" s="72">
        <f>SUM(F82*G82/1000)</f>
        <v>83.334575999999984</v>
      </c>
      <c r="I82" s="10">
        <f>F82/12*G82</f>
        <v>6944.5479999999998</v>
      </c>
    </row>
    <row r="83" spans="1:9" ht="31.5" customHeight="1">
      <c r="A83" s="21">
        <v>15</v>
      </c>
      <c r="B83" s="95" t="s">
        <v>162</v>
      </c>
      <c r="C83" s="117" t="s">
        <v>53</v>
      </c>
      <c r="D83" s="133"/>
      <c r="E83" s="134">
        <f>E82</f>
        <v>2054.6</v>
      </c>
      <c r="F83" s="126">
        <f>E83*12</f>
        <v>24655.199999999997</v>
      </c>
      <c r="G83" s="126">
        <v>3.05</v>
      </c>
      <c r="H83" s="72">
        <f>F83*G83/1000</f>
        <v>75.19835999999998</v>
      </c>
      <c r="I83" s="10">
        <f>F83/12*G83</f>
        <v>6266.53</v>
      </c>
    </row>
    <row r="84" spans="1:9" ht="15.75" customHeight="1">
      <c r="A84" s="21"/>
      <c r="B84" s="28" t="s">
        <v>76</v>
      </c>
      <c r="C84" s="75"/>
      <c r="D84" s="74"/>
      <c r="E84" s="64"/>
      <c r="F84" s="64"/>
      <c r="G84" s="64"/>
      <c r="H84" s="76">
        <f>H83</f>
        <v>75.19835999999998</v>
      </c>
      <c r="I84" s="64">
        <f>I83+I82+I76+I71+I62+I60+I33+I31+I30+I27+I21+I20+I18+I17+I16</f>
        <v>30386.140917999997</v>
      </c>
    </row>
    <row r="85" spans="1:9" ht="15.75" customHeight="1">
      <c r="A85" s="173" t="s">
        <v>58</v>
      </c>
      <c r="B85" s="174"/>
      <c r="C85" s="174"/>
      <c r="D85" s="174"/>
      <c r="E85" s="174"/>
      <c r="F85" s="174"/>
      <c r="G85" s="174"/>
      <c r="H85" s="174"/>
      <c r="I85" s="175"/>
    </row>
    <row r="86" spans="1:9" ht="18" customHeight="1">
      <c r="A86" s="21">
        <v>16</v>
      </c>
      <c r="B86" s="88" t="s">
        <v>248</v>
      </c>
      <c r="C86" s="40" t="s">
        <v>39</v>
      </c>
      <c r="D86" s="39" t="s">
        <v>173</v>
      </c>
      <c r="E86" s="27"/>
      <c r="F86" s="27">
        <v>0.01</v>
      </c>
      <c r="G86" s="27">
        <v>27139.18</v>
      </c>
      <c r="H86" s="10">
        <f>G86*F86/1000</f>
        <v>0.27139180000000002</v>
      </c>
      <c r="I86" s="10">
        <v>0</v>
      </c>
    </row>
    <row r="87" spans="1:9" ht="15.75" hidden="1" customHeight="1">
      <c r="A87" s="21">
        <v>18</v>
      </c>
      <c r="B87" s="88"/>
      <c r="C87" s="40"/>
      <c r="D87" s="39"/>
      <c r="E87" s="27"/>
      <c r="F87" s="27">
        <v>5.5</v>
      </c>
      <c r="G87" s="27"/>
      <c r="H87" s="87">
        <f t="shared" ref="H87" si="8">G87*F87/1000</f>
        <v>0</v>
      </c>
      <c r="I87" s="10"/>
    </row>
    <row r="88" spans="1:9" ht="30.75" customHeight="1">
      <c r="A88" s="21">
        <v>17</v>
      </c>
      <c r="B88" s="88" t="s">
        <v>234</v>
      </c>
      <c r="C88" s="40" t="s">
        <v>235</v>
      </c>
      <c r="D88" s="39" t="s">
        <v>249</v>
      </c>
      <c r="E88" s="27"/>
      <c r="F88" s="27">
        <v>3</v>
      </c>
      <c r="G88" s="27">
        <v>61.58</v>
      </c>
      <c r="H88" s="87"/>
      <c r="I88" s="10">
        <f>G88*1</f>
        <v>61.58</v>
      </c>
    </row>
    <row r="89" spans="1:9" ht="15.75" customHeight="1">
      <c r="A89" s="21">
        <v>18</v>
      </c>
      <c r="B89" s="88" t="s">
        <v>223</v>
      </c>
      <c r="C89" s="40" t="s">
        <v>39</v>
      </c>
      <c r="D89" s="39" t="s">
        <v>173</v>
      </c>
      <c r="E89" s="27"/>
      <c r="F89" s="27">
        <v>0.03</v>
      </c>
      <c r="G89" s="27">
        <v>27139.18</v>
      </c>
      <c r="H89" s="87"/>
      <c r="I89" s="10">
        <v>0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SUM(I86:I89)</f>
        <v>61.58</v>
      </c>
    </row>
    <row r="91" spans="1:9" ht="15.75" customHeight="1">
      <c r="A91" s="21"/>
      <c r="B91" s="36" t="s">
        <v>75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50</v>
      </c>
      <c r="C92" s="26"/>
      <c r="D92" s="26"/>
      <c r="E92" s="26"/>
      <c r="F92" s="26"/>
      <c r="G92" s="26"/>
      <c r="H92" s="26"/>
      <c r="I92" s="33">
        <f>I84+I90</f>
        <v>30447.720917999999</v>
      </c>
    </row>
    <row r="93" spans="1:9" ht="15.75">
      <c r="A93" s="172" t="s">
        <v>280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46"/>
      <c r="B94" s="167" t="s">
        <v>281</v>
      </c>
      <c r="C94" s="167"/>
      <c r="D94" s="167"/>
      <c r="E94" s="167"/>
      <c r="F94" s="167"/>
      <c r="G94" s="167"/>
      <c r="H94" s="57"/>
      <c r="I94" s="2"/>
    </row>
    <row r="95" spans="1:9">
      <c r="A95" s="49"/>
      <c r="B95" s="163" t="s">
        <v>6</v>
      </c>
      <c r="C95" s="163"/>
      <c r="D95" s="163"/>
      <c r="E95" s="163"/>
      <c r="F95" s="163"/>
      <c r="G95" s="163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8"/>
    </row>
    <row r="101" spans="1:9" ht="15.75">
      <c r="A101" s="170" t="s">
        <v>9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3"/>
    </row>
    <row r="103" spans="1:9" ht="15.75">
      <c r="B103" s="50" t="s">
        <v>10</v>
      </c>
      <c r="C103" s="162" t="s">
        <v>125</v>
      </c>
      <c r="D103" s="162"/>
      <c r="E103" s="162"/>
      <c r="F103" s="55"/>
      <c r="I103" s="48"/>
    </row>
    <row r="104" spans="1:9">
      <c r="A104" s="49"/>
      <c r="C104" s="163" t="s">
        <v>11</v>
      </c>
      <c r="D104" s="163"/>
      <c r="E104" s="163"/>
      <c r="F104" s="16"/>
      <c r="I104" s="47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50" t="s">
        <v>13</v>
      </c>
      <c r="C106" s="164"/>
      <c r="D106" s="164"/>
      <c r="E106" s="164"/>
      <c r="F106" s="56"/>
      <c r="I106" s="48"/>
    </row>
    <row r="107" spans="1:9">
      <c r="A107" s="49"/>
      <c r="C107" s="165" t="s">
        <v>11</v>
      </c>
      <c r="D107" s="165"/>
      <c r="E107" s="165"/>
      <c r="F107" s="49"/>
      <c r="I107" s="47" t="s">
        <v>12</v>
      </c>
    </row>
    <row r="108" spans="1:9" ht="15.75">
      <c r="A108" s="3" t="s">
        <v>14</v>
      </c>
    </row>
    <row r="109" spans="1:9">
      <c r="A109" s="166" t="s">
        <v>15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45" customHeight="1">
      <c r="A110" s="158" t="s">
        <v>16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0" customHeight="1">
      <c r="A111" s="158" t="s">
        <v>17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21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" customHeight="1">
      <c r="A113" s="158" t="s">
        <v>20</v>
      </c>
      <c r="B113" s="158"/>
      <c r="C113" s="158"/>
      <c r="D113" s="158"/>
      <c r="E113" s="158"/>
      <c r="F113" s="158"/>
      <c r="G113" s="158"/>
      <c r="H113" s="158"/>
      <c r="I113" s="158"/>
    </row>
  </sheetData>
  <mergeCells count="28">
    <mergeCell ref="A111:I111"/>
    <mergeCell ref="A112:I112"/>
    <mergeCell ref="A113:I113"/>
    <mergeCell ref="C103:E103"/>
    <mergeCell ref="C104:E104"/>
    <mergeCell ref="C106:E106"/>
    <mergeCell ref="C107:E107"/>
    <mergeCell ref="A109:I109"/>
    <mergeCell ref="A110:I110"/>
    <mergeCell ref="A101:I101"/>
    <mergeCell ref="A15:I15"/>
    <mergeCell ref="A28:I28"/>
    <mergeCell ref="A45:I45"/>
    <mergeCell ref="A56:I56"/>
    <mergeCell ref="A81:I81"/>
    <mergeCell ref="A93:I93"/>
    <mergeCell ref="B94:G94"/>
    <mergeCell ref="B95:G95"/>
    <mergeCell ref="A97:I97"/>
    <mergeCell ref="A98:I98"/>
    <mergeCell ref="A99:I99"/>
    <mergeCell ref="A85:I8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5"/>
  <sheetViews>
    <sheetView topLeftCell="A82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147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250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81"/>
      <c r="C6" s="81"/>
      <c r="D6" s="81"/>
      <c r="E6" s="81"/>
      <c r="F6" s="81"/>
      <c r="G6" s="81"/>
      <c r="H6" s="81"/>
      <c r="I6" s="22">
        <v>44165</v>
      </c>
    </row>
    <row r="7" spans="1:9" ht="15.75">
      <c r="B7" s="82"/>
      <c r="C7" s="82"/>
      <c r="D7" s="82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173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7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59" t="s">
        <v>78</v>
      </c>
      <c r="B29" s="160"/>
      <c r="C29" s="160"/>
      <c r="D29" s="160"/>
      <c r="E29" s="160"/>
      <c r="F29" s="160"/>
      <c r="G29" s="160"/>
      <c r="H29" s="160"/>
      <c r="I29" s="161"/>
    </row>
    <row r="30" spans="1:9" ht="15.75" hidden="1" customHeight="1">
      <c r="A30" s="21"/>
      <c r="B30" s="78" t="s">
        <v>27</v>
      </c>
      <c r="C30" s="59"/>
      <c r="D30" s="58"/>
      <c r="E30" s="60"/>
      <c r="F30" s="61"/>
      <c r="G30" s="61"/>
      <c r="H30" s="62"/>
      <c r="I30" s="10"/>
    </row>
    <row r="31" spans="1:9" ht="15.75" hidden="1" customHeight="1">
      <c r="A31" s="21">
        <v>7</v>
      </c>
      <c r="B31" s="58" t="s">
        <v>102</v>
      </c>
      <c r="C31" s="59" t="s">
        <v>83</v>
      </c>
      <c r="D31" s="58" t="s">
        <v>145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58" t="s">
        <v>101</v>
      </c>
      <c r="C32" s="59" t="s">
        <v>83</v>
      </c>
      <c r="D32" s="58" t="s">
        <v>146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83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58" t="s">
        <v>100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62</v>
      </c>
      <c r="C35" s="59" t="s">
        <v>31</v>
      </c>
      <c r="D35" s="58" t="s">
        <v>64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63</v>
      </c>
      <c r="C36" s="59" t="s">
        <v>30</v>
      </c>
      <c r="D36" s="58" t="s">
        <v>64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8" t="s">
        <v>5</v>
      </c>
      <c r="C37" s="59"/>
      <c r="D37" s="58"/>
      <c r="E37" s="60"/>
      <c r="F37" s="61"/>
      <c r="G37" s="61"/>
      <c r="H37" s="62" t="s">
        <v>113</v>
      </c>
      <c r="I37" s="10"/>
    </row>
    <row r="38" spans="1:9" ht="15.75" hidden="1" customHeight="1">
      <c r="A38" s="21">
        <v>7</v>
      </c>
      <c r="B38" s="107" t="s">
        <v>25</v>
      </c>
      <c r="C38" s="29" t="s">
        <v>30</v>
      </c>
      <c r="D38" s="25"/>
      <c r="E38" s="104"/>
      <c r="F38" s="105">
        <v>5</v>
      </c>
      <c r="G38" s="105">
        <v>1855</v>
      </c>
      <c r="H38" s="62">
        <f t="shared" ref="H38:H44" si="4">SUM(F38*G38/1000)</f>
        <v>9.2750000000000004</v>
      </c>
      <c r="I38" s="10">
        <f>G38*1.3</f>
        <v>2411.5</v>
      </c>
    </row>
    <row r="39" spans="1:9" ht="15.75" customHeight="1">
      <c r="A39" s="21">
        <v>7</v>
      </c>
      <c r="B39" s="107" t="s">
        <v>117</v>
      </c>
      <c r="C39" s="108" t="s">
        <v>28</v>
      </c>
      <c r="D39" s="25" t="s">
        <v>182</v>
      </c>
      <c r="E39" s="104">
        <v>186.39</v>
      </c>
      <c r="F39" s="109">
        <f>E39*30/1000</f>
        <v>5.5916999999999994</v>
      </c>
      <c r="G39" s="105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127</v>
      </c>
      <c r="C40" s="29" t="s">
        <v>128</v>
      </c>
      <c r="D40" s="25" t="s">
        <v>156</v>
      </c>
      <c r="E40" s="104"/>
      <c r="F40" s="109">
        <v>13</v>
      </c>
      <c r="G40" s="105">
        <v>330</v>
      </c>
      <c r="H40" s="62">
        <f>G40*F40/1000</f>
        <v>4.29</v>
      </c>
      <c r="I40" s="10">
        <v>0</v>
      </c>
    </row>
    <row r="41" spans="1:9" ht="15.75" customHeight="1">
      <c r="A41" s="21">
        <v>8</v>
      </c>
      <c r="B41" s="25" t="s">
        <v>65</v>
      </c>
      <c r="C41" s="29" t="s">
        <v>28</v>
      </c>
      <c r="D41" s="25" t="s">
        <v>172</v>
      </c>
      <c r="E41" s="105">
        <v>186.39</v>
      </c>
      <c r="F41" s="109">
        <f>SUM(E41*155/1000)</f>
        <v>28.890449999999998</v>
      </c>
      <c r="G41" s="105">
        <v>502.82</v>
      </c>
      <c r="H41" s="62">
        <f t="shared" si="4"/>
        <v>14.526696068999998</v>
      </c>
      <c r="I41" s="10">
        <f>F41/6*G41</f>
        <v>2421.1160114999998</v>
      </c>
    </row>
    <row r="42" spans="1:9" ht="47.25" customHeight="1">
      <c r="A42" s="21">
        <v>9</v>
      </c>
      <c r="B42" s="25" t="s">
        <v>77</v>
      </c>
      <c r="C42" s="29" t="s">
        <v>83</v>
      </c>
      <c r="D42" s="25" t="s">
        <v>171</v>
      </c>
      <c r="E42" s="105">
        <v>52.2</v>
      </c>
      <c r="F42" s="109">
        <f>E42*24/1000</f>
        <v>1.2528000000000001</v>
      </c>
      <c r="G42" s="105">
        <v>8319.2999999999993</v>
      </c>
      <c r="H42" s="62">
        <f t="shared" si="4"/>
        <v>10.422419040000001</v>
      </c>
      <c r="I42" s="10">
        <f>F42/6*G42</f>
        <v>1737.0698399999999</v>
      </c>
    </row>
    <row r="43" spans="1:9" ht="15.75" customHeight="1">
      <c r="A43" s="21">
        <v>10</v>
      </c>
      <c r="B43" s="25" t="s">
        <v>119</v>
      </c>
      <c r="C43" s="29" t="s">
        <v>83</v>
      </c>
      <c r="D43" s="25" t="s">
        <v>173</v>
      </c>
      <c r="E43" s="105">
        <v>52.2</v>
      </c>
      <c r="F43" s="109">
        <f>SUM(E43*15/1000)</f>
        <v>0.78300000000000003</v>
      </c>
      <c r="G43" s="105">
        <v>614.55999999999995</v>
      </c>
      <c r="H43" s="62">
        <f t="shared" si="4"/>
        <v>0.48120047999999999</v>
      </c>
      <c r="I43" s="10">
        <f>G43*F43/15*1</f>
        <v>32.080031999999996</v>
      </c>
    </row>
    <row r="44" spans="1:9" ht="15.75" customHeight="1">
      <c r="A44" s="21">
        <v>11</v>
      </c>
      <c r="B44" s="107" t="s">
        <v>67</v>
      </c>
      <c r="C44" s="108" t="s">
        <v>31</v>
      </c>
      <c r="D44" s="107"/>
      <c r="E44" s="106"/>
      <c r="F44" s="109">
        <v>0.5</v>
      </c>
      <c r="G44" s="109">
        <v>800</v>
      </c>
      <c r="H44" s="62">
        <f t="shared" si="4"/>
        <v>0.4</v>
      </c>
      <c r="I44" s="10">
        <f>G44*F44/15*1</f>
        <v>26.666666666666668</v>
      </c>
    </row>
    <row r="45" spans="1:9" ht="27" customHeight="1">
      <c r="A45" s="21">
        <v>12</v>
      </c>
      <c r="B45" s="148" t="s">
        <v>155</v>
      </c>
      <c r="C45" s="108" t="s">
        <v>83</v>
      </c>
      <c r="D45" s="107" t="s">
        <v>175</v>
      </c>
      <c r="E45" s="106">
        <v>1.8</v>
      </c>
      <c r="F45" s="109">
        <f>E45*12/1000</f>
        <v>2.1600000000000001E-2</v>
      </c>
      <c r="G45" s="109">
        <v>19757.060000000001</v>
      </c>
      <c r="H45" s="54"/>
      <c r="I45" s="10">
        <f>G45*F45/6</f>
        <v>71.125416000000016</v>
      </c>
    </row>
    <row r="46" spans="1:9" ht="15.75" hidden="1" customHeight="1">
      <c r="A46" s="159" t="s">
        <v>122</v>
      </c>
      <c r="B46" s="160"/>
      <c r="C46" s="160"/>
      <c r="D46" s="160"/>
      <c r="E46" s="160"/>
      <c r="F46" s="160"/>
      <c r="G46" s="160"/>
      <c r="H46" s="160"/>
      <c r="I46" s="161"/>
    </row>
    <row r="47" spans="1:9" ht="15.7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5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5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5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5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5"/>
        <v>0.10041360000000001</v>
      </c>
      <c r="I51" s="10">
        <v>0</v>
      </c>
    </row>
    <row r="52" spans="1:9" ht="15.75" hidden="1" customHeight="1">
      <c r="A52" s="21">
        <v>14</v>
      </c>
      <c r="B52" s="58" t="s">
        <v>54</v>
      </c>
      <c r="C52" s="59" t="s">
        <v>83</v>
      </c>
      <c r="D52" s="58" t="s">
        <v>131</v>
      </c>
      <c r="E52" s="60">
        <v>678.4</v>
      </c>
      <c r="F52" s="61">
        <f>SUM(E52*5/1000)</f>
        <v>3.3919999999999999</v>
      </c>
      <c r="G52" s="10">
        <v>1297.28</v>
      </c>
      <c r="H52" s="62">
        <f t="shared" si="5"/>
        <v>4.4003737599999999</v>
      </c>
      <c r="I52" s="10">
        <f>F52/5*G52</f>
        <v>880.07475199999999</v>
      </c>
    </row>
    <row r="53" spans="1:9" ht="31.5" hidden="1" customHeight="1">
      <c r="A53" s="21">
        <v>14</v>
      </c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5"/>
        <v>1.7601495039999999</v>
      </c>
      <c r="I53" s="10">
        <f>F53/2*G53</f>
        <v>880.07475199999999</v>
      </c>
    </row>
    <row r="54" spans="1:9" ht="31.5" hidden="1" customHeight="1">
      <c r="A54" s="21">
        <v>15</v>
      </c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5"/>
        <v>0.70053359999999998</v>
      </c>
      <c r="I54" s="10">
        <f t="shared" ref="I54:I55" si="6">F54/2*G54</f>
        <v>350.26679999999999</v>
      </c>
    </row>
    <row r="55" spans="1:9" ht="15.75" hidden="1" customHeight="1">
      <c r="A55" s="21">
        <v>16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5"/>
        <v>0.1208424</v>
      </c>
      <c r="I55" s="10">
        <f t="shared" si="6"/>
        <v>60.421199999999999</v>
      </c>
    </row>
    <row r="56" spans="1:9" ht="24.75" hidden="1" customHeight="1">
      <c r="A56" s="21">
        <v>15</v>
      </c>
      <c r="B56" s="58" t="s">
        <v>40</v>
      </c>
      <c r="C56" s="59" t="s">
        <v>104</v>
      </c>
      <c r="D56" s="58" t="s">
        <v>68</v>
      </c>
      <c r="E56" s="60">
        <v>72</v>
      </c>
      <c r="F56" s="61">
        <f>SUM(E56)*3</f>
        <v>216</v>
      </c>
      <c r="G56" s="10">
        <v>70.209999999999994</v>
      </c>
      <c r="H56" s="62">
        <f t="shared" si="5"/>
        <v>15.165359999999998</v>
      </c>
      <c r="I56" s="10">
        <f>E56*G56</f>
        <v>5055.12</v>
      </c>
    </row>
    <row r="57" spans="1:9" ht="21.75" customHeight="1">
      <c r="A57" s="159" t="s">
        <v>134</v>
      </c>
      <c r="B57" s="160"/>
      <c r="C57" s="160"/>
      <c r="D57" s="160"/>
      <c r="E57" s="160"/>
      <c r="F57" s="160"/>
      <c r="G57" s="160"/>
      <c r="H57" s="160"/>
      <c r="I57" s="161"/>
    </row>
    <row r="58" spans="1:9" ht="17.25" hidden="1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19.5" hidden="1" customHeight="1">
      <c r="A59" s="21">
        <v>17</v>
      </c>
      <c r="B59" s="58" t="s">
        <v>105</v>
      </c>
      <c r="C59" s="59" t="s">
        <v>80</v>
      </c>
      <c r="D59" s="58" t="s">
        <v>106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F59/6*G59</f>
        <v>1830.360664</v>
      </c>
    </row>
    <row r="60" spans="1:9" ht="19.5" customHeight="1">
      <c r="A60" s="21"/>
      <c r="B60" s="115" t="s">
        <v>157</v>
      </c>
      <c r="C60" s="111"/>
      <c r="D60" s="110"/>
      <c r="E60" s="112"/>
      <c r="F60" s="116"/>
      <c r="G60" s="27"/>
      <c r="H60" s="97"/>
      <c r="I60" s="10"/>
    </row>
    <row r="61" spans="1:9" ht="19.5" customHeight="1">
      <c r="A61" s="21">
        <v>13</v>
      </c>
      <c r="B61" s="95" t="s">
        <v>149</v>
      </c>
      <c r="C61" s="117" t="s">
        <v>150</v>
      </c>
      <c r="D61" s="95" t="s">
        <v>173</v>
      </c>
      <c r="E61" s="130">
        <v>120</v>
      </c>
      <c r="F61" s="116">
        <f>E61*12</f>
        <v>1440</v>
      </c>
      <c r="G61" s="27">
        <v>1.4</v>
      </c>
      <c r="H61" s="71"/>
      <c r="I61" s="10">
        <f>G61*F61/12</f>
        <v>167.99999999999997</v>
      </c>
    </row>
    <row r="62" spans="1:9" ht="19.5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8.75" customHeight="1">
      <c r="A63" s="21">
        <v>14</v>
      </c>
      <c r="B63" s="11" t="s">
        <v>44</v>
      </c>
      <c r="C63" s="13" t="s">
        <v>104</v>
      </c>
      <c r="D63" s="11" t="s">
        <v>175</v>
      </c>
      <c r="E63" s="15">
        <v>8</v>
      </c>
      <c r="F63" s="61">
        <v>8</v>
      </c>
      <c r="G63" s="91">
        <v>318.82</v>
      </c>
      <c r="H63" s="72">
        <f t="shared" ref="H63:H79" si="7">SUM(F63*G63/1000)</f>
        <v>2.5505599999999999</v>
      </c>
      <c r="I63" s="10">
        <f>G63*2</f>
        <v>637.64</v>
      </c>
    </row>
    <row r="64" spans="1:9" ht="20.2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7"/>
        <v>0.24453000000000003</v>
      </c>
      <c r="I64" s="10">
        <v>0</v>
      </c>
    </row>
    <row r="65" spans="1:9" ht="16.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7"/>
        <v>19.3655981</v>
      </c>
      <c r="I65" s="10">
        <v>0</v>
      </c>
    </row>
    <row r="66" spans="1:9" ht="18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7"/>
        <v>1.5080727900000002</v>
      </c>
      <c r="I66" s="10">
        <v>0</v>
      </c>
    </row>
    <row r="67" spans="1:9" ht="18.7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7"/>
        <v>30.383586000000005</v>
      </c>
      <c r="I67" s="10">
        <v>0</v>
      </c>
    </row>
    <row r="68" spans="1:9" ht="18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7"/>
        <v>0.38403000000000004</v>
      </c>
      <c r="I68" s="10">
        <v>0</v>
      </c>
    </row>
    <row r="69" spans="1:9" ht="25.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7"/>
        <v>0.35829</v>
      </c>
      <c r="I69" s="10">
        <v>0</v>
      </c>
    </row>
    <row r="70" spans="1:9" ht="18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7"/>
        <v>0.16085999999999998</v>
      </c>
      <c r="I70" s="10">
        <v>0</v>
      </c>
    </row>
    <row r="71" spans="1:9" ht="18" customHeight="1">
      <c r="A71" s="21"/>
      <c r="B71" s="118" t="s">
        <v>159</v>
      </c>
      <c r="C71" s="119"/>
      <c r="D71" s="120"/>
      <c r="E71" s="121"/>
      <c r="F71" s="122"/>
      <c r="G71" s="122"/>
      <c r="H71" s="10"/>
      <c r="I71" s="10"/>
    </row>
    <row r="72" spans="1:9" ht="29.25" customHeight="1">
      <c r="A72" s="21">
        <v>15</v>
      </c>
      <c r="B72" s="95" t="s">
        <v>160</v>
      </c>
      <c r="C72" s="123" t="s">
        <v>161</v>
      </c>
      <c r="D72" s="120"/>
      <c r="E72" s="121">
        <v>2054.6</v>
      </c>
      <c r="F72" s="122">
        <f>E72*12</f>
        <v>24655.199999999997</v>
      </c>
      <c r="G72" s="122">
        <v>2.4900000000000002</v>
      </c>
      <c r="H72" s="10"/>
      <c r="I72" s="10">
        <f>G72*F72/12</f>
        <v>5115.9539999999997</v>
      </c>
    </row>
    <row r="73" spans="1:9" ht="15" customHeight="1">
      <c r="A73" s="21"/>
      <c r="B73" s="80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21.75" hidden="1" customHeight="1">
      <c r="A74" s="21">
        <v>18</v>
      </c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7"/>
        <v>0.10724600000000001</v>
      </c>
      <c r="I74" s="10">
        <f>G74*0.2</f>
        <v>107.24600000000001</v>
      </c>
    </row>
    <row r="75" spans="1:9" ht="16.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8.7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8.75" customHeight="1">
      <c r="A77" s="21">
        <v>16</v>
      </c>
      <c r="B77" s="95" t="s">
        <v>158</v>
      </c>
      <c r="C77" s="117" t="s">
        <v>104</v>
      </c>
      <c r="D77" s="95" t="s">
        <v>174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6.5" hidden="1" customHeight="1">
      <c r="A78" s="21"/>
      <c r="B78" s="74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7.25" hidden="1" customHeight="1">
      <c r="A79" s="21">
        <v>13</v>
      </c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7"/>
        <v>3.9822975</v>
      </c>
      <c r="I79" s="10">
        <f>G79*0.12</f>
        <v>353.98199999999997</v>
      </c>
    </row>
    <row r="80" spans="1:9" ht="24.75" hidden="1" customHeight="1">
      <c r="A80" s="21"/>
      <c r="B80" s="53" t="s">
        <v>86</v>
      </c>
      <c r="C80" s="75"/>
      <c r="D80" s="23"/>
      <c r="E80" s="24"/>
      <c r="F80" s="64"/>
      <c r="G80" s="64"/>
      <c r="H80" s="76">
        <f>SUM(H59:H79)</f>
        <v>71.322334374000008</v>
      </c>
      <c r="I80" s="64"/>
    </row>
    <row r="81" spans="1:9" ht="21" hidden="1" customHeight="1">
      <c r="A81" s="21">
        <v>17</v>
      </c>
      <c r="B81" s="58" t="s">
        <v>111</v>
      </c>
      <c r="C81" s="13"/>
      <c r="D81" s="11"/>
      <c r="E81" s="77"/>
      <c r="F81" s="10">
        <v>1</v>
      </c>
      <c r="G81" s="10">
        <v>1437.2</v>
      </c>
      <c r="H81" s="72">
        <f>G81*F81/1000</f>
        <v>1.4372</v>
      </c>
      <c r="I81" s="10">
        <f>G81*1</f>
        <v>1437.2</v>
      </c>
    </row>
    <row r="82" spans="1:9" ht="15.75" customHeight="1">
      <c r="A82" s="159" t="s">
        <v>135</v>
      </c>
      <c r="B82" s="160"/>
      <c r="C82" s="160"/>
      <c r="D82" s="160"/>
      <c r="E82" s="160"/>
      <c r="F82" s="160"/>
      <c r="G82" s="160"/>
      <c r="H82" s="160"/>
      <c r="I82" s="161"/>
    </row>
    <row r="83" spans="1:9" ht="15.75" customHeight="1">
      <c r="A83" s="21">
        <v>17</v>
      </c>
      <c r="B83" s="95" t="s">
        <v>112</v>
      </c>
      <c r="C83" s="117" t="s">
        <v>53</v>
      </c>
      <c r="D83" s="135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18</v>
      </c>
      <c r="B84" s="95" t="s">
        <v>162</v>
      </c>
      <c r="C84" s="117" t="s">
        <v>53</v>
      </c>
      <c r="D84" s="133"/>
      <c r="E84" s="134">
        <f>E83</f>
        <v>2054.6</v>
      </c>
      <c r="F84" s="126">
        <f>E84*12</f>
        <v>24655.199999999997</v>
      </c>
      <c r="G84" s="126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I84+I83+I77+I72+I63+I61+I45+I44+I43+I42+I41+I39+I27+I21+I20+I18+I17+I16</f>
        <v>34888.000256166662</v>
      </c>
    </row>
    <row r="86" spans="1:9" ht="15.75" customHeight="1">
      <c r="A86" s="173" t="s">
        <v>58</v>
      </c>
      <c r="B86" s="174"/>
      <c r="C86" s="174"/>
      <c r="D86" s="174"/>
      <c r="E86" s="174"/>
      <c r="F86" s="174"/>
      <c r="G86" s="174"/>
      <c r="H86" s="174"/>
      <c r="I86" s="175"/>
    </row>
    <row r="87" spans="1:9" ht="15.75" customHeight="1">
      <c r="A87" s="30">
        <v>19</v>
      </c>
      <c r="B87" s="88" t="s">
        <v>223</v>
      </c>
      <c r="C87" s="40" t="s">
        <v>39</v>
      </c>
      <c r="D87" s="39" t="s">
        <v>173</v>
      </c>
      <c r="E87" s="27"/>
      <c r="F87" s="27">
        <v>0.04</v>
      </c>
      <c r="G87" s="27">
        <v>27139.18</v>
      </c>
      <c r="H87" s="30"/>
      <c r="I87" s="146">
        <v>0</v>
      </c>
    </row>
    <row r="88" spans="1:9" ht="15.75" customHeight="1">
      <c r="A88" s="30">
        <v>20</v>
      </c>
      <c r="B88" s="154" t="s">
        <v>251</v>
      </c>
      <c r="C88" s="155" t="s">
        <v>88</v>
      </c>
      <c r="D88" s="39"/>
      <c r="E88" s="27"/>
      <c r="F88" s="27">
        <v>0.06</v>
      </c>
      <c r="G88" s="27">
        <v>2638.36</v>
      </c>
      <c r="H88" s="30"/>
      <c r="I88" s="146">
        <f>G88*0.06</f>
        <v>158.30160000000001</v>
      </c>
    </row>
    <row r="89" spans="1:9" ht="15.75" customHeight="1">
      <c r="A89" s="30">
        <v>21</v>
      </c>
      <c r="B89" s="88" t="s">
        <v>252</v>
      </c>
      <c r="C89" s="40" t="s">
        <v>104</v>
      </c>
      <c r="D89" s="39"/>
      <c r="E89" s="27"/>
      <c r="F89" s="27">
        <v>3</v>
      </c>
      <c r="G89" s="27">
        <v>215.85</v>
      </c>
      <c r="H89" s="30"/>
      <c r="I89" s="146">
        <f>G89*3</f>
        <v>647.54999999999995</v>
      </c>
    </row>
    <row r="90" spans="1:9" ht="15.75" customHeight="1">
      <c r="A90" s="30">
        <v>22</v>
      </c>
      <c r="B90" s="88" t="s">
        <v>253</v>
      </c>
      <c r="C90" s="40" t="s">
        <v>104</v>
      </c>
      <c r="D90" s="39"/>
      <c r="E90" s="27"/>
      <c r="F90" s="27">
        <v>1</v>
      </c>
      <c r="G90" s="27">
        <v>1332.01</v>
      </c>
      <c r="H90" s="30"/>
      <c r="I90" s="146">
        <f>G90*1</f>
        <v>1332.01</v>
      </c>
    </row>
    <row r="91" spans="1:9" ht="33.75" customHeight="1">
      <c r="A91" s="21">
        <v>23</v>
      </c>
      <c r="B91" s="88" t="s">
        <v>168</v>
      </c>
      <c r="C91" s="40" t="s">
        <v>37</v>
      </c>
      <c r="D91" s="39" t="s">
        <v>182</v>
      </c>
      <c r="E91" s="27"/>
      <c r="F91" s="27">
        <v>0.11</v>
      </c>
      <c r="G91" s="27">
        <v>4070.89</v>
      </c>
      <c r="H91" s="30"/>
      <c r="I91" s="146">
        <v>0</v>
      </c>
    </row>
    <row r="92" spans="1:9" ht="15.75" customHeight="1">
      <c r="A92" s="21"/>
      <c r="B92" s="34" t="s">
        <v>49</v>
      </c>
      <c r="C92" s="30"/>
      <c r="D92" s="37"/>
      <c r="E92" s="30">
        <v>1</v>
      </c>
      <c r="F92" s="30"/>
      <c r="G92" s="30"/>
      <c r="H92" s="30"/>
      <c r="I92" s="24">
        <f>SUM(I87:I91)</f>
        <v>2137.8616000000002</v>
      </c>
    </row>
    <row r="93" spans="1:9" ht="15.75" customHeight="1">
      <c r="A93" s="21"/>
      <c r="B93" s="36" t="s">
        <v>75</v>
      </c>
      <c r="C93" s="12"/>
      <c r="D93" s="12"/>
      <c r="E93" s="31"/>
      <c r="F93" s="31"/>
      <c r="G93" s="32"/>
      <c r="H93" s="32"/>
      <c r="I93" s="14">
        <v>0</v>
      </c>
    </row>
    <row r="94" spans="1:9" ht="15.75" customHeight="1">
      <c r="A94" s="38"/>
      <c r="B94" s="35" t="s">
        <v>50</v>
      </c>
      <c r="C94" s="26"/>
      <c r="D94" s="26"/>
      <c r="E94" s="26"/>
      <c r="F94" s="26"/>
      <c r="G94" s="26"/>
      <c r="H94" s="26"/>
      <c r="I94" s="33">
        <f>I85+I92</f>
        <v>37025.861856166666</v>
      </c>
    </row>
    <row r="95" spans="1:9" ht="15.75">
      <c r="A95" s="172" t="s">
        <v>282</v>
      </c>
      <c r="B95" s="172"/>
      <c r="C95" s="172"/>
      <c r="D95" s="172"/>
      <c r="E95" s="172"/>
      <c r="F95" s="172"/>
      <c r="G95" s="172"/>
      <c r="H95" s="172"/>
      <c r="I95" s="172"/>
    </row>
    <row r="96" spans="1:9" ht="15.75">
      <c r="A96" s="46"/>
      <c r="B96" s="167" t="s">
        <v>283</v>
      </c>
      <c r="C96" s="167"/>
      <c r="D96" s="167"/>
      <c r="E96" s="167"/>
      <c r="F96" s="167"/>
      <c r="G96" s="167"/>
      <c r="H96" s="57"/>
      <c r="I96" s="2"/>
    </row>
    <row r="97" spans="1:9">
      <c r="A97" s="85"/>
      <c r="B97" s="163" t="s">
        <v>6</v>
      </c>
      <c r="C97" s="163"/>
      <c r="D97" s="163"/>
      <c r="E97" s="163"/>
      <c r="F97" s="163"/>
      <c r="G97" s="163"/>
      <c r="H97" s="16"/>
      <c r="I97" s="4"/>
    </row>
    <row r="98" spans="1:9">
      <c r="A98" s="7"/>
      <c r="B98" s="7"/>
      <c r="C98" s="7"/>
      <c r="D98" s="7"/>
      <c r="E98" s="7"/>
      <c r="F98" s="7"/>
      <c r="G98" s="7"/>
      <c r="H98" s="7"/>
      <c r="I98" s="7"/>
    </row>
    <row r="99" spans="1:9" ht="15.75">
      <c r="A99" s="168" t="s">
        <v>7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8" t="s">
        <v>8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169" t="s">
        <v>59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8"/>
    </row>
    <row r="103" spans="1:9" ht="15.75">
      <c r="A103" s="170" t="s">
        <v>9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>
      <c r="A104" s="3"/>
    </row>
    <row r="105" spans="1:9" ht="15.75">
      <c r="B105" s="82" t="s">
        <v>10</v>
      </c>
      <c r="C105" s="162" t="s">
        <v>254</v>
      </c>
      <c r="D105" s="162"/>
      <c r="E105" s="162"/>
      <c r="F105" s="55"/>
      <c r="I105" s="84"/>
    </row>
    <row r="106" spans="1:9">
      <c r="A106" s="85"/>
      <c r="C106" s="163" t="s">
        <v>11</v>
      </c>
      <c r="D106" s="163"/>
      <c r="E106" s="163"/>
      <c r="F106" s="16"/>
      <c r="I106" s="83" t="s">
        <v>12</v>
      </c>
    </row>
    <row r="107" spans="1:9" ht="15.75">
      <c r="A107" s="17"/>
      <c r="C107" s="9"/>
      <c r="D107" s="9"/>
      <c r="G107" s="9"/>
      <c r="H107" s="9"/>
    </row>
    <row r="108" spans="1:9" ht="15.75">
      <c r="B108" s="82" t="s">
        <v>13</v>
      </c>
      <c r="C108" s="164"/>
      <c r="D108" s="164"/>
      <c r="E108" s="164"/>
      <c r="F108" s="56"/>
      <c r="I108" s="84"/>
    </row>
    <row r="109" spans="1:9">
      <c r="A109" s="85"/>
      <c r="C109" s="165" t="s">
        <v>11</v>
      </c>
      <c r="D109" s="165"/>
      <c r="E109" s="165"/>
      <c r="F109" s="85"/>
      <c r="I109" s="83" t="s">
        <v>12</v>
      </c>
    </row>
    <row r="110" spans="1:9" ht="15.75">
      <c r="A110" s="3" t="s">
        <v>14</v>
      </c>
    </row>
    <row r="111" spans="1:9">
      <c r="A111" s="166" t="s">
        <v>15</v>
      </c>
      <c r="B111" s="166"/>
      <c r="C111" s="166"/>
      <c r="D111" s="166"/>
      <c r="E111" s="166"/>
      <c r="F111" s="166"/>
      <c r="G111" s="166"/>
      <c r="H111" s="166"/>
      <c r="I111" s="166"/>
    </row>
    <row r="112" spans="1:9" ht="45" customHeight="1">
      <c r="A112" s="158" t="s">
        <v>16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30" customHeight="1">
      <c r="A113" s="158" t="s">
        <v>17</v>
      </c>
      <c r="B113" s="158"/>
      <c r="C113" s="158"/>
      <c r="D113" s="158"/>
      <c r="E113" s="158"/>
      <c r="F113" s="158"/>
      <c r="G113" s="158"/>
      <c r="H113" s="158"/>
      <c r="I113" s="158"/>
    </row>
    <row r="114" spans="1:9" ht="30" customHeight="1">
      <c r="A114" s="158" t="s">
        <v>21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15" customHeight="1">
      <c r="A115" s="158" t="s">
        <v>20</v>
      </c>
      <c r="B115" s="158"/>
      <c r="C115" s="158"/>
      <c r="D115" s="158"/>
      <c r="E115" s="158"/>
      <c r="F115" s="158"/>
      <c r="G115" s="158"/>
      <c r="H115" s="158"/>
      <c r="I115" s="158"/>
    </row>
  </sheetData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9:I29"/>
    <mergeCell ref="A46:I46"/>
    <mergeCell ref="A57:I57"/>
    <mergeCell ref="A82:I82"/>
    <mergeCell ref="A86:I86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3"/>
  <sheetViews>
    <sheetView tabSelected="1" topLeftCell="A71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148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255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81"/>
      <c r="C6" s="81"/>
      <c r="D6" s="81"/>
      <c r="E6" s="81"/>
      <c r="F6" s="81"/>
      <c r="G6" s="81"/>
      <c r="H6" s="81"/>
      <c r="I6" s="22">
        <v>44196</v>
      </c>
    </row>
    <row r="7" spans="1:9" ht="15.75">
      <c r="B7" s="82"/>
      <c r="C7" s="82"/>
      <c r="D7" s="82"/>
      <c r="E7" s="2"/>
      <c r="F7" s="2"/>
      <c r="G7" s="2"/>
      <c r="H7" s="2"/>
    </row>
    <row r="8" spans="1:9" ht="78.75" customHeight="1">
      <c r="A8" s="180" t="s">
        <v>256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6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59" t="s">
        <v>78</v>
      </c>
      <c r="B29" s="160"/>
      <c r="C29" s="160"/>
      <c r="D29" s="160"/>
      <c r="E29" s="160"/>
      <c r="F29" s="160"/>
      <c r="G29" s="160"/>
      <c r="H29" s="160"/>
      <c r="I29" s="161"/>
    </row>
    <row r="30" spans="1:9" ht="15.75" hidden="1" customHeight="1">
      <c r="A30" s="21"/>
      <c r="B30" s="78" t="s">
        <v>27</v>
      </c>
      <c r="C30" s="59"/>
      <c r="D30" s="58"/>
      <c r="E30" s="60"/>
      <c r="F30" s="61"/>
      <c r="G30" s="61"/>
      <c r="H30" s="62"/>
      <c r="I30" s="10"/>
    </row>
    <row r="31" spans="1:9" ht="15.75" hidden="1" customHeight="1">
      <c r="A31" s="21">
        <v>7</v>
      </c>
      <c r="B31" s="58" t="s">
        <v>102</v>
      </c>
      <c r="C31" s="59" t="s">
        <v>83</v>
      </c>
      <c r="D31" s="58" t="s">
        <v>145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58" t="s">
        <v>101</v>
      </c>
      <c r="C32" s="59" t="s">
        <v>83</v>
      </c>
      <c r="D32" s="58" t="s">
        <v>146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83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58" t="s">
        <v>100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62</v>
      </c>
      <c r="C35" s="59" t="s">
        <v>31</v>
      </c>
      <c r="D35" s="58" t="s">
        <v>64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63</v>
      </c>
      <c r="C36" s="59" t="s">
        <v>30</v>
      </c>
      <c r="D36" s="58" t="s">
        <v>64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8" t="s">
        <v>5</v>
      </c>
      <c r="C37" s="59"/>
      <c r="D37" s="58"/>
      <c r="E37" s="60"/>
      <c r="F37" s="61"/>
      <c r="G37" s="61"/>
      <c r="H37" s="62" t="s">
        <v>113</v>
      </c>
      <c r="I37" s="10"/>
    </row>
    <row r="38" spans="1:9" ht="15.75" customHeight="1">
      <c r="A38" s="21">
        <v>7</v>
      </c>
      <c r="B38" s="58" t="s">
        <v>25</v>
      </c>
      <c r="C38" s="59" t="s">
        <v>30</v>
      </c>
      <c r="D38" s="58" t="s">
        <v>257</v>
      </c>
      <c r="E38" s="60"/>
      <c r="F38" s="61">
        <v>5</v>
      </c>
      <c r="G38" s="149">
        <v>1855</v>
      </c>
      <c r="H38" s="62">
        <f t="shared" ref="H38" si="4">SUM(F38*G38/1000)</f>
        <v>9.2750000000000004</v>
      </c>
      <c r="I38" s="10">
        <f>G38*0.8</f>
        <v>1484</v>
      </c>
    </row>
    <row r="39" spans="1:9" ht="15.75" customHeight="1">
      <c r="A39" s="21">
        <v>8</v>
      </c>
      <c r="B39" s="107" t="s">
        <v>117</v>
      </c>
      <c r="C39" s="108" t="s">
        <v>28</v>
      </c>
      <c r="D39" s="25" t="s">
        <v>182</v>
      </c>
      <c r="E39" s="104">
        <v>186.39</v>
      </c>
      <c r="F39" s="109">
        <f>E39*30/1000</f>
        <v>5.5916999999999994</v>
      </c>
      <c r="G39" s="105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127</v>
      </c>
      <c r="C40" s="29" t="s">
        <v>128</v>
      </c>
      <c r="D40" s="25" t="s">
        <v>156</v>
      </c>
      <c r="E40" s="104"/>
      <c r="F40" s="109">
        <v>13</v>
      </c>
      <c r="G40" s="105">
        <v>330</v>
      </c>
      <c r="H40" s="62">
        <f>G40*F40/1000</f>
        <v>4.29</v>
      </c>
      <c r="I40" s="10">
        <v>0</v>
      </c>
    </row>
    <row r="41" spans="1:9" ht="15.75" customHeight="1">
      <c r="A41" s="21">
        <v>9</v>
      </c>
      <c r="B41" s="25" t="s">
        <v>65</v>
      </c>
      <c r="C41" s="29" t="s">
        <v>28</v>
      </c>
      <c r="D41" s="25" t="s">
        <v>172</v>
      </c>
      <c r="E41" s="105">
        <v>186.39</v>
      </c>
      <c r="F41" s="109">
        <f>SUM(E41*155/1000)</f>
        <v>28.890449999999998</v>
      </c>
      <c r="G41" s="105">
        <v>502.82</v>
      </c>
      <c r="H41" s="62">
        <f t="shared" ref="H41:H44" si="5">SUM(F41*G41/1000)</f>
        <v>14.526696068999998</v>
      </c>
      <c r="I41" s="10">
        <f>F41/6*G41</f>
        <v>2421.1160114999998</v>
      </c>
    </row>
    <row r="42" spans="1:9" ht="47.25" customHeight="1">
      <c r="A42" s="21">
        <v>10</v>
      </c>
      <c r="B42" s="25" t="s">
        <v>77</v>
      </c>
      <c r="C42" s="29" t="s">
        <v>83</v>
      </c>
      <c r="D42" s="25" t="s">
        <v>171</v>
      </c>
      <c r="E42" s="105">
        <v>52.2</v>
      </c>
      <c r="F42" s="109">
        <f>E42*24/1000</f>
        <v>1.2528000000000001</v>
      </c>
      <c r="G42" s="105">
        <v>8319.2999999999993</v>
      </c>
      <c r="H42" s="62">
        <f t="shared" si="5"/>
        <v>10.422419040000001</v>
      </c>
      <c r="I42" s="10">
        <f>F42/6*G42</f>
        <v>1737.0698399999999</v>
      </c>
    </row>
    <row r="43" spans="1:9" ht="15.75" hidden="1" customHeight="1">
      <c r="A43" s="21">
        <v>11</v>
      </c>
      <c r="B43" s="25" t="s">
        <v>119</v>
      </c>
      <c r="C43" s="29" t="s">
        <v>83</v>
      </c>
      <c r="D43" s="25" t="s">
        <v>175</v>
      </c>
      <c r="E43" s="105">
        <v>52.2</v>
      </c>
      <c r="F43" s="109">
        <f>SUM(E43*15/1000)</f>
        <v>0.78300000000000003</v>
      </c>
      <c r="G43" s="105">
        <v>614.55999999999995</v>
      </c>
      <c r="H43" s="62">
        <f t="shared" si="5"/>
        <v>0.48120047999999999</v>
      </c>
      <c r="I43" s="10">
        <f>F43/7.5*G43</f>
        <v>64.160063999999991</v>
      </c>
    </row>
    <row r="44" spans="1:9" ht="15.75" hidden="1" customHeight="1">
      <c r="A44" s="21">
        <v>12</v>
      </c>
      <c r="B44" s="107" t="s">
        <v>67</v>
      </c>
      <c r="C44" s="108" t="s">
        <v>31</v>
      </c>
      <c r="D44" s="107"/>
      <c r="E44" s="106"/>
      <c r="F44" s="109">
        <v>0.5</v>
      </c>
      <c r="G44" s="109">
        <v>800</v>
      </c>
      <c r="H44" s="62">
        <f t="shared" si="5"/>
        <v>0.4</v>
      </c>
      <c r="I44" s="10">
        <f>F44/7.5*G44</f>
        <v>53.333333333333336</v>
      </c>
    </row>
    <row r="45" spans="1:9" ht="31.5" customHeight="1">
      <c r="A45" s="21">
        <v>11</v>
      </c>
      <c r="B45" s="148" t="s">
        <v>155</v>
      </c>
      <c r="C45" s="108" t="s">
        <v>83</v>
      </c>
      <c r="D45" s="107" t="s">
        <v>175</v>
      </c>
      <c r="E45" s="106">
        <v>1.8</v>
      </c>
      <c r="F45" s="109">
        <f>E45*12/1000</f>
        <v>2.1600000000000001E-2</v>
      </c>
      <c r="G45" s="109">
        <v>19757.060000000001</v>
      </c>
      <c r="H45" s="54"/>
      <c r="I45" s="10">
        <f>G45*F45/6</f>
        <v>71.125416000000016</v>
      </c>
    </row>
    <row r="46" spans="1:9" ht="15.75" customHeight="1">
      <c r="A46" s="159" t="s">
        <v>122</v>
      </c>
      <c r="B46" s="160"/>
      <c r="C46" s="160"/>
      <c r="D46" s="160"/>
      <c r="E46" s="160"/>
      <c r="F46" s="160"/>
      <c r="G46" s="160"/>
      <c r="H46" s="160"/>
      <c r="I46" s="161"/>
    </row>
    <row r="47" spans="1:9" ht="15.7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6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6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6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6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6"/>
        <v>0.10041360000000001</v>
      </c>
      <c r="I51" s="10">
        <v>0</v>
      </c>
    </row>
    <row r="52" spans="1:9" ht="15.75" customHeight="1">
      <c r="A52" s="21">
        <v>12</v>
      </c>
      <c r="B52" s="25" t="s">
        <v>54</v>
      </c>
      <c r="C52" s="29" t="s">
        <v>83</v>
      </c>
      <c r="D52" s="25" t="s">
        <v>173</v>
      </c>
      <c r="E52" s="104">
        <v>2054.6</v>
      </c>
      <c r="F52" s="105">
        <f>SUM(E52*5/1000)</f>
        <v>10.273</v>
      </c>
      <c r="G52" s="91">
        <v>1739.68</v>
      </c>
      <c r="H52" s="62">
        <f t="shared" si="6"/>
        <v>17.871732639999998</v>
      </c>
      <c r="I52" s="10">
        <f>F52/5*G52</f>
        <v>3574.3465279999996</v>
      </c>
    </row>
    <row r="53" spans="1:9" ht="31.5" hidden="1" customHeight="1">
      <c r="A53" s="21">
        <v>14</v>
      </c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6"/>
        <v>1.7601495039999999</v>
      </c>
      <c r="I53" s="10">
        <f>F53/2*G53</f>
        <v>880.07475199999999</v>
      </c>
    </row>
    <row r="54" spans="1:9" ht="31.5" hidden="1" customHeight="1">
      <c r="A54" s="21">
        <v>15</v>
      </c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6"/>
        <v>0.70053359999999998</v>
      </c>
      <c r="I54" s="10">
        <f t="shared" ref="I54:I55" si="7">F54/2*G54</f>
        <v>350.26679999999999</v>
      </c>
    </row>
    <row r="55" spans="1:9" ht="15.75" hidden="1" customHeight="1">
      <c r="A55" s="21">
        <v>16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6"/>
        <v>0.1208424</v>
      </c>
      <c r="I55" s="10">
        <f t="shared" si="7"/>
        <v>60.421199999999999</v>
      </c>
    </row>
    <row r="56" spans="1:9" ht="15.75" customHeight="1">
      <c r="A56" s="21">
        <v>13</v>
      </c>
      <c r="B56" s="58" t="s">
        <v>40</v>
      </c>
      <c r="C56" s="59" t="s">
        <v>104</v>
      </c>
      <c r="D56" s="157">
        <v>44176</v>
      </c>
      <c r="E56" s="60">
        <v>72</v>
      </c>
      <c r="F56" s="61">
        <f>SUM(E56)*3</f>
        <v>216</v>
      </c>
      <c r="G56" s="156">
        <v>87.32</v>
      </c>
      <c r="H56" s="62">
        <f t="shared" si="6"/>
        <v>18.86112</v>
      </c>
      <c r="I56" s="10">
        <f>E56*G56</f>
        <v>6287.0399999999991</v>
      </c>
    </row>
    <row r="57" spans="1:9" ht="15.75" customHeight="1">
      <c r="A57" s="159" t="s">
        <v>123</v>
      </c>
      <c r="B57" s="160"/>
      <c r="C57" s="160"/>
      <c r="D57" s="160"/>
      <c r="E57" s="160"/>
      <c r="F57" s="160"/>
      <c r="G57" s="160"/>
      <c r="H57" s="160"/>
      <c r="I57" s="161"/>
    </row>
    <row r="58" spans="1:9" ht="15.75" hidden="1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31.5" hidden="1" customHeight="1">
      <c r="A59" s="21">
        <v>13</v>
      </c>
      <c r="B59" s="58" t="s">
        <v>105</v>
      </c>
      <c r="C59" s="59" t="s">
        <v>80</v>
      </c>
      <c r="D59" s="58" t="s">
        <v>106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F59/6*G59</f>
        <v>1830.360664</v>
      </c>
    </row>
    <row r="60" spans="1:9" ht="20.25" customHeight="1">
      <c r="A60" s="21"/>
      <c r="B60" s="115" t="s">
        <v>157</v>
      </c>
      <c r="C60" s="111"/>
      <c r="D60" s="110"/>
      <c r="E60" s="112"/>
      <c r="F60" s="116"/>
      <c r="G60" s="27"/>
      <c r="H60" s="97"/>
      <c r="I60" s="10"/>
    </row>
    <row r="61" spans="1:9" ht="17.25" customHeight="1">
      <c r="A61" s="21">
        <v>14</v>
      </c>
      <c r="B61" s="95" t="s">
        <v>149</v>
      </c>
      <c r="C61" s="117" t="s">
        <v>150</v>
      </c>
      <c r="D61" s="95" t="s">
        <v>173</v>
      </c>
      <c r="E61" s="130">
        <v>120</v>
      </c>
      <c r="F61" s="116">
        <f>E61*12</f>
        <v>1440</v>
      </c>
      <c r="G61" s="27">
        <v>1.4</v>
      </c>
      <c r="H61" s="71"/>
      <c r="I61" s="10">
        <f>G61*F61/12</f>
        <v>167.99999999999997</v>
      </c>
    </row>
    <row r="62" spans="1:9" ht="17.25" hidden="1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8" hidden="1" customHeight="1">
      <c r="A63" s="21">
        <v>14</v>
      </c>
      <c r="B63" s="11" t="s">
        <v>44</v>
      </c>
      <c r="C63" s="13" t="s">
        <v>104</v>
      </c>
      <c r="D63" s="11" t="s">
        <v>64</v>
      </c>
      <c r="E63" s="15">
        <v>8</v>
      </c>
      <c r="F63" s="61">
        <v>8</v>
      </c>
      <c r="G63" s="10">
        <v>237.74</v>
      </c>
      <c r="H63" s="72">
        <f t="shared" ref="H63:H79" si="8">SUM(F63*G63/1000)</f>
        <v>1.9019200000000001</v>
      </c>
      <c r="I63" s="10">
        <f>G63*1</f>
        <v>237.74</v>
      </c>
    </row>
    <row r="64" spans="1:9" ht="24.7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8"/>
        <v>0.24453000000000003</v>
      </c>
      <c r="I64" s="10">
        <v>0</v>
      </c>
    </row>
    <row r="65" spans="1:9" ht="21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8"/>
        <v>19.3655981</v>
      </c>
      <c r="I65" s="10">
        <v>0</v>
      </c>
    </row>
    <row r="66" spans="1:9" ht="18.75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8"/>
        <v>1.5080727900000002</v>
      </c>
      <c r="I66" s="10">
        <v>0</v>
      </c>
    </row>
    <row r="67" spans="1:9" ht="21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8"/>
        <v>30.383586000000005</v>
      </c>
      <c r="I67" s="10">
        <v>0</v>
      </c>
    </row>
    <row r="68" spans="1:9" ht="19.5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8"/>
        <v>0.38403000000000004</v>
      </c>
      <c r="I68" s="10">
        <v>0</v>
      </c>
    </row>
    <row r="69" spans="1:9" ht="21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8"/>
        <v>0.35829</v>
      </c>
      <c r="I69" s="10">
        <v>0</v>
      </c>
    </row>
    <row r="70" spans="1:9" ht="18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8"/>
        <v>0.16085999999999998</v>
      </c>
      <c r="I70" s="10">
        <v>0</v>
      </c>
    </row>
    <row r="71" spans="1:9" ht="18" customHeight="1">
      <c r="A71" s="21"/>
      <c r="B71" s="118" t="s">
        <v>159</v>
      </c>
      <c r="C71" s="119"/>
      <c r="D71" s="120"/>
      <c r="E71" s="121"/>
      <c r="F71" s="122"/>
      <c r="G71" s="122"/>
      <c r="H71" s="10"/>
      <c r="I71" s="10"/>
    </row>
    <row r="72" spans="1:9" ht="30" customHeight="1">
      <c r="A72" s="21">
        <v>15</v>
      </c>
      <c r="B72" s="95" t="s">
        <v>160</v>
      </c>
      <c r="C72" s="123" t="s">
        <v>161</v>
      </c>
      <c r="D72" s="120"/>
      <c r="E72" s="121">
        <v>2054.6</v>
      </c>
      <c r="F72" s="122">
        <f>E72*12</f>
        <v>24655.199999999997</v>
      </c>
      <c r="G72" s="122">
        <v>2.4900000000000002</v>
      </c>
      <c r="H72" s="10"/>
      <c r="I72" s="10">
        <f>G72*F72/12</f>
        <v>5115.9539999999997</v>
      </c>
    </row>
    <row r="73" spans="1:9" ht="20.25" customHeight="1">
      <c r="A73" s="21"/>
      <c r="B73" s="80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23.25" hidden="1" customHeight="1">
      <c r="A74" s="21">
        <v>18</v>
      </c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8"/>
        <v>0.10724600000000001</v>
      </c>
      <c r="I74" s="10">
        <f>G74*0.2</f>
        <v>107.24600000000001</v>
      </c>
    </row>
    <row r="75" spans="1:9" ht="21.7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23.2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6.5" customHeight="1">
      <c r="A77" s="21">
        <v>16</v>
      </c>
      <c r="B77" s="95" t="s">
        <v>158</v>
      </c>
      <c r="C77" s="117" t="s">
        <v>104</v>
      </c>
      <c r="D77" s="95" t="s">
        <v>174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24.75" hidden="1" customHeight="1">
      <c r="A78" s="21"/>
      <c r="B78" s="74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8.75" hidden="1" customHeight="1">
      <c r="A79" s="21"/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8"/>
        <v>3.9822975</v>
      </c>
      <c r="I79" s="10">
        <v>0</v>
      </c>
    </row>
    <row r="80" spans="1:9" ht="18" customHeight="1">
      <c r="A80" s="21"/>
      <c r="B80" s="53" t="s">
        <v>86</v>
      </c>
      <c r="C80" s="75"/>
      <c r="D80" s="23"/>
      <c r="E80" s="24"/>
      <c r="F80" s="64"/>
      <c r="G80" s="64"/>
      <c r="H80" s="76">
        <f>SUM(H59:H79)</f>
        <v>70.673694374000007</v>
      </c>
      <c r="I80" s="64"/>
    </row>
    <row r="81" spans="1:9" ht="15" customHeight="1">
      <c r="A81" s="21">
        <v>17</v>
      </c>
      <c r="B81" s="58" t="s">
        <v>111</v>
      </c>
      <c r="C81" s="13"/>
      <c r="D81" s="11"/>
      <c r="E81" s="77"/>
      <c r="F81" s="10">
        <v>1</v>
      </c>
      <c r="G81" s="10">
        <v>74.8</v>
      </c>
      <c r="H81" s="72">
        <f>G81*F81/1000</f>
        <v>7.4799999999999991E-2</v>
      </c>
      <c r="I81" s="10">
        <f>G81*1</f>
        <v>74.8</v>
      </c>
    </row>
    <row r="82" spans="1:9" ht="15.75" customHeight="1">
      <c r="A82" s="159" t="s">
        <v>124</v>
      </c>
      <c r="B82" s="160"/>
      <c r="C82" s="160"/>
      <c r="D82" s="160"/>
      <c r="E82" s="160"/>
      <c r="F82" s="160"/>
      <c r="G82" s="160"/>
      <c r="H82" s="160"/>
      <c r="I82" s="161"/>
    </row>
    <row r="83" spans="1:9" ht="15.75" customHeight="1">
      <c r="A83" s="21">
        <v>18</v>
      </c>
      <c r="B83" s="95" t="s">
        <v>112</v>
      </c>
      <c r="C83" s="117" t="s">
        <v>53</v>
      </c>
      <c r="D83" s="135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19</v>
      </c>
      <c r="B84" s="95" t="s">
        <v>162</v>
      </c>
      <c r="C84" s="117" t="s">
        <v>53</v>
      </c>
      <c r="D84" s="133"/>
      <c r="E84" s="134">
        <f>E83</f>
        <v>2054.6</v>
      </c>
      <c r="F84" s="126">
        <f>E84*12</f>
        <v>24655.199999999997</v>
      </c>
      <c r="G84" s="126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I84+I83+I77+I72+I61+I56+I52+I45+I42+I41+I39+I38+I27+I21+I20+I18+I17+I16+I81</f>
        <v>45611.800085499992</v>
      </c>
    </row>
    <row r="86" spans="1:9" ht="15.75" customHeight="1">
      <c r="A86" s="173" t="s">
        <v>58</v>
      </c>
      <c r="B86" s="174"/>
      <c r="C86" s="174"/>
      <c r="D86" s="174"/>
      <c r="E86" s="174"/>
      <c r="F86" s="174"/>
      <c r="G86" s="174"/>
      <c r="H86" s="174"/>
      <c r="I86" s="175"/>
    </row>
    <row r="87" spans="1:9" ht="15.75" customHeight="1">
      <c r="A87" s="30">
        <v>20</v>
      </c>
      <c r="B87" s="88" t="s">
        <v>258</v>
      </c>
      <c r="C87" s="40" t="s">
        <v>259</v>
      </c>
      <c r="D87" s="39" t="s">
        <v>261</v>
      </c>
      <c r="E87" s="27"/>
      <c r="F87" s="27">
        <v>1</v>
      </c>
      <c r="G87" s="27">
        <v>222.63</v>
      </c>
      <c r="H87" s="30"/>
      <c r="I87" s="30">
        <f>G87*1</f>
        <v>222.63</v>
      </c>
    </row>
    <row r="88" spans="1:9" ht="15.75" customHeight="1">
      <c r="A88" s="30">
        <v>21</v>
      </c>
      <c r="B88" s="88" t="s">
        <v>223</v>
      </c>
      <c r="C88" s="40" t="s">
        <v>39</v>
      </c>
      <c r="D88" s="39" t="s">
        <v>173</v>
      </c>
      <c r="E88" s="27"/>
      <c r="F88" s="27">
        <v>0.05</v>
      </c>
      <c r="G88" s="27">
        <v>27139.18</v>
      </c>
      <c r="H88" s="30"/>
      <c r="I88" s="150">
        <v>0</v>
      </c>
    </row>
    <row r="89" spans="1:9" ht="15.75" customHeight="1">
      <c r="A89" s="30">
        <v>22</v>
      </c>
      <c r="B89" s="88" t="s">
        <v>260</v>
      </c>
      <c r="C89" s="40" t="s">
        <v>29</v>
      </c>
      <c r="D89" s="39" t="s">
        <v>262</v>
      </c>
      <c r="E89" s="27"/>
      <c r="F89" s="27">
        <v>1</v>
      </c>
      <c r="G89" s="27">
        <v>90</v>
      </c>
      <c r="H89" s="30"/>
      <c r="I89" s="150">
        <v>0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SUM(I87:I89)</f>
        <v>222.63</v>
      </c>
    </row>
    <row r="91" spans="1:9" ht="15.75" customHeight="1">
      <c r="A91" s="21"/>
      <c r="B91" s="36" t="s">
        <v>75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50</v>
      </c>
      <c r="C92" s="26"/>
      <c r="D92" s="26"/>
      <c r="E92" s="26"/>
      <c r="F92" s="26"/>
      <c r="G92" s="26"/>
      <c r="H92" s="26"/>
      <c r="I92" s="33">
        <f>I85+I90</f>
        <v>45834.430085499989</v>
      </c>
    </row>
    <row r="93" spans="1:9" ht="15.75">
      <c r="A93" s="172" t="s">
        <v>284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46"/>
      <c r="B94" s="167" t="s">
        <v>285</v>
      </c>
      <c r="C94" s="167"/>
      <c r="D94" s="167"/>
      <c r="E94" s="167"/>
      <c r="F94" s="167"/>
      <c r="G94" s="167"/>
      <c r="H94" s="57"/>
      <c r="I94" s="2"/>
    </row>
    <row r="95" spans="1:9">
      <c r="A95" s="85"/>
      <c r="B95" s="163" t="s">
        <v>6</v>
      </c>
      <c r="C95" s="163"/>
      <c r="D95" s="163"/>
      <c r="E95" s="163"/>
      <c r="F95" s="163"/>
      <c r="G95" s="163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8"/>
    </row>
    <row r="101" spans="1:9" ht="15.75">
      <c r="A101" s="170" t="s">
        <v>9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3"/>
    </row>
    <row r="103" spans="1:9" ht="15.75">
      <c r="B103" s="82" t="s">
        <v>10</v>
      </c>
      <c r="C103" s="162" t="s">
        <v>254</v>
      </c>
      <c r="D103" s="162"/>
      <c r="E103" s="162"/>
      <c r="F103" s="55"/>
      <c r="I103" s="84"/>
    </row>
    <row r="104" spans="1:9">
      <c r="A104" s="85"/>
      <c r="C104" s="163" t="s">
        <v>11</v>
      </c>
      <c r="D104" s="163"/>
      <c r="E104" s="163"/>
      <c r="F104" s="16"/>
      <c r="I104" s="83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82" t="s">
        <v>13</v>
      </c>
      <c r="C106" s="164"/>
      <c r="D106" s="164"/>
      <c r="E106" s="164"/>
      <c r="F106" s="56"/>
      <c r="I106" s="84"/>
    </row>
    <row r="107" spans="1:9">
      <c r="A107" s="85"/>
      <c r="C107" s="165" t="s">
        <v>11</v>
      </c>
      <c r="D107" s="165"/>
      <c r="E107" s="165"/>
      <c r="F107" s="85"/>
      <c r="I107" s="83" t="s">
        <v>12</v>
      </c>
    </row>
    <row r="108" spans="1:9" ht="15.75">
      <c r="A108" s="3" t="s">
        <v>14</v>
      </c>
    </row>
    <row r="109" spans="1:9">
      <c r="A109" s="166" t="s">
        <v>15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45" customHeight="1">
      <c r="A110" s="158" t="s">
        <v>16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0" customHeight="1">
      <c r="A111" s="158" t="s">
        <v>17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21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" customHeight="1">
      <c r="A113" s="158" t="s">
        <v>20</v>
      </c>
      <c r="B113" s="158"/>
      <c r="C113" s="158"/>
      <c r="D113" s="158"/>
      <c r="E113" s="158"/>
      <c r="F113" s="158"/>
      <c r="G113" s="158"/>
      <c r="H113" s="158"/>
      <c r="I113" s="158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6:I46"/>
    <mergeCell ref="A57:I57"/>
    <mergeCell ref="A82:I82"/>
    <mergeCell ref="A86:I86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1"/>
  <sheetViews>
    <sheetView topLeftCell="A60" workbookViewId="0">
      <selection activeCell="I94" sqref="I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132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191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43890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173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G18*F18/18*1</f>
        <v>1591.1060000000002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7.2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hidden="1" customHeight="1">
      <c r="A28" s="21">
        <v>6</v>
      </c>
      <c r="B28" s="66" t="s">
        <v>23</v>
      </c>
      <c r="C28" s="59" t="s">
        <v>24</v>
      </c>
      <c r="D28" s="58"/>
      <c r="E28" s="60">
        <v>2054.6</v>
      </c>
      <c r="F28" s="61">
        <f>SUM(E28*12)</f>
        <v>24655.199999999997</v>
      </c>
      <c r="G28" s="61">
        <v>6.15</v>
      </c>
      <c r="H28" s="62">
        <f>SUM(F28*G28/1000)</f>
        <v>151.62947999999997</v>
      </c>
      <c r="I28" s="10">
        <f>F28/12*G28</f>
        <v>12635.79</v>
      </c>
    </row>
    <row r="29" spans="1:9" ht="15.75" customHeight="1">
      <c r="A29" s="159" t="s">
        <v>78</v>
      </c>
      <c r="B29" s="160"/>
      <c r="C29" s="160"/>
      <c r="D29" s="160"/>
      <c r="E29" s="160"/>
      <c r="F29" s="160"/>
      <c r="G29" s="160"/>
      <c r="H29" s="160"/>
      <c r="I29" s="161"/>
    </row>
    <row r="30" spans="1:9" ht="15.75" hidden="1" customHeight="1">
      <c r="A30" s="21"/>
      <c r="B30" s="78" t="s">
        <v>27</v>
      </c>
      <c r="C30" s="59"/>
      <c r="D30" s="58"/>
      <c r="E30" s="60"/>
      <c r="F30" s="61"/>
      <c r="G30" s="61"/>
      <c r="H30" s="62"/>
      <c r="I30" s="10"/>
    </row>
    <row r="31" spans="1:9" ht="31.5" hidden="1" customHeight="1">
      <c r="A31" s="21">
        <v>8</v>
      </c>
      <c r="B31" s="58" t="s">
        <v>102</v>
      </c>
      <c r="C31" s="59" t="s">
        <v>83</v>
      </c>
      <c r="D31" s="58" t="s">
        <v>98</v>
      </c>
      <c r="E31" s="61">
        <v>600.63</v>
      </c>
      <c r="F31" s="61">
        <f>SUM(E31*52/1000)</f>
        <v>31.232759999999999</v>
      </c>
      <c r="G31" s="61">
        <v>166.65</v>
      </c>
      <c r="H31" s="62">
        <f t="shared" ref="H31:H36" si="2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58" t="s">
        <v>101</v>
      </c>
      <c r="C32" s="59" t="s">
        <v>83</v>
      </c>
      <c r="D32" s="58" t="s">
        <v>99</v>
      </c>
      <c r="E32" s="61">
        <v>186.39</v>
      </c>
      <c r="F32" s="61">
        <f>SUM(E32*78/1000)</f>
        <v>14.538419999999999</v>
      </c>
      <c r="G32" s="61">
        <v>276.48</v>
      </c>
      <c r="H32" s="62">
        <f t="shared" si="2"/>
        <v>4.0195823615999995</v>
      </c>
      <c r="I32" s="10">
        <f t="shared" ref="I32:I34" si="3">F32/6*G32</f>
        <v>669.93039359999989</v>
      </c>
    </row>
    <row r="33" spans="1:9" ht="15.75" hidden="1" customHeight="1">
      <c r="A33" s="21">
        <v>16</v>
      </c>
      <c r="B33" s="58" t="s">
        <v>26</v>
      </c>
      <c r="C33" s="59" t="s">
        <v>83</v>
      </c>
      <c r="D33" s="58" t="s">
        <v>52</v>
      </c>
      <c r="E33" s="61">
        <v>600.63</v>
      </c>
      <c r="F33" s="61">
        <f>SUM(E33/1000)</f>
        <v>0.60063</v>
      </c>
      <c r="G33" s="61">
        <v>3228.73</v>
      </c>
      <c r="H33" s="62">
        <f t="shared" si="2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58" t="s">
        <v>100</v>
      </c>
      <c r="C34" s="59" t="s">
        <v>29</v>
      </c>
      <c r="D34" s="58" t="s">
        <v>61</v>
      </c>
      <c r="E34" s="65">
        <v>0.33333333333333331</v>
      </c>
      <c r="F34" s="61">
        <f>155/3</f>
        <v>51.666666666666664</v>
      </c>
      <c r="G34" s="61">
        <v>60.6</v>
      </c>
      <c r="H34" s="62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58" t="s">
        <v>62</v>
      </c>
      <c r="C35" s="59" t="s">
        <v>31</v>
      </c>
      <c r="D35" s="58" t="s">
        <v>64</v>
      </c>
      <c r="E35" s="60"/>
      <c r="F35" s="61">
        <v>2</v>
      </c>
      <c r="G35" s="61">
        <v>204.52</v>
      </c>
      <c r="H35" s="62">
        <f t="shared" si="2"/>
        <v>0.40904000000000001</v>
      </c>
      <c r="I35" s="10">
        <v>0</v>
      </c>
    </row>
    <row r="36" spans="1:9" ht="15.75" hidden="1" customHeight="1">
      <c r="A36" s="21"/>
      <c r="B36" s="58" t="s">
        <v>63</v>
      </c>
      <c r="C36" s="59" t="s">
        <v>30</v>
      </c>
      <c r="D36" s="58" t="s">
        <v>64</v>
      </c>
      <c r="E36" s="60"/>
      <c r="F36" s="61">
        <v>1</v>
      </c>
      <c r="G36" s="61">
        <v>1214.74</v>
      </c>
      <c r="H36" s="62">
        <f t="shared" si="2"/>
        <v>1.2147399999999999</v>
      </c>
      <c r="I36" s="10">
        <v>0</v>
      </c>
    </row>
    <row r="37" spans="1:9" ht="15.75" customHeight="1">
      <c r="A37" s="21"/>
      <c r="B37" s="78" t="s">
        <v>5</v>
      </c>
      <c r="C37" s="59"/>
      <c r="D37" s="58"/>
      <c r="E37" s="60"/>
      <c r="F37" s="61"/>
      <c r="G37" s="61"/>
      <c r="H37" s="62" t="s">
        <v>113</v>
      </c>
      <c r="I37" s="10"/>
    </row>
    <row r="38" spans="1:9" ht="15.75" customHeight="1">
      <c r="A38" s="21">
        <v>7</v>
      </c>
      <c r="B38" s="58" t="s">
        <v>25</v>
      </c>
      <c r="C38" s="59" t="s">
        <v>30</v>
      </c>
      <c r="D38" s="58" t="s">
        <v>192</v>
      </c>
      <c r="E38" s="60"/>
      <c r="F38" s="61">
        <v>5</v>
      </c>
      <c r="G38" s="105">
        <v>1855</v>
      </c>
      <c r="H38" s="62">
        <f t="shared" ref="H38:H44" si="4">SUM(F38*G38/1000)</f>
        <v>9.2750000000000004</v>
      </c>
      <c r="I38" s="10">
        <f>G38*0.9</f>
        <v>1669.5</v>
      </c>
    </row>
    <row r="39" spans="1:9" ht="15.75" customHeight="1">
      <c r="A39" s="21">
        <v>8</v>
      </c>
      <c r="B39" s="107" t="s">
        <v>117</v>
      </c>
      <c r="C39" s="108" t="s">
        <v>28</v>
      </c>
      <c r="D39" s="25" t="s">
        <v>182</v>
      </c>
      <c r="E39" s="104">
        <v>186.39</v>
      </c>
      <c r="F39" s="109">
        <f>E39*30/1000</f>
        <v>5.5916999999999994</v>
      </c>
      <c r="G39" s="105">
        <v>3014.36</v>
      </c>
      <c r="H39" s="62">
        <f>G39*F39/1000</f>
        <v>16.855396811999999</v>
      </c>
      <c r="I39" s="10">
        <f>F39/6*G39</f>
        <v>2809.232802</v>
      </c>
    </row>
    <row r="40" spans="1:9" ht="15.75" hidden="1" customHeight="1">
      <c r="A40" s="21"/>
      <c r="B40" s="25" t="s">
        <v>127</v>
      </c>
      <c r="C40" s="29" t="s">
        <v>128</v>
      </c>
      <c r="D40" s="25" t="s">
        <v>156</v>
      </c>
      <c r="E40" s="104"/>
      <c r="F40" s="109">
        <v>13</v>
      </c>
      <c r="G40" s="105">
        <v>330</v>
      </c>
      <c r="H40" s="62">
        <f>G40*F40/1000</f>
        <v>4.29</v>
      </c>
      <c r="I40" s="10">
        <v>0</v>
      </c>
    </row>
    <row r="41" spans="1:9" ht="15.75" customHeight="1">
      <c r="A41" s="21">
        <v>9</v>
      </c>
      <c r="B41" s="25" t="s">
        <v>65</v>
      </c>
      <c r="C41" s="29" t="s">
        <v>28</v>
      </c>
      <c r="D41" s="25" t="s">
        <v>172</v>
      </c>
      <c r="E41" s="105">
        <v>186.39</v>
      </c>
      <c r="F41" s="109">
        <f>SUM(E41*155/1000)</f>
        <v>28.890449999999998</v>
      </c>
      <c r="G41" s="105">
        <v>502.82</v>
      </c>
      <c r="H41" s="62">
        <f t="shared" ref="H41:H42" si="5">SUM(F41*G41/1000)</f>
        <v>14.526696068999998</v>
      </c>
      <c r="I41" s="10">
        <f>F41/6*G41</f>
        <v>2421.1160114999998</v>
      </c>
    </row>
    <row r="42" spans="1:9" ht="47.25" customHeight="1">
      <c r="A42" s="21">
        <v>10</v>
      </c>
      <c r="B42" s="25" t="s">
        <v>77</v>
      </c>
      <c r="C42" s="29" t="s">
        <v>83</v>
      </c>
      <c r="D42" s="25" t="s">
        <v>171</v>
      </c>
      <c r="E42" s="105">
        <v>52.2</v>
      </c>
      <c r="F42" s="109">
        <f>E42*24/1000</f>
        <v>1.2528000000000001</v>
      </c>
      <c r="G42" s="105">
        <v>8319.2999999999993</v>
      </c>
      <c r="H42" s="62">
        <f t="shared" si="5"/>
        <v>10.422419040000001</v>
      </c>
      <c r="I42" s="10">
        <f>F42/6*G42</f>
        <v>1737.0698399999999</v>
      </c>
    </row>
    <row r="43" spans="1:9" ht="15.75" hidden="1" customHeight="1">
      <c r="A43" s="21">
        <v>10</v>
      </c>
      <c r="B43" s="58" t="s">
        <v>119</v>
      </c>
      <c r="C43" s="59" t="s">
        <v>83</v>
      </c>
      <c r="D43" s="58" t="s">
        <v>66</v>
      </c>
      <c r="E43" s="61">
        <v>52.2</v>
      </c>
      <c r="F43" s="61">
        <f>SUM(E43*45/1000)</f>
        <v>2.3490000000000002</v>
      </c>
      <c r="G43" s="61">
        <v>458.28</v>
      </c>
      <c r="H43" s="62">
        <f t="shared" si="4"/>
        <v>1.0764997199999999</v>
      </c>
      <c r="I43" s="10">
        <f>F43/7.5*G43</f>
        <v>143.53329600000001</v>
      </c>
    </row>
    <row r="44" spans="1:9" ht="15.75" hidden="1" customHeight="1">
      <c r="A44" s="21">
        <v>11</v>
      </c>
      <c r="B44" s="58" t="s">
        <v>67</v>
      </c>
      <c r="C44" s="59" t="s">
        <v>31</v>
      </c>
      <c r="D44" s="58"/>
      <c r="E44" s="60"/>
      <c r="F44" s="61">
        <v>0.5</v>
      </c>
      <c r="G44" s="61">
        <v>853.06</v>
      </c>
      <c r="H44" s="62">
        <f t="shared" si="4"/>
        <v>0.42652999999999996</v>
      </c>
      <c r="I44" s="10">
        <f>F44/7.5*G44</f>
        <v>56.870666666666665</v>
      </c>
    </row>
    <row r="45" spans="1:9" ht="31.5" customHeight="1">
      <c r="A45" s="21">
        <v>11</v>
      </c>
      <c r="B45" s="148" t="s">
        <v>155</v>
      </c>
      <c r="C45" s="108" t="s">
        <v>83</v>
      </c>
      <c r="D45" s="107" t="s">
        <v>175</v>
      </c>
      <c r="E45" s="106">
        <v>1.8</v>
      </c>
      <c r="F45" s="109">
        <f>E45*12/1000</f>
        <v>2.1600000000000001E-2</v>
      </c>
      <c r="G45" s="109">
        <v>19757.060000000001</v>
      </c>
      <c r="H45" s="54"/>
      <c r="I45" s="10">
        <f>G45*F45/6</f>
        <v>71.125416000000016</v>
      </c>
    </row>
    <row r="46" spans="1:9" ht="15.75" customHeight="1">
      <c r="A46" s="159" t="s">
        <v>122</v>
      </c>
      <c r="B46" s="160"/>
      <c r="C46" s="160"/>
      <c r="D46" s="160"/>
      <c r="E46" s="160"/>
      <c r="F46" s="160"/>
      <c r="G46" s="160"/>
      <c r="H46" s="160"/>
      <c r="I46" s="161"/>
    </row>
    <row r="47" spans="1:9" ht="15.7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6">SUM(F47*G47/1000)</f>
        <v>1.5888271549999999</v>
      </c>
      <c r="I47" s="10">
        <v>0</v>
      </c>
    </row>
    <row r="48" spans="1:9" ht="15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6"/>
        <v>5.9468160000000006E-2</v>
      </c>
      <c r="I48" s="10">
        <v>0</v>
      </c>
    </row>
    <row r="49" spans="1:9" ht="15.7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6"/>
        <v>1.161363608</v>
      </c>
      <c r="I49" s="10">
        <v>0</v>
      </c>
    </row>
    <row r="50" spans="1:9" ht="15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6"/>
        <v>1.6128822783999999</v>
      </c>
      <c r="I50" s="10">
        <v>0</v>
      </c>
    </row>
    <row r="51" spans="1:9" ht="15.7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6"/>
        <v>0.10041360000000001</v>
      </c>
      <c r="I51" s="10">
        <v>0</v>
      </c>
    </row>
    <row r="52" spans="1:9" ht="15.75" customHeight="1">
      <c r="A52" s="21">
        <v>12</v>
      </c>
      <c r="B52" s="25" t="s">
        <v>54</v>
      </c>
      <c r="C52" s="29" t="s">
        <v>83</v>
      </c>
      <c r="D52" s="25" t="s">
        <v>173</v>
      </c>
      <c r="E52" s="104">
        <v>2054.6</v>
      </c>
      <c r="F52" s="105">
        <f>SUM(E52*5/1000)</f>
        <v>10.273</v>
      </c>
      <c r="G52" s="27">
        <v>1739.68</v>
      </c>
      <c r="H52" s="62">
        <f t="shared" si="6"/>
        <v>17.871732639999998</v>
      </c>
      <c r="I52" s="10">
        <f>F52/5*G52</f>
        <v>3574.3465279999996</v>
      </c>
    </row>
    <row r="53" spans="1:9" ht="31.5" hidden="1" customHeight="1">
      <c r="A53" s="21"/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6"/>
        <v>1.7601495039999999</v>
      </c>
      <c r="I53" s="10">
        <v>0</v>
      </c>
    </row>
    <row r="54" spans="1:9" ht="31.5" hidden="1" customHeight="1">
      <c r="A54" s="21"/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6"/>
        <v>0.70053359999999998</v>
      </c>
      <c r="I54" s="10">
        <v>0</v>
      </c>
    </row>
    <row r="55" spans="1:9" ht="15.75" hidden="1" customHeight="1">
      <c r="A55" s="21"/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6"/>
        <v>0.1208424</v>
      </c>
      <c r="I55" s="10">
        <v>0</v>
      </c>
    </row>
    <row r="56" spans="1:9" ht="15.75" hidden="1" customHeight="1">
      <c r="A56" s="21">
        <v>15</v>
      </c>
      <c r="B56" s="58" t="s">
        <v>40</v>
      </c>
      <c r="C56" s="59" t="s">
        <v>104</v>
      </c>
      <c r="D56" s="58" t="s">
        <v>68</v>
      </c>
      <c r="E56" s="60">
        <v>72</v>
      </c>
      <c r="F56" s="61">
        <f>SUM(E56)*3</f>
        <v>216</v>
      </c>
      <c r="G56" s="10">
        <v>70.209999999999994</v>
      </c>
      <c r="H56" s="62">
        <f t="shared" si="6"/>
        <v>15.165359999999998</v>
      </c>
      <c r="I56" s="10">
        <f>E56*G56</f>
        <v>5055.12</v>
      </c>
    </row>
    <row r="57" spans="1:9" ht="15.75" customHeight="1">
      <c r="A57" s="159" t="s">
        <v>123</v>
      </c>
      <c r="B57" s="160"/>
      <c r="C57" s="160"/>
      <c r="D57" s="160"/>
      <c r="E57" s="160"/>
      <c r="F57" s="160"/>
      <c r="G57" s="160"/>
      <c r="H57" s="160"/>
      <c r="I57" s="161"/>
    </row>
    <row r="58" spans="1:9" ht="15.75" hidden="1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31.5" hidden="1" customHeight="1">
      <c r="A59" s="21">
        <v>14</v>
      </c>
      <c r="B59" s="58" t="s">
        <v>105</v>
      </c>
      <c r="C59" s="59" t="s">
        <v>80</v>
      </c>
      <c r="D59" s="58" t="s">
        <v>106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G59*0.14</f>
        <v>231.56560000000002</v>
      </c>
    </row>
    <row r="60" spans="1:9" ht="16.5" customHeight="1">
      <c r="A60" s="21"/>
      <c r="B60" s="115" t="s">
        <v>157</v>
      </c>
      <c r="C60" s="111"/>
      <c r="D60" s="110"/>
      <c r="E60" s="112"/>
      <c r="F60" s="116"/>
      <c r="G60" s="27"/>
      <c r="H60" s="97"/>
      <c r="I60" s="10"/>
    </row>
    <row r="61" spans="1:9" ht="17.25" customHeight="1">
      <c r="A61" s="21">
        <v>13</v>
      </c>
      <c r="B61" s="95" t="s">
        <v>149</v>
      </c>
      <c r="C61" s="117" t="s">
        <v>150</v>
      </c>
      <c r="D61" s="95" t="s">
        <v>173</v>
      </c>
      <c r="E61" s="130">
        <v>120</v>
      </c>
      <c r="F61" s="116">
        <f>E61*12</f>
        <v>1440</v>
      </c>
      <c r="G61" s="27">
        <v>1.4</v>
      </c>
      <c r="H61" s="71"/>
      <c r="I61" s="10">
        <f>G61*F61/12</f>
        <v>167.99999999999997</v>
      </c>
    </row>
    <row r="62" spans="1:9" ht="15.75" hidden="1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5.75" hidden="1" customHeight="1">
      <c r="A63" s="21">
        <v>15</v>
      </c>
      <c r="B63" s="11" t="s">
        <v>44</v>
      </c>
      <c r="C63" s="13" t="s">
        <v>104</v>
      </c>
      <c r="D63" s="11" t="s">
        <v>64</v>
      </c>
      <c r="E63" s="15">
        <v>8</v>
      </c>
      <c r="F63" s="61">
        <v>8</v>
      </c>
      <c r="G63" s="10">
        <v>237.74</v>
      </c>
      <c r="H63" s="72">
        <f t="shared" ref="H63:H79" si="7">SUM(F63*G63/1000)</f>
        <v>1.9019200000000001</v>
      </c>
      <c r="I63" s="10">
        <f>G63*2</f>
        <v>475.48</v>
      </c>
    </row>
    <row r="64" spans="1:9" ht="15.7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7"/>
        <v>0.24453000000000003</v>
      </c>
      <c r="I64" s="10">
        <v>0</v>
      </c>
    </row>
    <row r="65" spans="1:9" ht="15.7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7"/>
        <v>19.3655981</v>
      </c>
      <c r="I65" s="10">
        <v>0</v>
      </c>
    </row>
    <row r="66" spans="1:9" ht="15.75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7"/>
        <v>1.5080727900000002</v>
      </c>
      <c r="I66" s="10">
        <v>0</v>
      </c>
    </row>
    <row r="67" spans="1:9" ht="15.7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7"/>
        <v>30.383586000000005</v>
      </c>
      <c r="I67" s="10">
        <v>0</v>
      </c>
    </row>
    <row r="68" spans="1:9" ht="15.75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7"/>
        <v>0.38403000000000004</v>
      </c>
      <c r="I68" s="10">
        <v>0</v>
      </c>
    </row>
    <row r="69" spans="1:9" ht="15.7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7"/>
        <v>0.35829</v>
      </c>
      <c r="I69" s="10">
        <v>0</v>
      </c>
    </row>
    <row r="70" spans="1:9" ht="15.7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7"/>
        <v>0.16085999999999998</v>
      </c>
      <c r="I70" s="10">
        <v>0</v>
      </c>
    </row>
    <row r="71" spans="1:9" ht="15.75" customHeight="1">
      <c r="A71" s="21"/>
      <c r="B71" s="118" t="s">
        <v>159</v>
      </c>
      <c r="C71" s="119"/>
      <c r="D71" s="120"/>
      <c r="E71" s="121"/>
      <c r="F71" s="122"/>
      <c r="G71" s="122"/>
      <c r="H71" s="10"/>
      <c r="I71" s="10"/>
    </row>
    <row r="72" spans="1:9" ht="30.75" customHeight="1">
      <c r="A72" s="21">
        <v>14</v>
      </c>
      <c r="B72" s="95" t="s">
        <v>160</v>
      </c>
      <c r="C72" s="123" t="s">
        <v>161</v>
      </c>
      <c r="D72" s="120"/>
      <c r="E72" s="121">
        <v>2054.6</v>
      </c>
      <c r="F72" s="122">
        <f>E72*12</f>
        <v>24655.199999999997</v>
      </c>
      <c r="G72" s="122">
        <v>2.4900000000000002</v>
      </c>
      <c r="H72" s="10"/>
      <c r="I72" s="10">
        <f>G72*F72/12</f>
        <v>5115.9539999999997</v>
      </c>
    </row>
    <row r="73" spans="1:9" ht="15.75" customHeight="1">
      <c r="A73" s="21"/>
      <c r="B73" s="51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15.75" hidden="1" customHeight="1">
      <c r="A74" s="21">
        <v>16</v>
      </c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7"/>
        <v>0.10724600000000001</v>
      </c>
      <c r="I74" s="10">
        <f>G74*0.2</f>
        <v>107.24600000000001</v>
      </c>
    </row>
    <row r="75" spans="1:9" ht="15.7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5.75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5.75" customHeight="1">
      <c r="A77" s="21">
        <v>15</v>
      </c>
      <c r="B77" s="95" t="s">
        <v>158</v>
      </c>
      <c r="C77" s="117" t="s">
        <v>104</v>
      </c>
      <c r="D77" s="95" t="s">
        <v>174</v>
      </c>
      <c r="E77" s="14">
        <v>2</v>
      </c>
      <c r="F77" s="27">
        <f>E77*12</f>
        <v>24</v>
      </c>
      <c r="G77" s="27">
        <v>404</v>
      </c>
      <c r="H77" s="72"/>
      <c r="I77" s="10">
        <f>G77*2</f>
        <v>808</v>
      </c>
    </row>
    <row r="78" spans="1:9" ht="15.75" hidden="1" customHeight="1">
      <c r="A78" s="21"/>
      <c r="B78" s="75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15.75" hidden="1" customHeight="1">
      <c r="A79" s="21"/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7"/>
        <v>3.9822975</v>
      </c>
      <c r="I79" s="10">
        <v>0</v>
      </c>
    </row>
    <row r="80" spans="1:9" ht="15.75" hidden="1" customHeight="1">
      <c r="A80" s="21"/>
      <c r="B80" s="51" t="s">
        <v>86</v>
      </c>
      <c r="C80" s="75"/>
      <c r="D80" s="23"/>
      <c r="E80" s="24"/>
      <c r="F80" s="64"/>
      <c r="G80" s="64"/>
      <c r="H80" s="76">
        <f>SUM(H59:H79)</f>
        <v>70.673694374000007</v>
      </c>
      <c r="I80" s="64"/>
    </row>
    <row r="81" spans="1:9" ht="15.75" hidden="1" customHeight="1">
      <c r="A81" s="21"/>
      <c r="B81" s="58" t="s">
        <v>111</v>
      </c>
      <c r="C81" s="13"/>
      <c r="D81" s="11"/>
      <c r="E81" s="77"/>
      <c r="F81" s="10">
        <v>1</v>
      </c>
      <c r="G81" s="10">
        <v>7101.4</v>
      </c>
      <c r="H81" s="72">
        <f>G81*F81/1000</f>
        <v>7.1013999999999999</v>
      </c>
      <c r="I81" s="10">
        <v>0</v>
      </c>
    </row>
    <row r="82" spans="1:9" ht="15.75" customHeight="1">
      <c r="A82" s="159" t="s">
        <v>135</v>
      </c>
      <c r="B82" s="160"/>
      <c r="C82" s="160"/>
      <c r="D82" s="160"/>
      <c r="E82" s="160"/>
      <c r="F82" s="160"/>
      <c r="G82" s="160"/>
      <c r="H82" s="160"/>
      <c r="I82" s="161"/>
    </row>
    <row r="83" spans="1:9" ht="15.75" customHeight="1">
      <c r="A83" s="21">
        <v>16</v>
      </c>
      <c r="B83" s="95" t="s">
        <v>112</v>
      </c>
      <c r="C83" s="117" t="s">
        <v>53</v>
      </c>
      <c r="D83" s="135"/>
      <c r="E83" s="27">
        <v>2054.6</v>
      </c>
      <c r="F83" s="27">
        <f>SUM(E83*12)</f>
        <v>24655.199999999997</v>
      </c>
      <c r="G83" s="27">
        <v>3.38</v>
      </c>
      <c r="H83" s="72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17</v>
      </c>
      <c r="B84" s="95" t="s">
        <v>162</v>
      </c>
      <c r="C84" s="117" t="s">
        <v>53</v>
      </c>
      <c r="D84" s="133"/>
      <c r="E84" s="134">
        <f>E83</f>
        <v>2054.6</v>
      </c>
      <c r="F84" s="126">
        <f>E84*12</f>
        <v>24655.199999999997</v>
      </c>
      <c r="G84" s="126">
        <v>3.05</v>
      </c>
      <c r="H84" s="72">
        <f>F84*G84/1000</f>
        <v>75.19835999999998</v>
      </c>
      <c r="I84" s="10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I84+I83+I77+I72+I61+I52+I45+I42+I41+I39+I38+I27+I21+I20+I18+I17+I16</f>
        <v>39435.460085499995</v>
      </c>
    </row>
    <row r="86" spans="1:9" ht="15.75" customHeight="1">
      <c r="A86" s="173" t="s">
        <v>58</v>
      </c>
      <c r="B86" s="174"/>
      <c r="C86" s="174"/>
      <c r="D86" s="174"/>
      <c r="E86" s="174"/>
      <c r="F86" s="174"/>
      <c r="G86" s="174"/>
      <c r="H86" s="174"/>
      <c r="I86" s="175"/>
    </row>
    <row r="87" spans="1:9" ht="15.75" customHeight="1">
      <c r="A87" s="21">
        <v>18</v>
      </c>
      <c r="B87" s="88" t="s">
        <v>193</v>
      </c>
      <c r="C87" s="40" t="s">
        <v>28</v>
      </c>
      <c r="D87" s="68" t="s">
        <v>173</v>
      </c>
      <c r="E87" s="69"/>
      <c r="F87" s="70">
        <v>360</v>
      </c>
      <c r="G87" s="27">
        <v>1207.24</v>
      </c>
      <c r="H87" s="71">
        <f>F87*G87/1000</f>
        <v>434.60640000000001</v>
      </c>
      <c r="I87" s="89">
        <v>0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SUM(I87:I87)</f>
        <v>0</v>
      </c>
    </row>
    <row r="89" spans="1:9" ht="15.75" customHeight="1">
      <c r="A89" s="21"/>
      <c r="B89" s="36" t="s">
        <v>75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144</v>
      </c>
      <c r="C90" s="26"/>
      <c r="D90" s="26"/>
      <c r="E90" s="26"/>
      <c r="F90" s="26"/>
      <c r="G90" s="26"/>
      <c r="H90" s="26"/>
      <c r="I90" s="33">
        <f>I85+I88</f>
        <v>39435.460085499995</v>
      </c>
    </row>
    <row r="91" spans="1:9" ht="15.75">
      <c r="A91" s="172" t="s">
        <v>266</v>
      </c>
      <c r="B91" s="172"/>
      <c r="C91" s="172"/>
      <c r="D91" s="172"/>
      <c r="E91" s="172"/>
      <c r="F91" s="172"/>
      <c r="G91" s="172"/>
      <c r="H91" s="172"/>
      <c r="I91" s="172"/>
    </row>
    <row r="92" spans="1:9" ht="15.75">
      <c r="A92" s="46"/>
      <c r="B92" s="167" t="s">
        <v>267</v>
      </c>
      <c r="C92" s="167"/>
      <c r="D92" s="167"/>
      <c r="E92" s="167"/>
      <c r="F92" s="167"/>
      <c r="G92" s="167"/>
      <c r="H92" s="57"/>
      <c r="I92" s="2"/>
    </row>
    <row r="93" spans="1:9">
      <c r="A93" s="49"/>
      <c r="B93" s="163" t="s">
        <v>6</v>
      </c>
      <c r="C93" s="163"/>
      <c r="D93" s="163"/>
      <c r="E93" s="163"/>
      <c r="F93" s="163"/>
      <c r="G93" s="163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9" ht="15.75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169" t="s">
        <v>59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>
      <c r="A98" s="8"/>
    </row>
    <row r="99" spans="1:9" ht="15.75">
      <c r="A99" s="170" t="s">
        <v>9</v>
      </c>
      <c r="B99" s="170"/>
      <c r="C99" s="170"/>
      <c r="D99" s="170"/>
      <c r="E99" s="170"/>
      <c r="F99" s="170"/>
      <c r="G99" s="170"/>
      <c r="H99" s="170"/>
      <c r="I99" s="170"/>
    </row>
    <row r="100" spans="1:9" ht="15.75">
      <c r="A100" s="3"/>
    </row>
    <row r="101" spans="1:9" ht="15.75">
      <c r="B101" s="50" t="s">
        <v>10</v>
      </c>
      <c r="C101" s="162" t="s">
        <v>125</v>
      </c>
      <c r="D101" s="162"/>
      <c r="E101" s="162"/>
      <c r="F101" s="55"/>
      <c r="I101" s="48"/>
    </row>
    <row r="102" spans="1:9">
      <c r="A102" s="49"/>
      <c r="C102" s="163" t="s">
        <v>11</v>
      </c>
      <c r="D102" s="163"/>
      <c r="E102" s="163"/>
      <c r="F102" s="16"/>
      <c r="I102" s="47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0" t="s">
        <v>13</v>
      </c>
      <c r="C104" s="164"/>
      <c r="D104" s="164"/>
      <c r="E104" s="164"/>
      <c r="F104" s="56"/>
      <c r="I104" s="48"/>
    </row>
    <row r="105" spans="1:9">
      <c r="A105" s="49"/>
      <c r="C105" s="165" t="s">
        <v>11</v>
      </c>
      <c r="D105" s="165"/>
      <c r="E105" s="165"/>
      <c r="F105" s="49"/>
      <c r="I105" s="47" t="s">
        <v>12</v>
      </c>
    </row>
    <row r="106" spans="1:9" ht="15.75">
      <c r="A106" s="3" t="s">
        <v>14</v>
      </c>
    </row>
    <row r="107" spans="1:9">
      <c r="A107" s="166" t="s">
        <v>15</v>
      </c>
      <c r="B107" s="166"/>
      <c r="C107" s="166"/>
      <c r="D107" s="166"/>
      <c r="E107" s="166"/>
      <c r="F107" s="166"/>
      <c r="G107" s="166"/>
      <c r="H107" s="166"/>
      <c r="I107" s="166"/>
    </row>
    <row r="108" spans="1:9" ht="45" customHeight="1">
      <c r="A108" s="158" t="s">
        <v>16</v>
      </c>
      <c r="B108" s="158"/>
      <c r="C108" s="158"/>
      <c r="D108" s="158"/>
      <c r="E108" s="158"/>
      <c r="F108" s="158"/>
      <c r="G108" s="158"/>
      <c r="H108" s="158"/>
      <c r="I108" s="158"/>
    </row>
    <row r="109" spans="1:9" ht="30" customHeight="1">
      <c r="A109" s="158" t="s">
        <v>17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30" customHeight="1">
      <c r="A110" s="158" t="s">
        <v>21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15" customHeight="1">
      <c r="A111" s="158" t="s">
        <v>20</v>
      </c>
      <c r="B111" s="158"/>
      <c r="C111" s="158"/>
      <c r="D111" s="158"/>
      <c r="E111" s="158"/>
      <c r="F111" s="158"/>
      <c r="G111" s="158"/>
      <c r="H111" s="158"/>
      <c r="I111" s="158"/>
    </row>
  </sheetData>
  <mergeCells count="28"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  <mergeCell ref="A99:I99"/>
    <mergeCell ref="A15:I15"/>
    <mergeCell ref="A29:I29"/>
    <mergeCell ref="A46:I46"/>
    <mergeCell ref="A57:I57"/>
    <mergeCell ref="A82:I82"/>
    <mergeCell ref="A91:I91"/>
    <mergeCell ref="B92:G92"/>
    <mergeCell ref="B93:G93"/>
    <mergeCell ref="A95:I95"/>
    <mergeCell ref="A96:I96"/>
    <mergeCell ref="A97:I97"/>
    <mergeCell ref="A14:I14"/>
    <mergeCell ref="A86:I86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opLeftCell="A83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133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194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43921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153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173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F18/18*1*G18</f>
        <v>1591.1060000000002</v>
      </c>
    </row>
    <row r="19" spans="1:9" ht="15.75" hidden="1" customHeight="1">
      <c r="A19" s="21">
        <v>4</v>
      </c>
      <c r="B19" s="58" t="s">
        <v>87</v>
      </c>
      <c r="C19" s="59" t="s">
        <v>88</v>
      </c>
      <c r="D19" s="58" t="s">
        <v>89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58" t="s">
        <v>92</v>
      </c>
      <c r="C22" s="59" t="s">
        <v>51</v>
      </c>
      <c r="D22" s="58" t="s">
        <v>89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58" t="s">
        <v>93</v>
      </c>
      <c r="C23" s="59" t="s">
        <v>51</v>
      </c>
      <c r="D23" s="58" t="s">
        <v>89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58" t="s">
        <v>94</v>
      </c>
      <c r="C24" s="59" t="s">
        <v>51</v>
      </c>
      <c r="D24" s="58" t="s">
        <v>95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58" t="s">
        <v>96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58" t="s">
        <v>97</v>
      </c>
      <c r="C26" s="59" t="s">
        <v>51</v>
      </c>
      <c r="D26" s="58" t="s">
        <v>89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hidden="1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102</v>
      </c>
      <c r="C30" s="59" t="s">
        <v>83</v>
      </c>
      <c r="D30" s="58" t="s">
        <v>98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101</v>
      </c>
      <c r="C31" s="59" t="s">
        <v>83</v>
      </c>
      <c r="D31" s="58" t="s">
        <v>99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83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100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customHeight="1">
      <c r="A37" s="21">
        <v>7</v>
      </c>
      <c r="B37" s="107" t="s">
        <v>25</v>
      </c>
      <c r="C37" s="29" t="s">
        <v>30</v>
      </c>
      <c r="D37" s="25" t="s">
        <v>201</v>
      </c>
      <c r="E37" s="104"/>
      <c r="F37" s="105">
        <v>5</v>
      </c>
      <c r="G37" s="105">
        <v>1855</v>
      </c>
      <c r="H37" s="62">
        <f t="shared" ref="H37:H43" si="3">SUM(F37*G37/1000)</f>
        <v>9.2750000000000004</v>
      </c>
      <c r="I37" s="10">
        <f>G37*1.3</f>
        <v>2411.5</v>
      </c>
    </row>
    <row r="38" spans="1:9" ht="15.75" customHeight="1">
      <c r="A38" s="21">
        <v>8</v>
      </c>
      <c r="B38" s="107" t="s">
        <v>117</v>
      </c>
      <c r="C38" s="108" t="s">
        <v>28</v>
      </c>
      <c r="D38" s="25" t="s">
        <v>182</v>
      </c>
      <c r="E38" s="104">
        <v>186.39</v>
      </c>
      <c r="F38" s="109">
        <f>E38*30/1000</f>
        <v>5.5916999999999994</v>
      </c>
      <c r="G38" s="105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9</v>
      </c>
      <c r="B40" s="25" t="s">
        <v>65</v>
      </c>
      <c r="C40" s="29" t="s">
        <v>28</v>
      </c>
      <c r="D40" s="25" t="s">
        <v>172</v>
      </c>
      <c r="E40" s="105">
        <v>186.39</v>
      </c>
      <c r="F40" s="109">
        <f>SUM(E40*155/1000)</f>
        <v>28.890449999999998</v>
      </c>
      <c r="G40" s="105">
        <v>502.82</v>
      </c>
      <c r="H40" s="62">
        <f t="shared" si="3"/>
        <v>14.526696068999998</v>
      </c>
      <c r="I40" s="10">
        <f>F40/6*G40</f>
        <v>2421.1160114999998</v>
      </c>
    </row>
    <row r="41" spans="1:9" ht="47.25" customHeight="1">
      <c r="A41" s="21">
        <v>10</v>
      </c>
      <c r="B41" s="25" t="s">
        <v>77</v>
      </c>
      <c r="C41" s="29" t="s">
        <v>83</v>
      </c>
      <c r="D41" s="25" t="s">
        <v>171</v>
      </c>
      <c r="E41" s="105">
        <v>52.2</v>
      </c>
      <c r="F41" s="109">
        <f>E41*24/1000</f>
        <v>1.2528000000000001</v>
      </c>
      <c r="G41" s="105">
        <v>8319.2999999999993</v>
      </c>
      <c r="H41" s="62">
        <f t="shared" si="3"/>
        <v>10.422419040000001</v>
      </c>
      <c r="I41" s="10">
        <f>F41/6*G41</f>
        <v>1737.0698399999999</v>
      </c>
    </row>
    <row r="42" spans="1:9" ht="15.75" hidden="1" customHeight="1">
      <c r="A42" s="21">
        <v>11</v>
      </c>
      <c r="B42" s="25" t="s">
        <v>119</v>
      </c>
      <c r="C42" s="29" t="s">
        <v>83</v>
      </c>
      <c r="D42" s="25" t="s">
        <v>175</v>
      </c>
      <c r="E42" s="105">
        <v>52.2</v>
      </c>
      <c r="F42" s="109">
        <f>SUM(E42*15/1000)</f>
        <v>0.78300000000000003</v>
      </c>
      <c r="G42" s="105">
        <v>614.55999999999995</v>
      </c>
      <c r="H42" s="62">
        <f t="shared" si="3"/>
        <v>0.48120047999999999</v>
      </c>
      <c r="I42" s="10">
        <f>(F42/7.5*1.5)*G42</f>
        <v>96.240096000000008</v>
      </c>
    </row>
    <row r="43" spans="1:9" ht="15.75" hidden="1" customHeight="1">
      <c r="A43" s="21">
        <v>12</v>
      </c>
      <c r="B43" s="107" t="s">
        <v>67</v>
      </c>
      <c r="C43" s="108" t="s">
        <v>31</v>
      </c>
      <c r="D43" s="107"/>
      <c r="E43" s="106"/>
      <c r="F43" s="109">
        <v>0.5</v>
      </c>
      <c r="G43" s="109">
        <v>800</v>
      </c>
      <c r="H43" s="62">
        <f t="shared" si="3"/>
        <v>0.4</v>
      </c>
      <c r="I43" s="10">
        <f>(F43/7.5*1.5)*G43</f>
        <v>80</v>
      </c>
    </row>
    <row r="44" spans="1:9" ht="15.75" hidden="1" customHeight="1">
      <c r="A44" s="159" t="s">
        <v>122</v>
      </c>
      <c r="B44" s="160"/>
      <c r="C44" s="160"/>
      <c r="D44" s="160"/>
      <c r="E44" s="160"/>
      <c r="F44" s="160"/>
      <c r="G44" s="160"/>
      <c r="H44" s="160"/>
      <c r="I44" s="161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4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4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4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4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4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131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4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4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4"/>
        <v>0.70053359999999998</v>
      </c>
      <c r="I52" s="10">
        <v>0</v>
      </c>
    </row>
    <row r="53" spans="1:9" ht="15.75" hidden="1" customHeight="1">
      <c r="A53" s="21">
        <v>14</v>
      </c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4"/>
        <v>0.1208424</v>
      </c>
      <c r="I53" s="10">
        <f>F53/2*G53</f>
        <v>60.421199999999999</v>
      </c>
    </row>
    <row r="54" spans="1:9" ht="15.75" hidden="1" customHeight="1">
      <c r="A54" s="92">
        <v>15</v>
      </c>
      <c r="B54" s="68" t="s">
        <v>40</v>
      </c>
      <c r="C54" s="67" t="s">
        <v>104</v>
      </c>
      <c r="D54" s="68" t="s">
        <v>68</v>
      </c>
      <c r="E54" s="69">
        <v>72</v>
      </c>
      <c r="F54" s="70">
        <f>SUM(E54)*3</f>
        <v>216</v>
      </c>
      <c r="G54" s="89">
        <v>70.209999999999994</v>
      </c>
      <c r="H54" s="71">
        <f t="shared" si="4"/>
        <v>15.165359999999998</v>
      </c>
      <c r="I54" s="89">
        <f>E54*G54</f>
        <v>5055.12</v>
      </c>
    </row>
    <row r="55" spans="1:9" ht="33.75" customHeight="1">
      <c r="A55" s="21">
        <v>11</v>
      </c>
      <c r="B55" s="107" t="s">
        <v>155</v>
      </c>
      <c r="C55" s="108" t="s">
        <v>83</v>
      </c>
      <c r="D55" s="107" t="s">
        <v>175</v>
      </c>
      <c r="E55" s="106">
        <v>1.8</v>
      </c>
      <c r="F55" s="109">
        <f>E55*12/1000</f>
        <v>2.1600000000000001E-2</v>
      </c>
      <c r="G55" s="109">
        <v>19757.060000000001</v>
      </c>
      <c r="H55" s="10"/>
      <c r="I55" s="10">
        <f>G55*F55/6</f>
        <v>71.125416000000016</v>
      </c>
    </row>
    <row r="56" spans="1:9" ht="15.75" customHeight="1">
      <c r="A56" s="159" t="s">
        <v>134</v>
      </c>
      <c r="B56" s="160"/>
      <c r="C56" s="160"/>
      <c r="D56" s="160"/>
      <c r="E56" s="160"/>
      <c r="F56" s="160"/>
      <c r="G56" s="160"/>
      <c r="H56" s="160"/>
      <c r="I56" s="161"/>
    </row>
    <row r="57" spans="1:9" ht="15.75" customHeight="1">
      <c r="A57" s="21"/>
      <c r="B57" s="78" t="s">
        <v>42</v>
      </c>
      <c r="C57" s="59"/>
      <c r="D57" s="58"/>
      <c r="E57" s="60"/>
      <c r="F57" s="61"/>
      <c r="G57" s="61"/>
      <c r="H57" s="62"/>
      <c r="I57" s="10"/>
    </row>
    <row r="58" spans="1:9" ht="33" customHeight="1">
      <c r="A58" s="21">
        <v>12</v>
      </c>
      <c r="B58" s="25" t="s">
        <v>105</v>
      </c>
      <c r="C58" s="29" t="s">
        <v>80</v>
      </c>
      <c r="D58" s="25"/>
      <c r="E58" s="104">
        <v>80.69</v>
      </c>
      <c r="F58" s="105">
        <f>SUM(E58*6/100)</f>
        <v>4.8414000000000001</v>
      </c>
      <c r="G58" s="27">
        <v>2218.11</v>
      </c>
      <c r="H58" s="62">
        <f>SUM(F58*G58/1000)</f>
        <v>10.738757754</v>
      </c>
      <c r="I58" s="10">
        <f>G58*0.28</f>
        <v>621.07080000000008</v>
      </c>
    </row>
    <row r="59" spans="1:9" ht="18" customHeight="1">
      <c r="A59" s="21">
        <v>13</v>
      </c>
      <c r="B59" s="110" t="s">
        <v>129</v>
      </c>
      <c r="C59" s="111" t="s">
        <v>130</v>
      </c>
      <c r="D59" s="110" t="s">
        <v>195</v>
      </c>
      <c r="E59" s="112"/>
      <c r="F59" s="113">
        <v>5</v>
      </c>
      <c r="G59" s="114">
        <v>1730</v>
      </c>
      <c r="H59" s="71"/>
      <c r="I59" s="10">
        <f>G59*2</f>
        <v>3460</v>
      </c>
    </row>
    <row r="60" spans="1:9" ht="15.75" customHeight="1">
      <c r="A60" s="21"/>
      <c r="B60" s="115" t="s">
        <v>157</v>
      </c>
      <c r="C60" s="111"/>
      <c r="D60" s="110"/>
      <c r="E60" s="112"/>
      <c r="F60" s="116"/>
      <c r="G60" s="27"/>
      <c r="H60" s="97"/>
      <c r="I60" s="10"/>
    </row>
    <row r="61" spans="1:9" ht="17.25" customHeight="1">
      <c r="A61" s="21">
        <v>14</v>
      </c>
      <c r="B61" s="110" t="s">
        <v>149</v>
      </c>
      <c r="C61" s="111" t="s">
        <v>150</v>
      </c>
      <c r="D61" s="110" t="s">
        <v>174</v>
      </c>
      <c r="E61" s="112">
        <v>120</v>
      </c>
      <c r="F61" s="116">
        <f>E61*12</f>
        <v>1440</v>
      </c>
      <c r="G61" s="27">
        <v>1.4</v>
      </c>
      <c r="H61" s="71"/>
      <c r="I61" s="10">
        <f>G61*F61/12</f>
        <v>167.99999999999997</v>
      </c>
    </row>
    <row r="62" spans="1:9" ht="15.75" customHeight="1">
      <c r="A62" s="21"/>
      <c r="B62" s="79" t="s">
        <v>43</v>
      </c>
      <c r="C62" s="67"/>
      <c r="D62" s="68"/>
      <c r="E62" s="69"/>
      <c r="F62" s="70"/>
      <c r="G62" s="70"/>
      <c r="H62" s="71" t="s">
        <v>113</v>
      </c>
      <c r="I62" s="10"/>
    </row>
    <row r="63" spans="1:9" ht="15.75" customHeight="1">
      <c r="A63" s="21">
        <v>15</v>
      </c>
      <c r="B63" s="11" t="s">
        <v>44</v>
      </c>
      <c r="C63" s="13" t="s">
        <v>104</v>
      </c>
      <c r="D63" s="11"/>
      <c r="E63" s="15">
        <v>8</v>
      </c>
      <c r="F63" s="61">
        <v>8</v>
      </c>
      <c r="G63" s="91">
        <v>318.82</v>
      </c>
      <c r="H63" s="72">
        <f t="shared" ref="H63:H77" si="5">SUM(F63*G63/1000)</f>
        <v>2.5505599999999999</v>
      </c>
      <c r="I63" s="10">
        <f>G63</f>
        <v>318.82</v>
      </c>
    </row>
    <row r="64" spans="1:9" ht="26.25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5"/>
        <v>0.24453000000000003</v>
      </c>
      <c r="I64" s="10">
        <v>0</v>
      </c>
    </row>
    <row r="65" spans="1:9" ht="25.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5"/>
        <v>19.3655981</v>
      </c>
      <c r="I65" s="10">
        <v>0</v>
      </c>
    </row>
    <row r="66" spans="1:9" ht="26.25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5"/>
        <v>1.5080727900000002</v>
      </c>
      <c r="I66" s="10">
        <v>0</v>
      </c>
    </row>
    <row r="67" spans="1:9" ht="26.2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5"/>
        <v>30.383586000000005</v>
      </c>
      <c r="I67" s="10">
        <v>0</v>
      </c>
    </row>
    <row r="68" spans="1:9" ht="27.75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5"/>
        <v>0.38403000000000004</v>
      </c>
      <c r="I68" s="10">
        <v>0</v>
      </c>
    </row>
    <row r="69" spans="1:9" ht="24.7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5"/>
        <v>0.35829</v>
      </c>
      <c r="I69" s="10">
        <v>0</v>
      </c>
    </row>
    <row r="70" spans="1:9" ht="25.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5"/>
        <v>0.16085999999999998</v>
      </c>
      <c r="I70" s="10">
        <v>0</v>
      </c>
    </row>
    <row r="71" spans="1:9" ht="15.75" customHeight="1">
      <c r="A71" s="21"/>
      <c r="B71" s="23" t="s">
        <v>69</v>
      </c>
      <c r="C71" s="13"/>
      <c r="D71" s="11"/>
      <c r="E71" s="15"/>
      <c r="F71" s="10"/>
      <c r="G71" s="10"/>
      <c r="H71" s="72" t="s">
        <v>113</v>
      </c>
      <c r="I71" s="10"/>
    </row>
    <row r="72" spans="1:9" ht="25.5" hidden="1" customHeight="1">
      <c r="A72" s="21"/>
      <c r="B72" s="11" t="s">
        <v>70</v>
      </c>
      <c r="C72" s="13" t="s">
        <v>72</v>
      </c>
      <c r="D72" s="11"/>
      <c r="E72" s="15">
        <v>2</v>
      </c>
      <c r="F72" s="10">
        <v>0.2</v>
      </c>
      <c r="G72" s="10">
        <v>536.23</v>
      </c>
      <c r="H72" s="72">
        <f t="shared" si="5"/>
        <v>0.10724600000000001</v>
      </c>
      <c r="I72" s="10">
        <v>0</v>
      </c>
    </row>
    <row r="73" spans="1:9" ht="21.75" hidden="1" customHeight="1">
      <c r="A73" s="21"/>
      <c r="B73" s="11" t="s">
        <v>71</v>
      </c>
      <c r="C73" s="13" t="s">
        <v>29</v>
      </c>
      <c r="D73" s="11"/>
      <c r="E73" s="15">
        <v>1</v>
      </c>
      <c r="F73" s="54">
        <v>1</v>
      </c>
      <c r="G73" s="10">
        <v>911.85</v>
      </c>
      <c r="H73" s="72">
        <f>F73*G73/1000</f>
        <v>0.91185000000000005</v>
      </c>
      <c r="I73" s="10">
        <v>0</v>
      </c>
    </row>
    <row r="74" spans="1:9" ht="24" hidden="1" customHeight="1">
      <c r="A74" s="21"/>
      <c r="B74" s="11" t="s">
        <v>120</v>
      </c>
      <c r="C74" s="13" t="s">
        <v>29</v>
      </c>
      <c r="D74" s="11"/>
      <c r="E74" s="15">
        <v>1</v>
      </c>
      <c r="F74" s="10">
        <v>1</v>
      </c>
      <c r="G74" s="10">
        <v>383.25</v>
      </c>
      <c r="H74" s="72">
        <f>G74*F74/1000</f>
        <v>0.38324999999999998</v>
      </c>
      <c r="I74" s="10">
        <v>0</v>
      </c>
    </row>
    <row r="75" spans="1:9" ht="14.25" customHeight="1">
      <c r="A75" s="21">
        <v>16</v>
      </c>
      <c r="B75" s="95" t="s">
        <v>158</v>
      </c>
      <c r="C75" s="117" t="s">
        <v>104</v>
      </c>
      <c r="D75" s="95" t="s">
        <v>174</v>
      </c>
      <c r="E75" s="14">
        <v>2</v>
      </c>
      <c r="F75" s="27">
        <f>E75*12</f>
        <v>24</v>
      </c>
      <c r="G75" s="27">
        <v>404</v>
      </c>
      <c r="H75" s="72"/>
      <c r="I75" s="10">
        <f>G75*F75/12</f>
        <v>808</v>
      </c>
    </row>
    <row r="76" spans="1:9" ht="21.75" hidden="1" customHeight="1">
      <c r="A76" s="21"/>
      <c r="B76" s="74" t="s">
        <v>73</v>
      </c>
      <c r="C76" s="13"/>
      <c r="D76" s="11"/>
      <c r="E76" s="15"/>
      <c r="F76" s="10"/>
      <c r="G76" s="10" t="s">
        <v>113</v>
      </c>
      <c r="H76" s="72" t="s">
        <v>113</v>
      </c>
      <c r="I76" s="10"/>
    </row>
    <row r="77" spans="1:9" ht="21" hidden="1" customHeight="1">
      <c r="A77" s="21"/>
      <c r="B77" s="36" t="s">
        <v>114</v>
      </c>
      <c r="C77" s="13" t="s">
        <v>74</v>
      </c>
      <c r="D77" s="11"/>
      <c r="E77" s="15"/>
      <c r="F77" s="10">
        <v>1.35</v>
      </c>
      <c r="G77" s="10">
        <v>2949.85</v>
      </c>
      <c r="H77" s="72">
        <f t="shared" si="5"/>
        <v>3.9822975</v>
      </c>
      <c r="I77" s="10">
        <v>0</v>
      </c>
    </row>
    <row r="78" spans="1:9" ht="22.5" hidden="1" customHeight="1">
      <c r="A78" s="21"/>
      <c r="B78" s="53" t="s">
        <v>86</v>
      </c>
      <c r="C78" s="75"/>
      <c r="D78" s="23"/>
      <c r="E78" s="24"/>
      <c r="F78" s="64"/>
      <c r="G78" s="64"/>
      <c r="H78" s="76">
        <f>SUM(H58:H77)</f>
        <v>71.078928144000002</v>
      </c>
      <c r="I78" s="64"/>
    </row>
    <row r="79" spans="1:9" ht="19.5" hidden="1" customHeight="1">
      <c r="A79" s="92"/>
      <c r="B79" s="68" t="s">
        <v>111</v>
      </c>
      <c r="C79" s="98"/>
      <c r="D79" s="99"/>
      <c r="E79" s="77"/>
      <c r="F79" s="89">
        <v>1</v>
      </c>
      <c r="G79" s="89">
        <v>7101.4</v>
      </c>
      <c r="H79" s="100">
        <f>G79*F79/1000</f>
        <v>7.1013999999999999</v>
      </c>
      <c r="I79" s="89">
        <v>0</v>
      </c>
    </row>
    <row r="80" spans="1:9" ht="19.5" customHeight="1">
      <c r="A80" s="21"/>
      <c r="B80" s="118" t="s">
        <v>159</v>
      </c>
      <c r="C80" s="119"/>
      <c r="D80" s="120"/>
      <c r="E80" s="121"/>
      <c r="F80" s="122"/>
      <c r="G80" s="122"/>
      <c r="H80" s="10"/>
      <c r="I80" s="10"/>
    </row>
    <row r="81" spans="1:9" ht="32.25" customHeight="1">
      <c r="A81" s="21">
        <v>17</v>
      </c>
      <c r="B81" s="95" t="s">
        <v>160</v>
      </c>
      <c r="C81" s="123" t="s">
        <v>161</v>
      </c>
      <c r="D81" s="120"/>
      <c r="E81" s="121">
        <v>2054.6</v>
      </c>
      <c r="F81" s="122">
        <f>E81*12</f>
        <v>24655.199999999997</v>
      </c>
      <c r="G81" s="122">
        <v>2.4900000000000002</v>
      </c>
      <c r="H81" s="10"/>
      <c r="I81" s="10">
        <f>G81*F81/12</f>
        <v>5115.9539999999997</v>
      </c>
    </row>
    <row r="82" spans="1:9" ht="15.75" customHeight="1">
      <c r="A82" s="171" t="s">
        <v>135</v>
      </c>
      <c r="B82" s="171"/>
      <c r="C82" s="171"/>
      <c r="D82" s="171"/>
      <c r="E82" s="171"/>
      <c r="F82" s="171"/>
      <c r="G82" s="171"/>
      <c r="H82" s="171"/>
      <c r="I82" s="171"/>
    </row>
    <row r="83" spans="1:9" ht="15.75" customHeight="1">
      <c r="A83" s="101">
        <v>18</v>
      </c>
      <c r="B83" s="128" t="s">
        <v>112</v>
      </c>
      <c r="C83" s="124" t="s">
        <v>53</v>
      </c>
      <c r="D83" s="125"/>
      <c r="E83" s="126">
        <v>2054.6</v>
      </c>
      <c r="F83" s="126">
        <f>SUM(E83*12)</f>
        <v>24655.199999999997</v>
      </c>
      <c r="G83" s="126">
        <v>3.38</v>
      </c>
      <c r="H83" s="102">
        <f>SUM(F83*G83/1000)</f>
        <v>83.334575999999984</v>
      </c>
      <c r="I83" s="103">
        <f>F83/12*G83</f>
        <v>6944.5479999999998</v>
      </c>
    </row>
    <row r="84" spans="1:9" ht="31.5" customHeight="1">
      <c r="A84" s="21">
        <v>19</v>
      </c>
      <c r="B84" s="95" t="s">
        <v>162</v>
      </c>
      <c r="C84" s="117" t="s">
        <v>53</v>
      </c>
      <c r="D84" s="39"/>
      <c r="E84" s="104">
        <f>E83</f>
        <v>2054.6</v>
      </c>
      <c r="F84" s="27">
        <f>E84*12</f>
        <v>24655.199999999997</v>
      </c>
      <c r="G84" s="27">
        <v>3.05</v>
      </c>
      <c r="H84" s="72">
        <f>F84*G84/1000</f>
        <v>75.19835999999998</v>
      </c>
      <c r="I84" s="10">
        <f>F84/12*G84</f>
        <v>6266.53</v>
      </c>
    </row>
    <row r="85" spans="1:9" ht="31.5" hidden="1" customHeight="1">
      <c r="A85" s="21">
        <v>21</v>
      </c>
      <c r="B85" s="95" t="s">
        <v>163</v>
      </c>
      <c r="C85" s="117" t="s">
        <v>164</v>
      </c>
      <c r="D85" s="39"/>
      <c r="E85" s="127">
        <v>2054.6</v>
      </c>
      <c r="F85" s="27">
        <f>E85*1</f>
        <v>2054.6</v>
      </c>
      <c r="G85" s="27">
        <v>3.05</v>
      </c>
      <c r="H85" s="72"/>
      <c r="I85" s="10">
        <f>G85*F85*1</f>
        <v>6266.53</v>
      </c>
    </row>
    <row r="86" spans="1:9" ht="15.75" customHeight="1">
      <c r="A86" s="21"/>
      <c r="B86" s="28" t="s">
        <v>76</v>
      </c>
      <c r="C86" s="75"/>
      <c r="D86" s="74"/>
      <c r="E86" s="64"/>
      <c r="F86" s="64"/>
      <c r="G86" s="64"/>
      <c r="H86" s="76">
        <f>H84</f>
        <v>75.19835999999998</v>
      </c>
      <c r="I86" s="64">
        <f>I84+I83+I81+I75+I63+I61+I59+I58+I55+I41+I40+I38+I37+I27+I21+I20+I18+I17+I16</f>
        <v>41003.004357499995</v>
      </c>
    </row>
    <row r="87" spans="1:9" ht="15.75" customHeight="1">
      <c r="A87" s="173" t="s">
        <v>58</v>
      </c>
      <c r="B87" s="174"/>
      <c r="C87" s="174"/>
      <c r="D87" s="174"/>
      <c r="E87" s="174"/>
      <c r="F87" s="174"/>
      <c r="G87" s="174"/>
      <c r="H87" s="174"/>
      <c r="I87" s="175"/>
    </row>
    <row r="88" spans="1:9" ht="17.25" customHeight="1">
      <c r="A88" s="21">
        <v>20</v>
      </c>
      <c r="B88" s="88" t="s">
        <v>193</v>
      </c>
      <c r="C88" s="40" t="s">
        <v>28</v>
      </c>
      <c r="D88" s="39" t="s">
        <v>173</v>
      </c>
      <c r="E88" s="27"/>
      <c r="F88" s="27">
        <v>0.24</v>
      </c>
      <c r="G88" s="27">
        <v>1207.24</v>
      </c>
      <c r="H88" s="71">
        <f>F88*G88/1000</f>
        <v>0.28973759999999998</v>
      </c>
      <c r="I88" s="89">
        <v>0</v>
      </c>
    </row>
    <row r="89" spans="1:9" ht="32.25" customHeight="1">
      <c r="A89" s="21">
        <v>21</v>
      </c>
      <c r="B89" s="88" t="s">
        <v>196</v>
      </c>
      <c r="C89" s="40" t="s">
        <v>197</v>
      </c>
      <c r="D89" s="95" t="s">
        <v>199</v>
      </c>
      <c r="E89" s="27"/>
      <c r="F89" s="27">
        <v>2</v>
      </c>
      <c r="G89" s="27">
        <v>670.51</v>
      </c>
      <c r="H89" s="10">
        <f>G89*F89/1000</f>
        <v>1.3410199999999999</v>
      </c>
      <c r="I89" s="10">
        <f>G89*2</f>
        <v>1341.02</v>
      </c>
    </row>
    <row r="90" spans="1:9" ht="31.5" customHeight="1">
      <c r="A90" s="21">
        <v>22</v>
      </c>
      <c r="B90" s="88" t="s">
        <v>198</v>
      </c>
      <c r="C90" s="40" t="s">
        <v>190</v>
      </c>
      <c r="D90" s="95" t="s">
        <v>200</v>
      </c>
      <c r="E90" s="27"/>
      <c r="F90" s="27">
        <v>1</v>
      </c>
      <c r="G90" s="27">
        <v>1523.6</v>
      </c>
      <c r="H90" s="10"/>
      <c r="I90" s="10">
        <f>G90*1</f>
        <v>1523.6</v>
      </c>
    </row>
    <row r="91" spans="1:9" ht="33.75" customHeight="1">
      <c r="A91" s="21">
        <v>23</v>
      </c>
      <c r="B91" s="88" t="s">
        <v>168</v>
      </c>
      <c r="C91" s="40" t="s">
        <v>37</v>
      </c>
      <c r="D91" s="39" t="s">
        <v>173</v>
      </c>
      <c r="E91" s="27"/>
      <c r="F91" s="27">
        <v>0.02</v>
      </c>
      <c r="G91" s="27">
        <v>4070.89</v>
      </c>
      <c r="H91" s="10"/>
      <c r="I91" s="10">
        <v>0</v>
      </c>
    </row>
    <row r="92" spans="1:9" ht="33.75" customHeight="1">
      <c r="A92" s="21">
        <v>24</v>
      </c>
      <c r="B92" s="88" t="s">
        <v>202</v>
      </c>
      <c r="C92" s="40" t="s">
        <v>197</v>
      </c>
      <c r="D92" s="39" t="s">
        <v>203</v>
      </c>
      <c r="E92" s="27"/>
      <c r="F92" s="27">
        <v>2</v>
      </c>
      <c r="G92" s="27">
        <v>587.65</v>
      </c>
      <c r="H92" s="10"/>
      <c r="I92" s="10">
        <f>G92*2</f>
        <v>1175.3</v>
      </c>
    </row>
    <row r="93" spans="1:9" ht="15.75" customHeight="1">
      <c r="A93" s="21"/>
      <c r="B93" s="34" t="s">
        <v>49</v>
      </c>
      <c r="C93" s="30"/>
      <c r="D93" s="37"/>
      <c r="E93" s="30">
        <v>1</v>
      </c>
      <c r="F93" s="30"/>
      <c r="G93" s="30"/>
      <c r="H93" s="30"/>
      <c r="I93" s="24">
        <f>SUM(I88:I92)</f>
        <v>4039.92</v>
      </c>
    </row>
    <row r="94" spans="1:9" ht="15.75" customHeight="1">
      <c r="A94" s="21"/>
      <c r="B94" s="36" t="s">
        <v>75</v>
      </c>
      <c r="C94" s="12"/>
      <c r="D94" s="12"/>
      <c r="E94" s="31"/>
      <c r="F94" s="31"/>
      <c r="G94" s="32"/>
      <c r="H94" s="32"/>
      <c r="I94" s="14">
        <v>0</v>
      </c>
    </row>
    <row r="95" spans="1:9" ht="15.75" customHeight="1">
      <c r="A95" s="38"/>
      <c r="B95" s="35" t="s">
        <v>144</v>
      </c>
      <c r="C95" s="26"/>
      <c r="D95" s="26"/>
      <c r="E95" s="26"/>
      <c r="F95" s="26"/>
      <c r="G95" s="26"/>
      <c r="H95" s="26"/>
      <c r="I95" s="33">
        <f>I86+I93</f>
        <v>45042.924357499993</v>
      </c>
    </row>
    <row r="96" spans="1:9" ht="15.75" hidden="1" customHeight="1">
      <c r="A96" s="182"/>
      <c r="B96" s="183"/>
      <c r="C96" s="183"/>
      <c r="D96" s="183"/>
      <c r="E96" s="183"/>
      <c r="F96" s="183"/>
      <c r="G96" s="183"/>
      <c r="H96" s="183"/>
      <c r="I96" s="183"/>
    </row>
    <row r="97" spans="1:9" ht="15.75">
      <c r="A97" s="172" t="s">
        <v>268</v>
      </c>
      <c r="B97" s="172"/>
      <c r="C97" s="172"/>
      <c r="D97" s="172"/>
      <c r="E97" s="172"/>
      <c r="F97" s="172"/>
      <c r="G97" s="172"/>
      <c r="H97" s="172"/>
      <c r="I97" s="172"/>
    </row>
    <row r="98" spans="1:9" ht="15.75">
      <c r="A98" s="46"/>
      <c r="B98" s="167" t="s">
        <v>269</v>
      </c>
      <c r="C98" s="167"/>
      <c r="D98" s="167"/>
      <c r="E98" s="167"/>
      <c r="F98" s="167"/>
      <c r="G98" s="167"/>
      <c r="H98" s="57"/>
      <c r="I98" s="2"/>
    </row>
    <row r="99" spans="1:9">
      <c r="A99" s="49"/>
      <c r="B99" s="163" t="s">
        <v>6</v>
      </c>
      <c r="C99" s="163"/>
      <c r="D99" s="163"/>
      <c r="E99" s="163"/>
      <c r="F99" s="163"/>
      <c r="G99" s="163"/>
      <c r="H99" s="16"/>
      <c r="I99" s="4"/>
    </row>
    <row r="100" spans="1:9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5.75">
      <c r="A101" s="168" t="s">
        <v>7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>
      <c r="A102" s="168" t="s">
        <v>8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>
      <c r="A103" s="169" t="s">
        <v>59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8"/>
    </row>
    <row r="105" spans="1:9" ht="15.75">
      <c r="A105" s="170" t="s">
        <v>9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3"/>
    </row>
    <row r="107" spans="1:9" ht="15.75">
      <c r="B107" s="50" t="s">
        <v>10</v>
      </c>
      <c r="C107" s="162" t="s">
        <v>125</v>
      </c>
      <c r="D107" s="162"/>
      <c r="E107" s="162"/>
      <c r="F107" s="55"/>
      <c r="I107" s="48"/>
    </row>
    <row r="108" spans="1:9">
      <c r="A108" s="49"/>
      <c r="C108" s="163" t="s">
        <v>11</v>
      </c>
      <c r="D108" s="163"/>
      <c r="E108" s="163"/>
      <c r="F108" s="16"/>
      <c r="I108" s="47" t="s">
        <v>12</v>
      </c>
    </row>
    <row r="109" spans="1:9" ht="15.75">
      <c r="A109" s="17"/>
      <c r="C109" s="9"/>
      <c r="D109" s="9"/>
      <c r="G109" s="9"/>
      <c r="H109" s="9"/>
    </row>
    <row r="110" spans="1:9" ht="15.75">
      <c r="B110" s="50" t="s">
        <v>13</v>
      </c>
      <c r="C110" s="164"/>
      <c r="D110" s="164"/>
      <c r="E110" s="164"/>
      <c r="F110" s="56"/>
      <c r="I110" s="48"/>
    </row>
    <row r="111" spans="1:9">
      <c r="A111" s="49"/>
      <c r="C111" s="165" t="s">
        <v>11</v>
      </c>
      <c r="D111" s="165"/>
      <c r="E111" s="165"/>
      <c r="F111" s="49"/>
      <c r="I111" s="47" t="s">
        <v>12</v>
      </c>
    </row>
    <row r="112" spans="1:9" ht="15.75">
      <c r="A112" s="3" t="s">
        <v>14</v>
      </c>
    </row>
    <row r="113" spans="1:9">
      <c r="A113" s="166" t="s">
        <v>15</v>
      </c>
      <c r="B113" s="166"/>
      <c r="C113" s="166"/>
      <c r="D113" s="166"/>
      <c r="E113" s="166"/>
      <c r="F113" s="166"/>
      <c r="G113" s="166"/>
      <c r="H113" s="166"/>
      <c r="I113" s="166"/>
    </row>
    <row r="114" spans="1:9" ht="45" customHeight="1">
      <c r="A114" s="158" t="s">
        <v>16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30" customHeight="1">
      <c r="A115" s="158" t="s">
        <v>17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30" customHeight="1">
      <c r="A116" s="158" t="s">
        <v>21</v>
      </c>
      <c r="B116" s="158"/>
      <c r="C116" s="158"/>
      <c r="D116" s="158"/>
      <c r="E116" s="158"/>
      <c r="F116" s="158"/>
      <c r="G116" s="158"/>
      <c r="H116" s="158"/>
      <c r="I116" s="158"/>
    </row>
    <row r="117" spans="1:9" ht="15" customHeight="1">
      <c r="A117" s="158" t="s">
        <v>20</v>
      </c>
      <c r="B117" s="158"/>
      <c r="C117" s="158"/>
      <c r="D117" s="158"/>
      <c r="E117" s="158"/>
      <c r="F117" s="158"/>
      <c r="G117" s="158"/>
      <c r="H117" s="158"/>
      <c r="I117" s="158"/>
    </row>
  </sheetData>
  <mergeCells count="29">
    <mergeCell ref="A115:I115"/>
    <mergeCell ref="A116:I116"/>
    <mergeCell ref="A117:I117"/>
    <mergeCell ref="C107:E107"/>
    <mergeCell ref="C108:E108"/>
    <mergeCell ref="C110:E110"/>
    <mergeCell ref="C111:E111"/>
    <mergeCell ref="A113:I113"/>
    <mergeCell ref="A114:I114"/>
    <mergeCell ref="A105:I105"/>
    <mergeCell ref="A15:I15"/>
    <mergeCell ref="A28:I28"/>
    <mergeCell ref="A44:I44"/>
    <mergeCell ref="A56:I56"/>
    <mergeCell ref="A82:I82"/>
    <mergeCell ref="A97:I97"/>
    <mergeCell ref="B98:G98"/>
    <mergeCell ref="B99:G99"/>
    <mergeCell ref="A101:I101"/>
    <mergeCell ref="A102:I102"/>
    <mergeCell ref="A103:I103"/>
    <mergeCell ref="A96:I96"/>
    <mergeCell ref="A14:I14"/>
    <mergeCell ref="A87:I87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3"/>
  <sheetViews>
    <sheetView topLeftCell="A82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136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204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43951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173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F18/18*1*G18</f>
        <v>1591.1060000000002</v>
      </c>
    </row>
    <row r="19" spans="1:9" ht="15.75" hidden="1" customHeight="1">
      <c r="A19" s="21">
        <v>4</v>
      </c>
      <c r="B19" s="58" t="s">
        <v>87</v>
      </c>
      <c r="C19" s="59" t="s">
        <v>88</v>
      </c>
      <c r="D19" s="58" t="s">
        <v>89</v>
      </c>
      <c r="E19" s="60">
        <v>32.4</v>
      </c>
      <c r="F19" s="61">
        <f>SUM(E19/10)</f>
        <v>3.2399999999999998</v>
      </c>
      <c r="G19" s="61">
        <v>181.91</v>
      </c>
      <c r="H19" s="62">
        <f t="shared" si="0"/>
        <v>0.58938839999999992</v>
      </c>
      <c r="I19" s="10">
        <v>0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4.2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6.5" hidden="1" customHeight="1">
      <c r="A22" s="21">
        <v>7</v>
      </c>
      <c r="B22" s="58" t="s">
        <v>92</v>
      </c>
      <c r="C22" s="59" t="s">
        <v>51</v>
      </c>
      <c r="D22" s="58" t="s">
        <v>89</v>
      </c>
      <c r="E22" s="60">
        <v>293.76</v>
      </c>
      <c r="F22" s="61">
        <f>SUM(E22/100)</f>
        <v>2.9375999999999998</v>
      </c>
      <c r="G22" s="61">
        <v>287.83999999999997</v>
      </c>
      <c r="H22" s="62">
        <f t="shared" si="0"/>
        <v>0.84555878399999984</v>
      </c>
      <c r="I22" s="10">
        <v>0</v>
      </c>
    </row>
    <row r="23" spans="1:9" ht="17.25" hidden="1" customHeight="1">
      <c r="A23" s="21">
        <v>8</v>
      </c>
      <c r="B23" s="58" t="s">
        <v>93</v>
      </c>
      <c r="C23" s="59" t="s">
        <v>51</v>
      </c>
      <c r="D23" s="58" t="s">
        <v>89</v>
      </c>
      <c r="E23" s="63">
        <v>17.64</v>
      </c>
      <c r="F23" s="61">
        <f>SUM(E23/100)</f>
        <v>0.1764</v>
      </c>
      <c r="G23" s="61">
        <v>47.34</v>
      </c>
      <c r="H23" s="62">
        <f t="shared" si="0"/>
        <v>8.3507760000000007E-3</v>
      </c>
      <c r="I23" s="10">
        <v>0</v>
      </c>
    </row>
    <row r="24" spans="1:9" ht="13.5" hidden="1" customHeight="1">
      <c r="A24" s="21">
        <v>9</v>
      </c>
      <c r="B24" s="58" t="s">
        <v>94</v>
      </c>
      <c r="C24" s="59" t="s">
        <v>51</v>
      </c>
      <c r="D24" s="58" t="s">
        <v>95</v>
      </c>
      <c r="E24" s="60">
        <v>10.8</v>
      </c>
      <c r="F24" s="61">
        <f>E24/100</f>
        <v>0.10800000000000001</v>
      </c>
      <c r="G24" s="61">
        <v>416.62</v>
      </c>
      <c r="H24" s="62">
        <f t="shared" si="0"/>
        <v>4.4994960000000007E-2</v>
      </c>
      <c r="I24" s="10">
        <v>0</v>
      </c>
    </row>
    <row r="25" spans="1:9" ht="15" hidden="1" customHeight="1">
      <c r="A25" s="21">
        <v>10</v>
      </c>
      <c r="B25" s="58" t="s">
        <v>96</v>
      </c>
      <c r="C25" s="59" t="s">
        <v>51</v>
      </c>
      <c r="D25" s="58" t="s">
        <v>52</v>
      </c>
      <c r="E25" s="60">
        <v>12.6</v>
      </c>
      <c r="F25" s="61">
        <f>E25/100</f>
        <v>0.126</v>
      </c>
      <c r="G25" s="61">
        <v>231.03</v>
      </c>
      <c r="H25" s="62">
        <f>G25*F25/1000</f>
        <v>2.9109780000000002E-2</v>
      </c>
      <c r="I25" s="10">
        <v>0</v>
      </c>
    </row>
    <row r="26" spans="1:9" ht="18" hidden="1" customHeight="1">
      <c r="A26" s="21">
        <v>11</v>
      </c>
      <c r="B26" s="58" t="s">
        <v>97</v>
      </c>
      <c r="C26" s="59" t="s">
        <v>51</v>
      </c>
      <c r="D26" s="58" t="s">
        <v>89</v>
      </c>
      <c r="E26" s="60">
        <v>14.4</v>
      </c>
      <c r="F26" s="61">
        <f>SUM(E26/100)</f>
        <v>0.14400000000000002</v>
      </c>
      <c r="G26" s="61">
        <v>556.74</v>
      </c>
      <c r="H26" s="62">
        <f t="shared" si="0"/>
        <v>8.0170560000000016E-2</v>
      </c>
      <c r="I26" s="10">
        <v>0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hidden="1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31.5" hidden="1" customHeight="1">
      <c r="A30" s="21">
        <v>8</v>
      </c>
      <c r="B30" s="58" t="s">
        <v>102</v>
      </c>
      <c r="C30" s="59" t="s">
        <v>83</v>
      </c>
      <c r="D30" s="58" t="s">
        <v>98</v>
      </c>
      <c r="E30" s="61">
        <v>600.63</v>
      </c>
      <c r="F30" s="61">
        <f>SUM(E30*52/1000)</f>
        <v>31.232759999999999</v>
      </c>
      <c r="G30" s="61">
        <v>166.65</v>
      </c>
      <c r="H30" s="62">
        <f t="shared" ref="H30:H35" si="1">SUM(F30*G30/1000)</f>
        <v>5.2049394540000007</v>
      </c>
      <c r="I30" s="10">
        <f>F30/6*G30</f>
        <v>867.4899089999999</v>
      </c>
    </row>
    <row r="31" spans="1:9" ht="31.5" hidden="1" customHeight="1">
      <c r="A31" s="21">
        <v>9</v>
      </c>
      <c r="B31" s="58" t="s">
        <v>101</v>
      </c>
      <c r="C31" s="59" t="s">
        <v>83</v>
      </c>
      <c r="D31" s="58" t="s">
        <v>99</v>
      </c>
      <c r="E31" s="61">
        <v>186.39</v>
      </c>
      <c r="F31" s="61">
        <f>SUM(E31*78/1000)</f>
        <v>14.538419999999999</v>
      </c>
      <c r="G31" s="61">
        <v>276.48</v>
      </c>
      <c r="H31" s="62">
        <f t="shared" si="1"/>
        <v>4.0195823615999995</v>
      </c>
      <c r="I31" s="10">
        <f t="shared" ref="I31:I33" si="2">F31/6*G31</f>
        <v>669.93039359999989</v>
      </c>
    </row>
    <row r="32" spans="1:9" ht="15.75" hidden="1" customHeight="1">
      <c r="A32" s="21">
        <v>16</v>
      </c>
      <c r="B32" s="58" t="s">
        <v>26</v>
      </c>
      <c r="C32" s="59" t="s">
        <v>83</v>
      </c>
      <c r="D32" s="58" t="s">
        <v>52</v>
      </c>
      <c r="E32" s="61">
        <v>600.63</v>
      </c>
      <c r="F32" s="61">
        <f>SUM(E32/1000)</f>
        <v>0.60063</v>
      </c>
      <c r="G32" s="61">
        <v>3228.73</v>
      </c>
      <c r="H32" s="62">
        <f t="shared" si="1"/>
        <v>1.9392720999000002</v>
      </c>
      <c r="I32" s="10">
        <f>F32*G32</f>
        <v>1939.2720999000001</v>
      </c>
    </row>
    <row r="33" spans="1:9" ht="15.75" hidden="1" customHeight="1">
      <c r="A33" s="21">
        <v>10</v>
      </c>
      <c r="B33" s="58" t="s">
        <v>100</v>
      </c>
      <c r="C33" s="59" t="s">
        <v>29</v>
      </c>
      <c r="D33" s="58" t="s">
        <v>61</v>
      </c>
      <c r="E33" s="65">
        <v>0.33333333333333331</v>
      </c>
      <c r="F33" s="61">
        <f>155/3</f>
        <v>51.666666666666664</v>
      </c>
      <c r="G33" s="61">
        <v>60.6</v>
      </c>
      <c r="H33" s="62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1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1"/>
        <v>1.2147399999999999</v>
      </c>
      <c r="I35" s="10">
        <v>0</v>
      </c>
    </row>
    <row r="36" spans="1:9" ht="15.75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7</v>
      </c>
      <c r="B37" s="107" t="s">
        <v>25</v>
      </c>
      <c r="C37" s="29" t="s">
        <v>30</v>
      </c>
      <c r="D37" s="25"/>
      <c r="E37" s="104"/>
      <c r="F37" s="105">
        <v>5</v>
      </c>
      <c r="G37" s="105">
        <v>1855</v>
      </c>
      <c r="H37" s="62">
        <f t="shared" ref="H37:H44" si="3">SUM(F37*G37/1000)</f>
        <v>9.2750000000000004</v>
      </c>
      <c r="I37" s="10">
        <f>G37*1.7</f>
        <v>3153.5</v>
      </c>
    </row>
    <row r="38" spans="1:9" ht="15.75" customHeight="1">
      <c r="A38" s="21">
        <v>7</v>
      </c>
      <c r="B38" s="107" t="s">
        <v>117</v>
      </c>
      <c r="C38" s="108" t="s">
        <v>28</v>
      </c>
      <c r="D38" s="25" t="s">
        <v>182</v>
      </c>
      <c r="E38" s="104">
        <v>186.39</v>
      </c>
      <c r="F38" s="109">
        <f>E38*30/1000</f>
        <v>5.5916999999999994</v>
      </c>
      <c r="G38" s="105">
        <v>3014.36</v>
      </c>
      <c r="H38" s="62">
        <f>G38*F38/1000</f>
        <v>16.855396811999999</v>
      </c>
      <c r="I38" s="10">
        <f>F38/6*G38</f>
        <v>2809.232802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customHeight="1">
      <c r="A40" s="21">
        <v>8</v>
      </c>
      <c r="B40" s="25" t="s">
        <v>65</v>
      </c>
      <c r="C40" s="29" t="s">
        <v>28</v>
      </c>
      <c r="D40" s="25" t="s">
        <v>172</v>
      </c>
      <c r="E40" s="105">
        <v>186.39</v>
      </c>
      <c r="F40" s="109">
        <f>SUM(E40*155/1000)</f>
        <v>28.890449999999998</v>
      </c>
      <c r="G40" s="105">
        <v>502.82</v>
      </c>
      <c r="H40" s="62">
        <f t="shared" si="3"/>
        <v>14.526696068999998</v>
      </c>
      <c r="I40" s="10">
        <f>F40/6*G40</f>
        <v>2421.1160114999998</v>
      </c>
    </row>
    <row r="41" spans="1:9" ht="15.75" hidden="1" customHeight="1">
      <c r="A41" s="21">
        <v>10</v>
      </c>
      <c r="B41" s="25" t="s">
        <v>127</v>
      </c>
      <c r="C41" s="29" t="s">
        <v>128</v>
      </c>
      <c r="D41" s="25" t="s">
        <v>165</v>
      </c>
      <c r="E41" s="104"/>
      <c r="F41" s="109">
        <v>13</v>
      </c>
      <c r="G41" s="105">
        <v>330</v>
      </c>
      <c r="H41" s="62"/>
      <c r="I41" s="10">
        <f>G41*13</f>
        <v>4290</v>
      </c>
    </row>
    <row r="42" spans="1:9" ht="47.25" customHeight="1">
      <c r="A42" s="21">
        <v>9</v>
      </c>
      <c r="B42" s="25" t="s">
        <v>77</v>
      </c>
      <c r="C42" s="29" t="s">
        <v>83</v>
      </c>
      <c r="D42" s="25" t="s">
        <v>183</v>
      </c>
      <c r="E42" s="105">
        <v>52.2</v>
      </c>
      <c r="F42" s="109">
        <f>E42*24/1000</f>
        <v>1.2528000000000001</v>
      </c>
      <c r="G42" s="105">
        <v>8319.2999999999993</v>
      </c>
      <c r="H42" s="62">
        <f t="shared" si="3"/>
        <v>10.422419040000001</v>
      </c>
      <c r="I42" s="10">
        <f>F42/6*G42</f>
        <v>1737.0698399999999</v>
      </c>
    </row>
    <row r="43" spans="1:9" ht="15.75" hidden="1" customHeight="1">
      <c r="A43" s="21">
        <v>12</v>
      </c>
      <c r="B43" s="25" t="s">
        <v>119</v>
      </c>
      <c r="C43" s="29" t="s">
        <v>83</v>
      </c>
      <c r="D43" s="25" t="s">
        <v>175</v>
      </c>
      <c r="E43" s="105">
        <v>52.2</v>
      </c>
      <c r="F43" s="109">
        <f>SUM(E43*15/1000)</f>
        <v>0.78300000000000003</v>
      </c>
      <c r="G43" s="105">
        <v>614.55999999999995</v>
      </c>
      <c r="H43" s="62">
        <f t="shared" si="3"/>
        <v>0.48120047999999999</v>
      </c>
      <c r="I43" s="10">
        <f>(F43/7.5*1.5)*G43</f>
        <v>96.240096000000008</v>
      </c>
    </row>
    <row r="44" spans="1:9" ht="15.75" hidden="1" customHeight="1">
      <c r="A44" s="92">
        <v>13</v>
      </c>
      <c r="B44" s="107" t="s">
        <v>67</v>
      </c>
      <c r="C44" s="108" t="s">
        <v>31</v>
      </c>
      <c r="D44" s="107"/>
      <c r="E44" s="106"/>
      <c r="F44" s="109">
        <v>0.5</v>
      </c>
      <c r="G44" s="109">
        <v>800</v>
      </c>
      <c r="H44" s="62">
        <f t="shared" si="3"/>
        <v>0.4</v>
      </c>
      <c r="I44" s="10">
        <f>(F44/7.5*1.5)*G44</f>
        <v>80</v>
      </c>
    </row>
    <row r="45" spans="1:9" ht="29.25" customHeight="1">
      <c r="A45" s="21">
        <v>10</v>
      </c>
      <c r="B45" s="107" t="s">
        <v>155</v>
      </c>
      <c r="C45" s="108" t="s">
        <v>83</v>
      </c>
      <c r="D45" s="107" t="s">
        <v>184</v>
      </c>
      <c r="E45" s="106">
        <v>1.8</v>
      </c>
      <c r="F45" s="109">
        <f>E45*12/1000</f>
        <v>2.1600000000000001E-2</v>
      </c>
      <c r="G45" s="109">
        <v>19757.060000000001</v>
      </c>
      <c r="H45" s="10"/>
      <c r="I45" s="10">
        <f>G45*F45/6</f>
        <v>71.125416000000016</v>
      </c>
    </row>
    <row r="46" spans="1:9" ht="20.25" hidden="1" customHeight="1">
      <c r="A46" s="159" t="s">
        <v>122</v>
      </c>
      <c r="B46" s="160"/>
      <c r="C46" s="160"/>
      <c r="D46" s="160"/>
      <c r="E46" s="160"/>
      <c r="F46" s="160"/>
      <c r="G46" s="160"/>
      <c r="H46" s="160"/>
      <c r="I46" s="161"/>
    </row>
    <row r="47" spans="1:9" ht="28.5" hidden="1" customHeight="1">
      <c r="A47" s="21"/>
      <c r="B47" s="58" t="s">
        <v>103</v>
      </c>
      <c r="C47" s="59" t="s">
        <v>83</v>
      </c>
      <c r="D47" s="58" t="s">
        <v>41</v>
      </c>
      <c r="E47" s="60">
        <v>917.75</v>
      </c>
      <c r="F47" s="61">
        <f>SUM(E47*2/1000)</f>
        <v>1.8354999999999999</v>
      </c>
      <c r="G47" s="10">
        <v>865.61</v>
      </c>
      <c r="H47" s="62">
        <f t="shared" ref="H47:H56" si="4">SUM(F47*G47/1000)</f>
        <v>1.5888271549999999</v>
      </c>
      <c r="I47" s="10">
        <v>0</v>
      </c>
    </row>
    <row r="48" spans="1:9" ht="30.75" hidden="1" customHeight="1">
      <c r="A48" s="21"/>
      <c r="B48" s="58" t="s">
        <v>34</v>
      </c>
      <c r="C48" s="59" t="s">
        <v>83</v>
      </c>
      <c r="D48" s="58" t="s">
        <v>41</v>
      </c>
      <c r="E48" s="60">
        <v>48</v>
      </c>
      <c r="F48" s="61">
        <f>E48*2/1000</f>
        <v>9.6000000000000002E-2</v>
      </c>
      <c r="G48" s="10">
        <v>619.46</v>
      </c>
      <c r="H48" s="62">
        <f t="shared" si="4"/>
        <v>5.9468160000000006E-2</v>
      </c>
      <c r="I48" s="10">
        <v>0</v>
      </c>
    </row>
    <row r="49" spans="1:9" ht="31.5" hidden="1" customHeight="1">
      <c r="A49" s="21"/>
      <c r="B49" s="58" t="s">
        <v>35</v>
      </c>
      <c r="C49" s="59" t="s">
        <v>83</v>
      </c>
      <c r="D49" s="58" t="s">
        <v>41</v>
      </c>
      <c r="E49" s="60">
        <v>937.4</v>
      </c>
      <c r="F49" s="61">
        <f>SUM(E49*2/1000)</f>
        <v>1.8748</v>
      </c>
      <c r="G49" s="10">
        <v>619.46</v>
      </c>
      <c r="H49" s="62">
        <f t="shared" si="4"/>
        <v>1.161363608</v>
      </c>
      <c r="I49" s="10">
        <v>0</v>
      </c>
    </row>
    <row r="50" spans="1:9" ht="24.75" hidden="1" customHeight="1">
      <c r="A50" s="21"/>
      <c r="B50" s="58" t="s">
        <v>36</v>
      </c>
      <c r="C50" s="59" t="s">
        <v>83</v>
      </c>
      <c r="D50" s="58" t="s">
        <v>41</v>
      </c>
      <c r="E50" s="60">
        <v>1243.28</v>
      </c>
      <c r="F50" s="61">
        <f>SUM(E50*2/1000)</f>
        <v>2.4865599999999999</v>
      </c>
      <c r="G50" s="10">
        <v>648.64</v>
      </c>
      <c r="H50" s="62">
        <f t="shared" si="4"/>
        <v>1.6128822783999999</v>
      </c>
      <c r="I50" s="10">
        <v>0</v>
      </c>
    </row>
    <row r="51" spans="1:9" ht="19.5" hidden="1" customHeight="1">
      <c r="A51" s="21"/>
      <c r="B51" s="58" t="s">
        <v>32</v>
      </c>
      <c r="C51" s="59" t="s">
        <v>33</v>
      </c>
      <c r="D51" s="58" t="s">
        <v>41</v>
      </c>
      <c r="E51" s="60">
        <v>64.5</v>
      </c>
      <c r="F51" s="61">
        <f>SUM(E51*2/100)</f>
        <v>1.29</v>
      </c>
      <c r="G51" s="10">
        <v>77.84</v>
      </c>
      <c r="H51" s="62">
        <f t="shared" si="4"/>
        <v>0.10041360000000001</v>
      </c>
      <c r="I51" s="10">
        <v>0</v>
      </c>
    </row>
    <row r="52" spans="1:9" ht="27" hidden="1" customHeight="1">
      <c r="A52" s="21">
        <v>14</v>
      </c>
      <c r="B52" s="58" t="s">
        <v>54</v>
      </c>
      <c r="C52" s="59" t="s">
        <v>83</v>
      </c>
      <c r="D52" s="58" t="s">
        <v>131</v>
      </c>
      <c r="E52" s="60">
        <v>678.4</v>
      </c>
      <c r="F52" s="61">
        <f>SUM(E52*5/1000)</f>
        <v>3.3919999999999999</v>
      </c>
      <c r="G52" s="10">
        <v>1297.28</v>
      </c>
      <c r="H52" s="62">
        <f t="shared" si="4"/>
        <v>4.4003737599999999</v>
      </c>
      <c r="I52" s="10">
        <f>F52/5*G52</f>
        <v>880.07475199999999</v>
      </c>
    </row>
    <row r="53" spans="1:9" ht="38.25" hidden="1" customHeight="1">
      <c r="A53" s="21">
        <v>13</v>
      </c>
      <c r="B53" s="58" t="s">
        <v>84</v>
      </c>
      <c r="C53" s="59" t="s">
        <v>83</v>
      </c>
      <c r="D53" s="58" t="s">
        <v>41</v>
      </c>
      <c r="E53" s="60">
        <v>678.4</v>
      </c>
      <c r="F53" s="61">
        <f>SUM(E53*2/1000)</f>
        <v>1.3568</v>
      </c>
      <c r="G53" s="10">
        <v>1297.28</v>
      </c>
      <c r="H53" s="62">
        <f t="shared" si="4"/>
        <v>1.7601495039999999</v>
      </c>
      <c r="I53" s="10">
        <f>F53/2*G53</f>
        <v>880.07475199999999</v>
      </c>
    </row>
    <row r="54" spans="1:9" ht="33.75" hidden="1" customHeight="1">
      <c r="A54" s="21">
        <v>14</v>
      </c>
      <c r="B54" s="58" t="s">
        <v>85</v>
      </c>
      <c r="C54" s="59" t="s">
        <v>37</v>
      </c>
      <c r="D54" s="58" t="s">
        <v>41</v>
      </c>
      <c r="E54" s="60">
        <v>12</v>
      </c>
      <c r="F54" s="61">
        <f>SUM(E54*2/100)</f>
        <v>0.24</v>
      </c>
      <c r="G54" s="10">
        <v>2918.89</v>
      </c>
      <c r="H54" s="62">
        <f t="shared" si="4"/>
        <v>0.70053359999999998</v>
      </c>
      <c r="I54" s="10">
        <f t="shared" ref="I54:I55" si="5">F54/2*G54</f>
        <v>350.26679999999999</v>
      </c>
    </row>
    <row r="55" spans="1:9" ht="22.5" hidden="1" customHeight="1">
      <c r="A55" s="21">
        <v>15</v>
      </c>
      <c r="B55" s="58" t="s">
        <v>38</v>
      </c>
      <c r="C55" s="59" t="s">
        <v>39</v>
      </c>
      <c r="D55" s="58" t="s">
        <v>41</v>
      </c>
      <c r="E55" s="60">
        <v>1</v>
      </c>
      <c r="F55" s="61">
        <v>0.02</v>
      </c>
      <c r="G55" s="10">
        <v>6042.12</v>
      </c>
      <c r="H55" s="62">
        <f t="shared" si="4"/>
        <v>0.1208424</v>
      </c>
      <c r="I55" s="10">
        <f t="shared" si="5"/>
        <v>60.421199999999999</v>
      </c>
    </row>
    <row r="56" spans="1:9" ht="21.75" hidden="1" customHeight="1">
      <c r="A56" s="21">
        <v>16</v>
      </c>
      <c r="B56" s="58" t="s">
        <v>40</v>
      </c>
      <c r="C56" s="59" t="s">
        <v>104</v>
      </c>
      <c r="D56" s="58" t="s">
        <v>68</v>
      </c>
      <c r="E56" s="60">
        <v>72</v>
      </c>
      <c r="F56" s="61">
        <f>SUM(E56)*3</f>
        <v>216</v>
      </c>
      <c r="G56" s="10">
        <v>70.209999999999994</v>
      </c>
      <c r="H56" s="62">
        <f t="shared" si="4"/>
        <v>15.165359999999998</v>
      </c>
      <c r="I56" s="10">
        <f>E56*G56</f>
        <v>5055.12</v>
      </c>
    </row>
    <row r="57" spans="1:9" ht="15.75" customHeight="1">
      <c r="A57" s="159" t="s">
        <v>134</v>
      </c>
      <c r="B57" s="160"/>
      <c r="C57" s="160"/>
      <c r="D57" s="160"/>
      <c r="E57" s="160"/>
      <c r="F57" s="160"/>
      <c r="G57" s="160"/>
      <c r="H57" s="160"/>
      <c r="I57" s="161"/>
    </row>
    <row r="58" spans="1:9" ht="15.75" hidden="1" customHeight="1">
      <c r="A58" s="21"/>
      <c r="B58" s="78" t="s">
        <v>42</v>
      </c>
      <c r="C58" s="59"/>
      <c r="D58" s="58"/>
      <c r="E58" s="60"/>
      <c r="F58" s="61"/>
      <c r="G58" s="61"/>
      <c r="H58" s="62"/>
      <c r="I58" s="10"/>
    </row>
    <row r="59" spans="1:9" ht="19.5" hidden="1" customHeight="1">
      <c r="A59" s="21">
        <v>16</v>
      </c>
      <c r="B59" s="58" t="s">
        <v>105</v>
      </c>
      <c r="C59" s="59" t="s">
        <v>80</v>
      </c>
      <c r="D59" s="90" t="s">
        <v>151</v>
      </c>
      <c r="E59" s="60">
        <v>110.66</v>
      </c>
      <c r="F59" s="61">
        <f>SUM(E59*6/100)</f>
        <v>6.6396000000000006</v>
      </c>
      <c r="G59" s="10">
        <v>1654.04</v>
      </c>
      <c r="H59" s="62">
        <f>SUM(F59*G59/1000)</f>
        <v>10.982163984000001</v>
      </c>
      <c r="I59" s="10">
        <f>G59*1.004</f>
        <v>1660.65616</v>
      </c>
    </row>
    <row r="60" spans="1:9" ht="19.5" customHeight="1">
      <c r="A60" s="21"/>
      <c r="B60" s="115" t="s">
        <v>157</v>
      </c>
      <c r="C60" s="111"/>
      <c r="D60" s="110"/>
      <c r="E60" s="112"/>
      <c r="F60" s="116"/>
      <c r="G60" s="27"/>
      <c r="H60" s="97"/>
      <c r="I60" s="10"/>
    </row>
    <row r="61" spans="1:9" ht="19.5" customHeight="1">
      <c r="A61" s="21">
        <v>11</v>
      </c>
      <c r="B61" s="95" t="s">
        <v>149</v>
      </c>
      <c r="C61" s="117" t="s">
        <v>150</v>
      </c>
      <c r="D61" s="95" t="s">
        <v>174</v>
      </c>
      <c r="E61" s="130">
        <v>120</v>
      </c>
      <c r="F61" s="116">
        <f>E61*12</f>
        <v>1440</v>
      </c>
      <c r="G61" s="27">
        <v>1.4</v>
      </c>
      <c r="H61" s="71"/>
      <c r="I61" s="10">
        <f>G61*F61/12</f>
        <v>167.99999999999997</v>
      </c>
    </row>
    <row r="62" spans="1:9" ht="22.5" customHeight="1">
      <c r="A62" s="21"/>
      <c r="B62" s="129" t="s">
        <v>43</v>
      </c>
      <c r="C62" s="132"/>
      <c r="D62" s="131"/>
      <c r="E62" s="69"/>
      <c r="F62" s="70"/>
      <c r="G62" s="70"/>
      <c r="H62" s="71" t="s">
        <v>113</v>
      </c>
      <c r="I62" s="10"/>
    </row>
    <row r="63" spans="1:9" ht="27" customHeight="1">
      <c r="A63" s="21">
        <v>12</v>
      </c>
      <c r="B63" s="11" t="s">
        <v>44</v>
      </c>
      <c r="C63" s="13" t="s">
        <v>104</v>
      </c>
      <c r="D63" s="11" t="s">
        <v>173</v>
      </c>
      <c r="E63" s="15">
        <v>8</v>
      </c>
      <c r="F63" s="61">
        <v>8</v>
      </c>
      <c r="G63" s="91">
        <v>318.82</v>
      </c>
      <c r="H63" s="72">
        <f t="shared" ref="H63:H79" si="6">SUM(F63*G63/1000)</f>
        <v>2.5505599999999999</v>
      </c>
      <c r="I63" s="10">
        <f>G63</f>
        <v>318.82</v>
      </c>
    </row>
    <row r="64" spans="1:9" ht="24" hidden="1" customHeight="1">
      <c r="A64" s="21"/>
      <c r="B64" s="11" t="s">
        <v>45</v>
      </c>
      <c r="C64" s="13" t="s">
        <v>104</v>
      </c>
      <c r="D64" s="11" t="s">
        <v>64</v>
      </c>
      <c r="E64" s="15">
        <v>3</v>
      </c>
      <c r="F64" s="61">
        <v>3</v>
      </c>
      <c r="G64" s="10">
        <v>81.510000000000005</v>
      </c>
      <c r="H64" s="72">
        <f t="shared" si="6"/>
        <v>0.24453000000000003</v>
      </c>
      <c r="I64" s="10">
        <v>0</v>
      </c>
    </row>
    <row r="65" spans="1:9" ht="24.75" hidden="1" customHeight="1">
      <c r="A65" s="21"/>
      <c r="B65" s="11" t="s">
        <v>46</v>
      </c>
      <c r="C65" s="13" t="s">
        <v>107</v>
      </c>
      <c r="D65" s="11" t="s">
        <v>52</v>
      </c>
      <c r="E65" s="60">
        <v>8539</v>
      </c>
      <c r="F65" s="10">
        <f>SUM(E65/100)</f>
        <v>85.39</v>
      </c>
      <c r="G65" s="10">
        <v>226.79</v>
      </c>
      <c r="H65" s="72">
        <f t="shared" si="6"/>
        <v>19.3655981</v>
      </c>
      <c r="I65" s="10">
        <v>0</v>
      </c>
    </row>
    <row r="66" spans="1:9" ht="21" hidden="1" customHeight="1">
      <c r="A66" s="21"/>
      <c r="B66" s="11" t="s">
        <v>47</v>
      </c>
      <c r="C66" s="13" t="s">
        <v>108</v>
      </c>
      <c r="D66" s="11"/>
      <c r="E66" s="60">
        <v>8539</v>
      </c>
      <c r="F66" s="10">
        <f>SUM(E66/1000)</f>
        <v>8.5389999999999997</v>
      </c>
      <c r="G66" s="10">
        <v>176.61</v>
      </c>
      <c r="H66" s="72">
        <f t="shared" si="6"/>
        <v>1.5080727900000002</v>
      </c>
      <c r="I66" s="10">
        <v>0</v>
      </c>
    </row>
    <row r="67" spans="1:9" ht="22.5" hidden="1" customHeight="1">
      <c r="A67" s="21"/>
      <c r="B67" s="11" t="s">
        <v>48</v>
      </c>
      <c r="C67" s="13" t="s">
        <v>74</v>
      </c>
      <c r="D67" s="11" t="s">
        <v>52</v>
      </c>
      <c r="E67" s="60">
        <v>1370</v>
      </c>
      <c r="F67" s="10">
        <f>SUM(E67/100)</f>
        <v>13.7</v>
      </c>
      <c r="G67" s="10">
        <v>2217.7800000000002</v>
      </c>
      <c r="H67" s="72">
        <f t="shared" si="6"/>
        <v>30.383586000000005</v>
      </c>
      <c r="I67" s="10">
        <v>0</v>
      </c>
    </row>
    <row r="68" spans="1:9" ht="24" hidden="1" customHeight="1">
      <c r="A68" s="21"/>
      <c r="B68" s="73" t="s">
        <v>109</v>
      </c>
      <c r="C68" s="13" t="s">
        <v>31</v>
      </c>
      <c r="D68" s="11"/>
      <c r="E68" s="60">
        <v>9</v>
      </c>
      <c r="F68" s="10">
        <f>SUM(E68)</f>
        <v>9</v>
      </c>
      <c r="G68" s="10">
        <v>42.67</v>
      </c>
      <c r="H68" s="72">
        <f t="shared" si="6"/>
        <v>0.38403000000000004</v>
      </c>
      <c r="I68" s="10">
        <v>0</v>
      </c>
    </row>
    <row r="69" spans="1:9" ht="22.5" hidden="1" customHeight="1">
      <c r="A69" s="21"/>
      <c r="B69" s="73" t="s">
        <v>110</v>
      </c>
      <c r="C69" s="13" t="s">
        <v>31</v>
      </c>
      <c r="D69" s="11"/>
      <c r="E69" s="60">
        <v>9</v>
      </c>
      <c r="F69" s="10">
        <f>SUM(E69)</f>
        <v>9</v>
      </c>
      <c r="G69" s="10">
        <v>39.81</v>
      </c>
      <c r="H69" s="72">
        <f t="shared" si="6"/>
        <v>0.35829</v>
      </c>
      <c r="I69" s="10">
        <v>0</v>
      </c>
    </row>
    <row r="70" spans="1:9" ht="22.5" hidden="1" customHeight="1">
      <c r="A70" s="21"/>
      <c r="B70" s="11" t="s">
        <v>55</v>
      </c>
      <c r="C70" s="13" t="s">
        <v>56</v>
      </c>
      <c r="D70" s="11" t="s">
        <v>52</v>
      </c>
      <c r="E70" s="15">
        <v>3</v>
      </c>
      <c r="F70" s="61">
        <v>3</v>
      </c>
      <c r="G70" s="10">
        <v>53.62</v>
      </c>
      <c r="H70" s="72">
        <f t="shared" si="6"/>
        <v>0.16085999999999998</v>
      </c>
      <c r="I70" s="10">
        <v>0</v>
      </c>
    </row>
    <row r="71" spans="1:9" ht="22.5" customHeight="1">
      <c r="A71" s="21"/>
      <c r="B71" s="118" t="s">
        <v>159</v>
      </c>
      <c r="C71" s="119"/>
      <c r="D71" s="120"/>
      <c r="E71" s="121"/>
      <c r="F71" s="122"/>
      <c r="G71" s="122"/>
      <c r="H71" s="10"/>
      <c r="I71" s="10"/>
    </row>
    <row r="72" spans="1:9" ht="30" customHeight="1">
      <c r="A72" s="21">
        <v>13</v>
      </c>
      <c r="B72" s="95" t="s">
        <v>160</v>
      </c>
      <c r="C72" s="123" t="s">
        <v>161</v>
      </c>
      <c r="D72" s="120"/>
      <c r="E72" s="121">
        <v>2054.6</v>
      </c>
      <c r="F72" s="122">
        <f>E72*12</f>
        <v>24655.199999999997</v>
      </c>
      <c r="G72" s="122">
        <v>2.4900000000000002</v>
      </c>
      <c r="H72" s="10"/>
      <c r="I72" s="10">
        <f>G72*F72/12</f>
        <v>5115.9539999999997</v>
      </c>
    </row>
    <row r="73" spans="1:9" ht="21" customHeight="1">
      <c r="A73" s="21"/>
      <c r="B73" s="23" t="s">
        <v>69</v>
      </c>
      <c r="C73" s="13"/>
      <c r="D73" s="11"/>
      <c r="E73" s="15"/>
      <c r="F73" s="10"/>
      <c r="G73" s="10"/>
      <c r="H73" s="72" t="s">
        <v>113</v>
      </c>
      <c r="I73" s="10"/>
    </row>
    <row r="74" spans="1:9" ht="20.25" hidden="1" customHeight="1">
      <c r="A74" s="21"/>
      <c r="B74" s="11" t="s">
        <v>70</v>
      </c>
      <c r="C74" s="13" t="s">
        <v>72</v>
      </c>
      <c r="D74" s="11"/>
      <c r="E74" s="15">
        <v>2</v>
      </c>
      <c r="F74" s="10">
        <v>0.2</v>
      </c>
      <c r="G74" s="10">
        <v>536.23</v>
      </c>
      <c r="H74" s="72">
        <f t="shared" si="6"/>
        <v>0.10724600000000001</v>
      </c>
      <c r="I74" s="10">
        <v>0</v>
      </c>
    </row>
    <row r="75" spans="1:9" ht="20.25" hidden="1" customHeight="1">
      <c r="A75" s="21"/>
      <c r="B75" s="11" t="s">
        <v>71</v>
      </c>
      <c r="C75" s="13" t="s">
        <v>29</v>
      </c>
      <c r="D75" s="11"/>
      <c r="E75" s="15">
        <v>1</v>
      </c>
      <c r="F75" s="54">
        <v>1</v>
      </c>
      <c r="G75" s="10">
        <v>911.85</v>
      </c>
      <c r="H75" s="72">
        <f>F75*G75/1000</f>
        <v>0.91185000000000005</v>
      </c>
      <c r="I75" s="10">
        <v>0</v>
      </c>
    </row>
    <row r="76" spans="1:9" ht="18" hidden="1" customHeight="1">
      <c r="A76" s="21"/>
      <c r="B76" s="11" t="s">
        <v>120</v>
      </c>
      <c r="C76" s="13" t="s">
        <v>29</v>
      </c>
      <c r="D76" s="11"/>
      <c r="E76" s="15">
        <v>1</v>
      </c>
      <c r="F76" s="10">
        <v>1</v>
      </c>
      <c r="G76" s="10">
        <v>383.25</v>
      </c>
      <c r="H76" s="72">
        <f>G76*F76/1000</f>
        <v>0.38324999999999998</v>
      </c>
      <c r="I76" s="10">
        <v>0</v>
      </c>
    </row>
    <row r="77" spans="1:9" ht="18" customHeight="1">
      <c r="A77" s="21">
        <v>14</v>
      </c>
      <c r="B77" s="95" t="s">
        <v>158</v>
      </c>
      <c r="C77" s="117" t="s">
        <v>104</v>
      </c>
      <c r="D77" s="95" t="s">
        <v>174</v>
      </c>
      <c r="E77" s="14">
        <v>2</v>
      </c>
      <c r="F77" s="27">
        <f>E77*12</f>
        <v>24</v>
      </c>
      <c r="G77" s="27">
        <v>404</v>
      </c>
      <c r="H77" s="72"/>
      <c r="I77" s="10">
        <f>G77*F77/12</f>
        <v>808</v>
      </c>
    </row>
    <row r="78" spans="1:9" ht="18.75" hidden="1" customHeight="1">
      <c r="A78" s="21"/>
      <c r="B78" s="74" t="s">
        <v>73</v>
      </c>
      <c r="C78" s="13"/>
      <c r="D78" s="11"/>
      <c r="E78" s="15"/>
      <c r="F78" s="10"/>
      <c r="G78" s="10" t="s">
        <v>113</v>
      </c>
      <c r="H78" s="72" t="s">
        <v>113</v>
      </c>
      <c r="I78" s="10"/>
    </row>
    <row r="79" spans="1:9" ht="23.25" hidden="1" customHeight="1">
      <c r="A79" s="21"/>
      <c r="B79" s="36" t="s">
        <v>114</v>
      </c>
      <c r="C79" s="13" t="s">
        <v>74</v>
      </c>
      <c r="D79" s="11"/>
      <c r="E79" s="15"/>
      <c r="F79" s="10">
        <v>1.35</v>
      </c>
      <c r="G79" s="10">
        <v>2949.85</v>
      </c>
      <c r="H79" s="72">
        <f t="shared" si="6"/>
        <v>3.9822975</v>
      </c>
      <c r="I79" s="10">
        <v>0</v>
      </c>
    </row>
    <row r="80" spans="1:9" ht="19.5" hidden="1" customHeight="1">
      <c r="A80" s="21"/>
      <c r="B80" s="53" t="s">
        <v>86</v>
      </c>
      <c r="C80" s="75"/>
      <c r="D80" s="23"/>
      <c r="E80" s="24"/>
      <c r="F80" s="64"/>
      <c r="G80" s="64"/>
      <c r="H80" s="76">
        <f>SUM(H59:H79)</f>
        <v>71.322334374000008</v>
      </c>
      <c r="I80" s="64"/>
    </row>
    <row r="81" spans="1:9" ht="24" hidden="1" customHeight="1">
      <c r="A81" s="21"/>
      <c r="B81" s="58" t="s">
        <v>111</v>
      </c>
      <c r="C81" s="13"/>
      <c r="D81" s="11"/>
      <c r="E81" s="77"/>
      <c r="F81" s="10">
        <v>1</v>
      </c>
      <c r="G81" s="10">
        <v>7101.4</v>
      </c>
      <c r="H81" s="72">
        <f>G81*F81/1000</f>
        <v>7.1013999999999999</v>
      </c>
      <c r="I81" s="10">
        <v>0</v>
      </c>
    </row>
    <row r="82" spans="1:9" ht="15.75" customHeight="1">
      <c r="A82" s="159" t="s">
        <v>135</v>
      </c>
      <c r="B82" s="160"/>
      <c r="C82" s="160"/>
      <c r="D82" s="160"/>
      <c r="E82" s="160"/>
      <c r="F82" s="160"/>
      <c r="G82" s="160"/>
      <c r="H82" s="160"/>
      <c r="I82" s="161"/>
    </row>
    <row r="83" spans="1:9" ht="15.75" customHeight="1">
      <c r="A83" s="21">
        <v>15</v>
      </c>
      <c r="B83" s="95" t="s">
        <v>112</v>
      </c>
      <c r="C83" s="117" t="s">
        <v>53</v>
      </c>
      <c r="D83" s="135"/>
      <c r="E83" s="27">
        <v>2054.6</v>
      </c>
      <c r="F83" s="27">
        <f>SUM(E83*12)</f>
        <v>24655.199999999997</v>
      </c>
      <c r="G83" s="27">
        <v>3.38</v>
      </c>
      <c r="H83" s="10">
        <f>SUM(F83*G83/1000)</f>
        <v>83.334575999999984</v>
      </c>
      <c r="I83" s="10">
        <f>F83/12*G83</f>
        <v>6944.5479999999998</v>
      </c>
    </row>
    <row r="84" spans="1:9" ht="31.5" customHeight="1">
      <c r="A84" s="21">
        <v>16</v>
      </c>
      <c r="B84" s="95" t="s">
        <v>162</v>
      </c>
      <c r="C84" s="117" t="s">
        <v>53</v>
      </c>
      <c r="D84" s="133"/>
      <c r="E84" s="134">
        <f>E83</f>
        <v>2054.6</v>
      </c>
      <c r="F84" s="126">
        <f>E84*12</f>
        <v>24655.199999999997</v>
      </c>
      <c r="G84" s="126">
        <v>3.05</v>
      </c>
      <c r="H84" s="102">
        <f>F84*G84/1000</f>
        <v>75.19835999999998</v>
      </c>
      <c r="I84" s="103">
        <f>F84/12*G84</f>
        <v>6266.53</v>
      </c>
    </row>
    <row r="85" spans="1:9" ht="15.75" customHeight="1">
      <c r="A85" s="21"/>
      <c r="B85" s="28" t="s">
        <v>76</v>
      </c>
      <c r="C85" s="75"/>
      <c r="D85" s="74"/>
      <c r="E85" s="64"/>
      <c r="F85" s="64"/>
      <c r="G85" s="64"/>
      <c r="H85" s="76">
        <f>H84</f>
        <v>75.19835999999998</v>
      </c>
      <c r="I85" s="64">
        <f>I84+I83+I77+I72+I61+I45+I42+I40+I38+I27+I21+I20+I18+I17+I16+I63</f>
        <v>34510.433557499993</v>
      </c>
    </row>
    <row r="86" spans="1:9" ht="15.75" customHeight="1">
      <c r="A86" s="173" t="s">
        <v>58</v>
      </c>
      <c r="B86" s="174"/>
      <c r="C86" s="174"/>
      <c r="D86" s="174"/>
      <c r="E86" s="174"/>
      <c r="F86" s="174"/>
      <c r="G86" s="174"/>
      <c r="H86" s="174"/>
      <c r="I86" s="175"/>
    </row>
    <row r="87" spans="1:9" ht="17.25" customHeight="1">
      <c r="A87" s="21">
        <v>17</v>
      </c>
      <c r="B87" s="88" t="s">
        <v>205</v>
      </c>
      <c r="C87" s="151" t="s">
        <v>104</v>
      </c>
      <c r="D87" s="39" t="s">
        <v>206</v>
      </c>
      <c r="E87" s="27"/>
      <c r="F87" s="27">
        <v>1</v>
      </c>
      <c r="G87" s="27">
        <v>61.58</v>
      </c>
      <c r="H87" s="71">
        <f>F87*G87/1000</f>
        <v>6.1579999999999996E-2</v>
      </c>
      <c r="I87" s="89">
        <f>G87*1</f>
        <v>61.58</v>
      </c>
    </row>
    <row r="88" spans="1:9" ht="15.75" customHeight="1">
      <c r="A88" s="21">
        <v>18</v>
      </c>
      <c r="B88" s="88" t="s">
        <v>207</v>
      </c>
      <c r="C88" s="40" t="s">
        <v>104</v>
      </c>
      <c r="D88" s="39"/>
      <c r="E88" s="27"/>
      <c r="F88" s="27">
        <v>1</v>
      </c>
      <c r="G88" s="27">
        <v>475.25</v>
      </c>
      <c r="H88" s="10">
        <f>G88*F88/1000</f>
        <v>0.47525000000000001</v>
      </c>
      <c r="I88" s="10">
        <f>G88*1</f>
        <v>475.25</v>
      </c>
    </row>
    <row r="89" spans="1:9" ht="31.5" customHeight="1">
      <c r="A89" s="21">
        <v>19</v>
      </c>
      <c r="B89" s="88" t="s">
        <v>168</v>
      </c>
      <c r="C89" s="40" t="s">
        <v>37</v>
      </c>
      <c r="D89" s="39" t="s">
        <v>173</v>
      </c>
      <c r="E89" s="27"/>
      <c r="F89" s="27">
        <v>0.03</v>
      </c>
      <c r="G89" s="27">
        <v>4070.89</v>
      </c>
      <c r="H89" s="10"/>
      <c r="I89" s="10">
        <v>0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SUM(I87:I89)</f>
        <v>536.83000000000004</v>
      </c>
    </row>
    <row r="91" spans="1:9" ht="15.75" customHeight="1">
      <c r="A91" s="21"/>
      <c r="B91" s="36" t="s">
        <v>75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144</v>
      </c>
      <c r="C92" s="26"/>
      <c r="D92" s="26"/>
      <c r="E92" s="26"/>
      <c r="F92" s="26"/>
      <c r="G92" s="26"/>
      <c r="H92" s="26"/>
      <c r="I92" s="33">
        <f>I85+I90</f>
        <v>35047.263557499995</v>
      </c>
    </row>
    <row r="93" spans="1:9" ht="15.75">
      <c r="A93" s="172" t="s">
        <v>270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46"/>
      <c r="B94" s="167" t="s">
        <v>271</v>
      </c>
      <c r="C94" s="167"/>
      <c r="D94" s="167"/>
      <c r="E94" s="167"/>
      <c r="F94" s="167"/>
      <c r="G94" s="167"/>
      <c r="H94" s="57"/>
      <c r="I94" s="2"/>
    </row>
    <row r="95" spans="1:9">
      <c r="A95" s="49"/>
      <c r="B95" s="163" t="s">
        <v>6</v>
      </c>
      <c r="C95" s="163"/>
      <c r="D95" s="163"/>
      <c r="E95" s="163"/>
      <c r="F95" s="163"/>
      <c r="G95" s="163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8"/>
    </row>
    <row r="101" spans="1:9" ht="15.75">
      <c r="A101" s="170" t="s">
        <v>9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3"/>
    </row>
    <row r="103" spans="1:9" ht="15.75">
      <c r="B103" s="50" t="s">
        <v>10</v>
      </c>
      <c r="C103" s="162" t="s">
        <v>125</v>
      </c>
      <c r="D103" s="162"/>
      <c r="E103" s="162"/>
      <c r="F103" s="55"/>
      <c r="I103" s="48"/>
    </row>
    <row r="104" spans="1:9">
      <c r="A104" s="49"/>
      <c r="C104" s="163" t="s">
        <v>11</v>
      </c>
      <c r="D104" s="163"/>
      <c r="E104" s="163"/>
      <c r="F104" s="16"/>
      <c r="I104" s="47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50" t="s">
        <v>13</v>
      </c>
      <c r="C106" s="164"/>
      <c r="D106" s="164"/>
      <c r="E106" s="164"/>
      <c r="F106" s="56"/>
      <c r="I106" s="48"/>
    </row>
    <row r="107" spans="1:9">
      <c r="A107" s="49"/>
      <c r="C107" s="165" t="s">
        <v>11</v>
      </c>
      <c r="D107" s="165"/>
      <c r="E107" s="165"/>
      <c r="F107" s="49"/>
      <c r="I107" s="47" t="s">
        <v>12</v>
      </c>
    </row>
    <row r="108" spans="1:9" ht="15.75">
      <c r="A108" s="3" t="s">
        <v>14</v>
      </c>
    </row>
    <row r="109" spans="1:9">
      <c r="A109" s="166" t="s">
        <v>15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45" customHeight="1">
      <c r="A110" s="158" t="s">
        <v>16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0" customHeight="1">
      <c r="A111" s="158" t="s">
        <v>17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21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" customHeight="1">
      <c r="A113" s="158" t="s">
        <v>20</v>
      </c>
      <c r="B113" s="158"/>
      <c r="C113" s="158"/>
      <c r="D113" s="158"/>
      <c r="E113" s="158"/>
      <c r="F113" s="158"/>
      <c r="G113" s="158"/>
      <c r="H113" s="158"/>
      <c r="I113" s="158"/>
    </row>
  </sheetData>
  <mergeCells count="28">
    <mergeCell ref="A111:I111"/>
    <mergeCell ref="A112:I112"/>
    <mergeCell ref="A113:I113"/>
    <mergeCell ref="C103:E103"/>
    <mergeCell ref="C104:E104"/>
    <mergeCell ref="C106:E106"/>
    <mergeCell ref="C107:E107"/>
    <mergeCell ref="A109:I109"/>
    <mergeCell ref="A110:I110"/>
    <mergeCell ref="A101:I101"/>
    <mergeCell ref="A15:I15"/>
    <mergeCell ref="A28:I28"/>
    <mergeCell ref="A46:I46"/>
    <mergeCell ref="A57:I57"/>
    <mergeCell ref="A82:I82"/>
    <mergeCell ref="A93:I93"/>
    <mergeCell ref="B94:G94"/>
    <mergeCell ref="B95:G95"/>
    <mergeCell ref="A97:I97"/>
    <mergeCell ref="A98:I98"/>
    <mergeCell ref="A99:I99"/>
    <mergeCell ref="A14:I14"/>
    <mergeCell ref="A86:I86"/>
    <mergeCell ref="A3:I3"/>
    <mergeCell ref="A4:I4"/>
    <mergeCell ref="A5:I5"/>
    <mergeCell ref="A8:I8"/>
    <mergeCell ref="A10:I10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3"/>
  <sheetViews>
    <sheetView view="pageBreakPreview" topLeftCell="A81" zoomScale="60"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137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208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43982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176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5</v>
      </c>
      <c r="B20" s="25" t="s">
        <v>90</v>
      </c>
      <c r="C20" s="29" t="s">
        <v>80</v>
      </c>
      <c r="D20" s="25" t="s">
        <v>177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6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176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176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178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31.5" hidden="1" customHeight="1">
      <c r="A25" s="21">
        <v>10</v>
      </c>
      <c r="B25" s="25" t="s">
        <v>96</v>
      </c>
      <c r="C25" s="29" t="s">
        <v>51</v>
      </c>
      <c r="D25" s="25" t="s">
        <v>173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179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7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8</v>
      </c>
      <c r="B30" s="25" t="s">
        <v>102</v>
      </c>
      <c r="C30" s="29" t="s">
        <v>83</v>
      </c>
      <c r="D30" s="25" t="s">
        <v>171</v>
      </c>
      <c r="E30" s="105">
        <v>124</v>
      </c>
      <c r="F30" s="105">
        <f>SUM(E30*24/1000)</f>
        <v>2.976</v>
      </c>
      <c r="G30" s="105">
        <v>223.46</v>
      </c>
      <c r="H30" s="62">
        <f t="shared" ref="H30:H35" si="2">SUM(F30*G30/1000)</f>
        <v>0.66501695999999999</v>
      </c>
      <c r="I30" s="10">
        <f>F30/6*G30</f>
        <v>110.83616000000001</v>
      </c>
    </row>
    <row r="31" spans="1:9" ht="31.5" customHeight="1">
      <c r="A31" s="21">
        <v>9</v>
      </c>
      <c r="B31" s="25" t="s">
        <v>101</v>
      </c>
      <c r="C31" s="29" t="s">
        <v>83</v>
      </c>
      <c r="D31" s="25" t="s">
        <v>170</v>
      </c>
      <c r="E31" s="105">
        <v>128</v>
      </c>
      <c r="F31" s="105">
        <f>SUM(E31*52/1000)</f>
        <v>6.6559999999999997</v>
      </c>
      <c r="G31" s="105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customHeight="1">
      <c r="A32" s="21">
        <v>10</v>
      </c>
      <c r="B32" s="25" t="s">
        <v>26</v>
      </c>
      <c r="C32" s="29" t="s">
        <v>83</v>
      </c>
      <c r="D32" s="25" t="s">
        <v>181</v>
      </c>
      <c r="E32" s="105">
        <v>124</v>
      </c>
      <c r="F32" s="105">
        <f>SUM(E32/1000)</f>
        <v>0.124</v>
      </c>
      <c r="G32" s="105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11</v>
      </c>
      <c r="B33" s="25" t="s">
        <v>167</v>
      </c>
      <c r="C33" s="29" t="s">
        <v>39</v>
      </c>
      <c r="D33" s="25" t="s">
        <v>172</v>
      </c>
      <c r="E33" s="137">
        <v>1</v>
      </c>
      <c r="F33" s="105">
        <f>E33*155/100</f>
        <v>1.55</v>
      </c>
      <c r="G33" s="105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si="2"/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2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4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4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4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4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4"/>
        <v>0.42652999999999996</v>
      </c>
      <c r="I43" s="10">
        <f>F43/6*G43</f>
        <v>71.088333333333324</v>
      </c>
    </row>
    <row r="44" spans="1:9" ht="15.75" customHeight="1">
      <c r="A44" s="159" t="s">
        <v>122</v>
      </c>
      <c r="B44" s="160"/>
      <c r="C44" s="160"/>
      <c r="D44" s="160"/>
      <c r="E44" s="160"/>
      <c r="F44" s="160"/>
      <c r="G44" s="160"/>
      <c r="H44" s="160"/>
      <c r="I44" s="161"/>
    </row>
    <row r="45" spans="1:9" ht="15.75" customHeight="1">
      <c r="A45" s="21">
        <v>12</v>
      </c>
      <c r="B45" s="25" t="s">
        <v>103</v>
      </c>
      <c r="C45" s="29" t="s">
        <v>83</v>
      </c>
      <c r="D45" s="25" t="s">
        <v>173</v>
      </c>
      <c r="E45" s="104">
        <v>917.8</v>
      </c>
      <c r="F45" s="105">
        <f>SUM(E45*2/1000)</f>
        <v>1.8355999999999999</v>
      </c>
      <c r="G45" s="27">
        <v>1160.81</v>
      </c>
      <c r="H45" s="62">
        <f t="shared" ref="H45:H54" si="5">SUM(F45*G45/1000)</f>
        <v>2.1307828359999998</v>
      </c>
      <c r="I45" s="10">
        <f t="shared" ref="I45:I48" si="6">F45/2*G45</f>
        <v>1065.3914179999999</v>
      </c>
    </row>
    <row r="46" spans="1:9" ht="15.75" customHeight="1">
      <c r="A46" s="21">
        <v>13</v>
      </c>
      <c r="B46" s="25" t="s">
        <v>34</v>
      </c>
      <c r="C46" s="29" t="s">
        <v>83</v>
      </c>
      <c r="D46" s="25" t="s">
        <v>173</v>
      </c>
      <c r="E46" s="104">
        <v>48</v>
      </c>
      <c r="F46" s="105">
        <f>E46*2/1000</f>
        <v>9.6000000000000002E-2</v>
      </c>
      <c r="G46" s="27">
        <v>830.69</v>
      </c>
      <c r="H46" s="62">
        <f t="shared" si="5"/>
        <v>7.9746239999999996E-2</v>
      </c>
      <c r="I46" s="10">
        <f t="shared" si="6"/>
        <v>39.87312</v>
      </c>
    </row>
    <row r="47" spans="1:9" ht="15.75" customHeight="1">
      <c r="A47" s="21">
        <v>14</v>
      </c>
      <c r="B47" s="25" t="s">
        <v>35</v>
      </c>
      <c r="C47" s="29" t="s">
        <v>83</v>
      </c>
      <c r="D47" s="25" t="s">
        <v>173</v>
      </c>
      <c r="E47" s="104">
        <v>937.4</v>
      </c>
      <c r="F47" s="105">
        <f>SUM(E47*2/1000)</f>
        <v>1.8748</v>
      </c>
      <c r="G47" s="27">
        <v>830.69</v>
      </c>
      <c r="H47" s="62">
        <f t="shared" si="5"/>
        <v>1.5573776120000002</v>
      </c>
      <c r="I47" s="10">
        <f t="shared" si="6"/>
        <v>778.68880600000011</v>
      </c>
    </row>
    <row r="48" spans="1:9" ht="15.75" customHeight="1">
      <c r="A48" s="21">
        <v>15</v>
      </c>
      <c r="B48" s="25" t="s">
        <v>36</v>
      </c>
      <c r="C48" s="29" t="s">
        <v>83</v>
      </c>
      <c r="D48" s="25" t="s">
        <v>173</v>
      </c>
      <c r="E48" s="104">
        <v>1243.28</v>
      </c>
      <c r="F48" s="105">
        <f>SUM(E48*2/1000)</f>
        <v>2.4865599999999999</v>
      </c>
      <c r="G48" s="27">
        <v>869.86</v>
      </c>
      <c r="H48" s="62">
        <f t="shared" si="5"/>
        <v>2.1629590815999999</v>
      </c>
      <c r="I48" s="10">
        <f t="shared" si="6"/>
        <v>1081.4795408</v>
      </c>
    </row>
    <row r="49" spans="1:9" ht="15.75" customHeight="1">
      <c r="A49" s="21">
        <v>16</v>
      </c>
      <c r="B49" s="25" t="s">
        <v>32</v>
      </c>
      <c r="C49" s="29" t="s">
        <v>33</v>
      </c>
      <c r="D49" s="25" t="s">
        <v>173</v>
      </c>
      <c r="E49" s="104">
        <v>64.5</v>
      </c>
      <c r="F49" s="105">
        <f>SUM(E49*2/100)</f>
        <v>1.29</v>
      </c>
      <c r="G49" s="27">
        <v>104.38</v>
      </c>
      <c r="H49" s="62">
        <f t="shared" si="5"/>
        <v>0.1346502</v>
      </c>
      <c r="I49" s="10">
        <f>F49/2*G49</f>
        <v>67.325099999999992</v>
      </c>
    </row>
    <row r="50" spans="1:9" ht="15.75" customHeight="1">
      <c r="A50" s="21">
        <v>17</v>
      </c>
      <c r="B50" s="25" t="s">
        <v>54</v>
      </c>
      <c r="C50" s="29" t="s">
        <v>83</v>
      </c>
      <c r="D50" s="25" t="s">
        <v>173</v>
      </c>
      <c r="E50" s="104">
        <v>2054.6</v>
      </c>
      <c r="F50" s="105">
        <f>SUM(E50*5/1000)</f>
        <v>10.273</v>
      </c>
      <c r="G50" s="27">
        <v>1739.68</v>
      </c>
      <c r="H50" s="62">
        <f t="shared" si="5"/>
        <v>17.871732639999998</v>
      </c>
      <c r="I50" s="10">
        <f>F50/5*G50</f>
        <v>3574.3465279999996</v>
      </c>
    </row>
    <row r="51" spans="1:9" ht="33" customHeight="1">
      <c r="A51" s="21">
        <v>18</v>
      </c>
      <c r="B51" s="25" t="s">
        <v>84</v>
      </c>
      <c r="C51" s="29" t="s">
        <v>83</v>
      </c>
      <c r="D51" s="25" t="s">
        <v>173</v>
      </c>
      <c r="E51" s="104">
        <v>2054.6</v>
      </c>
      <c r="F51" s="105">
        <f>SUM(E51*2/1000)</f>
        <v>4.1091999999999995</v>
      </c>
      <c r="G51" s="27">
        <v>1739.68</v>
      </c>
      <c r="H51" s="62">
        <f t="shared" si="5"/>
        <v>7.148693055999999</v>
      </c>
      <c r="I51" s="10">
        <f>G51*F51/2</f>
        <v>3574.3465279999996</v>
      </c>
    </row>
    <row r="52" spans="1:9" ht="31.5" customHeight="1">
      <c r="A52" s="21">
        <v>19</v>
      </c>
      <c r="B52" s="25" t="s">
        <v>85</v>
      </c>
      <c r="C52" s="29" t="s">
        <v>37</v>
      </c>
      <c r="D52" s="25" t="s">
        <v>173</v>
      </c>
      <c r="E52" s="104">
        <v>12</v>
      </c>
      <c r="F52" s="105">
        <f>SUM(E52*2/100)</f>
        <v>0.24</v>
      </c>
      <c r="G52" s="27">
        <v>3914.31</v>
      </c>
      <c r="H52" s="62">
        <f t="shared" si="5"/>
        <v>0.9394344</v>
      </c>
      <c r="I52" s="10">
        <f>G52*F52/2</f>
        <v>469.71719999999999</v>
      </c>
    </row>
    <row r="53" spans="1:9" ht="15" customHeight="1">
      <c r="A53" s="21">
        <v>20</v>
      </c>
      <c r="B53" s="25" t="s">
        <v>38</v>
      </c>
      <c r="C53" s="29" t="s">
        <v>39</v>
      </c>
      <c r="D53" s="25" t="s">
        <v>173</v>
      </c>
      <c r="E53" s="104">
        <v>1</v>
      </c>
      <c r="F53" s="105">
        <v>0.02</v>
      </c>
      <c r="G53" s="27">
        <v>8102.62</v>
      </c>
      <c r="H53" s="62">
        <f t="shared" si="5"/>
        <v>0.16205240000000001</v>
      </c>
      <c r="I53" s="10">
        <f>G53*F53/2</f>
        <v>81.026200000000003</v>
      </c>
    </row>
    <row r="54" spans="1:9" ht="15.75" customHeight="1">
      <c r="A54" s="21">
        <v>21</v>
      </c>
      <c r="B54" s="25" t="s">
        <v>40</v>
      </c>
      <c r="C54" s="29" t="s">
        <v>104</v>
      </c>
      <c r="D54" s="144">
        <v>43971</v>
      </c>
      <c r="E54" s="104">
        <v>72</v>
      </c>
      <c r="F54" s="105">
        <f>SUM(E54)*3</f>
        <v>216</v>
      </c>
      <c r="G54" s="138">
        <v>87.32</v>
      </c>
      <c r="H54" s="62">
        <f t="shared" si="5"/>
        <v>18.86112</v>
      </c>
      <c r="I54" s="10">
        <f>E54*G54</f>
        <v>6287.0399999999991</v>
      </c>
    </row>
    <row r="55" spans="1:9" ht="15.75" customHeight="1">
      <c r="A55" s="159" t="s">
        <v>123</v>
      </c>
      <c r="B55" s="160"/>
      <c r="C55" s="160"/>
      <c r="D55" s="160"/>
      <c r="E55" s="160"/>
      <c r="F55" s="160"/>
      <c r="G55" s="160"/>
      <c r="H55" s="160"/>
      <c r="I55" s="161"/>
    </row>
    <row r="56" spans="1:9" ht="18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18.7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.75" customHeight="1">
      <c r="A58" s="21">
        <v>22</v>
      </c>
      <c r="B58" s="110" t="s">
        <v>129</v>
      </c>
      <c r="C58" s="111" t="s">
        <v>130</v>
      </c>
      <c r="D58" s="110" t="s">
        <v>209</v>
      </c>
      <c r="E58" s="112"/>
      <c r="F58" s="113">
        <v>5</v>
      </c>
      <c r="G58" s="114">
        <v>1730</v>
      </c>
      <c r="H58" s="97"/>
      <c r="I58" s="10">
        <f>G58*3</f>
        <v>5190</v>
      </c>
    </row>
    <row r="59" spans="1:9" ht="18.75" customHeight="1">
      <c r="A59" s="21"/>
      <c r="B59" s="115" t="s">
        <v>157</v>
      </c>
      <c r="C59" s="111"/>
      <c r="D59" s="110"/>
      <c r="E59" s="112"/>
      <c r="F59" s="116"/>
      <c r="G59" s="27"/>
      <c r="H59" s="97"/>
      <c r="I59" s="10"/>
    </row>
    <row r="60" spans="1:9" ht="18.75" customHeight="1">
      <c r="A60" s="21">
        <v>23</v>
      </c>
      <c r="B60" s="95" t="s">
        <v>149</v>
      </c>
      <c r="C60" s="117" t="s">
        <v>150</v>
      </c>
      <c r="D60" s="95" t="s">
        <v>173</v>
      </c>
      <c r="E60" s="130">
        <v>120</v>
      </c>
      <c r="F60" s="116">
        <f>E60*12</f>
        <v>1440</v>
      </c>
      <c r="G60" s="27">
        <v>1.4</v>
      </c>
      <c r="H60" s="71"/>
      <c r="I60" s="10">
        <f>G60*F60/12</f>
        <v>167.99999999999997</v>
      </c>
    </row>
    <row r="61" spans="1:9" ht="15.75" hidden="1" customHeight="1">
      <c r="A61" s="21"/>
      <c r="B61" s="79" t="s">
        <v>43</v>
      </c>
      <c r="C61" s="67"/>
      <c r="D61" s="68"/>
      <c r="E61" s="69"/>
      <c r="F61" s="70"/>
      <c r="G61" s="70"/>
      <c r="H61" s="71" t="s">
        <v>113</v>
      </c>
      <c r="I61" s="10"/>
    </row>
    <row r="62" spans="1:9" ht="17.25" hidden="1" customHeight="1">
      <c r="A62" s="21">
        <v>28</v>
      </c>
      <c r="B62" s="94" t="s">
        <v>44</v>
      </c>
      <c r="C62" s="117" t="s">
        <v>104</v>
      </c>
      <c r="D62" s="95" t="s">
        <v>175</v>
      </c>
      <c r="E62" s="14">
        <v>12</v>
      </c>
      <c r="F62" s="105">
        <f>E62</f>
        <v>12</v>
      </c>
      <c r="G62" s="27">
        <v>318.82</v>
      </c>
      <c r="H62" s="72">
        <f t="shared" ref="H62:H78" si="7">SUM(F62*G62/1000)</f>
        <v>3.8258400000000004</v>
      </c>
      <c r="I62" s="10">
        <f>G62*2</f>
        <v>637.64</v>
      </c>
    </row>
    <row r="63" spans="1:9" ht="16.5" hidden="1" customHeight="1">
      <c r="A63" s="21"/>
      <c r="B63" s="94" t="s">
        <v>45</v>
      </c>
      <c r="C63" s="117" t="s">
        <v>104</v>
      </c>
      <c r="D63" s="95" t="s">
        <v>156</v>
      </c>
      <c r="E63" s="14">
        <v>6</v>
      </c>
      <c r="F63" s="105">
        <f>E63</f>
        <v>6</v>
      </c>
      <c r="G63" s="27">
        <v>109.32</v>
      </c>
      <c r="H63" s="72">
        <f t="shared" si="7"/>
        <v>0.65591999999999995</v>
      </c>
      <c r="I63" s="10">
        <v>0</v>
      </c>
    </row>
    <row r="64" spans="1:9" ht="15.75" hidden="1" customHeight="1">
      <c r="A64" s="21">
        <v>29</v>
      </c>
      <c r="B64" s="94" t="s">
        <v>46</v>
      </c>
      <c r="C64" s="139" t="s">
        <v>107</v>
      </c>
      <c r="D64" s="95" t="s">
        <v>52</v>
      </c>
      <c r="E64" s="104">
        <v>8539</v>
      </c>
      <c r="F64" s="138">
        <f>SUM(E64/100)</f>
        <v>85.39</v>
      </c>
      <c r="G64" s="27">
        <v>304.13</v>
      </c>
      <c r="H64" s="72">
        <f t="shared" si="7"/>
        <v>25.969660699999999</v>
      </c>
      <c r="I64" s="10">
        <f>F64*G64</f>
        <v>25969.6607</v>
      </c>
    </row>
    <row r="65" spans="1:9" ht="15.75" hidden="1" customHeight="1">
      <c r="A65" s="21">
        <v>30</v>
      </c>
      <c r="B65" s="94" t="s">
        <v>47</v>
      </c>
      <c r="C65" s="117" t="s">
        <v>108</v>
      </c>
      <c r="D65" s="95"/>
      <c r="E65" s="104">
        <v>8539</v>
      </c>
      <c r="F65" s="27">
        <f>SUM(E65/1000)</f>
        <v>8.5389999999999997</v>
      </c>
      <c r="G65" s="27">
        <v>236.84</v>
      </c>
      <c r="H65" s="72">
        <f t="shared" si="7"/>
        <v>2.0223767599999998</v>
      </c>
      <c r="I65" s="10">
        <f t="shared" ref="I65:I68" si="8">F65*G65</f>
        <v>2022.3767599999999</v>
      </c>
    </row>
    <row r="66" spans="1:9" ht="15.75" hidden="1" customHeight="1">
      <c r="A66" s="21">
        <v>31</v>
      </c>
      <c r="B66" s="94" t="s">
        <v>48</v>
      </c>
      <c r="C66" s="117" t="s">
        <v>74</v>
      </c>
      <c r="D66" s="95" t="s">
        <v>52</v>
      </c>
      <c r="E66" s="104">
        <v>1370</v>
      </c>
      <c r="F66" s="27">
        <f>SUM(E66/100)</f>
        <v>13.7</v>
      </c>
      <c r="G66" s="27">
        <v>2974.1</v>
      </c>
      <c r="H66" s="72">
        <f t="shared" si="7"/>
        <v>40.745170000000002</v>
      </c>
      <c r="I66" s="10">
        <f t="shared" si="8"/>
        <v>40745.17</v>
      </c>
    </row>
    <row r="67" spans="1:9" ht="15.75" hidden="1" customHeight="1">
      <c r="A67" s="21">
        <v>32</v>
      </c>
      <c r="B67" s="140" t="s">
        <v>109</v>
      </c>
      <c r="C67" s="117" t="s">
        <v>31</v>
      </c>
      <c r="D67" s="95"/>
      <c r="E67" s="104">
        <v>10.9</v>
      </c>
      <c r="F67" s="27">
        <f>SUM(E67)</f>
        <v>10.9</v>
      </c>
      <c r="G67" s="27">
        <v>47.98</v>
      </c>
      <c r="H67" s="72">
        <f t="shared" si="7"/>
        <v>0.52298199999999995</v>
      </c>
      <c r="I67" s="10">
        <f t="shared" si="8"/>
        <v>522.98199999999997</v>
      </c>
    </row>
    <row r="68" spans="1:9" ht="15.75" hidden="1" customHeight="1">
      <c r="A68" s="21">
        <v>33</v>
      </c>
      <c r="B68" s="140" t="s">
        <v>110</v>
      </c>
      <c r="C68" s="117" t="s">
        <v>31</v>
      </c>
      <c r="D68" s="95"/>
      <c r="E68" s="104">
        <v>10.9</v>
      </c>
      <c r="F68" s="27">
        <f>SUM(E68)</f>
        <v>10.9</v>
      </c>
      <c r="G68" s="27">
        <v>51.75</v>
      </c>
      <c r="H68" s="72">
        <f t="shared" si="7"/>
        <v>0.56407499999999999</v>
      </c>
      <c r="I68" s="10">
        <f t="shared" si="8"/>
        <v>564.07500000000005</v>
      </c>
    </row>
    <row r="69" spans="1:9" ht="15.75" hidden="1" customHeight="1">
      <c r="A69" s="21"/>
      <c r="B69" s="11" t="s">
        <v>55</v>
      </c>
      <c r="C69" s="13" t="s">
        <v>56</v>
      </c>
      <c r="D69" s="11" t="s">
        <v>52</v>
      </c>
      <c r="E69" s="15">
        <v>3</v>
      </c>
      <c r="F69" s="61">
        <v>3</v>
      </c>
      <c r="G69" s="10">
        <v>53.62</v>
      </c>
      <c r="H69" s="72">
        <f t="shared" si="7"/>
        <v>0.16085999999999998</v>
      </c>
      <c r="I69" s="10">
        <v>0</v>
      </c>
    </row>
    <row r="70" spans="1:9" ht="15.75" customHeight="1">
      <c r="A70" s="21"/>
      <c r="B70" s="118" t="s">
        <v>159</v>
      </c>
      <c r="C70" s="119"/>
      <c r="D70" s="120"/>
      <c r="E70" s="121"/>
      <c r="F70" s="122"/>
      <c r="G70" s="122"/>
      <c r="H70" s="10"/>
      <c r="I70" s="10"/>
    </row>
    <row r="71" spans="1:9" ht="33.75" customHeight="1">
      <c r="A71" s="21">
        <v>24</v>
      </c>
      <c r="B71" s="95" t="s">
        <v>160</v>
      </c>
      <c r="C71" s="123" t="s">
        <v>161</v>
      </c>
      <c r="D71" s="120"/>
      <c r="E71" s="121">
        <v>2054.6</v>
      </c>
      <c r="F71" s="122">
        <f>E71*12</f>
        <v>24655.199999999997</v>
      </c>
      <c r="G71" s="122">
        <v>2.4900000000000002</v>
      </c>
      <c r="H71" s="10"/>
      <c r="I71" s="10">
        <f>G71*F71/12</f>
        <v>5115.9539999999997</v>
      </c>
    </row>
    <row r="72" spans="1:9" ht="20.25" customHeight="1">
      <c r="A72" s="21"/>
      <c r="B72" s="23" t="s">
        <v>69</v>
      </c>
      <c r="C72" s="13"/>
      <c r="D72" s="11"/>
      <c r="E72" s="15"/>
      <c r="F72" s="10"/>
      <c r="G72" s="10"/>
      <c r="H72" s="72" t="s">
        <v>113</v>
      </c>
      <c r="I72" s="10"/>
    </row>
    <row r="73" spans="1:9" ht="24" hidden="1" customHeight="1">
      <c r="A73" s="21"/>
      <c r="B73" s="11" t="s">
        <v>70</v>
      </c>
      <c r="C73" s="13" t="s">
        <v>72</v>
      </c>
      <c r="D73" s="11"/>
      <c r="E73" s="15">
        <v>2</v>
      </c>
      <c r="F73" s="10">
        <v>0.2</v>
      </c>
      <c r="G73" s="10">
        <v>536.23</v>
      </c>
      <c r="H73" s="72">
        <f t="shared" si="7"/>
        <v>0.10724600000000001</v>
      </c>
      <c r="I73" s="10">
        <v>0</v>
      </c>
    </row>
    <row r="74" spans="1:9" ht="21" hidden="1" customHeight="1">
      <c r="A74" s="21"/>
      <c r="B74" s="11" t="s">
        <v>71</v>
      </c>
      <c r="C74" s="13" t="s">
        <v>29</v>
      </c>
      <c r="D74" s="11"/>
      <c r="E74" s="15">
        <v>1</v>
      </c>
      <c r="F74" s="54">
        <v>1</v>
      </c>
      <c r="G74" s="10">
        <v>911.85</v>
      </c>
      <c r="H74" s="72">
        <f>F74*G74/1000</f>
        <v>0.91185000000000005</v>
      </c>
      <c r="I74" s="10">
        <v>0</v>
      </c>
    </row>
    <row r="75" spans="1:9" ht="20.25" hidden="1" customHeight="1">
      <c r="A75" s="21"/>
      <c r="B75" s="11" t="s">
        <v>120</v>
      </c>
      <c r="C75" s="13" t="s">
        <v>29</v>
      </c>
      <c r="D75" s="11"/>
      <c r="E75" s="15">
        <v>1</v>
      </c>
      <c r="F75" s="10">
        <v>1</v>
      </c>
      <c r="G75" s="10">
        <v>383.25</v>
      </c>
      <c r="H75" s="72">
        <f>G75*F75/1000</f>
        <v>0.38324999999999998</v>
      </c>
      <c r="I75" s="10">
        <v>0</v>
      </c>
    </row>
    <row r="76" spans="1:9" ht="20.25" customHeight="1">
      <c r="A76" s="21">
        <v>25</v>
      </c>
      <c r="B76" s="95" t="s">
        <v>158</v>
      </c>
      <c r="C76" s="117" t="s">
        <v>104</v>
      </c>
      <c r="D76" s="95" t="s">
        <v>173</v>
      </c>
      <c r="E76" s="14">
        <v>2</v>
      </c>
      <c r="F76" s="27">
        <f>E76*12</f>
        <v>24</v>
      </c>
      <c r="G76" s="27">
        <v>404</v>
      </c>
      <c r="H76" s="72"/>
      <c r="I76" s="10">
        <f>G76*F76/12</f>
        <v>808</v>
      </c>
    </row>
    <row r="77" spans="1:9" ht="23.25" hidden="1" customHeight="1">
      <c r="A77" s="21"/>
      <c r="B77" s="74" t="s">
        <v>73</v>
      </c>
      <c r="C77" s="13"/>
      <c r="D77" s="11"/>
      <c r="E77" s="15"/>
      <c r="F77" s="10"/>
      <c r="G77" s="10" t="s">
        <v>113</v>
      </c>
      <c r="H77" s="72" t="s">
        <v>113</v>
      </c>
      <c r="I77" s="10"/>
    </row>
    <row r="78" spans="1:9" ht="24" hidden="1" customHeight="1">
      <c r="A78" s="21"/>
      <c r="B78" s="36" t="s">
        <v>114</v>
      </c>
      <c r="C78" s="13" t="s">
        <v>74</v>
      </c>
      <c r="D78" s="11"/>
      <c r="E78" s="15"/>
      <c r="F78" s="10">
        <v>1.35</v>
      </c>
      <c r="G78" s="10">
        <v>2949.85</v>
      </c>
      <c r="H78" s="72">
        <f t="shared" si="7"/>
        <v>3.9822975</v>
      </c>
      <c r="I78" s="10">
        <v>0</v>
      </c>
    </row>
    <row r="79" spans="1:9" ht="28.5" hidden="1" customHeight="1">
      <c r="A79" s="21"/>
      <c r="B79" s="53" t="s">
        <v>86</v>
      </c>
      <c r="C79" s="75"/>
      <c r="D79" s="23"/>
      <c r="E79" s="24"/>
      <c r="F79" s="64"/>
      <c r="G79" s="64"/>
      <c r="H79" s="76">
        <f>SUM(H57:H78)</f>
        <v>90.833691944000009</v>
      </c>
      <c r="I79" s="64"/>
    </row>
    <row r="80" spans="1:9" ht="33" hidden="1" customHeight="1">
      <c r="A80" s="21"/>
      <c r="B80" s="58" t="s">
        <v>111</v>
      </c>
      <c r="C80" s="13"/>
      <c r="D80" s="11"/>
      <c r="E80" s="77"/>
      <c r="F80" s="10">
        <v>1</v>
      </c>
      <c r="G80" s="10">
        <v>7101.4</v>
      </c>
      <c r="H80" s="72">
        <f>G80*F80/1000</f>
        <v>7.1013999999999999</v>
      </c>
      <c r="I80" s="10">
        <v>0</v>
      </c>
    </row>
    <row r="81" spans="1:9" ht="15.75" customHeight="1">
      <c r="A81" s="159" t="s">
        <v>124</v>
      </c>
      <c r="B81" s="160"/>
      <c r="C81" s="160"/>
      <c r="D81" s="160"/>
      <c r="E81" s="160"/>
      <c r="F81" s="160"/>
      <c r="G81" s="160"/>
      <c r="H81" s="160"/>
      <c r="I81" s="161"/>
    </row>
    <row r="82" spans="1:9" ht="15.75" customHeight="1">
      <c r="A82" s="21">
        <v>26</v>
      </c>
      <c r="B82" s="95" t="s">
        <v>112</v>
      </c>
      <c r="C82" s="117" t="s">
        <v>53</v>
      </c>
      <c r="D82" s="135"/>
      <c r="E82" s="27">
        <v>2054.6</v>
      </c>
      <c r="F82" s="27">
        <f>SUM(E82*12)</f>
        <v>24655.199999999997</v>
      </c>
      <c r="G82" s="27">
        <v>3.38</v>
      </c>
      <c r="H82" s="72">
        <f>SUM(F82*G82/1000)</f>
        <v>83.334575999999984</v>
      </c>
      <c r="I82" s="10">
        <f>F82/12*G82</f>
        <v>6944.5479999999998</v>
      </c>
    </row>
    <row r="83" spans="1:9" ht="31.5" customHeight="1">
      <c r="A83" s="21">
        <v>27</v>
      </c>
      <c r="B83" s="95" t="s">
        <v>162</v>
      </c>
      <c r="C83" s="117" t="s">
        <v>53</v>
      </c>
      <c r="D83" s="133"/>
      <c r="E83" s="134">
        <f>E82</f>
        <v>2054.6</v>
      </c>
      <c r="F83" s="126">
        <f>E83*12</f>
        <v>24655.199999999997</v>
      </c>
      <c r="G83" s="126">
        <v>3.05</v>
      </c>
      <c r="H83" s="72">
        <f>F83*G83/1000</f>
        <v>75.19835999999998</v>
      </c>
      <c r="I83" s="10">
        <f>F83/12*G83</f>
        <v>6266.53</v>
      </c>
    </row>
    <row r="84" spans="1:9" ht="15.75" customHeight="1">
      <c r="A84" s="21"/>
      <c r="B84" s="28" t="s">
        <v>76</v>
      </c>
      <c r="C84" s="75"/>
      <c r="D84" s="74"/>
      <c r="E84" s="64"/>
      <c r="F84" s="64"/>
      <c r="G84" s="64"/>
      <c r="H84" s="76">
        <f>H83</f>
        <v>75.19835999999998</v>
      </c>
      <c r="I84" s="64">
        <f>I83+I82+I76+I71+I60+I58+I54+I53+I52+I51+I50+I49+I48++I47+I46+I45+I33+I32+I31+I30+I27+I21+I20+I18+I17+I16</f>
        <v>52494.6280788</v>
      </c>
    </row>
    <row r="85" spans="1:9" ht="15.75" customHeight="1">
      <c r="A85" s="173" t="s">
        <v>58</v>
      </c>
      <c r="B85" s="174"/>
      <c r="C85" s="174"/>
      <c r="D85" s="174"/>
      <c r="E85" s="174"/>
      <c r="F85" s="174"/>
      <c r="G85" s="174"/>
      <c r="H85" s="174"/>
      <c r="I85" s="175"/>
    </row>
    <row r="86" spans="1:9" ht="19.5" customHeight="1">
      <c r="A86" s="141">
        <v>28</v>
      </c>
      <c r="B86" s="88" t="s">
        <v>193</v>
      </c>
      <c r="C86" s="40" t="s">
        <v>28</v>
      </c>
      <c r="D86" s="39" t="s">
        <v>173</v>
      </c>
      <c r="E86" s="27"/>
      <c r="F86" s="27">
        <v>0.34</v>
      </c>
      <c r="G86" s="27">
        <v>1207.24</v>
      </c>
      <c r="H86" s="71">
        <f>F86*G86/1000</f>
        <v>0.41046160000000004</v>
      </c>
      <c r="I86" s="89">
        <v>0</v>
      </c>
    </row>
    <row r="87" spans="1:9" ht="30" customHeight="1">
      <c r="A87" s="141">
        <v>29</v>
      </c>
      <c r="B87" s="88" t="s">
        <v>210</v>
      </c>
      <c r="C87" s="40" t="s">
        <v>211</v>
      </c>
      <c r="D87" s="39" t="s">
        <v>213</v>
      </c>
      <c r="E87" s="27"/>
      <c r="F87" s="27">
        <v>1.24</v>
      </c>
      <c r="G87" s="27">
        <v>5002.7299999999996</v>
      </c>
      <c r="H87" s="54"/>
      <c r="I87" s="89">
        <f>G87*1.24</f>
        <v>6203.3851999999997</v>
      </c>
    </row>
    <row r="88" spans="1:9" ht="20.25" customHeight="1">
      <c r="A88" s="141">
        <v>30</v>
      </c>
      <c r="B88" s="88" t="s">
        <v>212</v>
      </c>
      <c r="C88" s="40" t="s">
        <v>104</v>
      </c>
      <c r="D88" s="39" t="s">
        <v>214</v>
      </c>
      <c r="E88" s="27"/>
      <c r="F88" s="27">
        <v>8</v>
      </c>
      <c r="G88" s="27">
        <v>330</v>
      </c>
      <c r="H88" s="54"/>
      <c r="I88" s="89">
        <f>G88*8</f>
        <v>2640</v>
      </c>
    </row>
    <row r="89" spans="1:9" ht="30" hidden="1" customHeight="1">
      <c r="A89" s="141"/>
      <c r="B89" s="88"/>
      <c r="C89" s="40"/>
      <c r="D89" s="11"/>
      <c r="E89" s="15"/>
      <c r="F89" s="10"/>
      <c r="G89" s="10"/>
      <c r="H89" s="54"/>
      <c r="I89" s="89"/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SUM(I86:I89)</f>
        <v>8843.3852000000006</v>
      </c>
    </row>
    <row r="91" spans="1:9" ht="15.75" customHeight="1">
      <c r="A91" s="21"/>
      <c r="B91" s="36" t="s">
        <v>75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144</v>
      </c>
      <c r="C92" s="26"/>
      <c r="D92" s="26"/>
      <c r="E92" s="26"/>
      <c r="F92" s="26"/>
      <c r="G92" s="26"/>
      <c r="H92" s="26"/>
      <c r="I92" s="33">
        <f>I84+I90</f>
        <v>61338.013278800005</v>
      </c>
    </row>
    <row r="93" spans="1:9" ht="15.75">
      <c r="A93" s="172" t="s">
        <v>272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>
      <c r="A94" s="46"/>
      <c r="B94" s="167" t="s">
        <v>273</v>
      </c>
      <c r="C94" s="167"/>
      <c r="D94" s="167"/>
      <c r="E94" s="167"/>
      <c r="F94" s="167"/>
      <c r="G94" s="167"/>
      <c r="H94" s="57"/>
      <c r="I94" s="2"/>
    </row>
    <row r="95" spans="1:9">
      <c r="A95" s="49"/>
      <c r="B95" s="163" t="s">
        <v>6</v>
      </c>
      <c r="C95" s="163"/>
      <c r="D95" s="163"/>
      <c r="E95" s="163"/>
      <c r="F95" s="163"/>
      <c r="G95" s="163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9" t="s">
        <v>59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8"/>
    </row>
    <row r="101" spans="1:9" ht="15.75">
      <c r="A101" s="170" t="s">
        <v>9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3"/>
    </row>
    <row r="103" spans="1:9" ht="15.75">
      <c r="B103" s="50" t="s">
        <v>10</v>
      </c>
      <c r="C103" s="162" t="s">
        <v>125</v>
      </c>
      <c r="D103" s="162"/>
      <c r="E103" s="162"/>
      <c r="F103" s="55"/>
      <c r="I103" s="48"/>
    </row>
    <row r="104" spans="1:9">
      <c r="A104" s="49"/>
      <c r="C104" s="163" t="s">
        <v>11</v>
      </c>
      <c r="D104" s="163"/>
      <c r="E104" s="163"/>
      <c r="F104" s="16"/>
      <c r="I104" s="47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50" t="s">
        <v>13</v>
      </c>
      <c r="C106" s="164"/>
      <c r="D106" s="164"/>
      <c r="E106" s="164"/>
      <c r="F106" s="56"/>
      <c r="I106" s="48"/>
    </row>
    <row r="107" spans="1:9">
      <c r="A107" s="49"/>
      <c r="C107" s="165" t="s">
        <v>11</v>
      </c>
      <c r="D107" s="165"/>
      <c r="E107" s="165"/>
      <c r="F107" s="49"/>
      <c r="I107" s="47" t="s">
        <v>12</v>
      </c>
    </row>
    <row r="108" spans="1:9" ht="15.75">
      <c r="A108" s="3" t="s">
        <v>14</v>
      </c>
    </row>
    <row r="109" spans="1:9">
      <c r="A109" s="166" t="s">
        <v>15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45" customHeight="1">
      <c r="A110" s="158" t="s">
        <v>16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0" customHeight="1">
      <c r="A111" s="158" t="s">
        <v>17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21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" customHeight="1">
      <c r="A113" s="158" t="s">
        <v>20</v>
      </c>
      <c r="B113" s="158"/>
      <c r="C113" s="158"/>
      <c r="D113" s="158"/>
      <c r="E113" s="158"/>
      <c r="F113" s="158"/>
      <c r="G113" s="158"/>
      <c r="H113" s="158"/>
      <c r="I113" s="158"/>
    </row>
  </sheetData>
  <mergeCells count="28">
    <mergeCell ref="A111:I111"/>
    <mergeCell ref="A112:I112"/>
    <mergeCell ref="A113:I113"/>
    <mergeCell ref="C103:E103"/>
    <mergeCell ref="C104:E104"/>
    <mergeCell ref="C106:E106"/>
    <mergeCell ref="C107:E107"/>
    <mergeCell ref="A109:I109"/>
    <mergeCell ref="A110:I110"/>
    <mergeCell ref="A101:I101"/>
    <mergeCell ref="A15:I15"/>
    <mergeCell ref="A28:I28"/>
    <mergeCell ref="A44:I44"/>
    <mergeCell ref="A55:I55"/>
    <mergeCell ref="A81:I81"/>
    <mergeCell ref="A93:I93"/>
    <mergeCell ref="B94:G94"/>
    <mergeCell ref="B95:G95"/>
    <mergeCell ref="A97:I97"/>
    <mergeCell ref="A98:I98"/>
    <mergeCell ref="A99:I99"/>
    <mergeCell ref="A14:I14"/>
    <mergeCell ref="A85:I85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8" orientation="portrait" horizontalDpi="0" verticalDpi="0" r:id="rId1"/>
  <rowBreaks count="1" manualBreakCount="1">
    <brk id="10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09"/>
  <sheetViews>
    <sheetView topLeftCell="A73" workbookViewId="0">
      <selection activeCell="A93" sqref="A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138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215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44012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175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F18/18*2*G18</f>
        <v>3182.2120000000004</v>
      </c>
    </row>
    <row r="19" spans="1:9" ht="17.25" customHeight="1">
      <c r="A19" s="21">
        <v>4</v>
      </c>
      <c r="B19" s="25" t="s">
        <v>87</v>
      </c>
      <c r="C19" s="29" t="s">
        <v>88</v>
      </c>
      <c r="D19" s="25" t="s">
        <v>176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5</v>
      </c>
      <c r="B20" s="25" t="s">
        <v>90</v>
      </c>
      <c r="C20" s="29" t="s">
        <v>80</v>
      </c>
      <c r="D20" s="25" t="s">
        <v>177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21" customHeight="1">
      <c r="A21" s="21">
        <v>6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20.25" customHeight="1">
      <c r="A22" s="21">
        <v>7</v>
      </c>
      <c r="B22" s="25" t="s">
        <v>92</v>
      </c>
      <c r="C22" s="29" t="s">
        <v>51</v>
      </c>
      <c r="D22" s="25" t="s">
        <v>176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6.5" customHeight="1">
      <c r="A23" s="21">
        <v>8</v>
      </c>
      <c r="B23" s="25" t="s">
        <v>93</v>
      </c>
      <c r="C23" s="29" t="s">
        <v>51</v>
      </c>
      <c r="D23" s="25" t="s">
        <v>176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20.25" customHeight="1">
      <c r="A24" s="21">
        <v>9</v>
      </c>
      <c r="B24" s="25" t="s">
        <v>94</v>
      </c>
      <c r="C24" s="29" t="s">
        <v>51</v>
      </c>
      <c r="D24" s="25" t="s">
        <v>178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7.25" customHeight="1">
      <c r="A25" s="21">
        <v>10</v>
      </c>
      <c r="B25" s="25" t="s">
        <v>96</v>
      </c>
      <c r="C25" s="29" t="s">
        <v>51</v>
      </c>
      <c r="D25" s="25" t="s">
        <v>173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customHeight="1">
      <c r="A26" s="21">
        <v>11</v>
      </c>
      <c r="B26" s="25" t="s">
        <v>97</v>
      </c>
      <c r="C26" s="29" t="s">
        <v>51</v>
      </c>
      <c r="D26" s="25" t="s">
        <v>179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12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13</v>
      </c>
      <c r="B30" s="25" t="s">
        <v>102</v>
      </c>
      <c r="C30" s="29" t="s">
        <v>83</v>
      </c>
      <c r="D30" s="25" t="s">
        <v>171</v>
      </c>
      <c r="E30" s="105">
        <v>124</v>
      </c>
      <c r="F30" s="105">
        <f>SUM(E30*24/1000)</f>
        <v>2.976</v>
      </c>
      <c r="G30" s="105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14</v>
      </c>
      <c r="B31" s="25" t="s">
        <v>101</v>
      </c>
      <c r="C31" s="29" t="s">
        <v>83</v>
      </c>
      <c r="D31" s="25" t="s">
        <v>170</v>
      </c>
      <c r="E31" s="105">
        <v>128</v>
      </c>
      <c r="F31" s="105">
        <f>SUM(E31*52/1000)</f>
        <v>6.6559999999999997</v>
      </c>
      <c r="G31" s="105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5">
        <v>124</v>
      </c>
      <c r="F32" s="105">
        <f>SUM(E32/1000)</f>
        <v>0.124</v>
      </c>
      <c r="G32" s="105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15</v>
      </c>
      <c r="B33" s="25" t="s">
        <v>167</v>
      </c>
      <c r="C33" s="29" t="s">
        <v>39</v>
      </c>
      <c r="D33" s="25" t="s">
        <v>172</v>
      </c>
      <c r="E33" s="137">
        <v>1</v>
      </c>
      <c r="F33" s="105">
        <f>E33*155/100</f>
        <v>1.55</v>
      </c>
      <c r="G33" s="105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hidden="1" customHeight="1">
      <c r="A44" s="159" t="s">
        <v>122</v>
      </c>
      <c r="B44" s="160"/>
      <c r="C44" s="160"/>
      <c r="D44" s="160"/>
      <c r="E44" s="160"/>
      <c r="F44" s="160"/>
      <c r="G44" s="160"/>
      <c r="H44" s="160"/>
      <c r="I44" s="161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131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v>0</v>
      </c>
    </row>
    <row r="54" spans="1:9" ht="15.75" hidden="1" customHeight="1">
      <c r="A54" s="21">
        <v>15</v>
      </c>
      <c r="B54" s="58" t="s">
        <v>40</v>
      </c>
      <c r="C54" s="59" t="s">
        <v>104</v>
      </c>
      <c r="D54" s="58" t="s">
        <v>68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59" t="s">
        <v>134</v>
      </c>
      <c r="B55" s="160"/>
      <c r="C55" s="160"/>
      <c r="D55" s="160"/>
      <c r="E55" s="160"/>
      <c r="F55" s="160"/>
      <c r="G55" s="160"/>
      <c r="H55" s="160"/>
      <c r="I55" s="161"/>
    </row>
    <row r="56" spans="1:9" ht="15.7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20.2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20.25" customHeight="1">
      <c r="A58" s="21"/>
      <c r="B58" s="115" t="s">
        <v>157</v>
      </c>
      <c r="C58" s="111"/>
      <c r="D58" s="110"/>
      <c r="E58" s="112"/>
      <c r="F58" s="116"/>
      <c r="G58" s="27"/>
      <c r="H58" s="97"/>
      <c r="I58" s="10"/>
    </row>
    <row r="59" spans="1:9" ht="20.25" customHeight="1">
      <c r="A59" s="21">
        <v>16</v>
      </c>
      <c r="B59" s="95" t="s">
        <v>149</v>
      </c>
      <c r="C59" s="117" t="s">
        <v>150</v>
      </c>
      <c r="D59" s="95" t="s">
        <v>173</v>
      </c>
      <c r="E59" s="130">
        <v>120</v>
      </c>
      <c r="F59" s="116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79" t="s">
        <v>43</v>
      </c>
      <c r="C60" s="67"/>
      <c r="D60" s="68"/>
      <c r="E60" s="69"/>
      <c r="F60" s="70"/>
      <c r="G60" s="70"/>
      <c r="H60" s="71" t="s">
        <v>113</v>
      </c>
      <c r="I60" s="10"/>
    </row>
    <row r="61" spans="1:9" ht="15.75" hidden="1" customHeight="1">
      <c r="A61" s="21">
        <v>10</v>
      </c>
      <c r="B61" s="94" t="s">
        <v>44</v>
      </c>
      <c r="C61" s="117" t="s">
        <v>104</v>
      </c>
      <c r="D61" s="95" t="s">
        <v>156</v>
      </c>
      <c r="E61" s="14">
        <v>12</v>
      </c>
      <c r="F61" s="105">
        <f>E61</f>
        <v>12</v>
      </c>
      <c r="G61" s="27">
        <v>318.82</v>
      </c>
      <c r="H61" s="72">
        <f t="shared" ref="H61:H77" si="7">SUM(F61*G61/1000)</f>
        <v>3.8258400000000004</v>
      </c>
      <c r="I61" s="10">
        <f>G61*4</f>
        <v>1275.28</v>
      </c>
    </row>
    <row r="62" spans="1:9" ht="15.75" hidden="1" customHeight="1">
      <c r="A62" s="21"/>
      <c r="B62" s="94" t="s">
        <v>45</v>
      </c>
      <c r="C62" s="117" t="s">
        <v>104</v>
      </c>
      <c r="D62" s="95" t="s">
        <v>156</v>
      </c>
      <c r="E62" s="14">
        <v>6</v>
      </c>
      <c r="F62" s="105">
        <f>E62</f>
        <v>6</v>
      </c>
      <c r="G62" s="27">
        <v>109.32</v>
      </c>
      <c r="H62" s="72">
        <f t="shared" si="7"/>
        <v>0.65591999999999995</v>
      </c>
      <c r="I62" s="10">
        <v>0</v>
      </c>
    </row>
    <row r="63" spans="1:9" ht="15.75" customHeight="1">
      <c r="A63" s="21">
        <v>17</v>
      </c>
      <c r="B63" s="94" t="s">
        <v>46</v>
      </c>
      <c r="C63" s="139" t="s">
        <v>107</v>
      </c>
      <c r="D63" s="95"/>
      <c r="E63" s="104">
        <v>8539</v>
      </c>
      <c r="F63" s="138">
        <f>SUM(E63/100)</f>
        <v>85.39</v>
      </c>
      <c r="G63" s="27">
        <v>304.13</v>
      </c>
      <c r="H63" s="72">
        <f t="shared" si="7"/>
        <v>25.969660699999999</v>
      </c>
      <c r="I63" s="10">
        <f t="shared" ref="I63:I68" si="8">G63*F63</f>
        <v>25969.6607</v>
      </c>
    </row>
    <row r="64" spans="1:9" ht="15.75" customHeight="1">
      <c r="A64" s="21">
        <v>18</v>
      </c>
      <c r="B64" s="94" t="s">
        <v>47</v>
      </c>
      <c r="C64" s="117" t="s">
        <v>108</v>
      </c>
      <c r="D64" s="95"/>
      <c r="E64" s="104">
        <v>8539</v>
      </c>
      <c r="F64" s="27">
        <f>SUM(E64/1000)</f>
        <v>8.5389999999999997</v>
      </c>
      <c r="G64" s="27">
        <v>236.84</v>
      </c>
      <c r="H64" s="72">
        <f t="shared" si="7"/>
        <v>2.0223767599999998</v>
      </c>
      <c r="I64" s="10">
        <f t="shared" si="8"/>
        <v>2022.3767599999999</v>
      </c>
    </row>
    <row r="65" spans="1:9" ht="15.75" customHeight="1">
      <c r="A65" s="21">
        <v>19</v>
      </c>
      <c r="B65" s="94" t="s">
        <v>48</v>
      </c>
      <c r="C65" s="117" t="s">
        <v>74</v>
      </c>
      <c r="D65" s="95"/>
      <c r="E65" s="104">
        <v>1370</v>
      </c>
      <c r="F65" s="27">
        <f>SUM(E65/100)</f>
        <v>13.7</v>
      </c>
      <c r="G65" s="27">
        <v>2974.1</v>
      </c>
      <c r="H65" s="72">
        <f t="shared" si="7"/>
        <v>40.745170000000002</v>
      </c>
      <c r="I65" s="10">
        <f t="shared" si="8"/>
        <v>40745.17</v>
      </c>
    </row>
    <row r="66" spans="1:9" ht="15.75" customHeight="1">
      <c r="A66" s="21">
        <v>20</v>
      </c>
      <c r="B66" s="140" t="s">
        <v>109</v>
      </c>
      <c r="C66" s="117" t="s">
        <v>31</v>
      </c>
      <c r="D66" s="95"/>
      <c r="E66" s="104">
        <v>10.9</v>
      </c>
      <c r="F66" s="27">
        <f>SUM(E66)</f>
        <v>10.9</v>
      </c>
      <c r="G66" s="27">
        <v>47.98</v>
      </c>
      <c r="H66" s="72">
        <f t="shared" si="7"/>
        <v>0.52298199999999995</v>
      </c>
      <c r="I66" s="10">
        <f t="shared" si="8"/>
        <v>522.98199999999997</v>
      </c>
    </row>
    <row r="67" spans="1:9" ht="15.75" customHeight="1">
      <c r="A67" s="21">
        <v>21</v>
      </c>
      <c r="B67" s="140" t="s">
        <v>110</v>
      </c>
      <c r="C67" s="117" t="s">
        <v>31</v>
      </c>
      <c r="D67" s="95"/>
      <c r="E67" s="104">
        <v>10.9</v>
      </c>
      <c r="F67" s="27">
        <f>SUM(E67)</f>
        <v>10.9</v>
      </c>
      <c r="G67" s="27">
        <v>51.75</v>
      </c>
      <c r="H67" s="72">
        <f t="shared" si="7"/>
        <v>0.56407499999999999</v>
      </c>
      <c r="I67" s="10">
        <f t="shared" si="8"/>
        <v>564.07500000000005</v>
      </c>
    </row>
    <row r="68" spans="1:9" ht="24.75" hidden="1" customHeight="1">
      <c r="A68" s="21">
        <v>11</v>
      </c>
      <c r="B68" s="95" t="s">
        <v>55</v>
      </c>
      <c r="C68" s="117" t="s">
        <v>56</v>
      </c>
      <c r="D68" s="95" t="s">
        <v>52</v>
      </c>
      <c r="E68" s="14">
        <v>3</v>
      </c>
      <c r="F68" s="105">
        <v>3</v>
      </c>
      <c r="G68" s="27">
        <v>71.510000000000005</v>
      </c>
      <c r="H68" s="72">
        <f t="shared" si="7"/>
        <v>0.21453000000000003</v>
      </c>
      <c r="I68" s="10">
        <f t="shared" si="8"/>
        <v>214.53000000000003</v>
      </c>
    </row>
    <row r="69" spans="1:9" ht="18" customHeight="1">
      <c r="A69" s="21"/>
      <c r="B69" s="142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23.25" hidden="1" customHeight="1">
      <c r="A70" s="21">
        <v>11</v>
      </c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f>G70*0.3</f>
        <v>160.869</v>
      </c>
    </row>
    <row r="71" spans="1:9" ht="30.7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7.7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9.5" customHeight="1">
      <c r="A73" s="21">
        <v>22</v>
      </c>
      <c r="B73" s="95" t="s">
        <v>158</v>
      </c>
      <c r="C73" s="117" t="s">
        <v>104</v>
      </c>
      <c r="D73" s="95" t="s">
        <v>174</v>
      </c>
      <c r="E73" s="14">
        <v>2</v>
      </c>
      <c r="F73" s="27">
        <f>E73*12</f>
        <v>24</v>
      </c>
      <c r="G73" s="27">
        <v>404</v>
      </c>
      <c r="H73" s="72"/>
      <c r="I73" s="10">
        <f>G73*F73/12</f>
        <v>808</v>
      </c>
    </row>
    <row r="74" spans="1:9" ht="19.5" customHeight="1">
      <c r="A74" s="21"/>
      <c r="B74" s="118" t="s">
        <v>159</v>
      </c>
      <c r="C74" s="119"/>
      <c r="D74" s="120"/>
      <c r="E74" s="121"/>
      <c r="F74" s="122"/>
      <c r="G74" s="122"/>
      <c r="H74" s="10"/>
      <c r="I74" s="10"/>
    </row>
    <row r="75" spans="1:9" ht="19.5" customHeight="1">
      <c r="A75" s="21">
        <v>23</v>
      </c>
      <c r="B75" s="95" t="s">
        <v>160</v>
      </c>
      <c r="C75" s="123" t="s">
        <v>161</v>
      </c>
      <c r="D75" s="120"/>
      <c r="E75" s="121">
        <v>2054.6</v>
      </c>
      <c r="F75" s="122">
        <f>E75*12</f>
        <v>24655.199999999997</v>
      </c>
      <c r="G75" s="122">
        <v>2.4900000000000002</v>
      </c>
      <c r="H75" s="10"/>
      <c r="I75" s="10">
        <f>G75*F75/12</f>
        <v>5115.9539999999997</v>
      </c>
    </row>
    <row r="76" spans="1:9" ht="24" hidden="1" customHeight="1">
      <c r="A76" s="21"/>
      <c r="B76" s="75" t="s">
        <v>73</v>
      </c>
      <c r="C76" s="13"/>
      <c r="D76" s="11"/>
      <c r="E76" s="15"/>
      <c r="F76" s="10"/>
      <c r="G76" s="10" t="s">
        <v>113</v>
      </c>
      <c r="H76" s="72" t="s">
        <v>113</v>
      </c>
      <c r="I76" s="10"/>
    </row>
    <row r="77" spans="1:9" ht="24" hidden="1" customHeight="1">
      <c r="A77" s="21"/>
      <c r="B77" s="36" t="s">
        <v>114</v>
      </c>
      <c r="C77" s="13" t="s">
        <v>74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0.25" hidden="1" customHeight="1">
      <c r="A78" s="21"/>
      <c r="B78" s="142" t="s">
        <v>86</v>
      </c>
      <c r="C78" s="75"/>
      <c r="D78" s="23"/>
      <c r="E78" s="24"/>
      <c r="F78" s="64"/>
      <c r="G78" s="64"/>
      <c r="H78" s="76">
        <f>SUM(H57:H77)</f>
        <v>90.887361944000006</v>
      </c>
      <c r="I78" s="64"/>
    </row>
    <row r="79" spans="1:9" ht="18.75" hidden="1" customHeight="1">
      <c r="A79" s="21"/>
      <c r="B79" s="58" t="s">
        <v>111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</row>
    <row r="81" spans="1:9" ht="15.75" customHeight="1">
      <c r="A81" s="21">
        <v>24</v>
      </c>
      <c r="B81" s="95" t="s">
        <v>112</v>
      </c>
      <c r="C81" s="117" t="s">
        <v>53</v>
      </c>
      <c r="D81" s="135"/>
      <c r="E81" s="27">
        <v>2054.6</v>
      </c>
      <c r="F81" s="27">
        <f>SUM(E81*12)</f>
        <v>24655.199999999997</v>
      </c>
      <c r="G81" s="143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25</v>
      </c>
      <c r="B82" s="95" t="s">
        <v>162</v>
      </c>
      <c r="C82" s="117" t="s">
        <v>53</v>
      </c>
      <c r="D82" s="133"/>
      <c r="E82" s="134">
        <f>E81</f>
        <v>2054.6</v>
      </c>
      <c r="F82" s="126">
        <f>E82*12</f>
        <v>24655.199999999997</v>
      </c>
      <c r="G82" s="126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76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I82+I81+I75+I73+I67+I66+I65+I64+I63+I59+I33+I31+I30+I27+I26+I25+I24+I23+I22+I21+I20+I19+I18+I17+I16</f>
        <v>101548.70093800001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28.5" customHeight="1">
      <c r="A85" s="141">
        <v>26</v>
      </c>
      <c r="B85" s="88" t="s">
        <v>216</v>
      </c>
      <c r="C85" s="40" t="s">
        <v>190</v>
      </c>
      <c r="D85" s="39" t="s">
        <v>217</v>
      </c>
      <c r="E85" s="27"/>
      <c r="F85" s="27">
        <v>2</v>
      </c>
      <c r="G85" s="27">
        <v>1421.68</v>
      </c>
      <c r="H85" s="152"/>
      <c r="I85" s="153">
        <f>G85*2</f>
        <v>2843.36</v>
      </c>
    </row>
    <row r="86" spans="1:9" ht="15.75" customHeight="1">
      <c r="A86" s="21"/>
      <c r="B86" s="34" t="s">
        <v>49</v>
      </c>
      <c r="C86" s="30"/>
      <c r="D86" s="37"/>
      <c r="E86" s="30">
        <v>1</v>
      </c>
      <c r="F86" s="30"/>
      <c r="G86" s="30"/>
      <c r="H86" s="30"/>
      <c r="I86" s="24">
        <f>I85</f>
        <v>2843.36</v>
      </c>
    </row>
    <row r="87" spans="1:9" ht="15.75" customHeight="1">
      <c r="A87" s="21"/>
      <c r="B87" s="36" t="s">
        <v>75</v>
      </c>
      <c r="C87" s="12"/>
      <c r="D87" s="12"/>
      <c r="E87" s="31"/>
      <c r="F87" s="31"/>
      <c r="G87" s="32"/>
      <c r="H87" s="32"/>
      <c r="I87" s="14">
        <v>0</v>
      </c>
    </row>
    <row r="88" spans="1:9" ht="15.75" customHeight="1">
      <c r="A88" s="38"/>
      <c r="B88" s="35" t="s">
        <v>144</v>
      </c>
      <c r="C88" s="26"/>
      <c r="D88" s="26"/>
      <c r="E88" s="26"/>
      <c r="F88" s="26"/>
      <c r="G88" s="26"/>
      <c r="H88" s="26"/>
      <c r="I88" s="33">
        <f>I83+I86</f>
        <v>104392.06093800001</v>
      </c>
    </row>
    <row r="89" spans="1:9" ht="15.75">
      <c r="A89" s="172" t="s">
        <v>218</v>
      </c>
      <c r="B89" s="172"/>
      <c r="C89" s="172"/>
      <c r="D89" s="172"/>
      <c r="E89" s="172"/>
      <c r="F89" s="172"/>
      <c r="G89" s="172"/>
      <c r="H89" s="172"/>
      <c r="I89" s="172"/>
    </row>
    <row r="90" spans="1:9" ht="15.75">
      <c r="A90" s="46"/>
      <c r="B90" s="167" t="s">
        <v>219</v>
      </c>
      <c r="C90" s="167"/>
      <c r="D90" s="167"/>
      <c r="E90" s="167"/>
      <c r="F90" s="167"/>
      <c r="G90" s="167"/>
      <c r="H90" s="57"/>
      <c r="I90" s="2"/>
    </row>
    <row r="91" spans="1:9">
      <c r="A91" s="49"/>
      <c r="B91" s="163" t="s">
        <v>6</v>
      </c>
      <c r="C91" s="163"/>
      <c r="D91" s="163"/>
      <c r="E91" s="163"/>
      <c r="F91" s="163"/>
      <c r="G91" s="163"/>
      <c r="H91" s="16"/>
      <c r="I91" s="4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 ht="15.75">
      <c r="A93" s="168" t="s">
        <v>7</v>
      </c>
      <c r="B93" s="168"/>
      <c r="C93" s="168"/>
      <c r="D93" s="168"/>
      <c r="E93" s="168"/>
      <c r="F93" s="168"/>
      <c r="G93" s="168"/>
      <c r="H93" s="168"/>
      <c r="I93" s="168"/>
    </row>
    <row r="94" spans="1:9" ht="15.75">
      <c r="A94" s="168" t="s">
        <v>8</v>
      </c>
      <c r="B94" s="168"/>
      <c r="C94" s="168"/>
      <c r="D94" s="168"/>
      <c r="E94" s="168"/>
      <c r="F94" s="168"/>
      <c r="G94" s="168"/>
      <c r="H94" s="168"/>
      <c r="I94" s="168"/>
    </row>
    <row r="95" spans="1:9" ht="15.75">
      <c r="A95" s="169" t="s">
        <v>59</v>
      </c>
      <c r="B95" s="169"/>
      <c r="C95" s="169"/>
      <c r="D95" s="169"/>
      <c r="E95" s="169"/>
      <c r="F95" s="169"/>
      <c r="G95" s="169"/>
      <c r="H95" s="169"/>
      <c r="I95" s="169"/>
    </row>
    <row r="96" spans="1:9" ht="15.75">
      <c r="A96" s="8"/>
    </row>
    <row r="97" spans="1:9" ht="15.75">
      <c r="A97" s="170" t="s">
        <v>9</v>
      </c>
      <c r="B97" s="170"/>
      <c r="C97" s="170"/>
      <c r="D97" s="170"/>
      <c r="E97" s="170"/>
      <c r="F97" s="170"/>
      <c r="G97" s="170"/>
      <c r="H97" s="170"/>
      <c r="I97" s="170"/>
    </row>
    <row r="98" spans="1:9" ht="15.75">
      <c r="A98" s="3"/>
    </row>
    <row r="99" spans="1:9" ht="15.75">
      <c r="B99" s="50" t="s">
        <v>10</v>
      </c>
      <c r="C99" s="162" t="s">
        <v>125</v>
      </c>
      <c r="D99" s="162"/>
      <c r="E99" s="162"/>
      <c r="F99" s="55"/>
      <c r="I99" s="48"/>
    </row>
    <row r="100" spans="1:9">
      <c r="A100" s="49"/>
      <c r="C100" s="163" t="s">
        <v>11</v>
      </c>
      <c r="D100" s="163"/>
      <c r="E100" s="163"/>
      <c r="F100" s="16"/>
      <c r="I100" s="47" t="s">
        <v>12</v>
      </c>
    </row>
    <row r="101" spans="1:9" ht="15.75">
      <c r="A101" s="17"/>
      <c r="C101" s="9"/>
      <c r="D101" s="9"/>
      <c r="G101" s="9"/>
      <c r="H101" s="9"/>
    </row>
    <row r="102" spans="1:9" ht="15.75">
      <c r="B102" s="50" t="s">
        <v>13</v>
      </c>
      <c r="C102" s="164"/>
      <c r="D102" s="164"/>
      <c r="E102" s="164"/>
      <c r="F102" s="56"/>
      <c r="I102" s="48"/>
    </row>
    <row r="103" spans="1:9">
      <c r="A103" s="49"/>
      <c r="C103" s="165" t="s">
        <v>11</v>
      </c>
      <c r="D103" s="165"/>
      <c r="E103" s="165"/>
      <c r="F103" s="49"/>
      <c r="I103" s="47" t="s">
        <v>12</v>
      </c>
    </row>
    <row r="104" spans="1:9" ht="15.75">
      <c r="A104" s="3" t="s">
        <v>14</v>
      </c>
    </row>
    <row r="105" spans="1:9">
      <c r="A105" s="166" t="s">
        <v>15</v>
      </c>
      <c r="B105" s="166"/>
      <c r="C105" s="166"/>
      <c r="D105" s="166"/>
      <c r="E105" s="166"/>
      <c r="F105" s="166"/>
      <c r="G105" s="166"/>
      <c r="H105" s="166"/>
      <c r="I105" s="166"/>
    </row>
    <row r="106" spans="1:9" ht="45" customHeight="1">
      <c r="A106" s="158" t="s">
        <v>16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30" customHeight="1">
      <c r="A107" s="158" t="s">
        <v>17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ht="30" customHeight="1">
      <c r="A108" s="158" t="s">
        <v>21</v>
      </c>
      <c r="B108" s="158"/>
      <c r="C108" s="158"/>
      <c r="D108" s="158"/>
      <c r="E108" s="158"/>
      <c r="F108" s="158"/>
      <c r="G108" s="158"/>
      <c r="H108" s="158"/>
      <c r="I108" s="158"/>
    </row>
    <row r="109" spans="1:9" ht="15" customHeight="1">
      <c r="A109" s="158" t="s">
        <v>20</v>
      </c>
      <c r="B109" s="158"/>
      <c r="C109" s="158"/>
      <c r="D109" s="158"/>
      <c r="E109" s="158"/>
      <c r="F109" s="158"/>
      <c r="G109" s="158"/>
      <c r="H109" s="158"/>
      <c r="I109" s="158"/>
    </row>
  </sheetData>
  <mergeCells count="28">
    <mergeCell ref="A107:I107"/>
    <mergeCell ref="A108:I108"/>
    <mergeCell ref="A109:I109"/>
    <mergeCell ref="C99:E99"/>
    <mergeCell ref="C100:E100"/>
    <mergeCell ref="C102:E102"/>
    <mergeCell ref="C103:E103"/>
    <mergeCell ref="A105:I105"/>
    <mergeCell ref="A106:I106"/>
    <mergeCell ref="A97:I97"/>
    <mergeCell ref="A15:I15"/>
    <mergeCell ref="A28:I28"/>
    <mergeCell ref="A44:I44"/>
    <mergeCell ref="A55:I55"/>
    <mergeCell ref="A80:I80"/>
    <mergeCell ref="A89:I89"/>
    <mergeCell ref="B90:G90"/>
    <mergeCell ref="B91:G91"/>
    <mergeCell ref="A93:I93"/>
    <mergeCell ref="A94:I94"/>
    <mergeCell ref="A95:I95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0"/>
  <sheetViews>
    <sheetView topLeftCell="A61" workbookViewId="0">
      <selection activeCell="J93" sqref="J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139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220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44043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102</v>
      </c>
      <c r="C30" s="29" t="s">
        <v>83</v>
      </c>
      <c r="D30" s="25" t="s">
        <v>171</v>
      </c>
      <c r="E30" s="105">
        <v>124</v>
      </c>
      <c r="F30" s="105">
        <f>SUM(E30*24/1000)</f>
        <v>2.976</v>
      </c>
      <c r="G30" s="105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101</v>
      </c>
      <c r="C31" s="29" t="s">
        <v>83</v>
      </c>
      <c r="D31" s="25" t="s">
        <v>170</v>
      </c>
      <c r="E31" s="105">
        <v>128</v>
      </c>
      <c r="F31" s="105">
        <f>SUM(E31*52/1000)</f>
        <v>6.6559999999999997</v>
      </c>
      <c r="G31" s="105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5">
        <v>124</v>
      </c>
      <c r="F32" s="105">
        <f>SUM(E32/1000)</f>
        <v>0.124</v>
      </c>
      <c r="G32" s="105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167</v>
      </c>
      <c r="C33" s="29" t="s">
        <v>39</v>
      </c>
      <c r="D33" s="25" t="s">
        <v>172</v>
      </c>
      <c r="E33" s="137">
        <v>1</v>
      </c>
      <c r="F33" s="105">
        <f>E33*155/100</f>
        <v>1.55</v>
      </c>
      <c r="G33" s="105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hidden="1" customHeight="1">
      <c r="A44" s="159" t="s">
        <v>122</v>
      </c>
      <c r="B44" s="160"/>
      <c r="C44" s="160"/>
      <c r="D44" s="160"/>
      <c r="E44" s="160"/>
      <c r="F44" s="160"/>
      <c r="G44" s="160"/>
      <c r="H44" s="160"/>
      <c r="I44" s="161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131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/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v>0</v>
      </c>
    </row>
    <row r="54" spans="1:9" ht="15.75" hidden="1" customHeight="1">
      <c r="A54" s="21">
        <v>15</v>
      </c>
      <c r="B54" s="58" t="s">
        <v>40</v>
      </c>
      <c r="C54" s="59" t="s">
        <v>104</v>
      </c>
      <c r="D54" s="58" t="s">
        <v>68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59" t="s">
        <v>134</v>
      </c>
      <c r="B55" s="160"/>
      <c r="C55" s="160"/>
      <c r="D55" s="160"/>
      <c r="E55" s="160"/>
      <c r="F55" s="160"/>
      <c r="G55" s="160"/>
      <c r="H55" s="160"/>
      <c r="I55" s="161"/>
    </row>
    <row r="56" spans="1:9" ht="15.7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30.75" hidden="1" customHeight="1">
      <c r="A57" s="92">
        <v>16</v>
      </c>
      <c r="B57" s="68" t="s">
        <v>105</v>
      </c>
      <c r="C57" s="67" t="s">
        <v>80</v>
      </c>
      <c r="D57" s="6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9.5" customHeight="1">
      <c r="A58" s="92"/>
      <c r="B58" s="115" t="s">
        <v>157</v>
      </c>
      <c r="C58" s="111"/>
      <c r="D58" s="110"/>
      <c r="E58" s="112"/>
      <c r="F58" s="116"/>
      <c r="G58" s="27"/>
      <c r="H58" s="97"/>
      <c r="I58" s="10"/>
    </row>
    <row r="59" spans="1:9" ht="15" customHeight="1">
      <c r="A59" s="92">
        <v>10</v>
      </c>
      <c r="B59" s="95" t="s">
        <v>149</v>
      </c>
      <c r="C59" s="117" t="s">
        <v>150</v>
      </c>
      <c r="D59" s="95" t="s">
        <v>173</v>
      </c>
      <c r="E59" s="130">
        <v>120</v>
      </c>
      <c r="F59" s="116">
        <f>E59*12</f>
        <v>1440</v>
      </c>
      <c r="G59" s="27">
        <v>1.4</v>
      </c>
      <c r="H59" s="71"/>
      <c r="I59" s="10">
        <f>G59*F59/12</f>
        <v>167.99999999999997</v>
      </c>
    </row>
    <row r="60" spans="1:9" ht="19.5" customHeight="1">
      <c r="A60" s="21"/>
      <c r="B60" s="93" t="s">
        <v>43</v>
      </c>
      <c r="C60" s="13"/>
      <c r="D60" s="11"/>
      <c r="E60" s="77"/>
      <c r="F60" s="61"/>
      <c r="G60" s="10"/>
      <c r="H60" s="54"/>
      <c r="I60" s="10"/>
    </row>
    <row r="61" spans="1:9" ht="16.5" customHeight="1">
      <c r="A61" s="21">
        <v>11</v>
      </c>
      <c r="B61" s="94" t="s">
        <v>44</v>
      </c>
      <c r="C61" s="13"/>
      <c r="D61" s="11" t="s">
        <v>173</v>
      </c>
      <c r="E61" s="77"/>
      <c r="F61" s="61"/>
      <c r="G61" s="91">
        <v>318.82</v>
      </c>
      <c r="H61" s="54"/>
      <c r="I61" s="10">
        <f>G61</f>
        <v>318.82</v>
      </c>
    </row>
    <row r="62" spans="1:9" ht="25.5" hidden="1" customHeight="1">
      <c r="A62" s="21"/>
      <c r="B62" s="11" t="s">
        <v>45</v>
      </c>
      <c r="C62" s="13" t="s">
        <v>104</v>
      </c>
      <c r="D62" s="11" t="s">
        <v>64</v>
      </c>
      <c r="E62" s="15">
        <v>3</v>
      </c>
      <c r="F62" s="61">
        <v>3</v>
      </c>
      <c r="G62" s="10">
        <v>81.510000000000005</v>
      </c>
      <c r="H62" s="72">
        <f t="shared" ref="H62:H77" si="7">SUM(F62*G62/1000)</f>
        <v>0.24453000000000003</v>
      </c>
      <c r="I62" s="10">
        <v>0</v>
      </c>
    </row>
    <row r="63" spans="1:9" ht="24" hidden="1" customHeight="1">
      <c r="A63" s="21"/>
      <c r="B63" s="11" t="s">
        <v>46</v>
      </c>
      <c r="C63" s="13" t="s">
        <v>107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7"/>
        <v>19.3655981</v>
      </c>
      <c r="I63" s="10">
        <v>0</v>
      </c>
    </row>
    <row r="64" spans="1:9" ht="27" hidden="1" customHeight="1">
      <c r="A64" s="21"/>
      <c r="B64" s="11" t="s">
        <v>47</v>
      </c>
      <c r="C64" s="13" t="s">
        <v>108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7"/>
        <v>1.5080727900000002</v>
      </c>
      <c r="I64" s="10">
        <v>0</v>
      </c>
    </row>
    <row r="65" spans="1:9" ht="25.5" hidden="1" customHeight="1">
      <c r="A65" s="21"/>
      <c r="B65" s="11" t="s">
        <v>48</v>
      </c>
      <c r="C65" s="13" t="s">
        <v>74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7"/>
        <v>30.383586000000005</v>
      </c>
      <c r="I65" s="10">
        <v>0</v>
      </c>
    </row>
    <row r="66" spans="1:9" ht="24.75" hidden="1" customHeight="1">
      <c r="A66" s="21"/>
      <c r="B66" s="73" t="s">
        <v>109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7"/>
        <v>0.38403000000000004</v>
      </c>
      <c r="I66" s="10">
        <v>0</v>
      </c>
    </row>
    <row r="67" spans="1:9" ht="27" hidden="1" customHeight="1">
      <c r="A67" s="21"/>
      <c r="B67" s="73" t="s">
        <v>110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7"/>
        <v>0.35829</v>
      </c>
      <c r="I67" s="10">
        <v>0</v>
      </c>
    </row>
    <row r="68" spans="1:9" ht="24.7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21" customHeight="1">
      <c r="A69" s="21"/>
      <c r="B69" s="23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18" hidden="1" customHeight="1">
      <c r="A70" s="21">
        <v>12</v>
      </c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f>G70*0.1</f>
        <v>53.623000000000005</v>
      </c>
    </row>
    <row r="71" spans="1:9" ht="23.2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6.2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5" customHeight="1">
      <c r="A73" s="21">
        <v>12</v>
      </c>
      <c r="B73" s="95" t="s">
        <v>158</v>
      </c>
      <c r="C73" s="117" t="s">
        <v>104</v>
      </c>
      <c r="D73" s="95" t="s">
        <v>174</v>
      </c>
      <c r="E73" s="14">
        <v>2</v>
      </c>
      <c r="F73" s="27">
        <f>E73*12</f>
        <v>24</v>
      </c>
      <c r="G73" s="27">
        <v>404</v>
      </c>
      <c r="H73" s="72"/>
      <c r="I73" s="10">
        <f>G73*F73/12</f>
        <v>808</v>
      </c>
    </row>
    <row r="74" spans="1:9" ht="15" customHeight="1">
      <c r="A74" s="21"/>
      <c r="B74" s="118" t="s">
        <v>159</v>
      </c>
      <c r="C74" s="119"/>
      <c r="D74" s="120"/>
      <c r="E74" s="121"/>
      <c r="F74" s="122"/>
      <c r="G74" s="122"/>
      <c r="H74" s="10"/>
      <c r="I74" s="10"/>
    </row>
    <row r="75" spans="1:9" ht="15" customHeight="1">
      <c r="A75" s="21">
        <v>13</v>
      </c>
      <c r="B75" s="95" t="s">
        <v>160</v>
      </c>
      <c r="C75" s="123" t="s">
        <v>161</v>
      </c>
      <c r="D75" s="120"/>
      <c r="E75" s="121">
        <v>2054.6</v>
      </c>
      <c r="F75" s="122">
        <f>E75*12</f>
        <v>24655.199999999997</v>
      </c>
      <c r="G75" s="122">
        <v>2.4900000000000002</v>
      </c>
      <c r="H75" s="10"/>
      <c r="I75" s="10">
        <f>G75*F75/12</f>
        <v>5115.9539999999997</v>
      </c>
    </row>
    <row r="76" spans="1:9" ht="24" hidden="1" customHeight="1">
      <c r="A76" s="21"/>
      <c r="B76" s="74" t="s">
        <v>73</v>
      </c>
      <c r="C76" s="13"/>
      <c r="D76" s="11"/>
      <c r="E76" s="15"/>
      <c r="F76" s="10"/>
      <c r="G76" s="10" t="s">
        <v>113</v>
      </c>
      <c r="H76" s="72" t="s">
        <v>113</v>
      </c>
      <c r="I76" s="10"/>
    </row>
    <row r="77" spans="1:9" ht="24" hidden="1" customHeight="1">
      <c r="A77" s="21"/>
      <c r="B77" s="36" t="s">
        <v>114</v>
      </c>
      <c r="C77" s="13" t="s">
        <v>74</v>
      </c>
      <c r="D77" s="11"/>
      <c r="E77" s="15"/>
      <c r="F77" s="10">
        <v>1.35</v>
      </c>
      <c r="G77" s="10">
        <v>2949.85</v>
      </c>
      <c r="H77" s="72">
        <f t="shared" si="7"/>
        <v>3.9822975</v>
      </c>
      <c r="I77" s="10">
        <v>0</v>
      </c>
    </row>
    <row r="78" spans="1:9" ht="29.25" hidden="1" customHeight="1">
      <c r="A78" s="21"/>
      <c r="B78" s="53" t="s">
        <v>86</v>
      </c>
      <c r="C78" s="75"/>
      <c r="D78" s="23"/>
      <c r="E78" s="24"/>
      <c r="F78" s="64"/>
      <c r="G78" s="64"/>
      <c r="H78" s="76">
        <f>SUM(H57:H77)</f>
        <v>68.771774374000003</v>
      </c>
      <c r="I78" s="64"/>
    </row>
    <row r="79" spans="1:9" ht="24.75" hidden="1" customHeight="1">
      <c r="A79" s="21"/>
      <c r="B79" s="58" t="s">
        <v>111</v>
      </c>
      <c r="C79" s="13"/>
      <c r="D79" s="11"/>
      <c r="E79" s="77"/>
      <c r="F79" s="10">
        <v>1</v>
      </c>
      <c r="G79" s="10">
        <v>7101.4</v>
      </c>
      <c r="H79" s="72">
        <f>G79*F79/1000</f>
        <v>7.1013999999999999</v>
      </c>
      <c r="I79" s="10">
        <v>0</v>
      </c>
    </row>
    <row r="80" spans="1:9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</row>
    <row r="81" spans="1:9" ht="15.75" customHeight="1">
      <c r="A81" s="21">
        <v>14</v>
      </c>
      <c r="B81" s="95" t="s">
        <v>112</v>
      </c>
      <c r="C81" s="117" t="s">
        <v>53</v>
      </c>
      <c r="D81" s="135"/>
      <c r="E81" s="27">
        <v>2054.6</v>
      </c>
      <c r="F81" s="27">
        <f>SUM(E81*12)</f>
        <v>24655.199999999997</v>
      </c>
      <c r="G81" s="27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15</v>
      </c>
      <c r="B82" s="95" t="s">
        <v>162</v>
      </c>
      <c r="C82" s="117" t="s">
        <v>53</v>
      </c>
      <c r="D82" s="133"/>
      <c r="E82" s="134">
        <f>E81</f>
        <v>2054.6</v>
      </c>
      <c r="F82" s="126">
        <f>E82*12</f>
        <v>24655.199999999997</v>
      </c>
      <c r="G82" s="126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76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I82+I81+I75+I73+I59+I33+I31+I30+I27+I21+I20+I18+I17+I16+I61</f>
        <v>30067.320917999998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28.5" customHeight="1">
      <c r="A85" s="141">
        <v>16</v>
      </c>
      <c r="B85" s="88" t="s">
        <v>221</v>
      </c>
      <c r="C85" s="40" t="s">
        <v>222</v>
      </c>
      <c r="D85" s="39"/>
      <c r="E85" s="27"/>
      <c r="F85" s="27">
        <v>1</v>
      </c>
      <c r="G85" s="27">
        <v>754.11</v>
      </c>
      <c r="H85" s="145"/>
      <c r="I85" s="146">
        <f>G85*1</f>
        <v>754.11</v>
      </c>
    </row>
    <row r="86" spans="1:9" ht="18" customHeight="1">
      <c r="A86" s="141">
        <v>17</v>
      </c>
      <c r="B86" s="88" t="s">
        <v>223</v>
      </c>
      <c r="C86" s="40" t="s">
        <v>39</v>
      </c>
      <c r="D86" s="39" t="s">
        <v>173</v>
      </c>
      <c r="E86" s="27"/>
      <c r="F86" s="27">
        <v>0.01</v>
      </c>
      <c r="G86" s="27">
        <v>27139.18</v>
      </c>
      <c r="H86" s="145"/>
      <c r="I86" s="146">
        <v>0</v>
      </c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f>SUM(I85:I86)</f>
        <v>754.11</v>
      </c>
    </row>
    <row r="88" spans="1:9" ht="15.75" customHeight="1">
      <c r="A88" s="21"/>
      <c r="B88" s="36" t="s">
        <v>75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144</v>
      </c>
      <c r="C89" s="26"/>
      <c r="D89" s="26"/>
      <c r="E89" s="26"/>
      <c r="F89" s="26"/>
      <c r="G89" s="26"/>
      <c r="H89" s="26"/>
      <c r="I89" s="33">
        <f>I83+I87</f>
        <v>30821.430917999998</v>
      </c>
    </row>
    <row r="90" spans="1:9" ht="15.75">
      <c r="A90" s="172" t="s">
        <v>274</v>
      </c>
      <c r="B90" s="172"/>
      <c r="C90" s="172"/>
      <c r="D90" s="172"/>
      <c r="E90" s="172"/>
      <c r="F90" s="172"/>
      <c r="G90" s="172"/>
      <c r="H90" s="172"/>
      <c r="I90" s="172"/>
    </row>
    <row r="91" spans="1:9" ht="15.75">
      <c r="A91" s="46"/>
      <c r="B91" s="167" t="s">
        <v>275</v>
      </c>
      <c r="C91" s="167"/>
      <c r="D91" s="167"/>
      <c r="E91" s="167"/>
      <c r="F91" s="167"/>
      <c r="G91" s="167"/>
      <c r="H91" s="57"/>
      <c r="I91" s="2"/>
    </row>
    <row r="92" spans="1:9">
      <c r="A92" s="49"/>
      <c r="B92" s="163" t="s">
        <v>6</v>
      </c>
      <c r="C92" s="163"/>
      <c r="D92" s="163"/>
      <c r="E92" s="163"/>
      <c r="F92" s="163"/>
      <c r="G92" s="163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68" t="s">
        <v>7</v>
      </c>
      <c r="B94" s="168"/>
      <c r="C94" s="168"/>
      <c r="D94" s="168"/>
      <c r="E94" s="168"/>
      <c r="F94" s="168"/>
      <c r="G94" s="168"/>
      <c r="H94" s="168"/>
      <c r="I94" s="168"/>
    </row>
    <row r="95" spans="1:9" ht="15.75">
      <c r="A95" s="168" t="s">
        <v>8</v>
      </c>
      <c r="B95" s="168"/>
      <c r="C95" s="168"/>
      <c r="D95" s="168"/>
      <c r="E95" s="168"/>
      <c r="F95" s="168"/>
      <c r="G95" s="168"/>
      <c r="H95" s="168"/>
      <c r="I95" s="168"/>
    </row>
    <row r="96" spans="1:9" ht="15.75">
      <c r="A96" s="169" t="s">
        <v>59</v>
      </c>
      <c r="B96" s="169"/>
      <c r="C96" s="169"/>
      <c r="D96" s="169"/>
      <c r="E96" s="169"/>
      <c r="F96" s="169"/>
      <c r="G96" s="169"/>
      <c r="H96" s="169"/>
      <c r="I96" s="169"/>
    </row>
    <row r="97" spans="1:9" ht="15.75">
      <c r="A97" s="8"/>
    </row>
    <row r="98" spans="1:9" ht="15.75">
      <c r="A98" s="170" t="s">
        <v>9</v>
      </c>
      <c r="B98" s="170"/>
      <c r="C98" s="170"/>
      <c r="D98" s="170"/>
      <c r="E98" s="170"/>
      <c r="F98" s="170"/>
      <c r="G98" s="170"/>
      <c r="H98" s="170"/>
      <c r="I98" s="170"/>
    </row>
    <row r="99" spans="1:9" ht="15.75">
      <c r="A99" s="3"/>
    </row>
    <row r="100" spans="1:9" ht="15.75">
      <c r="B100" s="50" t="s">
        <v>10</v>
      </c>
      <c r="C100" s="162" t="s">
        <v>125</v>
      </c>
      <c r="D100" s="162"/>
      <c r="E100" s="162"/>
      <c r="F100" s="55"/>
      <c r="I100" s="48"/>
    </row>
    <row r="101" spans="1:9">
      <c r="A101" s="49"/>
      <c r="C101" s="163" t="s">
        <v>11</v>
      </c>
      <c r="D101" s="163"/>
      <c r="E101" s="163"/>
      <c r="F101" s="16"/>
      <c r="I101" s="47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50" t="s">
        <v>13</v>
      </c>
      <c r="C103" s="164"/>
      <c r="D103" s="164"/>
      <c r="E103" s="164"/>
      <c r="F103" s="56"/>
      <c r="I103" s="48"/>
    </row>
    <row r="104" spans="1:9">
      <c r="A104" s="49"/>
      <c r="C104" s="165" t="s">
        <v>11</v>
      </c>
      <c r="D104" s="165"/>
      <c r="E104" s="165"/>
      <c r="F104" s="49"/>
      <c r="I104" s="47" t="s">
        <v>12</v>
      </c>
    </row>
    <row r="105" spans="1:9" ht="15.75">
      <c r="A105" s="3" t="s">
        <v>14</v>
      </c>
    </row>
    <row r="106" spans="1:9">
      <c r="A106" s="166" t="s">
        <v>15</v>
      </c>
      <c r="B106" s="166"/>
      <c r="C106" s="166"/>
      <c r="D106" s="166"/>
      <c r="E106" s="166"/>
      <c r="F106" s="166"/>
      <c r="G106" s="166"/>
      <c r="H106" s="166"/>
      <c r="I106" s="166"/>
    </row>
    <row r="107" spans="1:9" ht="45" customHeight="1">
      <c r="A107" s="158" t="s">
        <v>16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ht="30" customHeight="1">
      <c r="A108" s="158" t="s">
        <v>17</v>
      </c>
      <c r="B108" s="158"/>
      <c r="C108" s="158"/>
      <c r="D108" s="158"/>
      <c r="E108" s="158"/>
      <c r="F108" s="158"/>
      <c r="G108" s="158"/>
      <c r="H108" s="158"/>
      <c r="I108" s="158"/>
    </row>
    <row r="109" spans="1:9" ht="30" customHeight="1">
      <c r="A109" s="158" t="s">
        <v>21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15" customHeight="1">
      <c r="A110" s="158" t="s">
        <v>20</v>
      </c>
      <c r="B110" s="158"/>
      <c r="C110" s="158"/>
      <c r="D110" s="158"/>
      <c r="E110" s="158"/>
      <c r="F110" s="158"/>
      <c r="G110" s="158"/>
      <c r="H110" s="158"/>
      <c r="I110" s="158"/>
    </row>
  </sheetData>
  <mergeCells count="28">
    <mergeCell ref="A108:I108"/>
    <mergeCell ref="A109:I109"/>
    <mergeCell ref="A110:I110"/>
    <mergeCell ref="C100:E100"/>
    <mergeCell ref="C101:E101"/>
    <mergeCell ref="C103:E103"/>
    <mergeCell ref="C104:E104"/>
    <mergeCell ref="A106:I106"/>
    <mergeCell ref="A107:I107"/>
    <mergeCell ref="A98:I98"/>
    <mergeCell ref="A15:I15"/>
    <mergeCell ref="A28:I28"/>
    <mergeCell ref="A44:I44"/>
    <mergeCell ref="A55:I55"/>
    <mergeCell ref="A80:I80"/>
    <mergeCell ref="A90:I90"/>
    <mergeCell ref="B91:G91"/>
    <mergeCell ref="B92:G92"/>
    <mergeCell ref="A94:I94"/>
    <mergeCell ref="A95:I95"/>
    <mergeCell ref="A96:I96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0"/>
  <sheetViews>
    <sheetView view="pageBreakPreview" topLeftCell="A87" zoomScale="60" workbookViewId="0">
      <selection activeCell="J105" sqref="J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140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224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44074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102</v>
      </c>
      <c r="C30" s="29" t="s">
        <v>83</v>
      </c>
      <c r="D30" s="25" t="s">
        <v>171</v>
      </c>
      <c r="E30" s="105">
        <v>124</v>
      </c>
      <c r="F30" s="105">
        <f>SUM(E30*24/1000)</f>
        <v>2.976</v>
      </c>
      <c r="G30" s="105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101</v>
      </c>
      <c r="C31" s="29" t="s">
        <v>83</v>
      </c>
      <c r="D31" s="25" t="s">
        <v>170</v>
      </c>
      <c r="E31" s="105">
        <v>128</v>
      </c>
      <c r="F31" s="105">
        <f>SUM(E31*52/1000)</f>
        <v>6.6559999999999997</v>
      </c>
      <c r="G31" s="105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5">
        <v>124</v>
      </c>
      <c r="F32" s="105">
        <f>SUM(E32/1000)</f>
        <v>0.124</v>
      </c>
      <c r="G32" s="105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167</v>
      </c>
      <c r="C33" s="29" t="s">
        <v>39</v>
      </c>
      <c r="D33" s="25" t="s">
        <v>172</v>
      </c>
      <c r="E33" s="137">
        <v>1</v>
      </c>
      <c r="F33" s="105">
        <f>E33*155/100</f>
        <v>1.55</v>
      </c>
      <c r="G33" s="105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customHeight="1">
      <c r="A44" s="159" t="s">
        <v>122</v>
      </c>
      <c r="B44" s="160"/>
      <c r="C44" s="160"/>
      <c r="D44" s="160"/>
      <c r="E44" s="160"/>
      <c r="F44" s="160"/>
      <c r="G44" s="160"/>
      <c r="H44" s="160"/>
      <c r="I44" s="161"/>
    </row>
    <row r="45" spans="1:9" ht="15.75" hidden="1" customHeight="1">
      <c r="A45" s="21"/>
      <c r="B45" s="58" t="s">
        <v>103</v>
      </c>
      <c r="C45" s="59" t="s">
        <v>83</v>
      </c>
      <c r="D45" s="58" t="s">
        <v>41</v>
      </c>
      <c r="E45" s="60">
        <v>917.75</v>
      </c>
      <c r="F45" s="61">
        <f>SUM(E45*2/1000)</f>
        <v>1.8354999999999999</v>
      </c>
      <c r="G45" s="10">
        <v>865.61</v>
      </c>
      <c r="H45" s="62">
        <f t="shared" ref="H45:H54" si="6">SUM(F45*G45/1000)</f>
        <v>1.5888271549999999</v>
      </c>
      <c r="I45" s="10">
        <v>0</v>
      </c>
    </row>
    <row r="46" spans="1:9" ht="15.75" hidden="1" customHeight="1">
      <c r="A46" s="21"/>
      <c r="B46" s="58" t="s">
        <v>34</v>
      </c>
      <c r="C46" s="59" t="s">
        <v>83</v>
      </c>
      <c r="D46" s="58" t="s">
        <v>41</v>
      </c>
      <c r="E46" s="60">
        <v>48</v>
      </c>
      <c r="F46" s="61">
        <f>E46*2/1000</f>
        <v>9.6000000000000002E-2</v>
      </c>
      <c r="G46" s="10">
        <v>619.46</v>
      </c>
      <c r="H46" s="62">
        <f t="shared" si="6"/>
        <v>5.9468160000000006E-2</v>
      </c>
      <c r="I46" s="10">
        <v>0</v>
      </c>
    </row>
    <row r="47" spans="1:9" ht="15.75" hidden="1" customHeight="1">
      <c r="A47" s="21"/>
      <c r="B47" s="58" t="s">
        <v>35</v>
      </c>
      <c r="C47" s="59" t="s">
        <v>83</v>
      </c>
      <c r="D47" s="58" t="s">
        <v>41</v>
      </c>
      <c r="E47" s="60">
        <v>937.4</v>
      </c>
      <c r="F47" s="61">
        <f>SUM(E47*2/1000)</f>
        <v>1.8748</v>
      </c>
      <c r="G47" s="10">
        <v>619.46</v>
      </c>
      <c r="H47" s="62">
        <f t="shared" si="6"/>
        <v>1.161363608</v>
      </c>
      <c r="I47" s="10">
        <v>0</v>
      </c>
    </row>
    <row r="48" spans="1:9" ht="15.75" hidden="1" customHeight="1">
      <c r="A48" s="21"/>
      <c r="B48" s="58" t="s">
        <v>36</v>
      </c>
      <c r="C48" s="59" t="s">
        <v>83</v>
      </c>
      <c r="D48" s="58" t="s">
        <v>41</v>
      </c>
      <c r="E48" s="60">
        <v>1243.28</v>
      </c>
      <c r="F48" s="61">
        <f>SUM(E48*2/1000)</f>
        <v>2.4865599999999999</v>
      </c>
      <c r="G48" s="10">
        <v>648.64</v>
      </c>
      <c r="H48" s="62">
        <f t="shared" si="6"/>
        <v>1.6128822783999999</v>
      </c>
      <c r="I48" s="10">
        <v>0</v>
      </c>
    </row>
    <row r="49" spans="1:9" ht="15.75" hidden="1" customHeight="1">
      <c r="A49" s="21"/>
      <c r="B49" s="58" t="s">
        <v>32</v>
      </c>
      <c r="C49" s="59" t="s">
        <v>33</v>
      </c>
      <c r="D49" s="58" t="s">
        <v>41</v>
      </c>
      <c r="E49" s="60">
        <v>64.5</v>
      </c>
      <c r="F49" s="61">
        <f>SUM(E49*2/100)</f>
        <v>1.29</v>
      </c>
      <c r="G49" s="10">
        <v>77.84</v>
      </c>
      <c r="H49" s="62">
        <f t="shared" si="6"/>
        <v>0.10041360000000001</v>
      </c>
      <c r="I49" s="10">
        <v>0</v>
      </c>
    </row>
    <row r="50" spans="1:9" ht="15.75" hidden="1" customHeight="1">
      <c r="A50" s="21">
        <v>14</v>
      </c>
      <c r="B50" s="58" t="s">
        <v>54</v>
      </c>
      <c r="C50" s="59" t="s">
        <v>83</v>
      </c>
      <c r="D50" s="58" t="s">
        <v>131</v>
      </c>
      <c r="E50" s="60">
        <v>678.4</v>
      </c>
      <c r="F50" s="61">
        <f>SUM(E50*5/1000)</f>
        <v>3.3919999999999999</v>
      </c>
      <c r="G50" s="10">
        <v>1297.28</v>
      </c>
      <c r="H50" s="62">
        <f t="shared" si="6"/>
        <v>4.4003737599999999</v>
      </c>
      <c r="I50" s="10">
        <f>F50/5*G50</f>
        <v>880.07475199999999</v>
      </c>
    </row>
    <row r="51" spans="1:9" ht="31.5" hidden="1" customHeight="1">
      <c r="A51" s="21"/>
      <c r="B51" s="58" t="s">
        <v>84</v>
      </c>
      <c r="C51" s="59" t="s">
        <v>83</v>
      </c>
      <c r="D51" s="58" t="s">
        <v>41</v>
      </c>
      <c r="E51" s="60">
        <v>678.4</v>
      </c>
      <c r="F51" s="61">
        <f>SUM(E51*2/1000)</f>
        <v>1.3568</v>
      </c>
      <c r="G51" s="10">
        <v>1297.28</v>
      </c>
      <c r="H51" s="62">
        <f t="shared" si="6"/>
        <v>1.7601495039999999</v>
      </c>
      <c r="I51" s="10">
        <v>0</v>
      </c>
    </row>
    <row r="52" spans="1:9" ht="31.5" hidden="1" customHeight="1">
      <c r="A52" s="21"/>
      <c r="B52" s="58" t="s">
        <v>85</v>
      </c>
      <c r="C52" s="59" t="s">
        <v>37</v>
      </c>
      <c r="D52" s="58" t="s">
        <v>41</v>
      </c>
      <c r="E52" s="60">
        <v>12</v>
      </c>
      <c r="F52" s="61">
        <f>SUM(E52*2/100)</f>
        <v>0.24</v>
      </c>
      <c r="G52" s="10">
        <v>2918.89</v>
      </c>
      <c r="H52" s="62">
        <f t="shared" si="6"/>
        <v>0.70053359999999998</v>
      </c>
      <c r="I52" s="10">
        <v>0</v>
      </c>
    </row>
    <row r="53" spans="1:9" ht="15.75" hidden="1" customHeight="1">
      <c r="A53" s="21">
        <v>10</v>
      </c>
      <c r="B53" s="58" t="s">
        <v>38</v>
      </c>
      <c r="C53" s="59" t="s">
        <v>39</v>
      </c>
      <c r="D53" s="58" t="s">
        <v>41</v>
      </c>
      <c r="E53" s="60">
        <v>1</v>
      </c>
      <c r="F53" s="61">
        <v>0.02</v>
      </c>
      <c r="G53" s="10">
        <v>6042.12</v>
      </c>
      <c r="H53" s="62">
        <f t="shared" si="6"/>
        <v>0.1208424</v>
      </c>
      <c r="I53" s="10">
        <f>F53/2*G53</f>
        <v>60.421199999999999</v>
      </c>
    </row>
    <row r="54" spans="1:9" ht="15.75" customHeight="1">
      <c r="A54" s="21">
        <v>10</v>
      </c>
      <c r="B54" s="25" t="s">
        <v>40</v>
      </c>
      <c r="C54" s="29" t="s">
        <v>104</v>
      </c>
      <c r="D54" s="144">
        <v>44070</v>
      </c>
      <c r="E54" s="104">
        <v>72</v>
      </c>
      <c r="F54" s="105">
        <f>SUM(E54)*3</f>
        <v>216</v>
      </c>
      <c r="G54" s="138">
        <v>87.32</v>
      </c>
      <c r="H54" s="62">
        <f t="shared" si="6"/>
        <v>18.86112</v>
      </c>
      <c r="I54" s="10">
        <f>E54*G54</f>
        <v>6287.0399999999991</v>
      </c>
    </row>
    <row r="55" spans="1:9" ht="16.5" customHeight="1">
      <c r="A55" s="159" t="s">
        <v>123</v>
      </c>
      <c r="B55" s="160"/>
      <c r="C55" s="160"/>
      <c r="D55" s="160"/>
      <c r="E55" s="160"/>
      <c r="F55" s="160"/>
      <c r="G55" s="160"/>
      <c r="H55" s="160"/>
      <c r="I55" s="161"/>
    </row>
    <row r="56" spans="1:9" ht="20.2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18.7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.75" customHeight="1">
      <c r="A58" s="21"/>
      <c r="B58" s="115" t="s">
        <v>157</v>
      </c>
      <c r="C58" s="111"/>
      <c r="D58" s="110"/>
      <c r="E58" s="112"/>
      <c r="F58" s="116"/>
      <c r="G58" s="27"/>
      <c r="H58" s="97"/>
      <c r="I58" s="10"/>
    </row>
    <row r="59" spans="1:9" ht="18.75" customHeight="1">
      <c r="A59" s="21">
        <v>11</v>
      </c>
      <c r="B59" s="95" t="s">
        <v>149</v>
      </c>
      <c r="C59" s="117" t="s">
        <v>150</v>
      </c>
      <c r="D59" s="95" t="s">
        <v>173</v>
      </c>
      <c r="E59" s="130">
        <v>120</v>
      </c>
      <c r="F59" s="116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79" t="s">
        <v>43</v>
      </c>
      <c r="C60" s="67"/>
      <c r="D60" s="68"/>
      <c r="E60" s="69"/>
      <c r="F60" s="70"/>
      <c r="G60" s="70"/>
      <c r="H60" s="71" t="s">
        <v>113</v>
      </c>
      <c r="I60" s="10"/>
    </row>
    <row r="61" spans="1:9" ht="21.75" customHeight="1">
      <c r="A61" s="21">
        <v>12</v>
      </c>
      <c r="B61" s="11" t="s">
        <v>44</v>
      </c>
      <c r="C61" s="13" t="s">
        <v>104</v>
      </c>
      <c r="D61" s="11" t="s">
        <v>173</v>
      </c>
      <c r="E61" s="15">
        <v>8</v>
      </c>
      <c r="F61" s="61">
        <v>8</v>
      </c>
      <c r="G61" s="91">
        <v>318.82</v>
      </c>
      <c r="H61" s="72">
        <f t="shared" ref="H61:H70" si="7">SUM(F61*G61/1000)</f>
        <v>2.5505599999999999</v>
      </c>
      <c r="I61" s="10">
        <f>G61*1</f>
        <v>318.82</v>
      </c>
    </row>
    <row r="62" spans="1:9" ht="18.75" hidden="1" customHeight="1">
      <c r="A62" s="21"/>
      <c r="B62" s="11" t="s">
        <v>45</v>
      </c>
      <c r="C62" s="13" t="s">
        <v>104</v>
      </c>
      <c r="D62" s="11" t="s">
        <v>64</v>
      </c>
      <c r="E62" s="15">
        <v>3</v>
      </c>
      <c r="F62" s="61">
        <v>3</v>
      </c>
      <c r="G62" s="10">
        <v>81.510000000000005</v>
      </c>
      <c r="H62" s="72">
        <f t="shared" si="7"/>
        <v>0.24453000000000003</v>
      </c>
      <c r="I62" s="10">
        <v>0</v>
      </c>
    </row>
    <row r="63" spans="1:9" ht="23.25" hidden="1" customHeight="1">
      <c r="A63" s="21"/>
      <c r="B63" s="11" t="s">
        <v>46</v>
      </c>
      <c r="C63" s="13" t="s">
        <v>107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7"/>
        <v>19.3655981</v>
      </c>
      <c r="I63" s="10">
        <v>0</v>
      </c>
    </row>
    <row r="64" spans="1:9" ht="20.25" hidden="1" customHeight="1">
      <c r="A64" s="21"/>
      <c r="B64" s="11" t="s">
        <v>47</v>
      </c>
      <c r="C64" s="13" t="s">
        <v>108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7"/>
        <v>1.5080727900000002</v>
      </c>
      <c r="I64" s="10">
        <v>0</v>
      </c>
    </row>
    <row r="65" spans="1:9" ht="24.75" hidden="1" customHeight="1">
      <c r="A65" s="21"/>
      <c r="B65" s="11" t="s">
        <v>48</v>
      </c>
      <c r="C65" s="13" t="s">
        <v>74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7"/>
        <v>30.383586000000005</v>
      </c>
      <c r="I65" s="10">
        <v>0</v>
      </c>
    </row>
    <row r="66" spans="1:9" ht="21.75" hidden="1" customHeight="1">
      <c r="A66" s="21"/>
      <c r="B66" s="73" t="s">
        <v>109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7"/>
        <v>0.38403000000000004</v>
      </c>
      <c r="I66" s="10">
        <v>0</v>
      </c>
    </row>
    <row r="67" spans="1:9" ht="22.5" hidden="1" customHeight="1">
      <c r="A67" s="21"/>
      <c r="B67" s="73" t="s">
        <v>110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7"/>
        <v>0.35829</v>
      </c>
      <c r="I67" s="10">
        <v>0</v>
      </c>
    </row>
    <row r="68" spans="1:9" ht="22.5" hidden="1" customHeight="1">
      <c r="A68" s="21"/>
      <c r="B68" s="11" t="s">
        <v>55</v>
      </c>
      <c r="C68" s="13" t="s">
        <v>56</v>
      </c>
      <c r="D68" s="11" t="s">
        <v>52</v>
      </c>
      <c r="E68" s="15">
        <v>3</v>
      </c>
      <c r="F68" s="61">
        <v>3</v>
      </c>
      <c r="G68" s="10">
        <v>53.62</v>
      </c>
      <c r="H68" s="72">
        <f t="shared" si="7"/>
        <v>0.16085999999999998</v>
      </c>
      <c r="I68" s="10">
        <v>0</v>
      </c>
    </row>
    <row r="69" spans="1:9" ht="21.75" customHeight="1">
      <c r="A69" s="21"/>
      <c r="B69" s="23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22.5" hidden="1" customHeight="1">
      <c r="A70" s="21"/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7"/>
        <v>0.10724600000000001</v>
      </c>
      <c r="I70" s="10">
        <v>0</v>
      </c>
    </row>
    <row r="71" spans="1:9" ht="22.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22.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3.5" customHeight="1">
      <c r="A73" s="21">
        <v>13</v>
      </c>
      <c r="B73" s="95" t="s">
        <v>158</v>
      </c>
      <c r="C73" s="117" t="s">
        <v>104</v>
      </c>
      <c r="D73" s="95" t="s">
        <v>174</v>
      </c>
      <c r="E73" s="14">
        <v>2</v>
      </c>
      <c r="F73" s="27">
        <f>E73*12</f>
        <v>24</v>
      </c>
      <c r="G73" s="27">
        <v>404</v>
      </c>
      <c r="H73" s="72"/>
      <c r="I73" s="10">
        <f>G73*2</f>
        <v>808</v>
      </c>
    </row>
    <row r="74" spans="1:9" ht="13.5" customHeight="1">
      <c r="A74" s="21"/>
      <c r="B74" s="118" t="s">
        <v>159</v>
      </c>
      <c r="C74" s="119"/>
      <c r="D74" s="120"/>
      <c r="E74" s="121"/>
      <c r="F74" s="122"/>
      <c r="G74" s="122"/>
      <c r="H74" s="10"/>
      <c r="I74" s="10"/>
    </row>
    <row r="75" spans="1:9" ht="18" customHeight="1">
      <c r="A75" s="21">
        <v>14</v>
      </c>
      <c r="B75" s="95" t="s">
        <v>160</v>
      </c>
      <c r="C75" s="123" t="s">
        <v>161</v>
      </c>
      <c r="D75" s="120"/>
      <c r="E75" s="121">
        <v>2054.6</v>
      </c>
      <c r="F75" s="122">
        <f>E75*12</f>
        <v>24655.199999999997</v>
      </c>
      <c r="G75" s="122">
        <v>2.4900000000000002</v>
      </c>
      <c r="H75" s="10"/>
      <c r="I75" s="10">
        <f>G75*F75/12</f>
        <v>5115.9539999999997</v>
      </c>
    </row>
    <row r="76" spans="1:9" ht="15.75" hidden="1" customHeight="1">
      <c r="A76" s="21"/>
      <c r="B76" s="53" t="s">
        <v>86</v>
      </c>
      <c r="C76" s="75"/>
      <c r="D76" s="23"/>
      <c r="E76" s="24"/>
      <c r="F76" s="64"/>
      <c r="G76" s="64"/>
      <c r="H76" s="76">
        <f>SUM(H57:H75)</f>
        <v>67.340036874000006</v>
      </c>
      <c r="I76" s="64"/>
    </row>
    <row r="77" spans="1:9" ht="16.5" hidden="1" customHeight="1">
      <c r="A77" s="21"/>
      <c r="B77" s="58" t="s">
        <v>111</v>
      </c>
      <c r="C77" s="13"/>
      <c r="D77" s="11"/>
      <c r="E77" s="77"/>
      <c r="F77" s="10">
        <v>1</v>
      </c>
      <c r="G77" s="10">
        <v>7101.4</v>
      </c>
      <c r="H77" s="72">
        <f>G77*F77/1000</f>
        <v>7.1013999999999999</v>
      </c>
      <c r="I77" s="10">
        <v>0</v>
      </c>
    </row>
    <row r="78" spans="1:9" ht="15.75" customHeight="1">
      <c r="A78" s="159" t="s">
        <v>124</v>
      </c>
      <c r="B78" s="160"/>
      <c r="C78" s="160"/>
      <c r="D78" s="160"/>
      <c r="E78" s="160"/>
      <c r="F78" s="160"/>
      <c r="G78" s="160"/>
      <c r="H78" s="160"/>
      <c r="I78" s="161"/>
    </row>
    <row r="79" spans="1:9" ht="15.75" customHeight="1">
      <c r="A79" s="21">
        <v>15</v>
      </c>
      <c r="B79" s="95" t="s">
        <v>112</v>
      </c>
      <c r="C79" s="117" t="s">
        <v>53</v>
      </c>
      <c r="D79" s="135"/>
      <c r="E79" s="27">
        <v>2054.6</v>
      </c>
      <c r="F79" s="27">
        <f>SUM(E79*12)</f>
        <v>24655.199999999997</v>
      </c>
      <c r="G79" s="27">
        <v>3.38</v>
      </c>
      <c r="H79" s="72">
        <f>SUM(F79*G79/1000)</f>
        <v>83.334575999999984</v>
      </c>
      <c r="I79" s="10">
        <f>F79/12*G79</f>
        <v>6944.5479999999998</v>
      </c>
    </row>
    <row r="80" spans="1:9" ht="31.5" customHeight="1">
      <c r="A80" s="21">
        <v>16</v>
      </c>
      <c r="B80" s="95" t="s">
        <v>162</v>
      </c>
      <c r="C80" s="117" t="s">
        <v>53</v>
      </c>
      <c r="D80" s="133"/>
      <c r="E80" s="134">
        <f>E79</f>
        <v>2054.6</v>
      </c>
      <c r="F80" s="126">
        <f>E80*12</f>
        <v>24655.199999999997</v>
      </c>
      <c r="G80" s="126">
        <v>3.05</v>
      </c>
      <c r="H80" s="72">
        <f>F80*G80/1000</f>
        <v>75.19835999999998</v>
      </c>
      <c r="I80" s="10">
        <f>F80/12*G80</f>
        <v>6266.53</v>
      </c>
    </row>
    <row r="81" spans="1:9" ht="15.75" customHeight="1">
      <c r="A81" s="21"/>
      <c r="B81" s="28" t="s">
        <v>76</v>
      </c>
      <c r="C81" s="75"/>
      <c r="D81" s="74"/>
      <c r="E81" s="64"/>
      <c r="F81" s="64"/>
      <c r="G81" s="64"/>
      <c r="H81" s="76">
        <f>H80</f>
        <v>75.19835999999998</v>
      </c>
      <c r="I81" s="64">
        <f>I80+I79+I75+I73+I59+I54+I33+I31+I30+I27+I21+I20+I18+I17+I16+I61</f>
        <v>36354.360917999991</v>
      </c>
    </row>
    <row r="82" spans="1:9" ht="15.75" customHeight="1">
      <c r="A82" s="173" t="s">
        <v>58</v>
      </c>
      <c r="B82" s="174"/>
      <c r="C82" s="174"/>
      <c r="D82" s="174"/>
      <c r="E82" s="174"/>
      <c r="F82" s="174"/>
      <c r="G82" s="174"/>
      <c r="H82" s="174"/>
      <c r="I82" s="175"/>
    </row>
    <row r="83" spans="1:9" ht="32.25" customHeight="1">
      <c r="A83" s="21">
        <v>17</v>
      </c>
      <c r="B83" s="88" t="s">
        <v>196</v>
      </c>
      <c r="C83" s="40" t="s">
        <v>197</v>
      </c>
      <c r="D83" s="95" t="s">
        <v>239</v>
      </c>
      <c r="E83" s="27"/>
      <c r="F83" s="27">
        <v>4</v>
      </c>
      <c r="G83" s="27">
        <v>670.51</v>
      </c>
      <c r="H83" s="30"/>
      <c r="I83" s="146">
        <f>G83*2</f>
        <v>1341.02</v>
      </c>
    </row>
    <row r="84" spans="1:9" ht="31.5" customHeight="1">
      <c r="A84" s="21">
        <v>18</v>
      </c>
      <c r="B84" s="88" t="s">
        <v>216</v>
      </c>
      <c r="C84" s="40" t="s">
        <v>190</v>
      </c>
      <c r="D84" s="39" t="s">
        <v>240</v>
      </c>
      <c r="E84" s="27"/>
      <c r="F84" s="27">
        <v>3</v>
      </c>
      <c r="G84" s="27">
        <v>1421.68</v>
      </c>
      <c r="H84" s="30"/>
      <c r="I84" s="146">
        <f t="shared" ref="I84:I93" si="8">G84*1</f>
        <v>1421.68</v>
      </c>
    </row>
    <row r="85" spans="1:9" ht="31.5" customHeight="1">
      <c r="A85" s="21">
        <v>19</v>
      </c>
      <c r="B85" s="88" t="s">
        <v>225</v>
      </c>
      <c r="C85" s="40" t="s">
        <v>104</v>
      </c>
      <c r="D85" s="39" t="s">
        <v>237</v>
      </c>
      <c r="E85" s="27"/>
      <c r="F85" s="27">
        <v>1</v>
      </c>
      <c r="G85" s="27">
        <v>764.83</v>
      </c>
      <c r="H85" s="30"/>
      <c r="I85" s="146">
        <f t="shared" si="8"/>
        <v>764.83</v>
      </c>
    </row>
    <row r="86" spans="1:9" ht="32.25" customHeight="1">
      <c r="A86" s="21">
        <v>20</v>
      </c>
      <c r="B86" s="88" t="s">
        <v>226</v>
      </c>
      <c r="C86" s="40" t="s">
        <v>104</v>
      </c>
      <c r="D86" s="39" t="s">
        <v>237</v>
      </c>
      <c r="E86" s="27"/>
      <c r="F86" s="27">
        <v>1</v>
      </c>
      <c r="G86" s="27">
        <v>826.05</v>
      </c>
      <c r="H86" s="30"/>
      <c r="I86" s="146">
        <f t="shared" si="8"/>
        <v>826.05</v>
      </c>
    </row>
    <row r="87" spans="1:9" ht="15.75" customHeight="1">
      <c r="A87" s="21">
        <v>21</v>
      </c>
      <c r="B87" s="88" t="s">
        <v>227</v>
      </c>
      <c r="C87" s="40" t="s">
        <v>104</v>
      </c>
      <c r="D87" s="39"/>
      <c r="E87" s="27"/>
      <c r="F87" s="27">
        <v>1</v>
      </c>
      <c r="G87" s="27">
        <v>86</v>
      </c>
      <c r="H87" s="30"/>
      <c r="I87" s="146">
        <f t="shared" si="8"/>
        <v>86</v>
      </c>
    </row>
    <row r="88" spans="1:9" ht="15.75" customHeight="1">
      <c r="A88" s="21">
        <v>22</v>
      </c>
      <c r="B88" s="88" t="s">
        <v>228</v>
      </c>
      <c r="C88" s="40" t="s">
        <v>104</v>
      </c>
      <c r="D88" s="39"/>
      <c r="E88" s="27"/>
      <c r="F88" s="27">
        <v>1</v>
      </c>
      <c r="G88" s="27">
        <v>22</v>
      </c>
      <c r="H88" s="30"/>
      <c r="I88" s="146">
        <f t="shared" si="8"/>
        <v>22</v>
      </c>
    </row>
    <row r="89" spans="1:9" ht="15.75" customHeight="1">
      <c r="A89" s="21">
        <v>23</v>
      </c>
      <c r="B89" s="88" t="s">
        <v>229</v>
      </c>
      <c r="C89" s="40" t="s">
        <v>104</v>
      </c>
      <c r="D89" s="39"/>
      <c r="E89" s="27"/>
      <c r="F89" s="27">
        <v>1</v>
      </c>
      <c r="G89" s="27">
        <v>21</v>
      </c>
      <c r="H89" s="30"/>
      <c r="I89" s="146">
        <f t="shared" si="8"/>
        <v>21</v>
      </c>
    </row>
    <row r="90" spans="1:9" ht="15.75" customHeight="1">
      <c r="A90" s="21">
        <v>24</v>
      </c>
      <c r="B90" s="88" t="s">
        <v>230</v>
      </c>
      <c r="C90" s="40" t="s">
        <v>104</v>
      </c>
      <c r="D90" s="39"/>
      <c r="E90" s="27"/>
      <c r="F90" s="27">
        <v>1</v>
      </c>
      <c r="G90" s="27">
        <v>43</v>
      </c>
      <c r="H90" s="30"/>
      <c r="I90" s="146">
        <f t="shared" si="8"/>
        <v>43</v>
      </c>
    </row>
    <row r="91" spans="1:9" ht="15.75" customHeight="1">
      <c r="A91" s="21">
        <v>25</v>
      </c>
      <c r="B91" s="88" t="s">
        <v>231</v>
      </c>
      <c r="C91" s="40" t="s">
        <v>104</v>
      </c>
      <c r="D91" s="39"/>
      <c r="E91" s="27"/>
      <c r="F91" s="27">
        <v>1</v>
      </c>
      <c r="G91" s="27">
        <v>12</v>
      </c>
      <c r="H91" s="30"/>
      <c r="I91" s="146">
        <f t="shared" si="8"/>
        <v>12</v>
      </c>
    </row>
    <row r="92" spans="1:9" ht="15.75" customHeight="1">
      <c r="A92" s="21">
        <v>26</v>
      </c>
      <c r="B92" s="88" t="s">
        <v>232</v>
      </c>
      <c r="C92" s="151" t="s">
        <v>233</v>
      </c>
      <c r="D92" s="39" t="s">
        <v>238</v>
      </c>
      <c r="E92" s="27"/>
      <c r="F92" s="27">
        <v>1</v>
      </c>
      <c r="G92" s="27">
        <v>372.74</v>
      </c>
      <c r="H92" s="30"/>
      <c r="I92" s="146">
        <f t="shared" si="8"/>
        <v>372.74</v>
      </c>
    </row>
    <row r="93" spans="1:9" ht="30.75" customHeight="1">
      <c r="A93" s="21">
        <v>27</v>
      </c>
      <c r="B93" s="88" t="s">
        <v>234</v>
      </c>
      <c r="C93" s="40" t="s">
        <v>235</v>
      </c>
      <c r="D93" s="39" t="s">
        <v>236</v>
      </c>
      <c r="E93" s="27"/>
      <c r="F93" s="27">
        <v>1</v>
      </c>
      <c r="G93" s="27">
        <v>61.58</v>
      </c>
      <c r="H93" s="30"/>
      <c r="I93" s="146">
        <f t="shared" si="8"/>
        <v>61.58</v>
      </c>
    </row>
    <row r="94" spans="1:9" ht="28.5" customHeight="1">
      <c r="A94" s="21">
        <v>28</v>
      </c>
      <c r="B94" s="88" t="s">
        <v>168</v>
      </c>
      <c r="C94" s="40" t="s">
        <v>37</v>
      </c>
      <c r="D94" s="39" t="s">
        <v>175</v>
      </c>
      <c r="E94" s="27"/>
      <c r="F94" s="27">
        <v>0.05</v>
      </c>
      <c r="G94" s="27">
        <v>4070.89</v>
      </c>
      <c r="H94" s="30"/>
      <c r="I94" s="146">
        <v>0</v>
      </c>
    </row>
    <row r="95" spans="1:9" ht="28.5" customHeight="1">
      <c r="A95" s="21">
        <v>29</v>
      </c>
      <c r="B95" s="88" t="s">
        <v>210</v>
      </c>
      <c r="C95" s="40" t="s">
        <v>211</v>
      </c>
      <c r="D95" s="39" t="s">
        <v>241</v>
      </c>
      <c r="E95" s="27"/>
      <c r="F95" s="27">
        <f>1.24+0.157</f>
        <v>1.397</v>
      </c>
      <c r="G95" s="27">
        <v>5002.7299999999996</v>
      </c>
      <c r="H95" s="30"/>
      <c r="I95" s="146">
        <f>G95*0.157</f>
        <v>785.42860999999994</v>
      </c>
    </row>
    <row r="96" spans="1:9" ht="18" customHeight="1">
      <c r="A96" s="21">
        <v>30</v>
      </c>
      <c r="B96" s="88" t="s">
        <v>212</v>
      </c>
      <c r="C96" s="40" t="s">
        <v>104</v>
      </c>
      <c r="D96" s="39" t="s">
        <v>197</v>
      </c>
      <c r="E96" s="27"/>
      <c r="F96" s="27">
        <v>9</v>
      </c>
      <c r="G96" s="27">
        <v>330</v>
      </c>
      <c r="H96" s="30"/>
      <c r="I96" s="146">
        <f>G96*1</f>
        <v>330</v>
      </c>
    </row>
    <row r="97" spans="1:9" ht="15.75" customHeight="1">
      <c r="A97" s="21"/>
      <c r="B97" s="34" t="s">
        <v>49</v>
      </c>
      <c r="C97" s="30"/>
      <c r="D97" s="37"/>
      <c r="E97" s="30">
        <v>1</v>
      </c>
      <c r="F97" s="30"/>
      <c r="G97" s="30"/>
      <c r="H97" s="30"/>
      <c r="I97" s="24">
        <f>SUM(I83:I96)</f>
        <v>6087.3286099999996</v>
      </c>
    </row>
    <row r="98" spans="1:9" ht="15.75" customHeight="1">
      <c r="A98" s="21"/>
      <c r="B98" s="36" t="s">
        <v>75</v>
      </c>
      <c r="C98" s="12"/>
      <c r="D98" s="12"/>
      <c r="E98" s="31"/>
      <c r="F98" s="31"/>
      <c r="G98" s="32"/>
      <c r="H98" s="32"/>
      <c r="I98" s="14">
        <v>0</v>
      </c>
    </row>
    <row r="99" spans="1:9" ht="15.75" customHeight="1">
      <c r="A99" s="38"/>
      <c r="B99" s="35" t="s">
        <v>144</v>
      </c>
      <c r="C99" s="26"/>
      <c r="D99" s="26"/>
      <c r="E99" s="26"/>
      <c r="F99" s="26"/>
      <c r="G99" s="26"/>
      <c r="H99" s="26"/>
      <c r="I99" s="33">
        <f>I81+I97</f>
        <v>42441.689527999988</v>
      </c>
    </row>
    <row r="100" spans="1:9" ht="15.75">
      <c r="A100" s="172" t="s">
        <v>276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>
      <c r="A101" s="46"/>
      <c r="B101" s="167" t="s">
        <v>277</v>
      </c>
      <c r="C101" s="167"/>
      <c r="D101" s="167"/>
      <c r="E101" s="167"/>
      <c r="F101" s="167"/>
      <c r="G101" s="167"/>
      <c r="H101" s="57"/>
      <c r="I101" s="2"/>
    </row>
    <row r="102" spans="1:9">
      <c r="A102" s="49"/>
      <c r="B102" s="163" t="s">
        <v>6</v>
      </c>
      <c r="C102" s="163"/>
      <c r="D102" s="163"/>
      <c r="E102" s="163"/>
      <c r="F102" s="163"/>
      <c r="G102" s="163"/>
      <c r="H102" s="16"/>
      <c r="I102" s="4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>
      <c r="A104" s="168" t="s">
        <v>7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68" t="s">
        <v>8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69" t="s">
        <v>59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>
      <c r="A107" s="8"/>
    </row>
    <row r="108" spans="1:9" ht="15.75">
      <c r="A108" s="170" t="s">
        <v>9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15.75">
      <c r="A109" s="3"/>
    </row>
    <row r="110" spans="1:9" ht="15.75">
      <c r="B110" s="50" t="s">
        <v>10</v>
      </c>
      <c r="C110" s="162" t="s">
        <v>125</v>
      </c>
      <c r="D110" s="162"/>
      <c r="E110" s="162"/>
      <c r="F110" s="55"/>
      <c r="I110" s="48"/>
    </row>
    <row r="111" spans="1:9">
      <c r="A111" s="49"/>
      <c r="C111" s="163" t="s">
        <v>11</v>
      </c>
      <c r="D111" s="163"/>
      <c r="E111" s="163"/>
      <c r="F111" s="16"/>
      <c r="I111" s="47" t="s">
        <v>12</v>
      </c>
    </row>
    <row r="112" spans="1:9" ht="15.75">
      <c r="A112" s="17"/>
      <c r="C112" s="9"/>
      <c r="D112" s="9"/>
      <c r="G112" s="9"/>
      <c r="H112" s="9"/>
    </row>
    <row r="113" spans="1:9" ht="15.75">
      <c r="B113" s="50" t="s">
        <v>13</v>
      </c>
      <c r="C113" s="164"/>
      <c r="D113" s="164"/>
      <c r="E113" s="164"/>
      <c r="F113" s="56"/>
      <c r="I113" s="48"/>
    </row>
    <row r="114" spans="1:9">
      <c r="A114" s="49"/>
      <c r="C114" s="165" t="s">
        <v>11</v>
      </c>
      <c r="D114" s="165"/>
      <c r="E114" s="165"/>
      <c r="F114" s="49"/>
      <c r="I114" s="47" t="s">
        <v>12</v>
      </c>
    </row>
    <row r="115" spans="1:9" ht="15.75">
      <c r="A115" s="3" t="s">
        <v>14</v>
      </c>
    </row>
    <row r="116" spans="1:9">
      <c r="A116" s="166" t="s">
        <v>15</v>
      </c>
      <c r="B116" s="166"/>
      <c r="C116" s="166"/>
      <c r="D116" s="166"/>
      <c r="E116" s="166"/>
      <c r="F116" s="166"/>
      <c r="G116" s="166"/>
      <c r="H116" s="166"/>
      <c r="I116" s="166"/>
    </row>
    <row r="117" spans="1:9" ht="45" customHeight="1">
      <c r="A117" s="158" t="s">
        <v>16</v>
      </c>
      <c r="B117" s="158"/>
      <c r="C117" s="158"/>
      <c r="D117" s="158"/>
      <c r="E117" s="158"/>
      <c r="F117" s="158"/>
      <c r="G117" s="158"/>
      <c r="H117" s="158"/>
      <c r="I117" s="158"/>
    </row>
    <row r="118" spans="1:9" ht="30" customHeight="1">
      <c r="A118" s="158" t="s">
        <v>17</v>
      </c>
      <c r="B118" s="158"/>
      <c r="C118" s="158"/>
      <c r="D118" s="158"/>
      <c r="E118" s="158"/>
      <c r="F118" s="158"/>
      <c r="G118" s="158"/>
      <c r="H118" s="158"/>
      <c r="I118" s="158"/>
    </row>
    <row r="119" spans="1:9" ht="30" customHeight="1">
      <c r="A119" s="158" t="s">
        <v>21</v>
      </c>
      <c r="B119" s="158"/>
      <c r="C119" s="158"/>
      <c r="D119" s="158"/>
      <c r="E119" s="158"/>
      <c r="F119" s="158"/>
      <c r="G119" s="158"/>
      <c r="H119" s="158"/>
      <c r="I119" s="158"/>
    </row>
    <row r="120" spans="1:9" ht="15" customHeight="1">
      <c r="A120" s="158" t="s">
        <v>20</v>
      </c>
      <c r="B120" s="158"/>
      <c r="C120" s="158"/>
      <c r="D120" s="158"/>
      <c r="E120" s="158"/>
      <c r="F120" s="158"/>
      <c r="G120" s="158"/>
      <c r="H120" s="158"/>
      <c r="I120" s="158"/>
    </row>
  </sheetData>
  <mergeCells count="28">
    <mergeCell ref="A118:I118"/>
    <mergeCell ref="A119:I119"/>
    <mergeCell ref="A120:I120"/>
    <mergeCell ref="C110:E110"/>
    <mergeCell ref="C111:E111"/>
    <mergeCell ref="C113:E113"/>
    <mergeCell ref="C114:E114"/>
    <mergeCell ref="A116:I116"/>
    <mergeCell ref="A117:I117"/>
    <mergeCell ref="A108:I108"/>
    <mergeCell ref="A15:I15"/>
    <mergeCell ref="A28:I28"/>
    <mergeCell ref="A44:I44"/>
    <mergeCell ref="A55:I55"/>
    <mergeCell ref="A78:I78"/>
    <mergeCell ref="A100:I100"/>
    <mergeCell ref="B101:G101"/>
    <mergeCell ref="B102:G102"/>
    <mergeCell ref="A104:I104"/>
    <mergeCell ref="A105:I105"/>
    <mergeCell ref="A106:I106"/>
    <mergeCell ref="A14:I14"/>
    <mergeCell ref="A82:I82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  <rowBreaks count="1" manualBreakCount="1">
    <brk id="10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12"/>
  <sheetViews>
    <sheetView view="pageBreakPreview" topLeftCell="A81" zoomScale="60" workbookViewId="0">
      <selection activeCell="I93" sqref="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152</v>
      </c>
      <c r="I1" s="18"/>
    </row>
    <row r="2" spans="1:9" ht="15.75">
      <c r="A2" s="20" t="s">
        <v>60</v>
      </c>
    </row>
    <row r="3" spans="1:9" ht="15.75">
      <c r="A3" s="177" t="s">
        <v>141</v>
      </c>
      <c r="B3" s="177"/>
      <c r="C3" s="177"/>
      <c r="D3" s="177"/>
      <c r="E3" s="177"/>
      <c r="F3" s="177"/>
      <c r="G3" s="177"/>
      <c r="H3" s="177"/>
      <c r="I3" s="177"/>
    </row>
    <row r="4" spans="1:9" ht="31.5" customHeight="1">
      <c r="A4" s="178" t="s">
        <v>121</v>
      </c>
      <c r="B4" s="178"/>
      <c r="C4" s="178"/>
      <c r="D4" s="178"/>
      <c r="E4" s="178"/>
      <c r="F4" s="178"/>
      <c r="G4" s="178"/>
      <c r="H4" s="178"/>
      <c r="I4" s="178"/>
    </row>
    <row r="5" spans="1:9" ht="15.75">
      <c r="A5" s="177" t="s">
        <v>242</v>
      </c>
      <c r="B5" s="179"/>
      <c r="C5" s="179"/>
      <c r="D5" s="179"/>
      <c r="E5" s="179"/>
      <c r="F5" s="179"/>
      <c r="G5" s="179"/>
      <c r="H5" s="179"/>
      <c r="I5" s="179"/>
    </row>
    <row r="6" spans="1:9" ht="15.75">
      <c r="A6" s="1"/>
      <c r="B6" s="52"/>
      <c r="C6" s="52"/>
      <c r="D6" s="52"/>
      <c r="E6" s="52"/>
      <c r="F6" s="52"/>
      <c r="G6" s="52"/>
      <c r="H6" s="52"/>
      <c r="I6" s="22">
        <v>44104</v>
      </c>
    </row>
    <row r="7" spans="1:9" ht="15.75">
      <c r="B7" s="50"/>
      <c r="C7" s="50"/>
      <c r="D7" s="50"/>
      <c r="E7" s="2"/>
      <c r="F7" s="2"/>
      <c r="G7" s="2"/>
      <c r="H7" s="2"/>
    </row>
    <row r="8" spans="1:9" ht="78.75" customHeight="1">
      <c r="A8" s="180" t="s">
        <v>166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81" t="s">
        <v>143</v>
      </c>
      <c r="B10" s="181"/>
      <c r="C10" s="181"/>
      <c r="D10" s="181"/>
      <c r="E10" s="181"/>
      <c r="F10" s="181"/>
      <c r="G10" s="181"/>
      <c r="H10" s="181"/>
      <c r="I10" s="181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76" t="s">
        <v>57</v>
      </c>
      <c r="B14" s="176"/>
      <c r="C14" s="176"/>
      <c r="D14" s="176"/>
      <c r="E14" s="176"/>
      <c r="F14" s="176"/>
      <c r="G14" s="176"/>
      <c r="H14" s="176"/>
      <c r="I14" s="176"/>
    </row>
    <row r="15" spans="1:9">
      <c r="A15" s="171" t="s">
        <v>4</v>
      </c>
      <c r="B15" s="171"/>
      <c r="C15" s="171"/>
      <c r="D15" s="171"/>
      <c r="E15" s="171"/>
      <c r="F15" s="171"/>
      <c r="G15" s="171"/>
      <c r="H15" s="171"/>
      <c r="I15" s="171"/>
    </row>
    <row r="16" spans="1:9" ht="15.75" customHeight="1">
      <c r="A16" s="21">
        <v>1</v>
      </c>
      <c r="B16" s="25" t="s">
        <v>79</v>
      </c>
      <c r="C16" s="29" t="s">
        <v>80</v>
      </c>
      <c r="D16" s="25" t="s">
        <v>169</v>
      </c>
      <c r="E16" s="104">
        <v>55</v>
      </c>
      <c r="F16" s="105">
        <f>SUM(E16*156/100)</f>
        <v>85.8</v>
      </c>
      <c r="G16" s="105">
        <v>251.39</v>
      </c>
      <c r="H16" s="62">
        <f t="shared" ref="H16:H26" si="0">SUM(F16*G16/1000)</f>
        <v>21.569261999999998</v>
      </c>
      <c r="I16" s="10">
        <f>F16/12*G16</f>
        <v>1797.4384999999997</v>
      </c>
    </row>
    <row r="17" spans="1:9" ht="15.75" customHeight="1">
      <c r="A17" s="21">
        <v>2</v>
      </c>
      <c r="B17" s="25" t="s">
        <v>115</v>
      </c>
      <c r="C17" s="29" t="s">
        <v>80</v>
      </c>
      <c r="D17" s="25" t="s">
        <v>170</v>
      </c>
      <c r="E17" s="104">
        <v>165</v>
      </c>
      <c r="F17" s="105">
        <f>SUM(E17*104/100)</f>
        <v>171.6</v>
      </c>
      <c r="G17" s="105">
        <v>251.39</v>
      </c>
      <c r="H17" s="62">
        <f t="shared" si="0"/>
        <v>43.138523999999997</v>
      </c>
      <c r="I17" s="10">
        <f>F17/12*G17</f>
        <v>3594.8769999999995</v>
      </c>
    </row>
    <row r="18" spans="1:9" ht="15.75" customHeight="1">
      <c r="A18" s="21">
        <v>3</v>
      </c>
      <c r="B18" s="25" t="s">
        <v>116</v>
      </c>
      <c r="C18" s="29" t="s">
        <v>80</v>
      </c>
      <c r="D18" s="25" t="s">
        <v>185</v>
      </c>
      <c r="E18" s="104">
        <f>SUM(E16+E17)</f>
        <v>220</v>
      </c>
      <c r="F18" s="105">
        <f>SUM(E18*18/100)</f>
        <v>39.6</v>
      </c>
      <c r="G18" s="105">
        <v>723.23</v>
      </c>
      <c r="H18" s="62">
        <f t="shared" si="0"/>
        <v>28.639908000000002</v>
      </c>
      <c r="I18" s="10">
        <f>F18/18*2*G18</f>
        <v>3182.2120000000004</v>
      </c>
    </row>
    <row r="19" spans="1:9" ht="15.75" hidden="1" customHeight="1">
      <c r="A19" s="21">
        <v>4</v>
      </c>
      <c r="B19" s="25" t="s">
        <v>87</v>
      </c>
      <c r="C19" s="29" t="s">
        <v>88</v>
      </c>
      <c r="D19" s="25" t="s">
        <v>89</v>
      </c>
      <c r="E19" s="104">
        <v>26.02</v>
      </c>
      <c r="F19" s="105">
        <f>SUM(E19/10)</f>
        <v>2.6019999999999999</v>
      </c>
      <c r="G19" s="105">
        <v>243.94</v>
      </c>
      <c r="H19" s="62">
        <f t="shared" si="0"/>
        <v>0.63473187999999992</v>
      </c>
      <c r="I19" s="10">
        <f>F19*G19</f>
        <v>634.73187999999993</v>
      </c>
    </row>
    <row r="20" spans="1:9" ht="15.75" customHeight="1">
      <c r="A20" s="21">
        <v>4</v>
      </c>
      <c r="B20" s="25" t="s">
        <v>90</v>
      </c>
      <c r="C20" s="29" t="s">
        <v>80</v>
      </c>
      <c r="D20" s="25" t="s">
        <v>174</v>
      </c>
      <c r="E20" s="104">
        <v>12.24</v>
      </c>
      <c r="F20" s="105">
        <f>SUM(E20*12/100)</f>
        <v>1.4687999999999999</v>
      </c>
      <c r="G20" s="105">
        <v>312.35000000000002</v>
      </c>
      <c r="H20" s="62">
        <f t="shared" si="0"/>
        <v>0.45877967999999997</v>
      </c>
      <c r="I20" s="10">
        <f>F20/12*G20</f>
        <v>38.231639999999999</v>
      </c>
    </row>
    <row r="21" spans="1:9" ht="15.75" customHeight="1">
      <c r="A21" s="21">
        <v>5</v>
      </c>
      <c r="B21" s="25" t="s">
        <v>91</v>
      </c>
      <c r="C21" s="29" t="s">
        <v>80</v>
      </c>
      <c r="D21" s="25" t="s">
        <v>174</v>
      </c>
      <c r="E21" s="104">
        <v>10.08</v>
      </c>
      <c r="F21" s="105">
        <f>SUM(E21*12/100)</f>
        <v>1.2096</v>
      </c>
      <c r="G21" s="105">
        <v>309.81</v>
      </c>
      <c r="H21" s="62">
        <f t="shared" si="0"/>
        <v>0.37474617599999999</v>
      </c>
      <c r="I21" s="10">
        <f>F21/12*G21</f>
        <v>31.228847999999999</v>
      </c>
    </row>
    <row r="22" spans="1:9" ht="15.75" hidden="1" customHeight="1">
      <c r="A22" s="21">
        <v>7</v>
      </c>
      <c r="B22" s="25" t="s">
        <v>92</v>
      </c>
      <c r="C22" s="29" t="s">
        <v>51</v>
      </c>
      <c r="D22" s="25" t="s">
        <v>89</v>
      </c>
      <c r="E22" s="104">
        <v>293.76</v>
      </c>
      <c r="F22" s="105">
        <f>SUM(E22/100)</f>
        <v>2.9375999999999998</v>
      </c>
      <c r="G22" s="105">
        <v>386</v>
      </c>
      <c r="H22" s="62">
        <f t="shared" si="0"/>
        <v>1.1339135999999999</v>
      </c>
      <c r="I22" s="10">
        <f>F22*G22</f>
        <v>1133.9135999999999</v>
      </c>
    </row>
    <row r="23" spans="1:9" ht="15.75" hidden="1" customHeight="1">
      <c r="A23" s="21">
        <v>8</v>
      </c>
      <c r="B23" s="25" t="s">
        <v>93</v>
      </c>
      <c r="C23" s="29" t="s">
        <v>51</v>
      </c>
      <c r="D23" s="25" t="s">
        <v>89</v>
      </c>
      <c r="E23" s="136">
        <v>20</v>
      </c>
      <c r="F23" s="105">
        <f>SUM(E23/100)</f>
        <v>0.2</v>
      </c>
      <c r="G23" s="105">
        <v>63.49</v>
      </c>
      <c r="H23" s="62">
        <f t="shared" si="0"/>
        <v>1.2698000000000001E-2</v>
      </c>
      <c r="I23" s="10">
        <f t="shared" ref="I23:I26" si="1">F23*G23</f>
        <v>12.698</v>
      </c>
    </row>
    <row r="24" spans="1:9" ht="15.75" hidden="1" customHeight="1">
      <c r="A24" s="21">
        <v>9</v>
      </c>
      <c r="B24" s="25" t="s">
        <v>94</v>
      </c>
      <c r="C24" s="29" t="s">
        <v>51</v>
      </c>
      <c r="D24" s="25" t="s">
        <v>95</v>
      </c>
      <c r="E24" s="104">
        <v>8.6</v>
      </c>
      <c r="F24" s="105">
        <f>E24/100</f>
        <v>8.5999999999999993E-2</v>
      </c>
      <c r="G24" s="105">
        <v>558.66999999999996</v>
      </c>
      <c r="H24" s="62">
        <f t="shared" si="0"/>
        <v>4.804561999999999E-2</v>
      </c>
      <c r="I24" s="10">
        <f t="shared" si="1"/>
        <v>48.045619999999992</v>
      </c>
    </row>
    <row r="25" spans="1:9" ht="15.75" hidden="1" customHeight="1">
      <c r="A25" s="21">
        <v>10</v>
      </c>
      <c r="B25" s="25" t="s">
        <v>96</v>
      </c>
      <c r="C25" s="29" t="s">
        <v>51</v>
      </c>
      <c r="D25" s="25" t="s">
        <v>52</v>
      </c>
      <c r="E25" s="104">
        <v>12.6</v>
      </c>
      <c r="F25" s="105">
        <f>E25/100</f>
        <v>0.126</v>
      </c>
      <c r="G25" s="105">
        <v>309.81</v>
      </c>
      <c r="H25" s="62">
        <f>G25*F25/1000</f>
        <v>3.9036059999999997E-2</v>
      </c>
      <c r="I25" s="10">
        <f t="shared" si="1"/>
        <v>39.036059999999999</v>
      </c>
    </row>
    <row r="26" spans="1:9" ht="15.75" hidden="1" customHeight="1">
      <c r="A26" s="21">
        <v>11</v>
      </c>
      <c r="B26" s="25" t="s">
        <v>97</v>
      </c>
      <c r="C26" s="29" t="s">
        <v>51</v>
      </c>
      <c r="D26" s="25" t="s">
        <v>89</v>
      </c>
      <c r="E26" s="104">
        <v>14.4</v>
      </c>
      <c r="F26" s="105">
        <f>SUM(E26/100)</f>
        <v>0.14400000000000002</v>
      </c>
      <c r="G26" s="105">
        <v>746.6</v>
      </c>
      <c r="H26" s="62">
        <f t="shared" si="0"/>
        <v>0.10751040000000002</v>
      </c>
      <c r="I26" s="10">
        <f t="shared" si="1"/>
        <v>107.51040000000002</v>
      </c>
    </row>
    <row r="27" spans="1:9" ht="15.75" customHeight="1">
      <c r="A27" s="21">
        <v>6</v>
      </c>
      <c r="B27" s="25" t="s">
        <v>154</v>
      </c>
      <c r="C27" s="29" t="s">
        <v>31</v>
      </c>
      <c r="D27" s="25" t="s">
        <v>180</v>
      </c>
      <c r="E27" s="106">
        <v>0.1</v>
      </c>
      <c r="F27" s="105">
        <f>SUM(E27*258)</f>
        <v>25.8</v>
      </c>
      <c r="G27" s="105">
        <v>370.77</v>
      </c>
      <c r="H27" s="62">
        <f>SUM(F27*G27/1000)</f>
        <v>9.5658659999999998</v>
      </c>
      <c r="I27" s="10">
        <f>F27/12*G27</f>
        <v>797.15549999999996</v>
      </c>
    </row>
    <row r="28" spans="1:9" ht="15.75" customHeight="1">
      <c r="A28" s="159" t="s">
        <v>78</v>
      </c>
      <c r="B28" s="160"/>
      <c r="C28" s="160"/>
      <c r="D28" s="160"/>
      <c r="E28" s="160"/>
      <c r="F28" s="160"/>
      <c r="G28" s="160"/>
      <c r="H28" s="160"/>
      <c r="I28" s="161"/>
    </row>
    <row r="29" spans="1:9" ht="15.75" customHeight="1">
      <c r="A29" s="21"/>
      <c r="B29" s="78" t="s">
        <v>27</v>
      </c>
      <c r="C29" s="59"/>
      <c r="D29" s="58"/>
      <c r="E29" s="60"/>
      <c r="F29" s="61"/>
      <c r="G29" s="61"/>
      <c r="H29" s="62"/>
      <c r="I29" s="10"/>
    </row>
    <row r="30" spans="1:9" ht="15.75" customHeight="1">
      <c r="A30" s="21">
        <v>7</v>
      </c>
      <c r="B30" s="25" t="s">
        <v>102</v>
      </c>
      <c r="C30" s="29" t="s">
        <v>83</v>
      </c>
      <c r="D30" s="25" t="s">
        <v>171</v>
      </c>
      <c r="E30" s="105">
        <v>124</v>
      </c>
      <c r="F30" s="105">
        <f>SUM(E30*24/1000)</f>
        <v>2.976</v>
      </c>
      <c r="G30" s="105">
        <v>223.46</v>
      </c>
      <c r="H30" s="62">
        <f t="shared" ref="H30:H32" si="2">SUM(F30*G30/1000)</f>
        <v>0.66501695999999999</v>
      </c>
      <c r="I30" s="10">
        <f>F30/6*G30</f>
        <v>110.83616000000001</v>
      </c>
    </row>
    <row r="31" spans="1:9" ht="31.5" customHeight="1">
      <c r="A31" s="21">
        <v>8</v>
      </c>
      <c r="B31" s="25" t="s">
        <v>101</v>
      </c>
      <c r="C31" s="29" t="s">
        <v>83</v>
      </c>
      <c r="D31" s="25" t="s">
        <v>170</v>
      </c>
      <c r="E31" s="105">
        <v>128</v>
      </c>
      <c r="F31" s="105">
        <f>SUM(E31*52/1000)</f>
        <v>6.6559999999999997</v>
      </c>
      <c r="G31" s="105">
        <v>370.77</v>
      </c>
      <c r="H31" s="62">
        <f t="shared" si="2"/>
        <v>2.4678451199999998</v>
      </c>
      <c r="I31" s="10">
        <f t="shared" ref="I31:I33" si="3">F31/6*G31</f>
        <v>411.30751999999995</v>
      </c>
    </row>
    <row r="32" spans="1:9" ht="15.75" hidden="1" customHeight="1">
      <c r="A32" s="21">
        <v>16</v>
      </c>
      <c r="B32" s="25" t="s">
        <v>26</v>
      </c>
      <c r="C32" s="29" t="s">
        <v>83</v>
      </c>
      <c r="D32" s="25" t="s">
        <v>52</v>
      </c>
      <c r="E32" s="105">
        <v>124</v>
      </c>
      <c r="F32" s="105">
        <f>SUM(E32/1000)</f>
        <v>0.124</v>
      </c>
      <c r="G32" s="105">
        <v>4329.78</v>
      </c>
      <c r="H32" s="62">
        <f t="shared" si="2"/>
        <v>0.53689271999999999</v>
      </c>
      <c r="I32" s="10">
        <f>F32*G32</f>
        <v>536.89271999999994</v>
      </c>
    </row>
    <row r="33" spans="1:9" ht="15.75" customHeight="1">
      <c r="A33" s="21">
        <v>9</v>
      </c>
      <c r="B33" s="25" t="s">
        <v>167</v>
      </c>
      <c r="C33" s="29" t="s">
        <v>39</v>
      </c>
      <c r="D33" s="25" t="s">
        <v>172</v>
      </c>
      <c r="E33" s="137">
        <v>1</v>
      </c>
      <c r="F33" s="105">
        <f>E33*155/100</f>
        <v>1.55</v>
      </c>
      <c r="G33" s="105">
        <v>1866.51</v>
      </c>
      <c r="H33" s="62">
        <f>SUM(G33*155/3/1000)</f>
        <v>96.43634999999999</v>
      </c>
      <c r="I33" s="10">
        <f t="shared" si="3"/>
        <v>482.18175000000002</v>
      </c>
    </row>
    <row r="34" spans="1:9" ht="15.75" hidden="1" customHeight="1">
      <c r="A34" s="21"/>
      <c r="B34" s="58" t="s">
        <v>62</v>
      </c>
      <c r="C34" s="59" t="s">
        <v>31</v>
      </c>
      <c r="D34" s="58" t="s">
        <v>64</v>
      </c>
      <c r="E34" s="60"/>
      <c r="F34" s="61">
        <v>2</v>
      </c>
      <c r="G34" s="61">
        <v>204.52</v>
      </c>
      <c r="H34" s="62">
        <f t="shared" ref="H34:H35" si="4">SUM(F34*G34/1000)</f>
        <v>0.40904000000000001</v>
      </c>
      <c r="I34" s="10">
        <v>0</v>
      </c>
    </row>
    <row r="35" spans="1:9" ht="15.75" hidden="1" customHeight="1">
      <c r="A35" s="21"/>
      <c r="B35" s="58" t="s">
        <v>63</v>
      </c>
      <c r="C35" s="59" t="s">
        <v>30</v>
      </c>
      <c r="D35" s="58" t="s">
        <v>64</v>
      </c>
      <c r="E35" s="60"/>
      <c r="F35" s="61">
        <v>1</v>
      </c>
      <c r="G35" s="61">
        <v>1214.74</v>
      </c>
      <c r="H35" s="62">
        <f t="shared" si="4"/>
        <v>1.2147399999999999</v>
      </c>
      <c r="I35" s="10">
        <v>0</v>
      </c>
    </row>
    <row r="36" spans="1:9" ht="15.75" hidden="1" customHeight="1">
      <c r="A36" s="21"/>
      <c r="B36" s="78" t="s">
        <v>5</v>
      </c>
      <c r="C36" s="59"/>
      <c r="D36" s="58"/>
      <c r="E36" s="60"/>
      <c r="F36" s="61"/>
      <c r="G36" s="61"/>
      <c r="H36" s="62" t="s">
        <v>113</v>
      </c>
      <c r="I36" s="10"/>
    </row>
    <row r="37" spans="1:9" ht="15.75" hidden="1" customHeight="1">
      <c r="A37" s="21">
        <v>8</v>
      </c>
      <c r="B37" s="58" t="s">
        <v>25</v>
      </c>
      <c r="C37" s="59" t="s">
        <v>30</v>
      </c>
      <c r="D37" s="58"/>
      <c r="E37" s="60"/>
      <c r="F37" s="61">
        <v>5</v>
      </c>
      <c r="G37" s="61">
        <v>1632.6</v>
      </c>
      <c r="H37" s="62">
        <f t="shared" ref="H37:H43" si="5">SUM(F37*G37/1000)</f>
        <v>8.1630000000000003</v>
      </c>
      <c r="I37" s="10">
        <f>F37/6*G37</f>
        <v>1360.5</v>
      </c>
    </row>
    <row r="38" spans="1:9" ht="15.75" hidden="1" customHeight="1">
      <c r="A38" s="21">
        <v>9</v>
      </c>
      <c r="B38" s="58" t="s">
        <v>117</v>
      </c>
      <c r="C38" s="59" t="s">
        <v>28</v>
      </c>
      <c r="D38" s="58" t="s">
        <v>81</v>
      </c>
      <c r="E38" s="60">
        <v>186.39</v>
      </c>
      <c r="F38" s="61">
        <f>E38*30/1000</f>
        <v>5.5916999999999994</v>
      </c>
      <c r="G38" s="61">
        <v>2247.8000000000002</v>
      </c>
      <c r="H38" s="62">
        <f>G38*F38/1000</f>
        <v>12.56902326</v>
      </c>
      <c r="I38" s="10">
        <f>F38/6*G38</f>
        <v>2094.8372100000001</v>
      </c>
    </row>
    <row r="39" spans="1:9" ht="15.75" hidden="1" customHeight="1">
      <c r="A39" s="21"/>
      <c r="B39" s="58" t="s">
        <v>127</v>
      </c>
      <c r="C39" s="59" t="s">
        <v>128</v>
      </c>
      <c r="D39" s="58" t="s">
        <v>64</v>
      </c>
      <c r="E39" s="60"/>
      <c r="F39" s="61">
        <v>72.3</v>
      </c>
      <c r="G39" s="61">
        <v>199.44</v>
      </c>
      <c r="H39" s="62">
        <f>G39*F39/1000</f>
        <v>14.419511999999999</v>
      </c>
      <c r="I39" s="10">
        <v>0</v>
      </c>
    </row>
    <row r="40" spans="1:9" ht="15.75" hidden="1" customHeight="1">
      <c r="A40" s="21">
        <v>10</v>
      </c>
      <c r="B40" s="58" t="s">
        <v>65</v>
      </c>
      <c r="C40" s="59" t="s">
        <v>28</v>
      </c>
      <c r="D40" s="58" t="s">
        <v>82</v>
      </c>
      <c r="E40" s="61">
        <v>186.39</v>
      </c>
      <c r="F40" s="61">
        <f>SUM(E40*155/1000)</f>
        <v>28.890449999999998</v>
      </c>
      <c r="G40" s="61">
        <v>374.95</v>
      </c>
      <c r="H40" s="62">
        <f t="shared" si="5"/>
        <v>10.832474227499999</v>
      </c>
      <c r="I40" s="10">
        <f>F40/6*G40</f>
        <v>1805.4123712499998</v>
      </c>
    </row>
    <row r="41" spans="1:9" ht="47.25" hidden="1" customHeight="1">
      <c r="A41" s="21">
        <v>11</v>
      </c>
      <c r="B41" s="58" t="s">
        <v>77</v>
      </c>
      <c r="C41" s="59" t="s">
        <v>83</v>
      </c>
      <c r="D41" s="58" t="s">
        <v>118</v>
      </c>
      <c r="E41" s="61">
        <v>52.2</v>
      </c>
      <c r="F41" s="61">
        <f>SUM(E41*35/1000)</f>
        <v>1.827</v>
      </c>
      <c r="G41" s="61">
        <v>6203.7</v>
      </c>
      <c r="H41" s="62">
        <f t="shared" si="5"/>
        <v>11.3341599</v>
      </c>
      <c r="I41" s="10">
        <f>F41/6*G41</f>
        <v>1889.0266499999998</v>
      </c>
    </row>
    <row r="42" spans="1:9" ht="15.75" hidden="1" customHeight="1">
      <c r="A42" s="21">
        <v>12</v>
      </c>
      <c r="B42" s="58" t="s">
        <v>119</v>
      </c>
      <c r="C42" s="59" t="s">
        <v>83</v>
      </c>
      <c r="D42" s="58" t="s">
        <v>66</v>
      </c>
      <c r="E42" s="61">
        <v>52.2</v>
      </c>
      <c r="F42" s="61">
        <f>SUM(E42*45/1000)</f>
        <v>2.3490000000000002</v>
      </c>
      <c r="G42" s="61">
        <v>458.28</v>
      </c>
      <c r="H42" s="62">
        <f t="shared" si="5"/>
        <v>1.0764997199999999</v>
      </c>
      <c r="I42" s="10">
        <f>F42/6*G42</f>
        <v>179.41661999999999</v>
      </c>
    </row>
    <row r="43" spans="1:9" ht="15.75" hidden="1" customHeight="1">
      <c r="A43" s="21">
        <v>13</v>
      </c>
      <c r="B43" s="58" t="s">
        <v>67</v>
      </c>
      <c r="C43" s="59" t="s">
        <v>31</v>
      </c>
      <c r="D43" s="58"/>
      <c r="E43" s="60"/>
      <c r="F43" s="61">
        <v>0.5</v>
      </c>
      <c r="G43" s="61">
        <v>853.06</v>
      </c>
      <c r="H43" s="62">
        <f t="shared" si="5"/>
        <v>0.42652999999999996</v>
      </c>
      <c r="I43" s="10">
        <f>F43/6*G43</f>
        <v>71.088333333333324</v>
      </c>
    </row>
    <row r="44" spans="1:9" ht="15.75" customHeight="1">
      <c r="A44" s="159" t="s">
        <v>122</v>
      </c>
      <c r="B44" s="160"/>
      <c r="C44" s="160"/>
      <c r="D44" s="160"/>
      <c r="E44" s="160"/>
      <c r="F44" s="160"/>
      <c r="G44" s="160"/>
      <c r="H44" s="160"/>
      <c r="I44" s="161"/>
    </row>
    <row r="45" spans="1:9" ht="15.75" customHeight="1">
      <c r="A45" s="21">
        <v>10</v>
      </c>
      <c r="B45" s="25" t="s">
        <v>103</v>
      </c>
      <c r="C45" s="29" t="s">
        <v>83</v>
      </c>
      <c r="D45" s="25" t="s">
        <v>173</v>
      </c>
      <c r="E45" s="104">
        <v>917.8</v>
      </c>
      <c r="F45" s="105">
        <f>SUM(E45*2/1000)</f>
        <v>1.8355999999999999</v>
      </c>
      <c r="G45" s="27">
        <v>1160.81</v>
      </c>
      <c r="H45" s="62">
        <f t="shared" ref="H45:H54" si="6">SUM(F45*G45/1000)</f>
        <v>2.1307828359999998</v>
      </c>
      <c r="I45" s="10">
        <f t="shared" ref="I45:I48" si="7">F45/2*G45</f>
        <v>1065.3914179999999</v>
      </c>
    </row>
    <row r="46" spans="1:9" ht="15.75" customHeight="1">
      <c r="A46" s="21">
        <v>11</v>
      </c>
      <c r="B46" s="25" t="s">
        <v>34</v>
      </c>
      <c r="C46" s="29" t="s">
        <v>83</v>
      </c>
      <c r="D46" s="25" t="s">
        <v>173</v>
      </c>
      <c r="E46" s="104">
        <v>48</v>
      </c>
      <c r="F46" s="105">
        <f>E46*2/1000</f>
        <v>9.6000000000000002E-2</v>
      </c>
      <c r="G46" s="27">
        <v>830.69</v>
      </c>
      <c r="H46" s="62">
        <f t="shared" si="6"/>
        <v>7.9746239999999996E-2</v>
      </c>
      <c r="I46" s="10">
        <f t="shared" si="7"/>
        <v>39.87312</v>
      </c>
    </row>
    <row r="47" spans="1:9" ht="15.75" customHeight="1">
      <c r="A47" s="21">
        <v>12</v>
      </c>
      <c r="B47" s="25" t="s">
        <v>35</v>
      </c>
      <c r="C47" s="29" t="s">
        <v>83</v>
      </c>
      <c r="D47" s="25" t="s">
        <v>173</v>
      </c>
      <c r="E47" s="104">
        <v>937.4</v>
      </c>
      <c r="F47" s="105">
        <f>SUM(E47*2/1000)</f>
        <v>1.8748</v>
      </c>
      <c r="G47" s="27">
        <v>830.69</v>
      </c>
      <c r="H47" s="62">
        <f t="shared" si="6"/>
        <v>1.5573776120000002</v>
      </c>
      <c r="I47" s="10">
        <f t="shared" si="7"/>
        <v>778.68880600000011</v>
      </c>
    </row>
    <row r="48" spans="1:9" ht="15.75" customHeight="1">
      <c r="A48" s="21">
        <v>13</v>
      </c>
      <c r="B48" s="25" t="s">
        <v>36</v>
      </c>
      <c r="C48" s="29" t="s">
        <v>83</v>
      </c>
      <c r="D48" s="25" t="s">
        <v>186</v>
      </c>
      <c r="E48" s="104">
        <v>1243.28</v>
      </c>
      <c r="F48" s="105">
        <f>SUM(E48*2/1000)</f>
        <v>2.4865599999999999</v>
      </c>
      <c r="G48" s="27">
        <v>869.86</v>
      </c>
      <c r="H48" s="62">
        <f t="shared" si="6"/>
        <v>2.1629590815999999</v>
      </c>
      <c r="I48" s="10">
        <f t="shared" si="7"/>
        <v>1081.4795408</v>
      </c>
    </row>
    <row r="49" spans="1:9" ht="15.75" customHeight="1">
      <c r="A49" s="21">
        <v>14</v>
      </c>
      <c r="B49" s="25" t="s">
        <v>32</v>
      </c>
      <c r="C49" s="29" t="s">
        <v>33</v>
      </c>
      <c r="D49" s="25" t="s">
        <v>173</v>
      </c>
      <c r="E49" s="104">
        <v>64.5</v>
      </c>
      <c r="F49" s="105">
        <f>SUM(E49*2/100)</f>
        <v>1.29</v>
      </c>
      <c r="G49" s="27">
        <v>104.38</v>
      </c>
      <c r="H49" s="62">
        <f t="shared" si="6"/>
        <v>0.1346502</v>
      </c>
      <c r="I49" s="10">
        <f>F49/2*G49</f>
        <v>67.325099999999992</v>
      </c>
    </row>
    <row r="50" spans="1:9" ht="15.75" customHeight="1">
      <c r="A50" s="21">
        <v>15</v>
      </c>
      <c r="B50" s="25" t="s">
        <v>54</v>
      </c>
      <c r="C50" s="29" t="s">
        <v>83</v>
      </c>
      <c r="D50" s="25" t="s">
        <v>173</v>
      </c>
      <c r="E50" s="104">
        <v>2054.6</v>
      </c>
      <c r="F50" s="105">
        <f>SUM(E50*5/1000)</f>
        <v>10.273</v>
      </c>
      <c r="G50" s="27">
        <v>1739.68</v>
      </c>
      <c r="H50" s="62">
        <f t="shared" si="6"/>
        <v>17.871732639999998</v>
      </c>
      <c r="I50" s="10">
        <f>F50/5*G50</f>
        <v>3574.3465279999996</v>
      </c>
    </row>
    <row r="51" spans="1:9" ht="31.5" customHeight="1">
      <c r="A51" s="21">
        <v>16</v>
      </c>
      <c r="B51" s="25" t="s">
        <v>84</v>
      </c>
      <c r="C51" s="29" t="s">
        <v>83</v>
      </c>
      <c r="D51" s="25" t="s">
        <v>173</v>
      </c>
      <c r="E51" s="104">
        <v>2054.6</v>
      </c>
      <c r="F51" s="105">
        <f>SUM(E51*2/1000)</f>
        <v>4.1091999999999995</v>
      </c>
      <c r="G51" s="27">
        <v>1739.68</v>
      </c>
      <c r="H51" s="62">
        <f t="shared" si="6"/>
        <v>7.148693055999999</v>
      </c>
      <c r="I51" s="10">
        <f>G51*F51/2</f>
        <v>3574.3465279999996</v>
      </c>
    </row>
    <row r="52" spans="1:9" ht="31.5" customHeight="1">
      <c r="A52" s="21">
        <v>17</v>
      </c>
      <c r="B52" s="25" t="s">
        <v>85</v>
      </c>
      <c r="C52" s="29" t="s">
        <v>37</v>
      </c>
      <c r="D52" s="25" t="s">
        <v>173</v>
      </c>
      <c r="E52" s="104">
        <v>12</v>
      </c>
      <c r="F52" s="105">
        <f>SUM(E52*2/100)</f>
        <v>0.24</v>
      </c>
      <c r="G52" s="27">
        <v>3914.31</v>
      </c>
      <c r="H52" s="62">
        <f t="shared" si="6"/>
        <v>0.9394344</v>
      </c>
      <c r="I52" s="10">
        <f>G52*F52/2</f>
        <v>469.71719999999999</v>
      </c>
    </row>
    <row r="53" spans="1:9" ht="15.75" customHeight="1">
      <c r="A53" s="21">
        <v>18</v>
      </c>
      <c r="B53" s="25" t="s">
        <v>38</v>
      </c>
      <c r="C53" s="29" t="s">
        <v>39</v>
      </c>
      <c r="D53" s="25" t="s">
        <v>173</v>
      </c>
      <c r="E53" s="104">
        <v>1</v>
      </c>
      <c r="F53" s="105">
        <v>0.02</v>
      </c>
      <c r="G53" s="27">
        <v>8102.62</v>
      </c>
      <c r="H53" s="62">
        <f t="shared" si="6"/>
        <v>0.16205240000000001</v>
      </c>
      <c r="I53" s="10">
        <f>G53*F53/2</f>
        <v>81.026200000000003</v>
      </c>
    </row>
    <row r="54" spans="1:9" ht="15.75" hidden="1" customHeight="1">
      <c r="A54" s="21">
        <v>17</v>
      </c>
      <c r="B54" s="58" t="s">
        <v>40</v>
      </c>
      <c r="C54" s="59" t="s">
        <v>104</v>
      </c>
      <c r="D54" s="58" t="s">
        <v>68</v>
      </c>
      <c r="E54" s="60">
        <v>72</v>
      </c>
      <c r="F54" s="61">
        <f>SUM(E54)*3</f>
        <v>216</v>
      </c>
      <c r="G54" s="10">
        <v>70.209999999999994</v>
      </c>
      <c r="H54" s="62">
        <f t="shared" si="6"/>
        <v>15.165359999999998</v>
      </c>
      <c r="I54" s="10">
        <f>E54*G54</f>
        <v>5055.12</v>
      </c>
    </row>
    <row r="55" spans="1:9" ht="15.75" customHeight="1">
      <c r="A55" s="159" t="s">
        <v>123</v>
      </c>
      <c r="B55" s="160"/>
      <c r="C55" s="160"/>
      <c r="D55" s="160"/>
      <c r="E55" s="160"/>
      <c r="F55" s="160"/>
      <c r="G55" s="160"/>
      <c r="H55" s="160"/>
      <c r="I55" s="161"/>
    </row>
    <row r="56" spans="1:9" ht="15.75" hidden="1" customHeight="1">
      <c r="A56" s="21"/>
      <c r="B56" s="78" t="s">
        <v>42</v>
      </c>
      <c r="C56" s="59"/>
      <c r="D56" s="58"/>
      <c r="E56" s="60"/>
      <c r="F56" s="61"/>
      <c r="G56" s="61"/>
      <c r="H56" s="62"/>
      <c r="I56" s="10"/>
    </row>
    <row r="57" spans="1:9" ht="31.5" hidden="1" customHeight="1">
      <c r="A57" s="21">
        <v>16</v>
      </c>
      <c r="B57" s="58" t="s">
        <v>105</v>
      </c>
      <c r="C57" s="59" t="s">
        <v>80</v>
      </c>
      <c r="D57" s="58" t="s">
        <v>106</v>
      </c>
      <c r="E57" s="60">
        <v>110.66</v>
      </c>
      <c r="F57" s="61">
        <f>SUM(E57*6/100)</f>
        <v>6.6396000000000006</v>
      </c>
      <c r="G57" s="10">
        <v>1654.04</v>
      </c>
      <c r="H57" s="62">
        <f>SUM(F57*G57/1000)</f>
        <v>10.982163984000001</v>
      </c>
      <c r="I57" s="10">
        <f>F57/6*G57</f>
        <v>1830.360664</v>
      </c>
    </row>
    <row r="58" spans="1:9" ht="18" customHeight="1">
      <c r="A58" s="21"/>
      <c r="B58" s="115" t="s">
        <v>157</v>
      </c>
      <c r="C58" s="111"/>
      <c r="D58" s="110"/>
      <c r="E58" s="112"/>
      <c r="F58" s="116"/>
      <c r="G58" s="27"/>
      <c r="H58" s="97"/>
      <c r="I58" s="10"/>
    </row>
    <row r="59" spans="1:9" ht="16.5" customHeight="1">
      <c r="A59" s="21">
        <v>19</v>
      </c>
      <c r="B59" s="95" t="s">
        <v>149</v>
      </c>
      <c r="C59" s="117" t="s">
        <v>150</v>
      </c>
      <c r="D59" s="95" t="s">
        <v>173</v>
      </c>
      <c r="E59" s="130">
        <v>120</v>
      </c>
      <c r="F59" s="116">
        <f>E59*12</f>
        <v>1440</v>
      </c>
      <c r="G59" s="27">
        <v>1.4</v>
      </c>
      <c r="H59" s="71"/>
      <c r="I59" s="10">
        <f>G59*F59/12</f>
        <v>167.99999999999997</v>
      </c>
    </row>
    <row r="60" spans="1:9" ht="15.75" customHeight="1">
      <c r="A60" s="21"/>
      <c r="B60" s="79" t="s">
        <v>43</v>
      </c>
      <c r="C60" s="67"/>
      <c r="D60" s="68"/>
      <c r="E60" s="69"/>
      <c r="F60" s="70"/>
      <c r="G60" s="70"/>
      <c r="H60" s="71" t="s">
        <v>113</v>
      </c>
      <c r="I60" s="10"/>
    </row>
    <row r="61" spans="1:9" ht="15.75" customHeight="1">
      <c r="A61" s="21">
        <v>20</v>
      </c>
      <c r="B61" s="11" t="s">
        <v>44</v>
      </c>
      <c r="C61" s="13" t="s">
        <v>104</v>
      </c>
      <c r="D61" s="11" t="s">
        <v>173</v>
      </c>
      <c r="E61" s="15">
        <v>8</v>
      </c>
      <c r="F61" s="61">
        <v>8</v>
      </c>
      <c r="G61" s="91">
        <v>318.82</v>
      </c>
      <c r="H61" s="72">
        <f t="shared" ref="H61:H75" si="8">SUM(F61*G61/1000)</f>
        <v>2.5505599999999999</v>
      </c>
      <c r="I61" s="10">
        <f>G61</f>
        <v>318.82</v>
      </c>
    </row>
    <row r="62" spans="1:9" ht="15.75" hidden="1" customHeight="1">
      <c r="A62" s="21"/>
      <c r="B62" s="11" t="s">
        <v>45</v>
      </c>
      <c r="C62" s="13" t="s">
        <v>104</v>
      </c>
      <c r="D62" s="11" t="s">
        <v>64</v>
      </c>
      <c r="E62" s="15">
        <v>3</v>
      </c>
      <c r="F62" s="61">
        <v>3</v>
      </c>
      <c r="G62" s="10">
        <v>81.510000000000005</v>
      </c>
      <c r="H62" s="72">
        <f t="shared" si="8"/>
        <v>0.24453000000000003</v>
      </c>
      <c r="I62" s="10">
        <v>0</v>
      </c>
    </row>
    <row r="63" spans="1:9" ht="15.75" hidden="1" customHeight="1">
      <c r="A63" s="21"/>
      <c r="B63" s="11" t="s">
        <v>46</v>
      </c>
      <c r="C63" s="13" t="s">
        <v>107</v>
      </c>
      <c r="D63" s="11" t="s">
        <v>52</v>
      </c>
      <c r="E63" s="60">
        <v>8539</v>
      </c>
      <c r="F63" s="10">
        <f>SUM(E63/100)</f>
        <v>85.39</v>
      </c>
      <c r="G63" s="10">
        <v>226.79</v>
      </c>
      <c r="H63" s="72">
        <f t="shared" si="8"/>
        <v>19.3655981</v>
      </c>
      <c r="I63" s="10">
        <v>0</v>
      </c>
    </row>
    <row r="64" spans="1:9" ht="15.75" hidden="1" customHeight="1">
      <c r="A64" s="21"/>
      <c r="B64" s="11" t="s">
        <v>47</v>
      </c>
      <c r="C64" s="13" t="s">
        <v>108</v>
      </c>
      <c r="D64" s="11"/>
      <c r="E64" s="60">
        <v>8539</v>
      </c>
      <c r="F64" s="10">
        <f>SUM(E64/1000)</f>
        <v>8.5389999999999997</v>
      </c>
      <c r="G64" s="10">
        <v>176.61</v>
      </c>
      <c r="H64" s="72">
        <f t="shared" si="8"/>
        <v>1.5080727900000002</v>
      </c>
      <c r="I64" s="10">
        <v>0</v>
      </c>
    </row>
    <row r="65" spans="1:9" ht="15.75" hidden="1" customHeight="1">
      <c r="A65" s="21"/>
      <c r="B65" s="11" t="s">
        <v>48</v>
      </c>
      <c r="C65" s="13" t="s">
        <v>74</v>
      </c>
      <c r="D65" s="11" t="s">
        <v>52</v>
      </c>
      <c r="E65" s="60">
        <v>1370</v>
      </c>
      <c r="F65" s="10">
        <f>SUM(E65/100)</f>
        <v>13.7</v>
      </c>
      <c r="G65" s="10">
        <v>2217.7800000000002</v>
      </c>
      <c r="H65" s="72">
        <f t="shared" si="8"/>
        <v>30.383586000000005</v>
      </c>
      <c r="I65" s="10">
        <v>0</v>
      </c>
    </row>
    <row r="66" spans="1:9" ht="15.75" hidden="1" customHeight="1">
      <c r="A66" s="21"/>
      <c r="B66" s="73" t="s">
        <v>109</v>
      </c>
      <c r="C66" s="13" t="s">
        <v>31</v>
      </c>
      <c r="D66" s="11"/>
      <c r="E66" s="60">
        <v>9</v>
      </c>
      <c r="F66" s="10">
        <f>SUM(E66)</f>
        <v>9</v>
      </c>
      <c r="G66" s="10">
        <v>42.67</v>
      </c>
      <c r="H66" s="72">
        <f t="shared" si="8"/>
        <v>0.38403000000000004</v>
      </c>
      <c r="I66" s="10">
        <v>0</v>
      </c>
    </row>
    <row r="67" spans="1:9" ht="15.75" hidden="1" customHeight="1">
      <c r="A67" s="21"/>
      <c r="B67" s="73" t="s">
        <v>110</v>
      </c>
      <c r="C67" s="13" t="s">
        <v>31</v>
      </c>
      <c r="D67" s="11"/>
      <c r="E67" s="60">
        <v>9</v>
      </c>
      <c r="F67" s="10">
        <f>SUM(E67)</f>
        <v>9</v>
      </c>
      <c r="G67" s="10">
        <v>39.81</v>
      </c>
      <c r="H67" s="72">
        <f t="shared" si="8"/>
        <v>0.35829</v>
      </c>
      <c r="I67" s="10">
        <v>0</v>
      </c>
    </row>
    <row r="68" spans="1:9" ht="15.75" customHeight="1">
      <c r="A68" s="21">
        <v>21</v>
      </c>
      <c r="B68" s="95" t="s">
        <v>55</v>
      </c>
      <c r="C68" s="117" t="s">
        <v>56</v>
      </c>
      <c r="D68" s="95" t="s">
        <v>174</v>
      </c>
      <c r="E68" s="14">
        <v>3</v>
      </c>
      <c r="F68" s="105">
        <v>3</v>
      </c>
      <c r="G68" s="27">
        <v>71.510000000000005</v>
      </c>
      <c r="H68" s="72">
        <f t="shared" si="8"/>
        <v>0.21453000000000003</v>
      </c>
      <c r="I68" s="10">
        <f>G68*3</f>
        <v>214.53000000000003</v>
      </c>
    </row>
    <row r="69" spans="1:9" ht="15.75" customHeight="1">
      <c r="A69" s="21"/>
      <c r="B69" s="23" t="s">
        <v>69</v>
      </c>
      <c r="C69" s="13"/>
      <c r="D69" s="11"/>
      <c r="E69" s="15"/>
      <c r="F69" s="10"/>
      <c r="G69" s="10"/>
      <c r="H69" s="72" t="s">
        <v>113</v>
      </c>
      <c r="I69" s="10"/>
    </row>
    <row r="70" spans="1:9" ht="15.75" hidden="1" customHeight="1">
      <c r="A70" s="21"/>
      <c r="B70" s="11" t="s">
        <v>70</v>
      </c>
      <c r="C70" s="13" t="s">
        <v>72</v>
      </c>
      <c r="D70" s="11"/>
      <c r="E70" s="15">
        <v>2</v>
      </c>
      <c r="F70" s="10">
        <v>0.2</v>
      </c>
      <c r="G70" s="10">
        <v>536.23</v>
      </c>
      <c r="H70" s="72">
        <f t="shared" si="8"/>
        <v>0.10724600000000001</v>
      </c>
      <c r="I70" s="10">
        <v>0</v>
      </c>
    </row>
    <row r="71" spans="1:9" ht="15.75" hidden="1" customHeight="1">
      <c r="A71" s="21"/>
      <c r="B71" s="11" t="s">
        <v>71</v>
      </c>
      <c r="C71" s="13" t="s">
        <v>29</v>
      </c>
      <c r="D71" s="11"/>
      <c r="E71" s="15">
        <v>1</v>
      </c>
      <c r="F71" s="54">
        <v>1</v>
      </c>
      <c r="G71" s="10">
        <v>911.85</v>
      </c>
      <c r="H71" s="72">
        <f>F71*G71/1000</f>
        <v>0.91185000000000005</v>
      </c>
      <c r="I71" s="10">
        <v>0</v>
      </c>
    </row>
    <row r="72" spans="1:9" ht="15.75" hidden="1" customHeight="1">
      <c r="A72" s="21"/>
      <c r="B72" s="11" t="s">
        <v>120</v>
      </c>
      <c r="C72" s="13" t="s">
        <v>29</v>
      </c>
      <c r="D72" s="11"/>
      <c r="E72" s="15">
        <v>1</v>
      </c>
      <c r="F72" s="10">
        <v>1</v>
      </c>
      <c r="G72" s="10">
        <v>383.25</v>
      </c>
      <c r="H72" s="72">
        <f>G72*F72/1000</f>
        <v>0.38324999999999998</v>
      </c>
      <c r="I72" s="10">
        <v>0</v>
      </c>
    </row>
    <row r="73" spans="1:9" ht="15.75" customHeight="1">
      <c r="A73" s="21">
        <v>22</v>
      </c>
      <c r="B73" s="95" t="s">
        <v>158</v>
      </c>
      <c r="C73" s="117" t="s">
        <v>104</v>
      </c>
      <c r="D73" s="95" t="s">
        <v>174</v>
      </c>
      <c r="E73" s="14">
        <v>2</v>
      </c>
      <c r="F73" s="27">
        <f>E73*12</f>
        <v>24</v>
      </c>
      <c r="G73" s="27">
        <v>404</v>
      </c>
      <c r="H73" s="72"/>
      <c r="I73" s="10">
        <f>G73*2</f>
        <v>808</v>
      </c>
    </row>
    <row r="74" spans="1:9" ht="15.75" hidden="1" customHeight="1">
      <c r="A74" s="21"/>
      <c r="B74" s="74" t="s">
        <v>73</v>
      </c>
      <c r="C74" s="13"/>
      <c r="D74" s="11"/>
      <c r="E74" s="15"/>
      <c r="F74" s="10"/>
      <c r="G74" s="10" t="s">
        <v>113</v>
      </c>
      <c r="H74" s="72" t="s">
        <v>113</v>
      </c>
      <c r="I74" s="10"/>
    </row>
    <row r="75" spans="1:9" ht="15.75" hidden="1" customHeight="1">
      <c r="A75" s="21"/>
      <c r="B75" s="36" t="s">
        <v>114</v>
      </c>
      <c r="C75" s="13" t="s">
        <v>74</v>
      </c>
      <c r="D75" s="11"/>
      <c r="E75" s="15"/>
      <c r="F75" s="10">
        <v>1.35</v>
      </c>
      <c r="G75" s="10">
        <v>2949.85</v>
      </c>
      <c r="H75" s="72">
        <f t="shared" si="8"/>
        <v>3.9822975</v>
      </c>
      <c r="I75" s="10">
        <v>0</v>
      </c>
    </row>
    <row r="76" spans="1:9" ht="15.75" hidden="1" customHeight="1">
      <c r="A76" s="21"/>
      <c r="B76" s="53" t="s">
        <v>86</v>
      </c>
      <c r="C76" s="75"/>
      <c r="D76" s="23"/>
      <c r="E76" s="24"/>
      <c r="F76" s="64"/>
      <c r="G76" s="64"/>
      <c r="H76" s="76">
        <f>SUM(H57:H75)</f>
        <v>71.376004374000004</v>
      </c>
      <c r="I76" s="64"/>
    </row>
    <row r="77" spans="1:9" ht="15.75" hidden="1" customHeight="1">
      <c r="A77" s="21"/>
      <c r="B77" s="58" t="s">
        <v>111</v>
      </c>
      <c r="C77" s="13"/>
      <c r="D77" s="11"/>
      <c r="E77" s="77"/>
      <c r="F77" s="10">
        <v>1</v>
      </c>
      <c r="G77" s="10">
        <v>7101.4</v>
      </c>
      <c r="H77" s="72">
        <f>G77*F77/1000</f>
        <v>7.1013999999999999</v>
      </c>
      <c r="I77" s="10">
        <v>0</v>
      </c>
    </row>
    <row r="78" spans="1:9" ht="15.75" customHeight="1">
      <c r="A78" s="147"/>
      <c r="B78" s="118" t="s">
        <v>159</v>
      </c>
      <c r="C78" s="119"/>
      <c r="D78" s="120"/>
      <c r="E78" s="121"/>
      <c r="F78" s="122"/>
      <c r="G78" s="122"/>
      <c r="H78" s="10"/>
      <c r="I78" s="10"/>
    </row>
    <row r="79" spans="1:9" ht="15.75" customHeight="1">
      <c r="A79" s="147">
        <v>23</v>
      </c>
      <c r="B79" s="95" t="s">
        <v>160</v>
      </c>
      <c r="C79" s="123" t="s">
        <v>161</v>
      </c>
      <c r="D79" s="120"/>
      <c r="E79" s="121">
        <v>2054.6</v>
      </c>
      <c r="F79" s="122">
        <f>E79*12</f>
        <v>24655.199999999997</v>
      </c>
      <c r="G79" s="122">
        <v>2.4900000000000002</v>
      </c>
      <c r="H79" s="10"/>
      <c r="I79" s="10">
        <f>G79*F79/12</f>
        <v>5115.9539999999997</v>
      </c>
    </row>
    <row r="80" spans="1:9" ht="15.75" customHeight="1">
      <c r="A80" s="159" t="s">
        <v>124</v>
      </c>
      <c r="B80" s="160"/>
      <c r="C80" s="160"/>
      <c r="D80" s="160"/>
      <c r="E80" s="160"/>
      <c r="F80" s="160"/>
      <c r="G80" s="160"/>
      <c r="H80" s="160"/>
      <c r="I80" s="161"/>
    </row>
    <row r="81" spans="1:9" ht="15.75" customHeight="1">
      <c r="A81" s="21">
        <v>24</v>
      </c>
      <c r="B81" s="95" t="s">
        <v>112</v>
      </c>
      <c r="C81" s="117" t="s">
        <v>53</v>
      </c>
      <c r="D81" s="135"/>
      <c r="E81" s="27">
        <v>2054.6</v>
      </c>
      <c r="F81" s="27">
        <f>SUM(E81*12)</f>
        <v>24655.199999999997</v>
      </c>
      <c r="G81" s="27">
        <v>3.38</v>
      </c>
      <c r="H81" s="72">
        <f>SUM(F81*G81/1000)</f>
        <v>83.334575999999984</v>
      </c>
      <c r="I81" s="10">
        <f>F81/12*G81</f>
        <v>6944.5479999999998</v>
      </c>
    </row>
    <row r="82" spans="1:9" ht="31.5" customHeight="1">
      <c r="A82" s="21">
        <v>25</v>
      </c>
      <c r="B82" s="95" t="s">
        <v>162</v>
      </c>
      <c r="C82" s="117" t="s">
        <v>53</v>
      </c>
      <c r="D82" s="133"/>
      <c r="E82" s="134">
        <f>E81</f>
        <v>2054.6</v>
      </c>
      <c r="F82" s="126">
        <f>E82*12</f>
        <v>24655.199999999997</v>
      </c>
      <c r="G82" s="126">
        <v>3.05</v>
      </c>
      <c r="H82" s="72">
        <f>F82*G82/1000</f>
        <v>75.19835999999998</v>
      </c>
      <c r="I82" s="10">
        <f>F82/12*G82</f>
        <v>6266.53</v>
      </c>
    </row>
    <row r="83" spans="1:9" ht="15.75" customHeight="1">
      <c r="A83" s="21"/>
      <c r="B83" s="28" t="s">
        <v>76</v>
      </c>
      <c r="C83" s="75"/>
      <c r="D83" s="74"/>
      <c r="E83" s="64"/>
      <c r="F83" s="64"/>
      <c r="G83" s="64"/>
      <c r="H83" s="76">
        <f>H82</f>
        <v>75.19835999999998</v>
      </c>
      <c r="I83" s="64">
        <f>I82+I81+I79+I73+I68+I59+I53+I52+I51+I50+I49+I48+I47+I46+I45+I33+I31+I30+I27+I21+I20+I18+I17+I16+I61</f>
        <v>41014.045358799987</v>
      </c>
    </row>
    <row r="84" spans="1:9" ht="15.75" customHeight="1">
      <c r="A84" s="173" t="s">
        <v>58</v>
      </c>
      <c r="B84" s="174"/>
      <c r="C84" s="174"/>
      <c r="D84" s="174"/>
      <c r="E84" s="174"/>
      <c r="F84" s="174"/>
      <c r="G84" s="174"/>
      <c r="H84" s="174"/>
      <c r="I84" s="175"/>
    </row>
    <row r="85" spans="1:9" ht="19.5" customHeight="1">
      <c r="A85" s="21">
        <v>26</v>
      </c>
      <c r="B85" s="88" t="s">
        <v>243</v>
      </c>
      <c r="C85" s="40" t="s">
        <v>244</v>
      </c>
      <c r="D85" s="39" t="s">
        <v>245</v>
      </c>
      <c r="E85" s="27"/>
      <c r="F85" s="27">
        <v>1</v>
      </c>
      <c r="G85" s="27">
        <v>234.78</v>
      </c>
      <c r="H85" s="10">
        <f>G85*F85/1000</f>
        <v>0.23477999999999999</v>
      </c>
      <c r="I85" s="10">
        <f>G85*1</f>
        <v>234.78</v>
      </c>
    </row>
    <row r="86" spans="1:9" ht="15.75" customHeight="1">
      <c r="A86" s="21">
        <v>27</v>
      </c>
      <c r="B86" s="88" t="s">
        <v>223</v>
      </c>
      <c r="C86" s="40" t="s">
        <v>39</v>
      </c>
      <c r="D86" s="39" t="s">
        <v>173</v>
      </c>
      <c r="E86" s="27"/>
      <c r="F86" s="27">
        <v>0.02</v>
      </c>
      <c r="G86" s="27">
        <v>27139.18</v>
      </c>
      <c r="H86" s="71">
        <f>F86*G86/1000</f>
        <v>0.54278360000000003</v>
      </c>
      <c r="I86" s="89">
        <v>0</v>
      </c>
    </row>
    <row r="87" spans="1:9" ht="33.75" customHeight="1">
      <c r="A87" s="21">
        <v>28</v>
      </c>
      <c r="B87" s="88" t="s">
        <v>168</v>
      </c>
      <c r="C87" s="40" t="s">
        <v>37</v>
      </c>
      <c r="D87" s="39" t="s">
        <v>173</v>
      </c>
      <c r="E87" s="27"/>
      <c r="F87" s="27">
        <v>0.06</v>
      </c>
      <c r="G87" s="27">
        <v>4070.89</v>
      </c>
      <c r="H87" s="54"/>
      <c r="I87" s="89">
        <v>0</v>
      </c>
    </row>
    <row r="88" spans="1:9" ht="33.75" customHeight="1">
      <c r="A88" s="21">
        <v>29</v>
      </c>
      <c r="B88" s="88" t="s">
        <v>234</v>
      </c>
      <c r="C88" s="40" t="s">
        <v>235</v>
      </c>
      <c r="D88" s="39"/>
      <c r="E88" s="27"/>
      <c r="F88" s="27">
        <v>2</v>
      </c>
      <c r="G88" s="27">
        <v>61.58</v>
      </c>
      <c r="H88" s="54"/>
      <c r="I88" s="89">
        <f>G88*1</f>
        <v>61.58</v>
      </c>
    </row>
    <row r="89" spans="1:9" ht="15.75" customHeight="1">
      <c r="A89" s="21"/>
      <c r="B89" s="34" t="s">
        <v>49</v>
      </c>
      <c r="C89" s="30"/>
      <c r="D89" s="37"/>
      <c r="E89" s="30">
        <v>1</v>
      </c>
      <c r="F89" s="30"/>
      <c r="G89" s="30"/>
      <c r="H89" s="30"/>
      <c r="I89" s="24">
        <f>SUM(I85:I88)</f>
        <v>296.36</v>
      </c>
    </row>
    <row r="90" spans="1:9" ht="15.75" customHeight="1">
      <c r="A90" s="21"/>
      <c r="B90" s="36" t="s">
        <v>75</v>
      </c>
      <c r="C90" s="12"/>
      <c r="D90" s="12"/>
      <c r="E90" s="31"/>
      <c r="F90" s="31"/>
      <c r="G90" s="32"/>
      <c r="H90" s="32"/>
      <c r="I90" s="14">
        <v>0</v>
      </c>
    </row>
    <row r="91" spans="1:9" ht="15.75" customHeight="1">
      <c r="A91" s="38"/>
      <c r="B91" s="35" t="s">
        <v>144</v>
      </c>
      <c r="C91" s="26"/>
      <c r="D91" s="26"/>
      <c r="E91" s="26"/>
      <c r="F91" s="26"/>
      <c r="G91" s="26"/>
      <c r="H91" s="26"/>
      <c r="I91" s="33">
        <f>I83+I89</f>
        <v>41310.405358799988</v>
      </c>
    </row>
    <row r="92" spans="1:9" ht="15.75">
      <c r="A92" s="172" t="s">
        <v>278</v>
      </c>
      <c r="B92" s="172"/>
      <c r="C92" s="172"/>
      <c r="D92" s="172"/>
      <c r="E92" s="172"/>
      <c r="F92" s="172"/>
      <c r="G92" s="172"/>
      <c r="H92" s="172"/>
      <c r="I92" s="172"/>
    </row>
    <row r="93" spans="1:9" ht="15.75">
      <c r="A93" s="46"/>
      <c r="B93" s="167" t="s">
        <v>279</v>
      </c>
      <c r="C93" s="167"/>
      <c r="D93" s="167"/>
      <c r="E93" s="167"/>
      <c r="F93" s="167"/>
      <c r="G93" s="167"/>
      <c r="H93" s="57"/>
      <c r="I93" s="2"/>
    </row>
    <row r="94" spans="1:9">
      <c r="A94" s="49"/>
      <c r="B94" s="163" t="s">
        <v>6</v>
      </c>
      <c r="C94" s="163"/>
      <c r="D94" s="163"/>
      <c r="E94" s="163"/>
      <c r="F94" s="163"/>
      <c r="G94" s="163"/>
      <c r="H94" s="16"/>
      <c r="I94" s="4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 ht="15.75">
      <c r="A96" s="168" t="s">
        <v>7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168" t="s">
        <v>8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9" t="s">
        <v>59</v>
      </c>
      <c r="B98" s="169"/>
      <c r="C98" s="169"/>
      <c r="D98" s="169"/>
      <c r="E98" s="169"/>
      <c r="F98" s="169"/>
      <c r="G98" s="169"/>
      <c r="H98" s="169"/>
      <c r="I98" s="169"/>
    </row>
    <row r="99" spans="1:9" ht="15.75">
      <c r="A99" s="8"/>
    </row>
    <row r="100" spans="1:9" ht="15.75">
      <c r="A100" s="170" t="s">
        <v>9</v>
      </c>
      <c r="B100" s="170"/>
      <c r="C100" s="170"/>
      <c r="D100" s="170"/>
      <c r="E100" s="170"/>
      <c r="F100" s="170"/>
      <c r="G100" s="170"/>
      <c r="H100" s="170"/>
      <c r="I100" s="170"/>
    </row>
    <row r="101" spans="1:9" ht="15.75">
      <c r="A101" s="3"/>
    </row>
    <row r="102" spans="1:9" ht="15.75">
      <c r="B102" s="50" t="s">
        <v>10</v>
      </c>
      <c r="C102" s="162" t="s">
        <v>125</v>
      </c>
      <c r="D102" s="162"/>
      <c r="E102" s="162"/>
      <c r="F102" s="55"/>
      <c r="I102" s="48"/>
    </row>
    <row r="103" spans="1:9">
      <c r="A103" s="49"/>
      <c r="C103" s="163" t="s">
        <v>11</v>
      </c>
      <c r="D103" s="163"/>
      <c r="E103" s="163"/>
      <c r="F103" s="16"/>
      <c r="I103" s="47" t="s">
        <v>12</v>
      </c>
    </row>
    <row r="104" spans="1:9" ht="15.75">
      <c r="A104" s="17"/>
      <c r="C104" s="9"/>
      <c r="D104" s="9"/>
      <c r="G104" s="9"/>
      <c r="H104" s="9"/>
    </row>
    <row r="105" spans="1:9" ht="15.75">
      <c r="B105" s="50" t="s">
        <v>13</v>
      </c>
      <c r="C105" s="164"/>
      <c r="D105" s="164"/>
      <c r="E105" s="164"/>
      <c r="F105" s="56"/>
      <c r="I105" s="48"/>
    </row>
    <row r="106" spans="1:9">
      <c r="A106" s="49"/>
      <c r="C106" s="165" t="s">
        <v>11</v>
      </c>
      <c r="D106" s="165"/>
      <c r="E106" s="165"/>
      <c r="F106" s="49"/>
      <c r="I106" s="47" t="s">
        <v>12</v>
      </c>
    </row>
    <row r="107" spans="1:9" ht="15.75">
      <c r="A107" s="3" t="s">
        <v>14</v>
      </c>
    </row>
    <row r="108" spans="1:9">
      <c r="A108" s="166" t="s">
        <v>15</v>
      </c>
      <c r="B108" s="166"/>
      <c r="C108" s="166"/>
      <c r="D108" s="166"/>
      <c r="E108" s="166"/>
      <c r="F108" s="166"/>
      <c r="G108" s="166"/>
      <c r="H108" s="166"/>
      <c r="I108" s="166"/>
    </row>
    <row r="109" spans="1:9" ht="45" customHeight="1">
      <c r="A109" s="158" t="s">
        <v>16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30" customHeight="1">
      <c r="A110" s="158" t="s">
        <v>17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0" customHeight="1">
      <c r="A111" s="158" t="s">
        <v>21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15" customHeight="1">
      <c r="A112" s="158" t="s">
        <v>20</v>
      </c>
      <c r="B112" s="158"/>
      <c r="C112" s="158"/>
      <c r="D112" s="158"/>
      <c r="E112" s="158"/>
      <c r="F112" s="158"/>
      <c r="G112" s="158"/>
      <c r="H112" s="158"/>
      <c r="I112" s="158"/>
    </row>
  </sheetData>
  <mergeCells count="28"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  <mergeCell ref="A100:I100"/>
    <mergeCell ref="A15:I15"/>
    <mergeCell ref="A28:I28"/>
    <mergeCell ref="A44:I44"/>
    <mergeCell ref="A55:I55"/>
    <mergeCell ref="A80:I80"/>
    <mergeCell ref="A92:I92"/>
    <mergeCell ref="B93:G93"/>
    <mergeCell ref="B94:G94"/>
    <mergeCell ref="A96:I96"/>
    <mergeCell ref="A97:I97"/>
    <mergeCell ref="A98:I98"/>
    <mergeCell ref="A14:I14"/>
    <mergeCell ref="A84:I8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  <rowBreaks count="1" manualBreakCount="1">
    <brk id="1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2021-02-17T08:40:16Z</cp:lastPrinted>
  <dcterms:created xsi:type="dcterms:W3CDTF">2016-03-25T08:33:47Z</dcterms:created>
  <dcterms:modified xsi:type="dcterms:W3CDTF">2021-02-17T08:41:13Z</dcterms:modified>
</cp:coreProperties>
</file>