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120" windowWidth="15480" windowHeight="8010"/>
  </bookViews>
  <sheets>
    <sheet name="01.16" sheetId="8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4" r:id="rId11"/>
    <sheet name="12.16" sheetId="17" r:id="rId12"/>
    <sheet name="Лист1" sheetId="16" r:id="rId13"/>
  </sheets>
  <definedNames>
    <definedName name="_xlnm._FilterDatabase" localSheetId="0" hidden="1">'01.16'!$I$14:$I$116</definedName>
    <definedName name="_xlnm._FilterDatabase" localSheetId="1" hidden="1">'02.16'!$I$14:$I$90</definedName>
    <definedName name="_xlnm._FilterDatabase" localSheetId="2" hidden="1">'03.16'!$I$14:$I$92</definedName>
    <definedName name="_xlnm._FilterDatabase" localSheetId="3" hidden="1">'04.16'!$I$14:$I$91</definedName>
    <definedName name="_xlnm._FilterDatabase" localSheetId="4" hidden="1">'05.16'!$I$14:$I$112</definedName>
    <definedName name="_xlnm._FilterDatabase" localSheetId="5" hidden="1">'06.16'!$I$14:$I$112</definedName>
    <definedName name="_xlnm._FilterDatabase" localSheetId="6" hidden="1">'07.16'!$I$14:$I$94</definedName>
    <definedName name="_xlnm._FilterDatabase" localSheetId="7" hidden="1">'08.16'!$I$14:$I$92</definedName>
    <definedName name="_xlnm._FilterDatabase" localSheetId="8" hidden="1">'09.16'!$I$14:$I$92</definedName>
    <definedName name="_xlnm._FilterDatabase" localSheetId="9" hidden="1">'10.16'!$I$14:$I$95</definedName>
    <definedName name="_xlnm._FilterDatabase" localSheetId="10" hidden="1">'11.16'!$G$13:$G$65</definedName>
    <definedName name="_xlnm._FilterDatabase" localSheetId="11" hidden="1">'12.16'!$G$14:$G$92</definedName>
    <definedName name="_xlnm.Print_Titles" localSheetId="10">'11.16'!$13:$14</definedName>
    <definedName name="_xlnm.Print_Area" localSheetId="0">'01.16'!$A$1:$I$133</definedName>
    <definedName name="_xlnm.Print_Area" localSheetId="1">'02.16'!$A$1:$I$107</definedName>
    <definedName name="_xlnm.Print_Area" localSheetId="2">'03.16'!$A$1:$I$109</definedName>
    <definedName name="_xlnm.Print_Area" localSheetId="3">'04.16'!$A$1:$I$108</definedName>
    <definedName name="_xlnm.Print_Area" localSheetId="4">'05.16'!$A$1:$I$129</definedName>
    <definedName name="_xlnm.Print_Area" localSheetId="5">'06.16'!$A$1:$I$129</definedName>
    <definedName name="_xlnm.Print_Area" localSheetId="6">'07.16'!$A$1:$I$111</definedName>
    <definedName name="_xlnm.Print_Area" localSheetId="7">'08.16'!$A$1:$I$109</definedName>
    <definedName name="_xlnm.Print_Area" localSheetId="8">'09.16'!$A$1:$I$109</definedName>
    <definedName name="_xlnm.Print_Area" localSheetId="9">'10.16'!$A$1:$I$112</definedName>
    <definedName name="_xlnm.Print_Area" localSheetId="10">'11.16'!$A$1:$G$88</definedName>
    <definedName name="_xlnm.Print_Area" localSheetId="11">'12.16'!$A$1:$G$109</definedName>
  </definedNames>
  <calcPr calcId="124519"/>
</workbook>
</file>

<file path=xl/calcChain.xml><?xml version="1.0" encoding="utf-8"?>
<calcChain xmlns="http://schemas.openxmlformats.org/spreadsheetml/2006/main">
  <c r="I89" i="26"/>
  <c r="I88"/>
  <c r="I87"/>
  <c r="I86"/>
  <c r="I84"/>
  <c r="I61"/>
  <c r="I52"/>
  <c r="H88"/>
  <c r="H87"/>
  <c r="H86"/>
  <c r="I85"/>
  <c r="H85"/>
  <c r="H84"/>
  <c r="F81"/>
  <c r="H81" s="1"/>
  <c r="H82" s="1"/>
  <c r="E81"/>
  <c r="F80"/>
  <c r="H80" s="1"/>
  <c r="H78"/>
  <c r="H76"/>
  <c r="H74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H59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F31"/>
  <c r="I31" s="1"/>
  <c r="F30"/>
  <c r="H30" s="1"/>
  <c r="F29"/>
  <c r="H29" s="1"/>
  <c r="F28"/>
  <c r="H28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F16"/>
  <c r="H16" s="1"/>
  <c r="F15"/>
  <c r="I15" s="1"/>
  <c r="I86" i="25"/>
  <c r="I85"/>
  <c r="I84"/>
  <c r="I68"/>
  <c r="H85"/>
  <c r="H84"/>
  <c r="E81"/>
  <c r="F81" s="1"/>
  <c r="F80"/>
  <c r="H80" s="1"/>
  <c r="H78"/>
  <c r="H76"/>
  <c r="H74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H59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F31"/>
  <c r="I31" s="1"/>
  <c r="F30"/>
  <c r="H30" s="1"/>
  <c r="F29"/>
  <c r="H29" s="1"/>
  <c r="F28"/>
  <c r="H28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F16"/>
  <c r="H16" s="1"/>
  <c r="F15"/>
  <c r="I15" s="1"/>
  <c r="I82" i="24"/>
  <c r="I85"/>
  <c r="I84"/>
  <c r="I86" s="1"/>
  <c r="H85"/>
  <c r="F84"/>
  <c r="H84" s="1"/>
  <c r="E81"/>
  <c r="F81" s="1"/>
  <c r="F80"/>
  <c r="H80" s="1"/>
  <c r="H78"/>
  <c r="H76"/>
  <c r="H74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H59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F31"/>
  <c r="I31" s="1"/>
  <c r="F30"/>
  <c r="H30" s="1"/>
  <c r="F29"/>
  <c r="H29" s="1"/>
  <c r="F28"/>
  <c r="H28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F16"/>
  <c r="H16" s="1"/>
  <c r="F15"/>
  <c r="I15" s="1"/>
  <c r="I82" i="23"/>
  <c r="I88"/>
  <c r="I87"/>
  <c r="I86"/>
  <c r="I85"/>
  <c r="I84"/>
  <c r="H87"/>
  <c r="H86"/>
  <c r="H85"/>
  <c r="F84"/>
  <c r="H84" s="1"/>
  <c r="E81"/>
  <c r="F81" s="1"/>
  <c r="H81" s="1"/>
  <c r="H82" s="1"/>
  <c r="F80"/>
  <c r="H80" s="1"/>
  <c r="H78"/>
  <c r="H76"/>
  <c r="H74"/>
  <c r="H73"/>
  <c r="H72"/>
  <c r="H71"/>
  <c r="H70"/>
  <c r="H68"/>
  <c r="H67"/>
  <c r="F67"/>
  <c r="H66"/>
  <c r="F66"/>
  <c r="H65"/>
  <c r="F65"/>
  <c r="H64"/>
  <c r="F64"/>
  <c r="H63"/>
  <c r="F63"/>
  <c r="H62"/>
  <c r="H61"/>
  <c r="H59"/>
  <c r="F57"/>
  <c r="I57" s="1"/>
  <c r="I54"/>
  <c r="F54"/>
  <c r="H54" s="1"/>
  <c r="I53"/>
  <c r="H53"/>
  <c r="F53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F31"/>
  <c r="I31" s="1"/>
  <c r="F30"/>
  <c r="H30" s="1"/>
  <c r="F29"/>
  <c r="H29" s="1"/>
  <c r="F28"/>
  <c r="I28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H17" s="1"/>
  <c r="F16"/>
  <c r="H16" s="1"/>
  <c r="F15"/>
  <c r="I15" s="1"/>
  <c r="I106" i="22"/>
  <c r="H105"/>
  <c r="H104"/>
  <c r="H103"/>
  <c r="H102"/>
  <c r="H101"/>
  <c r="F101"/>
  <c r="H100"/>
  <c r="F100"/>
  <c r="H99"/>
  <c r="F99"/>
  <c r="H98"/>
  <c r="H97"/>
  <c r="H96"/>
  <c r="F96"/>
  <c r="H95"/>
  <c r="H94"/>
  <c r="H93"/>
  <c r="H92"/>
  <c r="H91"/>
  <c r="H90"/>
  <c r="H89"/>
  <c r="H88"/>
  <c r="H87"/>
  <c r="F87"/>
  <c r="H86"/>
  <c r="H85"/>
  <c r="H84"/>
  <c r="E81"/>
  <c r="F81" s="1"/>
  <c r="F80"/>
  <c r="H80" s="1"/>
  <c r="H78"/>
  <c r="H76"/>
  <c r="H74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H59"/>
  <c r="F57"/>
  <c r="I57" s="1"/>
  <c r="I54"/>
  <c r="F54"/>
  <c r="H54" s="1"/>
  <c r="I53"/>
  <c r="F53"/>
  <c r="H53" s="1"/>
  <c r="H52"/>
  <c r="F51"/>
  <c r="H51" s="1"/>
  <c r="F50"/>
  <c r="H50" s="1"/>
  <c r="H49"/>
  <c r="F49"/>
  <c r="I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F31"/>
  <c r="I31" s="1"/>
  <c r="F30"/>
  <c r="H30" s="1"/>
  <c r="F29"/>
  <c r="H29" s="1"/>
  <c r="F28"/>
  <c r="H28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F16"/>
  <c r="H16" s="1"/>
  <c r="F15"/>
  <c r="I15" s="1"/>
  <c r="I82" i="21"/>
  <c r="I106"/>
  <c r="H105"/>
  <c r="H104"/>
  <c r="H103"/>
  <c r="H102"/>
  <c r="H101"/>
  <c r="F101"/>
  <c r="H100"/>
  <c r="F100"/>
  <c r="H99"/>
  <c r="F99"/>
  <c r="H98"/>
  <c r="H97"/>
  <c r="H96"/>
  <c r="F96"/>
  <c r="H95"/>
  <c r="H94"/>
  <c r="H93"/>
  <c r="H92"/>
  <c r="H91"/>
  <c r="H90"/>
  <c r="H89"/>
  <c r="H88"/>
  <c r="F87"/>
  <c r="H87" s="1"/>
  <c r="H86"/>
  <c r="H85"/>
  <c r="H84"/>
  <c r="E81"/>
  <c r="F81" s="1"/>
  <c r="H81" s="1"/>
  <c r="H82" s="1"/>
  <c r="F80"/>
  <c r="H80" s="1"/>
  <c r="H78"/>
  <c r="H76"/>
  <c r="H74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H59"/>
  <c r="F57"/>
  <c r="I57" s="1"/>
  <c r="I54"/>
  <c r="F54"/>
  <c r="H54" s="1"/>
  <c r="I53"/>
  <c r="H53"/>
  <c r="F53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F31"/>
  <c r="I31" s="1"/>
  <c r="F30"/>
  <c r="I30" s="1"/>
  <c r="F29"/>
  <c r="I29" s="1"/>
  <c r="F28"/>
  <c r="I28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H17" s="1"/>
  <c r="F16"/>
  <c r="H16" s="1"/>
  <c r="F15"/>
  <c r="I15" s="1"/>
  <c r="I84" i="20"/>
  <c r="I85" s="1"/>
  <c r="H84"/>
  <c r="E81"/>
  <c r="F81" s="1"/>
  <c r="F80"/>
  <c r="H80" s="1"/>
  <c r="H78"/>
  <c r="H76"/>
  <c r="H74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H59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F31"/>
  <c r="F30"/>
  <c r="H30" s="1"/>
  <c r="F29"/>
  <c r="H29" s="1"/>
  <c r="F28"/>
  <c r="H28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F16"/>
  <c r="H16" s="1"/>
  <c r="F15"/>
  <c r="I15" s="1"/>
  <c r="I82" i="19"/>
  <c r="I86"/>
  <c r="I85"/>
  <c r="I84"/>
  <c r="I78"/>
  <c r="I51"/>
  <c r="I52"/>
  <c r="I50"/>
  <c r="E81"/>
  <c r="F81" s="1"/>
  <c r="H80"/>
  <c r="F80"/>
  <c r="I80" s="1"/>
  <c r="H78"/>
  <c r="H76"/>
  <c r="H74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H59"/>
  <c r="F57"/>
  <c r="H57" s="1"/>
  <c r="H77" s="1"/>
  <c r="I54"/>
  <c r="F54"/>
  <c r="H54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44"/>
  <c r="F44"/>
  <c r="I42"/>
  <c r="H42"/>
  <c r="F41"/>
  <c r="I41" s="1"/>
  <c r="F40"/>
  <c r="H40" s="1"/>
  <c r="F39"/>
  <c r="I39" s="1"/>
  <c r="H38"/>
  <c r="F37"/>
  <c r="I37" s="1"/>
  <c r="F36"/>
  <c r="H36" s="1"/>
  <c r="I35"/>
  <c r="H35"/>
  <c r="H33"/>
  <c r="H32"/>
  <c r="H31"/>
  <c r="F31"/>
  <c r="H30"/>
  <c r="F30"/>
  <c r="H29"/>
  <c r="F29"/>
  <c r="H28"/>
  <c r="F28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F16"/>
  <c r="I16" s="1"/>
  <c r="F15"/>
  <c r="H15" s="1"/>
  <c r="I84" i="18"/>
  <c r="E81"/>
  <c r="F81" s="1"/>
  <c r="F80"/>
  <c r="H80" s="1"/>
  <c r="H78"/>
  <c r="H76"/>
  <c r="H74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H59"/>
  <c r="F57"/>
  <c r="I57" s="1"/>
  <c r="I54"/>
  <c r="F54"/>
  <c r="H54" s="1"/>
  <c r="I53"/>
  <c r="H53"/>
  <c r="F53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4"/>
  <c r="F44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F31"/>
  <c r="F30"/>
  <c r="H30" s="1"/>
  <c r="F29"/>
  <c r="H29" s="1"/>
  <c r="F28"/>
  <c r="H28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F16"/>
  <c r="H16" s="1"/>
  <c r="F15"/>
  <c r="I15" s="1"/>
  <c r="H109" i="8"/>
  <c r="H108"/>
  <c r="H107"/>
  <c r="H106"/>
  <c r="F105"/>
  <c r="H105" s="1"/>
  <c r="F104"/>
  <c r="H104" s="1"/>
  <c r="F103"/>
  <c r="H103" s="1"/>
  <c r="H102"/>
  <c r="H101"/>
  <c r="F100"/>
  <c r="H100" s="1"/>
  <c r="H99"/>
  <c r="H98"/>
  <c r="H97"/>
  <c r="H96"/>
  <c r="H95"/>
  <c r="H94"/>
  <c r="H93"/>
  <c r="H92"/>
  <c r="F91"/>
  <c r="H91" s="1"/>
  <c r="H90"/>
  <c r="H89"/>
  <c r="H88"/>
  <c r="I87"/>
  <c r="H87"/>
  <c r="I86"/>
  <c r="H86"/>
  <c r="I85"/>
  <c r="H85"/>
  <c r="I84"/>
  <c r="I110" s="1"/>
  <c r="H84"/>
  <c r="E81"/>
  <c r="F81" s="1"/>
  <c r="F80"/>
  <c r="I80" s="1"/>
  <c r="H78"/>
  <c r="H76"/>
  <c r="H74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H59"/>
  <c r="F57"/>
  <c r="I57" s="1"/>
  <c r="I54"/>
  <c r="F54"/>
  <c r="H54" s="1"/>
  <c r="I53"/>
  <c r="H53"/>
  <c r="F53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I40" s="1"/>
  <c r="F39"/>
  <c r="I39" s="1"/>
  <c r="H38"/>
  <c r="F37"/>
  <c r="I37" s="1"/>
  <c r="F36"/>
  <c r="I36" s="1"/>
  <c r="I35"/>
  <c r="H35"/>
  <c r="F26"/>
  <c r="I26" s="1"/>
  <c r="H33"/>
  <c r="H32"/>
  <c r="F25"/>
  <c r="H25" s="1"/>
  <c r="H31"/>
  <c r="F31"/>
  <c r="F30"/>
  <c r="H30" s="1"/>
  <c r="F29"/>
  <c r="H29" s="1"/>
  <c r="F28"/>
  <c r="H28" s="1"/>
  <c r="F24"/>
  <c r="H24" s="1"/>
  <c r="F23"/>
  <c r="H23" s="1"/>
  <c r="F22"/>
  <c r="H22" s="1"/>
  <c r="F21"/>
  <c r="H21" s="1"/>
  <c r="F20"/>
  <c r="H20" s="1"/>
  <c r="F19"/>
  <c r="H19" s="1"/>
  <c r="F18"/>
  <c r="H18" s="1"/>
  <c r="E17"/>
  <c r="F17" s="1"/>
  <c r="F16"/>
  <c r="I16" s="1"/>
  <c r="F15"/>
  <c r="I15" s="1"/>
  <c r="I28" i="26" l="1"/>
  <c r="I30"/>
  <c r="I29"/>
  <c r="H36"/>
  <c r="H17"/>
  <c r="I17"/>
  <c r="H15"/>
  <c r="I16"/>
  <c r="H25"/>
  <c r="I26"/>
  <c r="I37"/>
  <c r="I39"/>
  <c r="H40"/>
  <c r="I41"/>
  <c r="H49"/>
  <c r="H57"/>
  <c r="H77" s="1"/>
  <c r="H83" s="1"/>
  <c r="I80"/>
  <c r="I81"/>
  <c r="I28" i="25"/>
  <c r="I30"/>
  <c r="I48"/>
  <c r="I46"/>
  <c r="I44"/>
  <c r="I51"/>
  <c r="I29"/>
  <c r="I47"/>
  <c r="I45"/>
  <c r="I50"/>
  <c r="H17"/>
  <c r="I17"/>
  <c r="H81"/>
  <c r="H82" s="1"/>
  <c r="I81"/>
  <c r="H15"/>
  <c r="I16"/>
  <c r="H25"/>
  <c r="I26"/>
  <c r="H36"/>
  <c r="I37"/>
  <c r="I39"/>
  <c r="H40"/>
  <c r="I41"/>
  <c r="H49"/>
  <c r="H57"/>
  <c r="H77" s="1"/>
  <c r="I80"/>
  <c r="I28" i="24"/>
  <c r="I29"/>
  <c r="I30"/>
  <c r="H17"/>
  <c r="I17"/>
  <c r="H81"/>
  <c r="H82" s="1"/>
  <c r="I81"/>
  <c r="H15"/>
  <c r="I16"/>
  <c r="H25"/>
  <c r="I26"/>
  <c r="H36"/>
  <c r="I37"/>
  <c r="I39"/>
  <c r="H40"/>
  <c r="I41"/>
  <c r="H49"/>
  <c r="H57"/>
  <c r="H77" s="1"/>
  <c r="I80"/>
  <c r="H25" i="23"/>
  <c r="I29"/>
  <c r="H15"/>
  <c r="H28"/>
  <c r="I30"/>
  <c r="H49"/>
  <c r="H57"/>
  <c r="H77" s="1"/>
  <c r="H83" s="1"/>
  <c r="H36"/>
  <c r="H40"/>
  <c r="I16"/>
  <c r="I17"/>
  <c r="I26"/>
  <c r="I37"/>
  <c r="I39"/>
  <c r="I41"/>
  <c r="I80"/>
  <c r="I81"/>
  <c r="I28" i="22"/>
  <c r="I30"/>
  <c r="I29"/>
  <c r="H17"/>
  <c r="I17"/>
  <c r="H81"/>
  <c r="H82" s="1"/>
  <c r="I81"/>
  <c r="H15"/>
  <c r="I16"/>
  <c r="I82" s="1"/>
  <c r="H25"/>
  <c r="I26"/>
  <c r="H36"/>
  <c r="I37"/>
  <c r="I39"/>
  <c r="H40"/>
  <c r="I41"/>
  <c r="H57"/>
  <c r="H77" s="1"/>
  <c r="I80"/>
  <c r="H15" i="21"/>
  <c r="H28"/>
  <c r="H29"/>
  <c r="H30"/>
  <c r="I19"/>
  <c r="I23"/>
  <c r="I21"/>
  <c r="I26"/>
  <c r="I48"/>
  <c r="I46"/>
  <c r="I63"/>
  <c r="I66"/>
  <c r="I64"/>
  <c r="I18"/>
  <c r="I24"/>
  <c r="I22"/>
  <c r="I20"/>
  <c r="I44"/>
  <c r="I47"/>
  <c r="I45"/>
  <c r="I67"/>
  <c r="I65"/>
  <c r="H57"/>
  <c r="H77"/>
  <c r="H83" s="1"/>
  <c r="H49"/>
  <c r="H36"/>
  <c r="H40"/>
  <c r="H25"/>
  <c r="I16"/>
  <c r="I17"/>
  <c r="I37"/>
  <c r="I39"/>
  <c r="I41"/>
  <c r="I80"/>
  <c r="I81"/>
  <c r="H81" i="20"/>
  <c r="H82" s="1"/>
  <c r="I81"/>
  <c r="H17"/>
  <c r="I17"/>
  <c r="H15"/>
  <c r="I16"/>
  <c r="H25"/>
  <c r="I26"/>
  <c r="H36"/>
  <c r="I37"/>
  <c r="I39"/>
  <c r="H40"/>
  <c r="I41"/>
  <c r="H49"/>
  <c r="H57"/>
  <c r="H77" s="1"/>
  <c r="I80"/>
  <c r="I88" i="19"/>
  <c r="I17"/>
  <c r="H17"/>
  <c r="I81"/>
  <c r="H81"/>
  <c r="H82" s="1"/>
  <c r="H83" s="1"/>
  <c r="I15"/>
  <c r="H16"/>
  <c r="I25"/>
  <c r="H26"/>
  <c r="I36"/>
  <c r="H37"/>
  <c r="H39"/>
  <c r="I40"/>
  <c r="H41"/>
  <c r="I49"/>
  <c r="I57"/>
  <c r="H81" i="18"/>
  <c r="H82" s="1"/>
  <c r="I81"/>
  <c r="H17"/>
  <c r="I17"/>
  <c r="H15"/>
  <c r="I16"/>
  <c r="H25"/>
  <c r="I26"/>
  <c r="H36"/>
  <c r="I37"/>
  <c r="I39"/>
  <c r="H40"/>
  <c r="I41"/>
  <c r="H49"/>
  <c r="H57"/>
  <c r="H77" s="1"/>
  <c r="I80"/>
  <c r="H39" i="8"/>
  <c r="H80"/>
  <c r="H16"/>
  <c r="H37"/>
  <c r="H41"/>
  <c r="H49"/>
  <c r="H17"/>
  <c r="I17"/>
  <c r="I81"/>
  <c r="H81"/>
  <c r="H82" s="1"/>
  <c r="H15"/>
  <c r="I25"/>
  <c r="H26"/>
  <c r="H36"/>
  <c r="H40"/>
  <c r="H57"/>
  <c r="H77" s="1"/>
  <c r="I82" i="26" l="1"/>
  <c r="I91" s="1"/>
  <c r="I82" i="25"/>
  <c r="I88" s="1"/>
  <c r="H83"/>
  <c r="I88" i="24"/>
  <c r="H83"/>
  <c r="I90" i="23"/>
  <c r="H83" i="22"/>
  <c r="I108"/>
  <c r="I108" i="21"/>
  <c r="I82" i="20"/>
  <c r="I87" s="1"/>
  <c r="H83"/>
  <c r="I82" i="18"/>
  <c r="I86" s="1"/>
  <c r="H83"/>
  <c r="I82" i="8"/>
  <c r="I112" s="1"/>
  <c r="H83"/>
  <c r="G86" i="17" l="1"/>
  <c r="G75"/>
  <c r="G88" s="1"/>
  <c r="E73"/>
  <c r="E52"/>
  <c r="E50"/>
  <c r="E43" s="1"/>
  <c r="G47"/>
  <c r="G46"/>
  <c r="E45"/>
  <c r="E38" s="1"/>
  <c r="E33" s="1"/>
  <c r="E44"/>
  <c r="E42"/>
  <c r="E41"/>
  <c r="E40"/>
  <c r="E35" s="1"/>
  <c r="E29" s="1"/>
  <c r="E39"/>
  <c r="E34" s="1"/>
  <c r="E37"/>
  <c r="E32" s="1"/>
  <c r="E30"/>
  <c r="E25"/>
  <c r="G64" i="14" l="1"/>
  <c r="G52" l="1"/>
  <c r="G66" s="1"/>
  <c r="E19" l="1"/>
  <c r="G47" l="1"/>
  <c r="G41"/>
  <c r="G40"/>
  <c r="G38"/>
  <c r="G37"/>
  <c r="E37"/>
  <c r="E38"/>
  <c r="E39"/>
  <c r="G36"/>
  <c r="G35"/>
  <c r="G34"/>
  <c r="E23" l="1"/>
  <c r="E26"/>
  <c r="E32"/>
  <c r="E33"/>
  <c r="E34"/>
  <c r="E35"/>
  <c r="E36"/>
  <c r="E44"/>
  <c r="E46"/>
  <c r="E48"/>
  <c r="E50"/>
  <c r="G32" l="1"/>
  <c r="G33"/>
  <c r="E31" l="1"/>
  <c r="J50"/>
  <c r="E24" l="1"/>
  <c r="G31" l="1"/>
  <c r="G39"/>
  <c r="G48"/>
  <c r="E28"/>
  <c r="E27" l="1"/>
  <c r="E29"/>
  <c r="G46" l="1"/>
  <c r="H50" l="1"/>
  <c r="H51" s="1"/>
</calcChain>
</file>

<file path=xl/sharedStrings.xml><?xml version="1.0" encoding="utf-8"?>
<sst xmlns="http://schemas.openxmlformats.org/spreadsheetml/2006/main" count="2626" uniqueCount="276">
  <si>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</si>
  <si>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</si>
  <si>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</si>
  <si>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</si>
  <si>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</si>
  <si>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</si>
  <si>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</si>
  <si>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</si>
  <si>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</si>
  <si>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</si>
  <si>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</si>
  <si>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</si>
  <si>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</si>
  <si>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</si>
  <si>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</si>
  <si>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</si>
  <si>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</si>
  <si>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</si>
  <si>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</si>
  <si>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</si>
  <si>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</si>
  <si>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</si>
  <si>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</si>
  <si>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</si>
  <si>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</si>
  <si>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</si>
  <si>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</si>
  <si>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</si>
  <si>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</si>
  <si>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по необходим-ти</t>
  </si>
  <si>
    <t>Механизированная уборка дворовой территории</t>
  </si>
  <si>
    <t xml:space="preserve">Стоимость песка </t>
  </si>
  <si>
    <t>Уборка газонов сильной загрязненности</t>
  </si>
  <si>
    <t>1000 м2</t>
  </si>
  <si>
    <t>1 раз в месяц</t>
  </si>
  <si>
    <t>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</si>
  <si>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</si>
  <si>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</si>
  <si>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</si>
  <si>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</si>
  <si>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</si>
  <si>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</si>
  <si>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</si>
  <si>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</si>
  <si>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</si>
  <si>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</si>
  <si>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</si>
  <si>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</si>
  <si>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</si>
  <si>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</si>
  <si>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</si>
  <si>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</si>
  <si>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</si>
  <si>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</si>
  <si>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</si>
  <si>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</si>
  <si>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</si>
  <si>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</si>
  <si>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</si>
  <si>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</si>
  <si>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</si>
  <si>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</si>
  <si>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</si>
  <si>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</si>
  <si>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</si>
  <si>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</si>
  <si>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</si>
  <si>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Техническое обслуживание  наружных газопроводов</t>
  </si>
  <si>
    <t>10 м</t>
  </si>
  <si>
    <t>1 м2</t>
  </si>
  <si>
    <t>ежемесячно</t>
  </si>
  <si>
    <t>за период с 01.06.2016 г. по 30.06.2016 г.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</si>
  <si>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</si>
  <si>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</si>
  <si>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</si>
  <si>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</si>
  <si>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весенне-осенний осмотр, 2 раза</t>
  </si>
  <si>
    <t>за период с 01.08.2016 г. по 31.08.2016 г.</t>
  </si>
  <si>
    <t>за период с 01.10.2016 г. по 31.10.2016 г.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</si>
  <si>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</si>
  <si>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</si>
  <si>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</si>
  <si>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</si>
  <si>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</si>
  <si>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</si>
  <si>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</si>
  <si>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</si>
  <si>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</si>
  <si>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</si>
  <si>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</si>
  <si>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</si>
  <si>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</si>
  <si>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</si>
  <si>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</si>
  <si>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</si>
  <si>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</si>
  <si>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</si>
  <si>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</si>
  <si>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2 раза в месяц</t>
  </si>
  <si>
    <t>Ремонт групповых щитков на лестничной клетке без ремонта автоматов</t>
  </si>
  <si>
    <t>Итого:</t>
  </si>
  <si>
    <t>за период с 01.02.2016 г. по 29.02.2016 г.</t>
  </si>
  <si>
    <t>1 м</t>
  </si>
  <si>
    <t>за период с 01.03.2016 г. по 31.03.2016 г.</t>
  </si>
  <si>
    <t>за период с 01.04.2016 г. по 30.04.2016 г.</t>
  </si>
  <si>
    <t>Подключение и отключение сварочного аппарата</t>
  </si>
  <si>
    <t>за период с 01.05.2016 г. по 31.05.2016 г.</t>
  </si>
  <si>
    <t>за период с 01.07.2016 г. по 31.07.2016 г.</t>
  </si>
  <si>
    <t>за период с 01.09.2016 г. по 30.09.2016 г.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</si>
  <si>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</si>
  <si>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</si>
  <si>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Смена дверных приборов - петли</t>
  </si>
  <si>
    <t>Пристрожка полотна по кромкам</t>
  </si>
  <si>
    <t>Смена дверных приборов (замки навесные)</t>
  </si>
  <si>
    <t>7 раз в месяц</t>
  </si>
  <si>
    <t xml:space="preserve">ежедневно </t>
  </si>
  <si>
    <t xml:space="preserve">II. Уборка земельного участка </t>
  </si>
  <si>
    <t>26 раз в месяц</t>
  </si>
  <si>
    <t>ООО «Жилсервис»</t>
  </si>
  <si>
    <t>за период с 01.11.2016 г. по 30.11.2016 г.</t>
  </si>
  <si>
    <t>Влажное подметание лестничных клеток 1 этажа</t>
  </si>
  <si>
    <t>Влажное подметание лестничных клеток 2-4 этажа</t>
  </si>
  <si>
    <t>Мытье лестничных  площадок и маршей 1-4 этаж.</t>
  </si>
  <si>
    <t>13 раз в месяц</t>
  </si>
  <si>
    <t>8 - 9 раз в месяц</t>
  </si>
  <si>
    <t>III. Плановые осмотры  и мелкий ремонт</t>
  </si>
  <si>
    <t>III. Содержание общего имущества</t>
  </si>
  <si>
    <t xml:space="preserve"> IV. Прочие услуги</t>
  </si>
  <si>
    <t>Пескопосыпка территории: входн. площадки</t>
  </si>
  <si>
    <t>Аварийное обслуживание</t>
  </si>
  <si>
    <t xml:space="preserve">Очистка края кровли  от слежавшегося снега со сбрасы- ванием сосулек (10% от S кровли, козырьки над подъездами) 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</si>
  <si>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</si>
  <si>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</si>
  <si>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</si>
  <si>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 xml:space="preserve">приемки оказанных услуг и выполненных работ по содержанию и текущему ремонту
общего имущества в многоквартирном доме № 3 по  ул. Космонавтов  пгт. 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</si>
  <si>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Космонавтов, д. 3</t>
    </r>
  </si>
  <si>
    <t>Сдвигание снега в дни снегопада (проезд)</t>
  </si>
  <si>
    <t>Сдвигание снега в дни снегопада (тротуар, крыльца)</t>
  </si>
  <si>
    <t>5 раз в месяц</t>
  </si>
  <si>
    <t>Подметание снега - с тротуара, крылец, контейнерных площадок</t>
  </si>
  <si>
    <t>Прогрев ХВС</t>
  </si>
  <si>
    <t>Ремонт отдельных мест покрытия из асбоцементных листов обыкновенного профиля</t>
  </si>
  <si>
    <t>Ремонт поверхности кирпичных стен при глубине заделки в 1 кирпич площадью в одном месте до 1 м2</t>
  </si>
  <si>
    <t>3м</t>
  </si>
  <si>
    <t>шт</t>
  </si>
  <si>
    <t>10 м2</t>
  </si>
  <si>
    <t>10м2</t>
  </si>
  <si>
    <t>4 раза в месяц</t>
  </si>
  <si>
    <t>Заделка стыков соединений стояков</t>
  </si>
  <si>
    <t>1 соединение</t>
  </si>
  <si>
    <t>2. Всего за период с  01.11.2016 г. по 30.11.2016 г. выполнено работ (оказано услуг) на общую сумму: 44671,70 руб.</t>
  </si>
  <si>
    <t>сорок четыре тысячи  шестьсот семьдесят один  рубль 70 копеек )</t>
  </si>
  <si>
    <t>АКТ №12</t>
  </si>
  <si>
    <t xml:space="preserve">приемки оказанных услуг и выполненных работ по содержанию и текущему ремонту
общего имущества в многоквартирном доме №3 по ул.Космонавтов пгт.Ярега
</t>
  </si>
  <si>
    <t>за период с 01.12.2016 г. по 31.12.2016 г.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</si>
  <si>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д.3</t>
    </r>
  </si>
  <si>
    <t>100м2</t>
  </si>
  <si>
    <t>Мытье окон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</si>
  <si>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</si>
  <si>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</si>
  <si>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</si>
  <si>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</si>
  <si>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</si>
  <si>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</si>
  <si>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</si>
  <si>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</si>
  <si>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Техническое обслуживание наружных газопроводов</t>
  </si>
  <si>
    <t>ТО внутридомового газ.оборудования</t>
  </si>
  <si>
    <t>100м3</t>
  </si>
  <si>
    <t>1000м3</t>
  </si>
  <si>
    <t>Вода для промывки СО</t>
  </si>
  <si>
    <t>Сброс воды после промывки СО в канализацию</t>
  </si>
  <si>
    <t>Замена ламп ДРЛ</t>
  </si>
  <si>
    <t>Смена светодиодных светильников</t>
  </si>
  <si>
    <t>Стоимость светодиодного светильника</t>
  </si>
  <si>
    <t>тыс.руб.</t>
  </si>
  <si>
    <t>Прочистка каналов</t>
  </si>
  <si>
    <t xml:space="preserve"> </t>
  </si>
  <si>
    <t>Мелкий ремонт электропроводки</t>
  </si>
  <si>
    <t>Укрепление оконных и дверных приборов - пружин, ручек, петель, шпингалетов</t>
  </si>
  <si>
    <t>Работа автовышки</t>
  </si>
  <si>
    <t>маш/час</t>
  </si>
  <si>
    <t>1 полотно</t>
  </si>
  <si>
    <t>Прогрев XВC</t>
  </si>
  <si>
    <t>156 раз в год</t>
  </si>
  <si>
    <t>104 раза в год</t>
  </si>
  <si>
    <t xml:space="preserve">24 раза в год </t>
  </si>
  <si>
    <t>Утепление трубопроводов минеральной ватой</t>
  </si>
  <si>
    <t>1 м3</t>
  </si>
  <si>
    <t>2. Всего за период с 01.12.2016 г. по 31.12.2016 г. выполнено работ (оказано услуг) на общую сумму: 54614,65 руб.</t>
  </si>
  <si>
    <t>(пятьдесят четыре тысячи шестьсот четырнадцать рублей 65 копеек)</t>
  </si>
  <si>
    <t>3 раза в неделю 156 раз в год</t>
  </si>
  <si>
    <t>2 раза в неделю 104 раза в год</t>
  </si>
  <si>
    <t xml:space="preserve"> - Уборка газонов</t>
  </si>
  <si>
    <t>2 раза в неделю 52 раза в сезон</t>
  </si>
  <si>
    <t xml:space="preserve"> - Подметание территории с усовершенствованным покрытием асф.: крыльца, контейнерн пл., проезд, тротуар</t>
  </si>
  <si>
    <t>3 раза в неделю 78 раз за сезон</t>
  </si>
  <si>
    <t xml:space="preserve"> - Уборка контейнерной площадки (16 кв.м.)</t>
  </si>
  <si>
    <t>ежедневно 365 раз</t>
  </si>
  <si>
    <t>по мере необходимости</t>
  </si>
  <si>
    <t>Вывоз смета,травы,ветвей и т.п.- м/ч</t>
  </si>
  <si>
    <t>12 раз за сезон</t>
  </si>
  <si>
    <t>Сдвигание снега в дни снегопада (крыльца, тротуары)</t>
  </si>
  <si>
    <t>30 раз за сезон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</si>
  <si>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</si>
  <si>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</si>
  <si>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</si>
  <si>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</si>
  <si>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</si>
  <si>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</si>
  <si>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</si>
  <si>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</si>
  <si>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</si>
  <si>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</si>
  <si>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</si>
  <si>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 от мусора</t>
  </si>
  <si>
    <t>Аварийно-диспетчерское обслуживание</t>
  </si>
  <si>
    <t>Промывка и прочистка сифонов под раковиной умывальником пластмассовых</t>
  </si>
  <si>
    <t>1 шт</t>
  </si>
  <si>
    <t>Смена трубопроводов на металл-полимерные трубы диаметром до 20мм</t>
  </si>
  <si>
    <t xml:space="preserve">Смена сгонов у трубопроводов диаметром до 20 мм </t>
  </si>
  <si>
    <t>1 сгон</t>
  </si>
  <si>
    <t>Ремонт и регулировка доводчика (без стоимости доводчика)</t>
  </si>
  <si>
    <t>1шт.</t>
  </si>
  <si>
    <t>Прочистка засоров ГВС, XВC</t>
  </si>
  <si>
    <t>Ремонт металлической двери</t>
  </si>
  <si>
    <t>брусок</t>
  </si>
  <si>
    <t>Внеплановый осмотр вводных электрических щитков</t>
  </si>
  <si>
    <t>100шт</t>
  </si>
  <si>
    <t>Смена трубопроводов на полипропиленовые трубы PN25 диаметром 20мм</t>
  </si>
  <si>
    <t>Смена патронов</t>
  </si>
  <si>
    <t xml:space="preserve">Уплотнение сгонов с применением льняной пряди или асбестового шнура (без разборки сгонов) </t>
  </si>
  <si>
    <t>Устройство деревянного настила</t>
  </si>
  <si>
    <t>1 мЗ</t>
  </si>
  <si>
    <t xml:space="preserve">2 раза в месяц 24 раза в год </t>
  </si>
  <si>
    <t>II. Летняя уборка</t>
  </si>
  <si>
    <t>II. Зимняя уборка</t>
  </si>
  <si>
    <t>1 раз в месяц (5 раз в год)</t>
  </si>
  <si>
    <t>III. Плановые осмотры</t>
  </si>
  <si>
    <t>IV. Содержание общего имущества</t>
  </si>
  <si>
    <t>V. Прочие услуги</t>
  </si>
  <si>
    <t>2. Всего за период с 01.01.2016 г. по 31.01.2016 г. выполнено работ (оказано услуг) на общую сумму: 60932,95 руб.</t>
  </si>
  <si>
    <t>АКТ №1</t>
  </si>
  <si>
    <t>АКТ №2</t>
  </si>
  <si>
    <t>2. Всего за период с 01.02.2016 г. по 29.02.2016 г. выполнено работ (оказано услуг) на общую сумму: 37900,76 руб.</t>
  </si>
  <si>
    <t>(тридцать семь тысяч девятьсот рублей 76 копеек)</t>
  </si>
  <si>
    <t>АКТ №3</t>
  </si>
  <si>
    <t>2. Всего за период с 01.03.2016 г. по 31.03.2016 г. выполнено работ (оказано услуг) на общую сумму: 63854,06 руб.</t>
  </si>
  <si>
    <t>(шестьдесят три тысячи восемьсот пятьдесят четыре рубля 06 копеек)</t>
  </si>
  <si>
    <t>АКТ №4</t>
  </si>
  <si>
    <t>2. Всего за период с 01.04.2016 г. по 30.04.2016 г. выполнено работ (оказано услуг) на общую сумму: 53549,13 руб.</t>
  </si>
  <si>
    <t>(пятьдесят три тысячи пятьсот сорок девять рублей 13 копеек)</t>
  </si>
  <si>
    <t>АКТ №5</t>
  </si>
  <si>
    <t>2. Всего за период с 01.05.2016 г. по 31.05.2016 г. выполнено работ (оказано услуг) на общую сумму: 107752,07 руб.</t>
  </si>
  <si>
    <t>(сто семь тысяч семьсот пятьдесят два рубля 07 копеек)</t>
  </si>
  <si>
    <t>АКТ №6</t>
  </si>
  <si>
    <t>III. Прочие услуги</t>
  </si>
  <si>
    <t>2. Всего за период с 01.06.2016 г. по 30.06.2016 г. выполнено работ (оказано услуг) на общую сумму: 30709,37 руб.</t>
  </si>
  <si>
    <t>(тридцать тысяч семьсот девять рублей 37 копеек)</t>
  </si>
  <si>
    <t>АКТ №7</t>
  </si>
  <si>
    <t>2. Всего за период с 01.07.2016 г. по 31.07.2016 г. выполнено работ (оказано услуг) на общую сумму: 35658,14 руб.</t>
  </si>
  <si>
    <t>(тридцать пять тысяч шестьсот пятьдесят восемь рублей 14 копеек)</t>
  </si>
  <si>
    <t>АКТ №8</t>
  </si>
  <si>
    <t>IV. Прочие услуги</t>
  </si>
  <si>
    <t>2. Всего за период с 01.08.2016 г. по 31.08.2016 г. выполнено работ (оказано услуг) на общую сумму: 50494,44 руб.</t>
  </si>
  <si>
    <t>(пятьдесят тысяч четыреста девяносто четыре рубля 44 копейки)</t>
  </si>
  <si>
    <t>АКТ №9</t>
  </si>
  <si>
    <t>2. Всего за период с 01.09.2016 г. по 30.09.2016 г. выполнено работ (оказано услуг) на общую сумму: 36315,91 руб.</t>
  </si>
  <si>
    <t>(тридцать шесть тысяч триста пятнадцать рублей 91 копейка)</t>
  </si>
  <si>
    <t>АКТ №10</t>
  </si>
  <si>
    <t>2. Всего за период с 01.10.2016 г. по 31.10.2016 г. выполнено работ (оказано услуг) на общую сумму: 39127,34 руб.</t>
  </si>
  <si>
    <t>(тридцать девять тысяч сто двадцать семь рублей 34 копейки)</t>
  </si>
  <si>
    <t>АКТ №11</t>
  </si>
  <si>
    <t>(шестьдесят тысяч девятьсот тридцать два рубля 95 копеек)</t>
  </si>
  <si>
    <r>
      <t xml:space="preserve">    Собственники   помещений   в многоквартирном доме, расположенном по адресу: пгт.Ярега, ул.Космонавтов, д.3,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 доме,  действующего  на  основании  решения  от  18.11.2013г.  стороны,  и  ООО  «Жилсервис»,  именуемое  в 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</si>
  <si>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  помещений   в многоквартирном доме, расположенном по адресу: пгт. Ярега, ул. Космонавтов, д 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18.11.2013г.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</si>
</sst>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0000"/>
    <numFmt numFmtId="166" formatCode="0.0000000"/>
  </numFmts>
  <fonts count="3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u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u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72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0" fillId="0" borderId="0" xfId="0" applyFont="1"/>
    <xf numFmtId="0" fontId="12" fillId="0" borderId="3" xfId="0" applyFont="1" applyFill="1" applyBorder="1" applyAlignment="1">
      <alignment horizontal="center"/>
    </xf>
    <xf numFmtId="4" fontId="12" fillId="0" borderId="3" xfId="0" applyNumberFormat="1" applyFont="1" applyFill="1" applyBorder="1" applyAlignment="1">
      <alignment horizontal="center" wrapText="1"/>
    </xf>
    <xf numFmtId="4" fontId="12" fillId="0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2" fillId="0" borderId="3" xfId="0" applyFont="1" applyBorder="1"/>
    <xf numFmtId="2" fontId="0" fillId="0" borderId="0" xfId="0" applyNumberFormat="1"/>
    <xf numFmtId="4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7" fillId="0" borderId="0" xfId="0" applyFont="1"/>
    <xf numFmtId="4" fontId="0" fillId="0" borderId="0" xfId="0" applyNumberFormat="1" applyFill="1"/>
    <xf numFmtId="165" fontId="0" fillId="0" borderId="0" xfId="0" applyNumberFormat="1" applyFill="1"/>
    <xf numFmtId="0" fontId="5" fillId="0" borderId="5" xfId="0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12" fillId="0" borderId="3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right" vertical="top"/>
    </xf>
    <xf numFmtId="0" fontId="17" fillId="0" borderId="0" xfId="0" applyFont="1" applyAlignment="1"/>
    <xf numFmtId="14" fontId="1" fillId="0" borderId="0" xfId="0" applyNumberFormat="1" applyFont="1" applyAlignment="1">
      <alignment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2" fillId="2" borderId="9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/>
    <xf numFmtId="0" fontId="16" fillId="0" borderId="3" xfId="0" applyFont="1" applyFill="1" applyBorder="1"/>
    <xf numFmtId="4" fontId="12" fillId="2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1" fontId="12" fillId="0" borderId="3" xfId="0" applyNumberFormat="1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4" fontId="2" fillId="0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" fillId="0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vertical="top" wrapText="1"/>
    </xf>
    <xf numFmtId="0" fontId="23" fillId="0" borderId="0" xfId="0" applyFont="1" applyAlignment="1">
      <alignment wrapText="1"/>
    </xf>
    <xf numFmtId="0" fontId="2" fillId="0" borderId="3" xfId="0" applyFont="1" applyFill="1" applyBorder="1" applyAlignment="1">
      <alignment horizontal="left" vertical="center"/>
    </xf>
    <xf numFmtId="0" fontId="21" fillId="0" borderId="3" xfId="0" applyFont="1" applyBorder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wrapText="1"/>
    </xf>
    <xf numFmtId="0" fontId="12" fillId="0" borderId="3" xfId="0" applyFont="1" applyBorder="1"/>
    <xf numFmtId="0" fontId="2" fillId="0" borderId="3" xfId="0" applyNumberFormat="1" applyFont="1" applyFill="1" applyBorder="1" applyAlignment="1" applyProtection="1">
      <alignment horizontal="left" vertical="center"/>
    </xf>
    <xf numFmtId="0" fontId="19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3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horizontal="right" wrapText="1"/>
    </xf>
    <xf numFmtId="0" fontId="26" fillId="0" borderId="0" xfId="0" applyFont="1" applyBorder="1" applyAlignment="1">
      <alignment wrapText="1"/>
    </xf>
    <xf numFmtId="2" fontId="2" fillId="0" borderId="3" xfId="0" applyNumberFormat="1" applyFont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6" fillId="0" borderId="0" xfId="0" applyFont="1" applyAlignment="1">
      <alignment horizontal="justify"/>
    </xf>
    <xf numFmtId="0" fontId="28" fillId="0" borderId="0" xfId="0" applyFont="1"/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wrapText="1"/>
    </xf>
    <xf numFmtId="0" fontId="12" fillId="2" borderId="12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/>
    </xf>
    <xf numFmtId="0" fontId="15" fillId="3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 wrapText="1"/>
    </xf>
    <xf numFmtId="4" fontId="12" fillId="4" borderId="6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center" vertical="center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2" fillId="0" borderId="3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3" xfId="0" applyFont="1" applyFill="1" applyBorder="1"/>
    <xf numFmtId="0" fontId="12" fillId="0" borderId="9" xfId="0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/>
    </xf>
    <xf numFmtId="4" fontId="12" fillId="0" borderId="15" xfId="0" applyNumberFormat="1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 wrapText="1"/>
    </xf>
    <xf numFmtId="4" fontId="2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center" vertical="center"/>
    </xf>
    <xf numFmtId="4" fontId="12" fillId="0" borderId="18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4" fontId="12" fillId="0" borderId="1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4" fillId="0" borderId="8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3"/>
  <sheetViews>
    <sheetView tabSelected="1"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B1" s="57" t="s">
        <v>118</v>
      </c>
      <c r="I1" s="56"/>
    </row>
    <row r="2" spans="1:13" ht="15.75">
      <c r="B2" s="45" t="s">
        <v>79</v>
      </c>
      <c r="J2" s="1"/>
      <c r="K2" s="1"/>
      <c r="L2" s="1"/>
      <c r="M2" s="1"/>
    </row>
    <row r="3" spans="1:13" ht="15.75" customHeight="1">
      <c r="A3" s="240" t="s">
        <v>242</v>
      </c>
      <c r="B3" s="240"/>
      <c r="C3" s="240"/>
      <c r="D3" s="240"/>
      <c r="E3" s="240"/>
      <c r="F3" s="240"/>
      <c r="G3" s="240"/>
      <c r="H3" s="240"/>
      <c r="I3" s="240"/>
      <c r="J3" s="2"/>
      <c r="K3" s="2"/>
      <c r="L3" s="2"/>
      <c r="M3" s="2"/>
    </row>
    <row r="4" spans="1:13" ht="33.75" customHeight="1">
      <c r="A4" s="241" t="s">
        <v>153</v>
      </c>
      <c r="B4" s="241"/>
      <c r="C4" s="241"/>
      <c r="D4" s="241"/>
      <c r="E4" s="241"/>
      <c r="F4" s="241"/>
      <c r="G4" s="241"/>
      <c r="H4" s="241"/>
      <c r="I4" s="241"/>
      <c r="J4" s="3"/>
      <c r="K4" s="3"/>
      <c r="L4" s="3"/>
      <c r="M4" s="3"/>
    </row>
    <row r="5" spans="1:13" ht="15.75" customHeight="1">
      <c r="A5" s="246" t="s">
        <v>97</v>
      </c>
      <c r="B5" s="247"/>
      <c r="C5" s="247"/>
      <c r="D5" s="247"/>
      <c r="E5" s="247"/>
      <c r="F5" s="247"/>
      <c r="G5" s="247"/>
      <c r="H5" s="247"/>
      <c r="I5" s="247"/>
      <c r="J5" s="4"/>
      <c r="K5" s="4"/>
      <c r="L5" s="4"/>
    </row>
    <row r="6" spans="1:13" ht="15.75" customHeight="1">
      <c r="A6" s="3"/>
      <c r="B6" s="161"/>
      <c r="C6" s="161"/>
      <c r="D6" s="161"/>
      <c r="E6" s="161"/>
      <c r="F6" s="192"/>
      <c r="G6" s="161"/>
      <c r="H6" s="192"/>
      <c r="I6" s="58">
        <v>42400</v>
      </c>
    </row>
    <row r="7" spans="1:13" ht="15.75">
      <c r="B7" s="158"/>
      <c r="C7" s="158"/>
      <c r="D7" s="158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242" t="s">
        <v>274</v>
      </c>
      <c r="B8" s="242"/>
      <c r="C8" s="242"/>
      <c r="D8" s="242"/>
      <c r="E8" s="242"/>
      <c r="F8" s="242"/>
      <c r="G8" s="242"/>
      <c r="H8" s="242"/>
      <c r="I8" s="242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248" t="s">
        <v>155</v>
      </c>
      <c r="B10" s="248"/>
      <c r="C10" s="248"/>
      <c r="D10" s="248"/>
      <c r="E10" s="248"/>
      <c r="F10" s="248"/>
      <c r="G10" s="248"/>
      <c r="H10" s="248"/>
      <c r="I10" s="248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243" t="s">
        <v>4</v>
      </c>
      <c r="B14" s="244"/>
      <c r="C14" s="244"/>
      <c r="D14" s="244"/>
      <c r="E14" s="244"/>
      <c r="F14" s="244"/>
      <c r="G14" s="244"/>
      <c r="H14" s="244"/>
      <c r="I14" s="245"/>
    </row>
    <row r="15" spans="1:13" ht="31.5" customHeight="1">
      <c r="A15" s="50">
        <v>1</v>
      </c>
      <c r="B15" s="175" t="s">
        <v>120</v>
      </c>
      <c r="C15" s="210" t="s">
        <v>156</v>
      </c>
      <c r="D15" s="175" t="s">
        <v>191</v>
      </c>
      <c r="E15" s="211">
        <v>66.2</v>
      </c>
      <c r="F15" s="212">
        <f>SUM(E15*156/100)</f>
        <v>103.27200000000001</v>
      </c>
      <c r="G15" s="212">
        <v>175.38</v>
      </c>
      <c r="H15" s="213">
        <f t="shared" ref="H15:H24" si="0">SUM(F15*G15/1000)</f>
        <v>18.111843359999998</v>
      </c>
      <c r="I15" s="20">
        <f>F15/12*G15</f>
        <v>1509.3202799999999</v>
      </c>
      <c r="J15" s="10"/>
      <c r="K15" s="10"/>
      <c r="L15" s="10"/>
      <c r="M15" s="10"/>
    </row>
    <row r="16" spans="1:13" ht="31.5" customHeight="1">
      <c r="A16" s="50">
        <v>2</v>
      </c>
      <c r="B16" s="175" t="s">
        <v>121</v>
      </c>
      <c r="C16" s="210" t="s">
        <v>156</v>
      </c>
      <c r="D16" s="175" t="s">
        <v>192</v>
      </c>
      <c r="E16" s="211">
        <v>198.7</v>
      </c>
      <c r="F16" s="212">
        <f>SUM(E16*104/100)</f>
        <v>206.648</v>
      </c>
      <c r="G16" s="212">
        <v>175.38</v>
      </c>
      <c r="H16" s="213">
        <f t="shared" si="0"/>
        <v>36.241926239999998</v>
      </c>
      <c r="I16" s="20">
        <f>F16/12*G16</f>
        <v>3020.1605199999999</v>
      </c>
      <c r="J16" s="10"/>
      <c r="K16" s="10"/>
      <c r="L16" s="10"/>
      <c r="M16" s="10"/>
    </row>
    <row r="17" spans="1:13" ht="31.5" customHeight="1">
      <c r="A17" s="50">
        <v>3</v>
      </c>
      <c r="B17" s="175" t="s">
        <v>122</v>
      </c>
      <c r="C17" s="210" t="s">
        <v>156</v>
      </c>
      <c r="D17" s="175" t="s">
        <v>234</v>
      </c>
      <c r="E17" s="211">
        <f>SUM(E15+E16)</f>
        <v>264.89999999999998</v>
      </c>
      <c r="F17" s="212">
        <f>SUM(E17*24/100)</f>
        <v>63.575999999999993</v>
      </c>
      <c r="G17" s="212">
        <v>504.5</v>
      </c>
      <c r="H17" s="213">
        <f t="shared" si="0"/>
        <v>32.074092</v>
      </c>
      <c r="I17" s="20">
        <f>F17/12*G17</f>
        <v>2672.8409999999994</v>
      </c>
      <c r="J17" s="10"/>
      <c r="K17" s="10"/>
      <c r="L17" s="10"/>
      <c r="M17" s="10"/>
    </row>
    <row r="18" spans="1:13" ht="15.75" hidden="1" customHeight="1">
      <c r="A18" s="50"/>
      <c r="B18" s="175" t="s">
        <v>157</v>
      </c>
      <c r="C18" s="210" t="s">
        <v>146</v>
      </c>
      <c r="D18" s="175" t="s">
        <v>158</v>
      </c>
      <c r="E18" s="211">
        <v>40</v>
      </c>
      <c r="F18" s="212">
        <f>SUM(E18/10)</f>
        <v>4</v>
      </c>
      <c r="G18" s="212">
        <v>170.16</v>
      </c>
      <c r="H18" s="213">
        <f t="shared" si="0"/>
        <v>0.68064000000000002</v>
      </c>
      <c r="I18" s="20">
        <v>0</v>
      </c>
      <c r="J18" s="10"/>
      <c r="K18" s="10"/>
      <c r="L18" s="10"/>
      <c r="M18" s="10"/>
    </row>
    <row r="19" spans="1:13" ht="15.75" hidden="1" customHeight="1">
      <c r="A19" s="50"/>
      <c r="B19" s="175" t="s">
        <v>159</v>
      </c>
      <c r="C19" s="210" t="s">
        <v>156</v>
      </c>
      <c r="D19" s="175" t="s">
        <v>66</v>
      </c>
      <c r="E19" s="211">
        <v>10.5</v>
      </c>
      <c r="F19" s="212">
        <f t="shared" ref="F19:F24" si="1">SUM(E19/100)</f>
        <v>0.105</v>
      </c>
      <c r="G19" s="212">
        <v>217.88</v>
      </c>
      <c r="H19" s="213">
        <f t="shared" si="0"/>
        <v>2.2877399999999999E-2</v>
      </c>
      <c r="I19" s="20">
        <v>0</v>
      </c>
      <c r="J19" s="10"/>
      <c r="K19" s="10"/>
      <c r="L19" s="10"/>
      <c r="M19" s="10"/>
    </row>
    <row r="20" spans="1:13" ht="15.75" hidden="1" customHeight="1">
      <c r="A20" s="50"/>
      <c r="B20" s="175" t="s">
        <v>160</v>
      </c>
      <c r="C20" s="210" t="s">
        <v>156</v>
      </c>
      <c r="D20" s="175" t="s">
        <v>66</v>
      </c>
      <c r="E20" s="211">
        <v>2.7</v>
      </c>
      <c r="F20" s="212">
        <f t="shared" si="1"/>
        <v>2.7000000000000003E-2</v>
      </c>
      <c r="G20" s="212">
        <v>216.12</v>
      </c>
      <c r="H20" s="213">
        <f t="shared" si="0"/>
        <v>5.8352400000000002E-3</v>
      </c>
      <c r="I20" s="20">
        <v>0</v>
      </c>
      <c r="J20" s="10"/>
      <c r="K20" s="10"/>
      <c r="L20" s="10"/>
      <c r="M20" s="10"/>
    </row>
    <row r="21" spans="1:13" ht="15.75" hidden="1" customHeight="1">
      <c r="A21" s="50"/>
      <c r="B21" s="175" t="s">
        <v>161</v>
      </c>
      <c r="C21" s="210" t="s">
        <v>65</v>
      </c>
      <c r="D21" s="175" t="s">
        <v>158</v>
      </c>
      <c r="E21" s="211">
        <v>357</v>
      </c>
      <c r="F21" s="212">
        <f t="shared" si="1"/>
        <v>3.57</v>
      </c>
      <c r="G21" s="212">
        <v>269.26</v>
      </c>
      <c r="H21" s="213">
        <f t="shared" si="0"/>
        <v>0.96125819999999984</v>
      </c>
      <c r="I21" s="20">
        <v>0</v>
      </c>
      <c r="J21" s="10"/>
      <c r="K21" s="10"/>
      <c r="L21" s="10"/>
      <c r="M21" s="10"/>
    </row>
    <row r="22" spans="1:13" ht="15.75" hidden="1" customHeight="1">
      <c r="A22" s="50"/>
      <c r="B22" s="175" t="s">
        <v>162</v>
      </c>
      <c r="C22" s="210" t="s">
        <v>65</v>
      </c>
      <c r="D22" s="175" t="s">
        <v>158</v>
      </c>
      <c r="E22" s="214">
        <v>38.64</v>
      </c>
      <c r="F22" s="212">
        <f t="shared" si="1"/>
        <v>0.38640000000000002</v>
      </c>
      <c r="G22" s="212">
        <v>44.29</v>
      </c>
      <c r="H22" s="213">
        <f t="shared" si="0"/>
        <v>1.7113655999999998E-2</v>
      </c>
      <c r="I22" s="20">
        <v>0</v>
      </c>
      <c r="J22" s="10"/>
      <c r="K22" s="10"/>
      <c r="L22" s="10"/>
      <c r="M22" s="10"/>
    </row>
    <row r="23" spans="1:13" ht="15.75" hidden="1" customHeight="1">
      <c r="A23" s="50"/>
      <c r="B23" s="175" t="s">
        <v>163</v>
      </c>
      <c r="C23" s="210" t="s">
        <v>65</v>
      </c>
      <c r="D23" s="176" t="s">
        <v>158</v>
      </c>
      <c r="E23" s="26">
        <v>15</v>
      </c>
      <c r="F23" s="215">
        <f t="shared" si="1"/>
        <v>0.15</v>
      </c>
      <c r="G23" s="212">
        <v>389.72</v>
      </c>
      <c r="H23" s="213">
        <f t="shared" si="0"/>
        <v>5.8457999999999996E-2</v>
      </c>
      <c r="I23" s="20">
        <v>0</v>
      </c>
      <c r="J23" s="10"/>
      <c r="K23" s="10"/>
      <c r="L23" s="10"/>
      <c r="M23" s="10"/>
    </row>
    <row r="24" spans="1:13" ht="15.75" hidden="1" customHeight="1">
      <c r="A24" s="50"/>
      <c r="B24" s="175" t="s">
        <v>164</v>
      </c>
      <c r="C24" s="210" t="s">
        <v>65</v>
      </c>
      <c r="D24" s="175" t="s">
        <v>158</v>
      </c>
      <c r="E24" s="216">
        <v>6.38</v>
      </c>
      <c r="F24" s="212">
        <f t="shared" si="1"/>
        <v>6.3799999999999996E-2</v>
      </c>
      <c r="G24" s="212">
        <v>520.79999999999995</v>
      </c>
      <c r="H24" s="213">
        <f t="shared" si="0"/>
        <v>3.3227039999999992E-2</v>
      </c>
      <c r="I24" s="20">
        <v>0</v>
      </c>
      <c r="J24" s="10"/>
      <c r="K24" s="10"/>
      <c r="L24" s="10"/>
      <c r="M24" s="10"/>
    </row>
    <row r="25" spans="1:13" ht="15.75" customHeight="1">
      <c r="A25" s="207">
        <v>4</v>
      </c>
      <c r="B25" s="175" t="s">
        <v>81</v>
      </c>
      <c r="C25" s="210" t="s">
        <v>37</v>
      </c>
      <c r="D25" s="175" t="s">
        <v>198</v>
      </c>
      <c r="E25" s="211">
        <v>0.1</v>
      </c>
      <c r="F25" s="212">
        <f>SUM(E25*365)</f>
        <v>36.5</v>
      </c>
      <c r="G25" s="212">
        <v>147.03</v>
      </c>
      <c r="H25" s="213">
        <f>SUM(F25*G25/1000)</f>
        <v>5.3665950000000002</v>
      </c>
      <c r="I25" s="20">
        <f>F25/12*G25</f>
        <v>447.21625</v>
      </c>
      <c r="J25" s="36"/>
      <c r="K25" s="10"/>
      <c r="L25" s="10"/>
      <c r="M25" s="10"/>
    </row>
    <row r="26" spans="1:13" ht="15.75" customHeight="1">
      <c r="A26" s="207">
        <v>5</v>
      </c>
      <c r="B26" s="218" t="s">
        <v>26</v>
      </c>
      <c r="C26" s="210" t="s">
        <v>27</v>
      </c>
      <c r="D26" s="218" t="s">
        <v>177</v>
      </c>
      <c r="E26" s="211">
        <v>2566.6</v>
      </c>
      <c r="F26" s="212">
        <f>SUM(E26*12)</f>
        <v>30799.199999999997</v>
      </c>
      <c r="G26" s="212">
        <v>4.53</v>
      </c>
      <c r="H26" s="213">
        <f>SUM(F26*G26/1000)</f>
        <v>139.520376</v>
      </c>
      <c r="I26" s="20">
        <f>F26/12*G26</f>
        <v>11626.698</v>
      </c>
      <c r="J26" s="36"/>
      <c r="K26" s="10"/>
      <c r="L26" s="10"/>
      <c r="M26" s="10"/>
    </row>
    <row r="27" spans="1:13" ht="15.75" hidden="1" customHeight="1">
      <c r="A27" s="252" t="s">
        <v>235</v>
      </c>
      <c r="B27" s="253"/>
      <c r="C27" s="253"/>
      <c r="D27" s="253"/>
      <c r="E27" s="253"/>
      <c r="F27" s="253"/>
      <c r="G27" s="253"/>
      <c r="H27" s="253"/>
      <c r="I27" s="254"/>
      <c r="J27" s="36"/>
      <c r="K27" s="10"/>
      <c r="L27" s="10"/>
      <c r="M27" s="10"/>
    </row>
    <row r="28" spans="1:13" ht="31.5" hidden="1" customHeight="1">
      <c r="A28" s="205"/>
      <c r="B28" s="175" t="s">
        <v>193</v>
      </c>
      <c r="C28" s="210" t="s">
        <v>165</v>
      </c>
      <c r="D28" s="175" t="s">
        <v>194</v>
      </c>
      <c r="E28" s="212">
        <v>852.6</v>
      </c>
      <c r="F28" s="212">
        <f>SUM(E28*52/1000)</f>
        <v>44.335200000000007</v>
      </c>
      <c r="G28" s="212">
        <v>155.88999999999999</v>
      </c>
      <c r="H28" s="213">
        <f t="shared" ref="H28:H33" si="2">SUM(F28*G28/1000)</f>
        <v>6.9114143280000011</v>
      </c>
      <c r="I28" s="20">
        <v>0</v>
      </c>
      <c r="J28" s="36"/>
      <c r="K28" s="10"/>
      <c r="L28" s="10"/>
      <c r="M28" s="10"/>
    </row>
    <row r="29" spans="1:13" ht="31.5" hidden="1" customHeight="1">
      <c r="A29" s="50"/>
      <c r="B29" s="175" t="s">
        <v>195</v>
      </c>
      <c r="C29" s="210" t="s">
        <v>165</v>
      </c>
      <c r="D29" s="175" t="s">
        <v>196</v>
      </c>
      <c r="E29" s="212">
        <v>65.33</v>
      </c>
      <c r="F29" s="212">
        <f>SUM(E29*78/1000)</f>
        <v>5.0957400000000002</v>
      </c>
      <c r="G29" s="212">
        <v>258.63</v>
      </c>
      <c r="H29" s="213">
        <f t="shared" si="2"/>
        <v>1.3179112362000001</v>
      </c>
      <c r="I29" s="20">
        <v>0</v>
      </c>
      <c r="J29" s="36"/>
      <c r="K29" s="10"/>
      <c r="L29" s="10"/>
      <c r="M29" s="10"/>
    </row>
    <row r="30" spans="1:13" ht="15.75" hidden="1" customHeight="1">
      <c r="A30" s="207"/>
      <c r="B30" s="175" t="s">
        <v>32</v>
      </c>
      <c r="C30" s="210" t="s">
        <v>165</v>
      </c>
      <c r="D30" s="175" t="s">
        <v>66</v>
      </c>
      <c r="E30" s="212">
        <v>852.6</v>
      </c>
      <c r="F30" s="212">
        <f>SUM(E30/1000)</f>
        <v>0.85260000000000002</v>
      </c>
      <c r="G30" s="212">
        <v>3020.33</v>
      </c>
      <c r="H30" s="213">
        <f t="shared" si="2"/>
        <v>2.575133358</v>
      </c>
      <c r="I30" s="20">
        <v>0</v>
      </c>
      <c r="J30" s="36"/>
      <c r="K30" s="10"/>
      <c r="L30" s="10"/>
      <c r="M30" s="10"/>
    </row>
    <row r="31" spans="1:13" ht="15.75" hidden="1" customHeight="1">
      <c r="A31" s="207"/>
      <c r="B31" s="175" t="s">
        <v>197</v>
      </c>
      <c r="C31" s="210" t="s">
        <v>35</v>
      </c>
      <c r="D31" s="175" t="s">
        <v>80</v>
      </c>
      <c r="E31" s="217">
        <v>0.33333333333333331</v>
      </c>
      <c r="F31" s="212">
        <f>155/3</f>
        <v>51.666666666666664</v>
      </c>
      <c r="G31" s="212">
        <v>56.69</v>
      </c>
      <c r="H31" s="213">
        <f>SUM(G31*155/3/1000)</f>
        <v>2.9289833333333331</v>
      </c>
      <c r="I31" s="20">
        <v>0</v>
      </c>
      <c r="J31" s="36"/>
      <c r="K31" s="10"/>
      <c r="L31" s="10"/>
      <c r="M31" s="10"/>
    </row>
    <row r="32" spans="1:13" ht="15.75" hidden="1" customHeight="1">
      <c r="A32" s="207"/>
      <c r="B32" s="175" t="s">
        <v>82</v>
      </c>
      <c r="C32" s="210" t="s">
        <v>37</v>
      </c>
      <c r="D32" s="175" t="s">
        <v>83</v>
      </c>
      <c r="E32" s="211"/>
      <c r="F32" s="212">
        <v>3</v>
      </c>
      <c r="G32" s="212">
        <v>191.32</v>
      </c>
      <c r="H32" s="213">
        <f t="shared" si="2"/>
        <v>0.57396000000000003</v>
      </c>
      <c r="I32" s="20">
        <v>0</v>
      </c>
      <c r="J32" s="36"/>
      <c r="K32" s="10"/>
      <c r="L32" s="10"/>
      <c r="M32" s="10"/>
    </row>
    <row r="33" spans="1:14" ht="15.75" hidden="1" customHeight="1">
      <c r="A33" s="207"/>
      <c r="B33" s="175" t="s">
        <v>200</v>
      </c>
      <c r="C33" s="210" t="s">
        <v>36</v>
      </c>
      <c r="D33" s="175" t="s">
        <v>83</v>
      </c>
      <c r="E33" s="211"/>
      <c r="F33" s="212">
        <v>2</v>
      </c>
      <c r="G33" s="212">
        <v>1136.33</v>
      </c>
      <c r="H33" s="213">
        <f t="shared" si="2"/>
        <v>2.2726599999999997</v>
      </c>
      <c r="I33" s="20">
        <v>0</v>
      </c>
      <c r="J33" s="36"/>
      <c r="K33" s="10"/>
      <c r="L33" s="10"/>
      <c r="M33" s="10"/>
    </row>
    <row r="34" spans="1:14" ht="15.75" customHeight="1">
      <c r="A34" s="252" t="s">
        <v>236</v>
      </c>
      <c r="B34" s="253"/>
      <c r="C34" s="253"/>
      <c r="D34" s="253"/>
      <c r="E34" s="253"/>
      <c r="F34" s="253"/>
      <c r="G34" s="253"/>
      <c r="H34" s="253"/>
      <c r="I34" s="254"/>
      <c r="J34" s="36"/>
      <c r="K34" s="10"/>
      <c r="L34" s="10"/>
      <c r="M34" s="10"/>
    </row>
    <row r="35" spans="1:14" ht="15.75" customHeight="1">
      <c r="A35" s="50">
        <v>6</v>
      </c>
      <c r="B35" s="175" t="s">
        <v>30</v>
      </c>
      <c r="C35" s="210" t="s">
        <v>36</v>
      </c>
      <c r="D35" s="175"/>
      <c r="E35" s="211"/>
      <c r="F35" s="212">
        <v>8</v>
      </c>
      <c r="G35" s="212">
        <v>1527.22</v>
      </c>
      <c r="H35" s="213">
        <f t="shared" ref="H35:H42" si="3">SUM(F35*G35/1000)</f>
        <v>12.21776</v>
      </c>
      <c r="I35" s="20">
        <f>F35/6*G35</f>
        <v>2036.2933333333333</v>
      </c>
      <c r="J35" s="36"/>
      <c r="K35" s="10"/>
      <c r="L35" s="10"/>
      <c r="M35" s="10"/>
    </row>
    <row r="36" spans="1:14" ht="15.75" customHeight="1">
      <c r="A36" s="50">
        <v>7</v>
      </c>
      <c r="B36" s="175" t="s">
        <v>136</v>
      </c>
      <c r="C36" s="210" t="s">
        <v>33</v>
      </c>
      <c r="D36" s="175" t="s">
        <v>201</v>
      </c>
      <c r="E36" s="211">
        <v>269.5</v>
      </c>
      <c r="F36" s="212">
        <f>E36*12/1000</f>
        <v>3.234</v>
      </c>
      <c r="G36" s="212">
        <v>2102.71</v>
      </c>
      <c r="H36" s="213">
        <f>G36*F36/1000</f>
        <v>6.8001641399999997</v>
      </c>
      <c r="I36" s="20">
        <f>F36/6*G36</f>
        <v>1133.3606900000002</v>
      </c>
      <c r="J36" s="36"/>
      <c r="K36" s="10"/>
      <c r="L36" s="10"/>
      <c r="M36" s="10"/>
    </row>
    <row r="37" spans="1:14" ht="15.75" customHeight="1">
      <c r="A37" s="50">
        <v>8</v>
      </c>
      <c r="B37" s="175" t="s">
        <v>202</v>
      </c>
      <c r="C37" s="210" t="s">
        <v>33</v>
      </c>
      <c r="D37" s="175" t="s">
        <v>203</v>
      </c>
      <c r="E37" s="211">
        <v>60</v>
      </c>
      <c r="F37" s="212">
        <f>E37*30/1000</f>
        <v>1.8</v>
      </c>
      <c r="G37" s="212">
        <v>2102.71</v>
      </c>
      <c r="H37" s="213">
        <f>G37*F37/1000</f>
        <v>3.784878</v>
      </c>
      <c r="I37" s="20">
        <f>F37/6*G37</f>
        <v>630.81299999999999</v>
      </c>
      <c r="J37" s="36"/>
      <c r="K37" s="10"/>
      <c r="L37" s="10"/>
      <c r="M37" s="10"/>
    </row>
    <row r="38" spans="1:14" ht="15.75" hidden="1" customHeight="1">
      <c r="A38" s="50"/>
      <c r="B38" s="175" t="s">
        <v>204</v>
      </c>
      <c r="C38" s="210" t="s">
        <v>205</v>
      </c>
      <c r="D38" s="175" t="s">
        <v>83</v>
      </c>
      <c r="E38" s="211"/>
      <c r="F38" s="212">
        <v>100</v>
      </c>
      <c r="G38" s="212">
        <v>213.2</v>
      </c>
      <c r="H38" s="213">
        <f>G38*F38/1000</f>
        <v>21.32</v>
      </c>
      <c r="I38" s="20">
        <v>0</v>
      </c>
      <c r="J38" s="36"/>
      <c r="K38" s="10"/>
      <c r="L38" s="10"/>
      <c r="M38" s="10"/>
    </row>
    <row r="39" spans="1:14" ht="15.75" customHeight="1">
      <c r="A39" s="50">
        <v>9</v>
      </c>
      <c r="B39" s="175" t="s">
        <v>84</v>
      </c>
      <c r="C39" s="210" t="s">
        <v>33</v>
      </c>
      <c r="D39" s="175" t="s">
        <v>206</v>
      </c>
      <c r="E39" s="212">
        <v>65.33</v>
      </c>
      <c r="F39" s="212">
        <f>SUM(E39*155/1000)</f>
        <v>10.126149999999999</v>
      </c>
      <c r="G39" s="212">
        <v>350.75</v>
      </c>
      <c r="H39" s="213">
        <f t="shared" si="3"/>
        <v>3.5517471124999997</v>
      </c>
      <c r="I39" s="20">
        <f>F39/6*G39</f>
        <v>591.95785208333325</v>
      </c>
      <c r="J39" s="36"/>
      <c r="K39" s="10"/>
      <c r="L39" s="10"/>
      <c r="M39" s="10"/>
    </row>
    <row r="40" spans="1:14" ht="47.25" customHeight="1">
      <c r="A40" s="50">
        <v>10</v>
      </c>
      <c r="B40" s="175" t="s">
        <v>110</v>
      </c>
      <c r="C40" s="210" t="s">
        <v>165</v>
      </c>
      <c r="D40" s="175" t="s">
        <v>207</v>
      </c>
      <c r="E40" s="212">
        <v>65.33</v>
      </c>
      <c r="F40" s="212">
        <f>SUM(E40*24/1000)</f>
        <v>1.56792</v>
      </c>
      <c r="G40" s="212">
        <v>5803.28</v>
      </c>
      <c r="H40" s="213">
        <f t="shared" si="3"/>
        <v>9.0990787775999991</v>
      </c>
      <c r="I40" s="20">
        <f>F40/6*G40</f>
        <v>1516.5131296</v>
      </c>
      <c r="J40" s="36"/>
      <c r="K40" s="10"/>
      <c r="L40" s="10"/>
      <c r="M40" s="10"/>
    </row>
    <row r="41" spans="1:14" ht="15.75" customHeight="1">
      <c r="A41" s="50">
        <v>11</v>
      </c>
      <c r="B41" s="175" t="s">
        <v>208</v>
      </c>
      <c r="C41" s="210" t="s">
        <v>165</v>
      </c>
      <c r="D41" s="175" t="s">
        <v>85</v>
      </c>
      <c r="E41" s="212">
        <v>65.33</v>
      </c>
      <c r="F41" s="212">
        <f>SUM(E41*45/1000)</f>
        <v>2.9398499999999999</v>
      </c>
      <c r="G41" s="212">
        <v>428.7</v>
      </c>
      <c r="H41" s="213">
        <f t="shared" si="3"/>
        <v>1.2603136949999998</v>
      </c>
      <c r="I41" s="20">
        <f>F41/6*G41</f>
        <v>210.05228249999999</v>
      </c>
      <c r="J41" s="36"/>
      <c r="K41" s="10"/>
    </row>
    <row r="42" spans="1:14" ht="15.75" customHeight="1">
      <c r="A42" s="50">
        <v>12</v>
      </c>
      <c r="B42" s="175" t="s">
        <v>86</v>
      </c>
      <c r="C42" s="210" t="s">
        <v>37</v>
      </c>
      <c r="D42" s="175"/>
      <c r="E42" s="211"/>
      <c r="F42" s="212">
        <v>0.8</v>
      </c>
      <c r="G42" s="212">
        <v>798</v>
      </c>
      <c r="H42" s="213">
        <f t="shared" si="3"/>
        <v>0.63840000000000008</v>
      </c>
      <c r="I42" s="20">
        <f>F42/6*G42</f>
        <v>106.39999999999999</v>
      </c>
      <c r="J42" s="37"/>
    </row>
    <row r="43" spans="1:14" ht="15.75" customHeight="1">
      <c r="A43" s="252" t="s">
        <v>238</v>
      </c>
      <c r="B43" s="255"/>
      <c r="C43" s="255"/>
      <c r="D43" s="255"/>
      <c r="E43" s="255"/>
      <c r="F43" s="255"/>
      <c r="G43" s="255"/>
      <c r="H43" s="255"/>
      <c r="I43" s="256"/>
      <c r="J43" s="37"/>
    </row>
    <row r="44" spans="1:14" ht="15.75" hidden="1" customHeight="1">
      <c r="A44" s="50"/>
      <c r="B44" s="175" t="s">
        <v>209</v>
      </c>
      <c r="C44" s="210" t="s">
        <v>165</v>
      </c>
      <c r="D44" s="175" t="s">
        <v>52</v>
      </c>
      <c r="E44" s="211">
        <v>1114.75</v>
      </c>
      <c r="F44" s="212">
        <f>SUM(E44*2/1000)</f>
        <v>2.2294999999999998</v>
      </c>
      <c r="G44" s="20">
        <v>809.74</v>
      </c>
      <c r="H44" s="213">
        <f t="shared" ref="H44:H54" si="4">SUM(F44*G44/1000)</f>
        <v>1.80531533</v>
      </c>
      <c r="I44" s="20">
        <v>0</v>
      </c>
      <c r="J44" s="37"/>
    </row>
    <row r="45" spans="1:14" ht="15.75" hidden="1" customHeight="1">
      <c r="A45" s="206"/>
      <c r="B45" s="175" t="s">
        <v>41</v>
      </c>
      <c r="C45" s="210" t="s">
        <v>165</v>
      </c>
      <c r="D45" s="175" t="s">
        <v>52</v>
      </c>
      <c r="E45" s="211">
        <v>88</v>
      </c>
      <c r="F45" s="212">
        <f>E45*2/1000</f>
        <v>0.17599999999999999</v>
      </c>
      <c r="G45" s="20">
        <v>579.48</v>
      </c>
      <c r="H45" s="213">
        <f t="shared" si="4"/>
        <v>0.10198847999999999</v>
      </c>
      <c r="I45" s="20">
        <v>0</v>
      </c>
      <c r="J45" s="37"/>
    </row>
    <row r="46" spans="1:14" ht="15.75" hidden="1" customHeight="1">
      <c r="A46" s="205"/>
      <c r="B46" s="175" t="s">
        <v>42</v>
      </c>
      <c r="C46" s="210" t="s">
        <v>165</v>
      </c>
      <c r="D46" s="175" t="s">
        <v>52</v>
      </c>
      <c r="E46" s="211">
        <v>1250.6199999999999</v>
      </c>
      <c r="F46" s="212">
        <f>SUM(E46*2/1000)</f>
        <v>2.5012399999999997</v>
      </c>
      <c r="G46" s="20">
        <v>579.48</v>
      </c>
      <c r="H46" s="213">
        <f t="shared" si="4"/>
        <v>1.4494185551999998</v>
      </c>
      <c r="I46" s="20">
        <v>0</v>
      </c>
      <c r="J46" s="37"/>
    </row>
    <row r="47" spans="1:14" ht="15.75" hidden="1" customHeight="1">
      <c r="A47" s="50"/>
      <c r="B47" s="175" t="s">
        <v>43</v>
      </c>
      <c r="C47" s="210" t="s">
        <v>165</v>
      </c>
      <c r="D47" s="175" t="s">
        <v>52</v>
      </c>
      <c r="E47" s="211">
        <v>1295.68</v>
      </c>
      <c r="F47" s="212">
        <f>SUM(E47*2/1000)</f>
        <v>2.5913600000000003</v>
      </c>
      <c r="G47" s="20">
        <v>606.77</v>
      </c>
      <c r="H47" s="213">
        <f t="shared" si="4"/>
        <v>1.5723595072000001</v>
      </c>
      <c r="I47" s="20">
        <v>0</v>
      </c>
      <c r="J47" s="37"/>
    </row>
    <row r="48" spans="1:14" ht="15.75" hidden="1" customHeight="1">
      <c r="A48" s="50"/>
      <c r="B48" s="175" t="s">
        <v>39</v>
      </c>
      <c r="C48" s="210" t="s">
        <v>40</v>
      </c>
      <c r="D48" s="175" t="s">
        <v>52</v>
      </c>
      <c r="E48" s="211">
        <v>85.84</v>
      </c>
      <c r="F48" s="212">
        <f>E48*2/100</f>
        <v>1.7168000000000001</v>
      </c>
      <c r="G48" s="20">
        <v>72.81</v>
      </c>
      <c r="H48" s="213">
        <f>G48*F48/1000</f>
        <v>0.125000208</v>
      </c>
      <c r="I48" s="20">
        <v>0</v>
      </c>
      <c r="J48" s="37"/>
      <c r="L48" s="28"/>
      <c r="M48" s="29"/>
      <c r="N48" s="30"/>
    </row>
    <row r="49" spans="1:14" ht="31.5" customHeight="1">
      <c r="A49" s="50">
        <v>13</v>
      </c>
      <c r="B49" s="175" t="s">
        <v>72</v>
      </c>
      <c r="C49" s="210" t="s">
        <v>165</v>
      </c>
      <c r="D49" s="175" t="s">
        <v>237</v>
      </c>
      <c r="E49" s="211">
        <v>891.8</v>
      </c>
      <c r="F49" s="212">
        <f>SUM(E49*5/1000)</f>
        <v>4.4589999999999996</v>
      </c>
      <c r="G49" s="20">
        <v>1213.55</v>
      </c>
      <c r="H49" s="213">
        <f t="shared" si="4"/>
        <v>5.4112194499999999</v>
      </c>
      <c r="I49" s="20">
        <f>F49/5*G49</f>
        <v>1082.24389</v>
      </c>
      <c r="J49" s="37"/>
      <c r="L49" s="28"/>
      <c r="M49" s="29"/>
      <c r="N49" s="30"/>
    </row>
    <row r="50" spans="1:14" ht="31.5" hidden="1" customHeight="1">
      <c r="A50" s="171"/>
      <c r="B50" s="175" t="s">
        <v>210</v>
      </c>
      <c r="C50" s="210" t="s">
        <v>165</v>
      </c>
      <c r="D50" s="175" t="s">
        <v>52</v>
      </c>
      <c r="E50" s="211">
        <v>891.8</v>
      </c>
      <c r="F50" s="212">
        <f>SUM(E50*2/1000)</f>
        <v>1.7835999999999999</v>
      </c>
      <c r="G50" s="20">
        <v>1213.55</v>
      </c>
      <c r="H50" s="213">
        <f t="shared" si="4"/>
        <v>2.16448778</v>
      </c>
      <c r="I50" s="20">
        <v>0</v>
      </c>
      <c r="J50" s="37"/>
      <c r="L50" s="28"/>
      <c r="M50" s="29"/>
      <c r="N50" s="30"/>
    </row>
    <row r="51" spans="1:14" ht="31.5" hidden="1" customHeight="1">
      <c r="A51" s="171"/>
      <c r="B51" s="175" t="s">
        <v>211</v>
      </c>
      <c r="C51" s="210" t="s">
        <v>46</v>
      </c>
      <c r="D51" s="175" t="s">
        <v>52</v>
      </c>
      <c r="E51" s="211">
        <v>16</v>
      </c>
      <c r="F51" s="212">
        <f>SUM(E51*2/100)</f>
        <v>0.32</v>
      </c>
      <c r="G51" s="20">
        <v>2730.49</v>
      </c>
      <c r="H51" s="213">
        <f t="shared" si="4"/>
        <v>0.8737568</v>
      </c>
      <c r="I51" s="20">
        <v>0</v>
      </c>
      <c r="J51" s="37"/>
      <c r="L51" s="28"/>
      <c r="M51" s="29"/>
      <c r="N51" s="30"/>
    </row>
    <row r="52" spans="1:14" ht="15.75" hidden="1" customHeight="1">
      <c r="A52" s="171"/>
      <c r="B52" s="175" t="s">
        <v>47</v>
      </c>
      <c r="C52" s="210" t="s">
        <v>48</v>
      </c>
      <c r="D52" s="175" t="s">
        <v>52</v>
      </c>
      <c r="E52" s="211">
        <v>1</v>
      </c>
      <c r="F52" s="212">
        <v>0.02</v>
      </c>
      <c r="G52" s="20">
        <v>5652.13</v>
      </c>
      <c r="H52" s="213">
        <f t="shared" si="4"/>
        <v>0.11304260000000001</v>
      </c>
      <c r="I52" s="20">
        <v>0</v>
      </c>
      <c r="J52" s="37"/>
      <c r="L52" s="28"/>
      <c r="M52" s="29"/>
      <c r="N52" s="30"/>
    </row>
    <row r="53" spans="1:14" ht="15.75" customHeight="1">
      <c r="A53" s="171">
        <v>14</v>
      </c>
      <c r="B53" s="175" t="s">
        <v>212</v>
      </c>
      <c r="C53" s="210" t="s">
        <v>144</v>
      </c>
      <c r="D53" s="175" t="s">
        <v>87</v>
      </c>
      <c r="E53" s="211">
        <v>60</v>
      </c>
      <c r="F53" s="212">
        <f>E53*3</f>
        <v>180</v>
      </c>
      <c r="G53" s="20">
        <v>141.12</v>
      </c>
      <c r="H53" s="213">
        <f>F53*G53/1000</f>
        <v>25.401600000000002</v>
      </c>
      <c r="I53" s="20">
        <f>E53*G53</f>
        <v>8467.2000000000007</v>
      </c>
      <c r="J53" s="37"/>
      <c r="L53" s="28"/>
      <c r="M53" s="29"/>
      <c r="N53" s="30"/>
    </row>
    <row r="54" spans="1:14" ht="15.75" customHeight="1">
      <c r="A54" s="171">
        <v>15</v>
      </c>
      <c r="B54" s="175" t="s">
        <v>51</v>
      </c>
      <c r="C54" s="210" t="s">
        <v>144</v>
      </c>
      <c r="D54" s="175" t="s">
        <v>87</v>
      </c>
      <c r="E54" s="211">
        <v>120</v>
      </c>
      <c r="F54" s="212">
        <f>SUM(E54)*3</f>
        <v>360</v>
      </c>
      <c r="G54" s="20">
        <v>65.67</v>
      </c>
      <c r="H54" s="213">
        <f t="shared" si="4"/>
        <v>23.641200000000001</v>
      </c>
      <c r="I54" s="20">
        <f>E54*G54</f>
        <v>7880.4000000000005</v>
      </c>
      <c r="J54" s="37"/>
      <c r="L54" s="28"/>
      <c r="M54" s="29"/>
      <c r="N54" s="30"/>
    </row>
    <row r="55" spans="1:14" ht="15.75" customHeight="1">
      <c r="A55" s="252" t="s">
        <v>239</v>
      </c>
      <c r="B55" s="257"/>
      <c r="C55" s="257"/>
      <c r="D55" s="257"/>
      <c r="E55" s="257"/>
      <c r="F55" s="257"/>
      <c r="G55" s="257"/>
      <c r="H55" s="257"/>
      <c r="I55" s="258"/>
      <c r="J55" s="37"/>
      <c r="L55" s="28"/>
      <c r="M55" s="29"/>
      <c r="N55" s="30"/>
    </row>
    <row r="56" spans="1:14" ht="15.75" customHeight="1">
      <c r="A56" s="171"/>
      <c r="B56" s="233" t="s">
        <v>53</v>
      </c>
      <c r="C56" s="210"/>
      <c r="D56" s="175"/>
      <c r="E56" s="211"/>
      <c r="F56" s="212"/>
      <c r="G56" s="212"/>
      <c r="H56" s="213"/>
      <c r="I56" s="20"/>
      <c r="J56" s="37"/>
      <c r="L56" s="28"/>
      <c r="M56" s="29"/>
      <c r="N56" s="30"/>
    </row>
    <row r="57" spans="1:14" ht="31.5" customHeight="1">
      <c r="A57" s="171">
        <v>16</v>
      </c>
      <c r="B57" s="175" t="s">
        <v>213</v>
      </c>
      <c r="C57" s="210" t="s">
        <v>156</v>
      </c>
      <c r="D57" s="175" t="s">
        <v>214</v>
      </c>
      <c r="E57" s="211">
        <v>112.68</v>
      </c>
      <c r="F57" s="212">
        <f>SUM(E57*6/100)</f>
        <v>6.7608000000000006</v>
      </c>
      <c r="G57" s="20">
        <v>1547.28</v>
      </c>
      <c r="H57" s="213">
        <f>SUM(F57*G57/1000)</f>
        <v>10.460850624000001</v>
      </c>
      <c r="I57" s="20">
        <f>F57/6*G57</f>
        <v>1743.4751040000001</v>
      </c>
      <c r="J57" s="37"/>
      <c r="L57" s="28"/>
      <c r="M57" s="29"/>
      <c r="N57" s="30"/>
    </row>
    <row r="58" spans="1:14" ht="15.75" hidden="1" customHeight="1">
      <c r="A58" s="171"/>
      <c r="B58" s="232" t="s">
        <v>54</v>
      </c>
      <c r="C58" s="220"/>
      <c r="D58" s="219"/>
      <c r="E58" s="221"/>
      <c r="F58" s="222"/>
      <c r="G58" s="20"/>
      <c r="H58" s="223"/>
      <c r="I58" s="20"/>
      <c r="J58" s="37"/>
      <c r="L58" s="28"/>
      <c r="M58" s="29"/>
      <c r="N58" s="30"/>
    </row>
    <row r="59" spans="1:14" ht="15.75" hidden="1" customHeight="1">
      <c r="A59" s="206"/>
      <c r="B59" s="219" t="s">
        <v>215</v>
      </c>
      <c r="C59" s="220" t="s">
        <v>65</v>
      </c>
      <c r="D59" s="219" t="s">
        <v>66</v>
      </c>
      <c r="E59" s="221">
        <v>897</v>
      </c>
      <c r="F59" s="222">
        <v>8.9700000000000006</v>
      </c>
      <c r="G59" s="20">
        <v>793.61</v>
      </c>
      <c r="H59" s="223">
        <f>F59*G59/1000</f>
        <v>7.1186817000000007</v>
      </c>
      <c r="I59" s="20">
        <v>0</v>
      </c>
      <c r="J59" s="37"/>
      <c r="L59" s="28"/>
      <c r="M59" s="29"/>
      <c r="N59" s="30"/>
    </row>
    <row r="60" spans="1:14" ht="15.75" hidden="1" customHeight="1">
      <c r="A60" s="50"/>
      <c r="B60" s="232" t="s">
        <v>56</v>
      </c>
      <c r="C60" s="220"/>
      <c r="D60" s="219"/>
      <c r="E60" s="221"/>
      <c r="F60" s="224"/>
      <c r="G60" s="224"/>
      <c r="H60" s="222" t="s">
        <v>177</v>
      </c>
      <c r="I60" s="20"/>
      <c r="J60" s="37"/>
      <c r="L60" s="28"/>
      <c r="M60" s="29"/>
      <c r="N60" s="30"/>
    </row>
    <row r="61" spans="1:14" ht="15.75" hidden="1" customHeight="1">
      <c r="A61" s="171"/>
      <c r="B61" s="22" t="s">
        <v>57</v>
      </c>
      <c r="C61" s="24" t="s">
        <v>144</v>
      </c>
      <c r="D61" s="22" t="s">
        <v>199</v>
      </c>
      <c r="E61" s="26">
        <v>15</v>
      </c>
      <c r="F61" s="212">
        <v>15</v>
      </c>
      <c r="G61" s="20">
        <v>222.4</v>
      </c>
      <c r="H61" s="225">
        <f t="shared" ref="H61:H76" si="5">SUM(F61*G61/1000)</f>
        <v>3.3359999999999999</v>
      </c>
      <c r="I61" s="20">
        <v>0</v>
      </c>
      <c r="J61" s="37"/>
      <c r="L61" s="28"/>
      <c r="M61" s="29"/>
      <c r="N61" s="30"/>
    </row>
    <row r="62" spans="1:14" ht="15.75" hidden="1" customHeight="1">
      <c r="A62" s="171"/>
      <c r="B62" s="22" t="s">
        <v>58</v>
      </c>
      <c r="C62" s="24" t="s">
        <v>144</v>
      </c>
      <c r="D62" s="22" t="s">
        <v>199</v>
      </c>
      <c r="E62" s="26">
        <v>5</v>
      </c>
      <c r="F62" s="212">
        <v>5</v>
      </c>
      <c r="G62" s="20">
        <v>76.25</v>
      </c>
      <c r="H62" s="225">
        <f t="shared" si="5"/>
        <v>0.38124999999999998</v>
      </c>
      <c r="I62" s="20">
        <v>0</v>
      </c>
      <c r="J62" s="37"/>
      <c r="L62" s="28"/>
      <c r="M62" s="29"/>
      <c r="N62" s="30"/>
    </row>
    <row r="63" spans="1:14" ht="15.75" hidden="1" customHeight="1">
      <c r="A63" s="171"/>
      <c r="B63" s="22" t="s">
        <v>59</v>
      </c>
      <c r="C63" s="24" t="s">
        <v>168</v>
      </c>
      <c r="D63" s="22" t="s">
        <v>66</v>
      </c>
      <c r="E63" s="211">
        <v>10059</v>
      </c>
      <c r="F63" s="20">
        <f>SUM(E63/100)</f>
        <v>100.59</v>
      </c>
      <c r="G63" s="20">
        <v>212.15</v>
      </c>
      <c r="H63" s="225">
        <f t="shared" si="5"/>
        <v>21.340168500000001</v>
      </c>
      <c r="I63" s="20">
        <v>0</v>
      </c>
      <c r="J63" s="37"/>
      <c r="L63" s="28"/>
      <c r="M63" s="29"/>
      <c r="N63" s="30"/>
    </row>
    <row r="64" spans="1:14" ht="15.75" hidden="1" customHeight="1">
      <c r="A64" s="171"/>
      <c r="B64" s="22" t="s">
        <v>60</v>
      </c>
      <c r="C64" s="24" t="s">
        <v>169</v>
      </c>
      <c r="D64" s="22"/>
      <c r="E64" s="211">
        <v>10059</v>
      </c>
      <c r="F64" s="20">
        <f>SUM(E64/1000)</f>
        <v>10.058999999999999</v>
      </c>
      <c r="G64" s="20">
        <v>165.21</v>
      </c>
      <c r="H64" s="225">
        <f t="shared" si="5"/>
        <v>1.6618473899999999</v>
      </c>
      <c r="I64" s="20">
        <v>0</v>
      </c>
      <c r="J64" s="37"/>
      <c r="L64" s="28"/>
      <c r="M64" s="29"/>
      <c r="N64" s="30"/>
    </row>
    <row r="65" spans="1:14" ht="15.75" hidden="1" customHeight="1">
      <c r="A65" s="171"/>
      <c r="B65" s="22" t="s">
        <v>61</v>
      </c>
      <c r="C65" s="24" t="s">
        <v>94</v>
      </c>
      <c r="D65" s="22" t="s">
        <v>66</v>
      </c>
      <c r="E65" s="211">
        <v>2200</v>
      </c>
      <c r="F65" s="20">
        <f>SUM(E65/100)</f>
        <v>22</v>
      </c>
      <c r="G65" s="20">
        <v>2074.63</v>
      </c>
      <c r="H65" s="225">
        <f t="shared" si="5"/>
        <v>45.641860000000001</v>
      </c>
      <c r="I65" s="20">
        <v>0</v>
      </c>
      <c r="J65" s="37"/>
      <c r="L65" s="28"/>
      <c r="M65" s="29"/>
      <c r="N65" s="30"/>
    </row>
    <row r="66" spans="1:14" ht="15.75" hidden="1" customHeight="1">
      <c r="A66" s="171"/>
      <c r="B66" s="226" t="s">
        <v>170</v>
      </c>
      <c r="C66" s="24" t="s">
        <v>37</v>
      </c>
      <c r="D66" s="22"/>
      <c r="E66" s="211">
        <v>9.4</v>
      </c>
      <c r="F66" s="20">
        <f>SUM(E66)</f>
        <v>9.4</v>
      </c>
      <c r="G66" s="20">
        <v>42.67</v>
      </c>
      <c r="H66" s="225">
        <f t="shared" si="5"/>
        <v>0.40109800000000001</v>
      </c>
      <c r="I66" s="20">
        <v>0</v>
      </c>
      <c r="J66" s="37"/>
      <c r="L66" s="28"/>
      <c r="M66" s="29"/>
      <c r="N66" s="30"/>
    </row>
    <row r="67" spans="1:14" ht="15.75" hidden="1" customHeight="1">
      <c r="A67" s="171"/>
      <c r="B67" s="226" t="s">
        <v>171</v>
      </c>
      <c r="C67" s="24" t="s">
        <v>37</v>
      </c>
      <c r="D67" s="22"/>
      <c r="E67" s="211">
        <v>9.4</v>
      </c>
      <c r="F67" s="20">
        <f>SUM(E67)</f>
        <v>9.4</v>
      </c>
      <c r="G67" s="20">
        <v>39.81</v>
      </c>
      <c r="H67" s="225">
        <f t="shared" si="5"/>
        <v>0.37421400000000005</v>
      </c>
      <c r="I67" s="20">
        <v>0</v>
      </c>
      <c r="J67" s="37"/>
      <c r="L67" s="28"/>
      <c r="M67" s="29"/>
      <c r="N67" s="30"/>
    </row>
    <row r="68" spans="1:14" ht="15.75" hidden="1" customHeight="1">
      <c r="A68" s="171"/>
      <c r="B68" s="22" t="s">
        <v>73</v>
      </c>
      <c r="C68" s="24" t="s">
        <v>74</v>
      </c>
      <c r="D68" s="22" t="s">
        <v>66</v>
      </c>
      <c r="E68" s="26">
        <v>5</v>
      </c>
      <c r="F68" s="212">
        <v>5</v>
      </c>
      <c r="G68" s="20">
        <v>49.88</v>
      </c>
      <c r="H68" s="225">
        <f t="shared" si="5"/>
        <v>0.24940000000000001</v>
      </c>
      <c r="I68" s="20">
        <v>0</v>
      </c>
      <c r="J68" s="37"/>
      <c r="L68" s="28"/>
      <c r="M68" s="29"/>
      <c r="N68" s="30"/>
    </row>
    <row r="69" spans="1:14" ht="15.75" hidden="1" customHeight="1">
      <c r="A69" s="171"/>
      <c r="B69" s="201" t="s">
        <v>88</v>
      </c>
      <c r="C69" s="24"/>
      <c r="D69" s="22"/>
      <c r="E69" s="26"/>
      <c r="F69" s="20"/>
      <c r="G69" s="20"/>
      <c r="H69" s="225" t="s">
        <v>177</v>
      </c>
      <c r="I69" s="20"/>
      <c r="J69" s="37"/>
      <c r="L69" s="28"/>
      <c r="M69" s="29"/>
      <c r="N69" s="30"/>
    </row>
    <row r="70" spans="1:14" ht="15.75" hidden="1" customHeight="1">
      <c r="A70" s="171"/>
      <c r="B70" s="22" t="s">
        <v>89</v>
      </c>
      <c r="C70" s="24" t="s">
        <v>91</v>
      </c>
      <c r="D70" s="22"/>
      <c r="E70" s="26">
        <v>3</v>
      </c>
      <c r="F70" s="20">
        <v>0.3</v>
      </c>
      <c r="G70" s="20">
        <v>501.62</v>
      </c>
      <c r="H70" s="225">
        <f t="shared" si="5"/>
        <v>0.15048599999999998</v>
      </c>
      <c r="I70" s="20">
        <v>0</v>
      </c>
      <c r="J70" s="37"/>
      <c r="L70" s="28"/>
      <c r="M70" s="29"/>
      <c r="N70" s="30"/>
    </row>
    <row r="71" spans="1:14" ht="15.75" hidden="1" customHeight="1">
      <c r="A71" s="50"/>
      <c r="B71" s="22" t="s">
        <v>90</v>
      </c>
      <c r="C71" s="24" t="s">
        <v>35</v>
      </c>
      <c r="D71" s="22"/>
      <c r="E71" s="26">
        <v>1</v>
      </c>
      <c r="F71" s="202">
        <v>1</v>
      </c>
      <c r="G71" s="20">
        <v>852.99</v>
      </c>
      <c r="H71" s="225">
        <f>F71*G71/1000</f>
        <v>0.85299000000000003</v>
      </c>
      <c r="I71" s="20">
        <v>0</v>
      </c>
      <c r="J71" s="37"/>
      <c r="L71" s="28"/>
      <c r="M71" s="29"/>
      <c r="N71" s="30"/>
    </row>
    <row r="72" spans="1:14" ht="15.75" hidden="1" customHeight="1">
      <c r="A72" s="206"/>
      <c r="B72" s="22" t="s">
        <v>172</v>
      </c>
      <c r="C72" s="24" t="s">
        <v>35</v>
      </c>
      <c r="D72" s="22"/>
      <c r="E72" s="26">
        <v>1</v>
      </c>
      <c r="F72" s="20">
        <v>1</v>
      </c>
      <c r="G72" s="20">
        <v>358.51</v>
      </c>
      <c r="H72" s="225">
        <f>G72*F72/1000</f>
        <v>0.35851</v>
      </c>
      <c r="I72" s="20">
        <v>0</v>
      </c>
      <c r="J72" s="37"/>
      <c r="L72" s="28"/>
      <c r="M72" s="29"/>
      <c r="N72" s="30"/>
    </row>
    <row r="73" spans="1:14" ht="15.75" hidden="1" customHeight="1">
      <c r="A73" s="171"/>
      <c r="B73" s="22" t="s">
        <v>173</v>
      </c>
      <c r="C73" s="24" t="s">
        <v>35</v>
      </c>
      <c r="D73" s="22"/>
      <c r="E73" s="26">
        <v>2</v>
      </c>
      <c r="F73" s="20">
        <v>2</v>
      </c>
      <c r="G73" s="20">
        <v>784.67</v>
      </c>
      <c r="H73" s="225">
        <f>G73*F73/1000</f>
        <v>1.56934</v>
      </c>
      <c r="I73" s="20">
        <v>0</v>
      </c>
      <c r="J73" s="37"/>
      <c r="L73" s="28"/>
      <c r="M73" s="29"/>
      <c r="N73" s="30"/>
    </row>
    <row r="74" spans="1:14" ht="15.75" hidden="1" customHeight="1">
      <c r="A74" s="171"/>
      <c r="B74" s="22" t="s">
        <v>174</v>
      </c>
      <c r="C74" s="24" t="s">
        <v>175</v>
      </c>
      <c r="D74" s="22"/>
      <c r="E74" s="26">
        <v>2</v>
      </c>
      <c r="F74" s="20">
        <v>2</v>
      </c>
      <c r="G74" s="20">
        <v>1000</v>
      </c>
      <c r="H74" s="225">
        <f>G74*F74/1000</f>
        <v>2</v>
      </c>
      <c r="I74" s="20">
        <v>0</v>
      </c>
      <c r="J74" s="37"/>
      <c r="L74" s="28"/>
      <c r="M74" s="29"/>
      <c r="N74" s="30"/>
    </row>
    <row r="75" spans="1:14" ht="15.75" hidden="1" customHeight="1">
      <c r="A75" s="171"/>
      <c r="B75" s="234" t="s">
        <v>92</v>
      </c>
      <c r="C75" s="24"/>
      <c r="D75" s="22"/>
      <c r="E75" s="26"/>
      <c r="F75" s="20"/>
      <c r="G75" s="20" t="s">
        <v>177</v>
      </c>
      <c r="H75" s="225" t="s">
        <v>177</v>
      </c>
      <c r="I75" s="20"/>
      <c r="J75" s="37"/>
      <c r="L75" s="28"/>
      <c r="M75" s="29"/>
      <c r="N75" s="30"/>
    </row>
    <row r="76" spans="1:14" ht="15.75" hidden="1" customHeight="1">
      <c r="A76" s="171"/>
      <c r="B76" s="84" t="s">
        <v>93</v>
      </c>
      <c r="C76" s="24" t="s">
        <v>94</v>
      </c>
      <c r="D76" s="22"/>
      <c r="E76" s="26"/>
      <c r="F76" s="20">
        <v>1</v>
      </c>
      <c r="G76" s="20">
        <v>2579.44</v>
      </c>
      <c r="H76" s="225">
        <f t="shared" si="5"/>
        <v>2.57944</v>
      </c>
      <c r="I76" s="20">
        <v>0</v>
      </c>
      <c r="J76" s="37"/>
      <c r="L76" s="28"/>
      <c r="M76" s="29"/>
      <c r="N76" s="30"/>
    </row>
    <row r="77" spans="1:14" ht="15.75" hidden="1" customHeight="1">
      <c r="A77" s="171"/>
      <c r="B77" s="201" t="s">
        <v>166</v>
      </c>
      <c r="C77" s="24"/>
      <c r="D77" s="22"/>
      <c r="E77" s="26"/>
      <c r="F77" s="20"/>
      <c r="G77" s="20"/>
      <c r="H77" s="225">
        <f>SUM(H57:H76)</f>
        <v>98.476136213999993</v>
      </c>
      <c r="I77" s="20"/>
      <c r="J77" s="37"/>
      <c r="L77" s="28"/>
      <c r="M77" s="29"/>
      <c r="N77" s="30"/>
    </row>
    <row r="78" spans="1:14" ht="15.75" hidden="1" customHeight="1">
      <c r="A78" s="171"/>
      <c r="B78" s="175" t="s">
        <v>167</v>
      </c>
      <c r="C78" s="24"/>
      <c r="D78" s="22"/>
      <c r="E78" s="227"/>
      <c r="F78" s="20">
        <v>1</v>
      </c>
      <c r="G78" s="20">
        <v>20954</v>
      </c>
      <c r="H78" s="225">
        <f>G78*F78/1000</f>
        <v>20.954000000000001</v>
      </c>
      <c r="I78" s="20">
        <v>0</v>
      </c>
      <c r="J78" s="37"/>
      <c r="L78" s="28"/>
      <c r="M78" s="29"/>
      <c r="N78" s="30"/>
    </row>
    <row r="79" spans="1:14" ht="15.75" customHeight="1">
      <c r="A79" s="252" t="s">
        <v>240</v>
      </c>
      <c r="B79" s="262"/>
      <c r="C79" s="262"/>
      <c r="D79" s="262"/>
      <c r="E79" s="262"/>
      <c r="F79" s="262"/>
      <c r="G79" s="262"/>
      <c r="H79" s="262"/>
      <c r="I79" s="263"/>
      <c r="J79" s="37"/>
      <c r="L79" s="28"/>
      <c r="M79" s="29"/>
      <c r="N79" s="30"/>
    </row>
    <row r="80" spans="1:14" ht="15.75" customHeight="1">
      <c r="A80" s="171">
        <v>17</v>
      </c>
      <c r="B80" s="175" t="s">
        <v>216</v>
      </c>
      <c r="C80" s="24" t="s">
        <v>69</v>
      </c>
      <c r="D80" s="179" t="s">
        <v>70</v>
      </c>
      <c r="E80" s="20">
        <v>2566.6</v>
      </c>
      <c r="F80" s="20">
        <f>SUM(E80*12)</f>
        <v>30799.199999999997</v>
      </c>
      <c r="G80" s="20">
        <v>2.1</v>
      </c>
      <c r="H80" s="225">
        <f>SUM(F80*G80/1000)</f>
        <v>64.678319999999999</v>
      </c>
      <c r="I80" s="20">
        <f>F80/12*G80</f>
        <v>5389.86</v>
      </c>
      <c r="J80" s="37"/>
      <c r="L80" s="28"/>
      <c r="M80" s="29"/>
      <c r="N80" s="30"/>
    </row>
    <row r="81" spans="1:14" ht="31.5" customHeight="1">
      <c r="A81" s="171">
        <v>18</v>
      </c>
      <c r="B81" s="22" t="s">
        <v>95</v>
      </c>
      <c r="C81" s="24"/>
      <c r="D81" s="179" t="s">
        <v>70</v>
      </c>
      <c r="E81" s="211">
        <f>E80</f>
        <v>2566.6</v>
      </c>
      <c r="F81" s="20">
        <f>E81*12</f>
        <v>30799.199999999997</v>
      </c>
      <c r="G81" s="20">
        <v>1.63</v>
      </c>
      <c r="H81" s="225">
        <f>F81*G81/1000</f>
        <v>50.202695999999989</v>
      </c>
      <c r="I81" s="20">
        <f>F81/12*G81</f>
        <v>4183.558</v>
      </c>
      <c r="J81" s="37"/>
      <c r="L81" s="28"/>
      <c r="M81" s="29"/>
      <c r="N81" s="30"/>
    </row>
    <row r="82" spans="1:14" ht="15.75" customHeight="1">
      <c r="A82" s="171"/>
      <c r="B82" s="72" t="s">
        <v>100</v>
      </c>
      <c r="C82" s="24"/>
      <c r="D82" s="84"/>
      <c r="E82" s="20"/>
      <c r="F82" s="20"/>
      <c r="G82" s="20"/>
      <c r="H82" s="225">
        <f>H81</f>
        <v>50.202695999999989</v>
      </c>
      <c r="I82" s="235">
        <f>I15+I16+I17+I25+I26+I35+I36+I37+I39+I40+I41+I42+I49+I53+I54+I57+I80+I81</f>
        <v>54248.363331516666</v>
      </c>
      <c r="J82" s="37"/>
      <c r="L82" s="28"/>
      <c r="M82" s="29"/>
      <c r="N82" s="30"/>
    </row>
    <row r="83" spans="1:14" ht="15.75" customHeight="1">
      <c r="A83" s="171"/>
      <c r="B83" s="147" t="s">
        <v>75</v>
      </c>
      <c r="C83" s="24"/>
      <c r="D83" s="84"/>
      <c r="E83" s="20"/>
      <c r="F83" s="20"/>
      <c r="G83" s="20"/>
      <c r="H83" s="225" t="e">
        <f>SUM(H82+#REF!+H77+#REF!+#REF!+#REF!+#REF!)</f>
        <v>#REF!</v>
      </c>
      <c r="I83" s="20"/>
      <c r="J83" s="37"/>
      <c r="L83" s="28"/>
      <c r="M83" s="29"/>
      <c r="N83" s="30"/>
    </row>
    <row r="84" spans="1:14" ht="15.75" customHeight="1">
      <c r="A84" s="171">
        <v>19</v>
      </c>
      <c r="B84" s="148" t="s">
        <v>180</v>
      </c>
      <c r="C84" s="228" t="s">
        <v>181</v>
      </c>
      <c r="D84" s="22"/>
      <c r="E84" s="26"/>
      <c r="F84" s="20">
        <v>7.5</v>
      </c>
      <c r="G84" s="20">
        <v>1501</v>
      </c>
      <c r="H84" s="225">
        <f>G84*F84/1000</f>
        <v>11.2575</v>
      </c>
      <c r="I84" s="229">
        <f>G84*4</f>
        <v>6004</v>
      </c>
      <c r="J84" s="37"/>
      <c r="L84" s="28"/>
      <c r="M84" s="29"/>
      <c r="N84" s="30"/>
    </row>
    <row r="85" spans="1:14" ht="15.75" customHeight="1">
      <c r="A85" s="171">
        <v>20</v>
      </c>
      <c r="B85" s="148" t="s">
        <v>217</v>
      </c>
      <c r="C85" s="191" t="s">
        <v>218</v>
      </c>
      <c r="D85" s="22"/>
      <c r="E85" s="26"/>
      <c r="F85" s="20">
        <v>1</v>
      </c>
      <c r="G85" s="20">
        <v>209.53</v>
      </c>
      <c r="H85" s="225">
        <f>G85*F85/1000</f>
        <v>0.20952999999999999</v>
      </c>
      <c r="I85" s="229">
        <f>G85</f>
        <v>209.53</v>
      </c>
      <c r="J85" s="37"/>
      <c r="L85" s="28"/>
      <c r="M85" s="29"/>
      <c r="N85" s="30"/>
    </row>
    <row r="86" spans="1:14" ht="15.75" customHeight="1">
      <c r="A86" s="171">
        <v>21</v>
      </c>
      <c r="B86" s="148" t="s">
        <v>112</v>
      </c>
      <c r="C86" s="191" t="s">
        <v>182</v>
      </c>
      <c r="D86" s="84"/>
      <c r="E86" s="20"/>
      <c r="F86" s="20">
        <v>2</v>
      </c>
      <c r="G86" s="20">
        <v>290.91000000000003</v>
      </c>
      <c r="H86" s="225">
        <f>G86*F86/1000</f>
        <v>0.58182</v>
      </c>
      <c r="I86" s="229">
        <f>G86</f>
        <v>290.91000000000003</v>
      </c>
      <c r="J86" s="37"/>
      <c r="L86" s="28"/>
      <c r="M86" s="29"/>
      <c r="N86" s="30"/>
    </row>
    <row r="87" spans="1:14" ht="15.75" customHeight="1">
      <c r="A87" s="171">
        <v>22</v>
      </c>
      <c r="B87" s="148" t="s">
        <v>105</v>
      </c>
      <c r="C87" s="191" t="s">
        <v>144</v>
      </c>
      <c r="D87" s="84"/>
      <c r="E87" s="20"/>
      <c r="F87" s="20">
        <v>4</v>
      </c>
      <c r="G87" s="20">
        <v>180.15</v>
      </c>
      <c r="H87" s="225">
        <f>G87*F87/1000</f>
        <v>0.72060000000000002</v>
      </c>
      <c r="I87" s="229">
        <f>G87</f>
        <v>180.15</v>
      </c>
      <c r="J87" s="37"/>
      <c r="L87" s="28"/>
      <c r="M87" s="29"/>
      <c r="N87" s="30"/>
    </row>
    <row r="88" spans="1:14" ht="15.75" hidden="1" customHeight="1">
      <c r="A88" s="171"/>
      <c r="B88" s="148" t="s">
        <v>219</v>
      </c>
      <c r="C88" s="191" t="s">
        <v>102</v>
      </c>
      <c r="D88" s="22"/>
      <c r="E88" s="26"/>
      <c r="F88" s="20">
        <v>2</v>
      </c>
      <c r="G88" s="20">
        <v>2057</v>
      </c>
      <c r="H88" s="225">
        <f t="shared" ref="H88:H108" si="6">G88*F88/1000</f>
        <v>4.1139999999999999</v>
      </c>
      <c r="I88" s="229">
        <v>0</v>
      </c>
      <c r="J88" s="37"/>
      <c r="L88" s="28"/>
      <c r="M88" s="29"/>
      <c r="N88" s="30"/>
    </row>
    <row r="89" spans="1:14" ht="15.75" hidden="1" customHeight="1">
      <c r="A89" s="171"/>
      <c r="B89" s="148" t="s">
        <v>220</v>
      </c>
      <c r="C89" s="191" t="s">
        <v>221</v>
      </c>
      <c r="D89" s="22"/>
      <c r="E89" s="26"/>
      <c r="F89" s="20">
        <v>3</v>
      </c>
      <c r="G89" s="20">
        <v>195.95</v>
      </c>
      <c r="H89" s="225">
        <f t="shared" si="6"/>
        <v>0.58784999999999987</v>
      </c>
      <c r="I89" s="229">
        <v>0</v>
      </c>
      <c r="J89" s="37"/>
      <c r="L89" s="28"/>
      <c r="M89" s="29"/>
      <c r="N89" s="30"/>
    </row>
    <row r="90" spans="1:14" ht="15.75" hidden="1" customHeight="1">
      <c r="A90" s="171"/>
      <c r="B90" s="230" t="s">
        <v>222</v>
      </c>
      <c r="C90" s="50" t="s">
        <v>223</v>
      </c>
      <c r="D90" s="22"/>
      <c r="E90" s="26"/>
      <c r="F90" s="20">
        <v>1</v>
      </c>
      <c r="G90" s="20">
        <v>383.01</v>
      </c>
      <c r="H90" s="225">
        <f t="shared" si="6"/>
        <v>0.38301000000000002</v>
      </c>
      <c r="I90" s="229">
        <v>0</v>
      </c>
      <c r="J90" s="37"/>
      <c r="L90" s="28"/>
      <c r="M90" s="29"/>
      <c r="N90" s="30"/>
    </row>
    <row r="91" spans="1:14" ht="15.75" hidden="1" customHeight="1">
      <c r="A91" s="171"/>
      <c r="B91" s="189" t="s">
        <v>224</v>
      </c>
      <c r="C91" s="190" t="s">
        <v>143</v>
      </c>
      <c r="D91" s="22"/>
      <c r="E91" s="26"/>
      <c r="F91" s="20">
        <f>14/3</f>
        <v>4.666666666666667</v>
      </c>
      <c r="G91" s="20">
        <v>1063.47</v>
      </c>
      <c r="H91" s="225">
        <f t="shared" si="6"/>
        <v>4.9628600000000009</v>
      </c>
      <c r="I91" s="229">
        <v>0</v>
      </c>
      <c r="J91" s="37"/>
      <c r="L91" s="28"/>
      <c r="M91" s="29"/>
      <c r="N91" s="30"/>
    </row>
    <row r="92" spans="1:14" ht="15.75" hidden="1" customHeight="1">
      <c r="A92" s="171"/>
      <c r="B92" s="148" t="s">
        <v>225</v>
      </c>
      <c r="C92" s="228" t="s">
        <v>226</v>
      </c>
      <c r="D92" s="22"/>
      <c r="E92" s="26"/>
      <c r="F92" s="20">
        <v>1</v>
      </c>
      <c r="G92" s="20">
        <v>945.07</v>
      </c>
      <c r="H92" s="225">
        <f t="shared" si="6"/>
        <v>0.94507000000000008</v>
      </c>
      <c r="I92" s="229">
        <v>0</v>
      </c>
      <c r="J92" s="37"/>
      <c r="L92" s="28"/>
      <c r="M92" s="29"/>
      <c r="N92" s="30"/>
    </row>
    <row r="93" spans="1:14" ht="15.75" hidden="1" customHeight="1">
      <c r="A93" s="171"/>
      <c r="B93" s="148" t="s">
        <v>109</v>
      </c>
      <c r="C93" s="191" t="s">
        <v>46</v>
      </c>
      <c r="D93" s="22"/>
      <c r="E93" s="26"/>
      <c r="F93" s="20">
        <v>0.01</v>
      </c>
      <c r="G93" s="20">
        <v>3397.65</v>
      </c>
      <c r="H93" s="225">
        <f t="shared" si="6"/>
        <v>3.39765E-2</v>
      </c>
      <c r="I93" s="229">
        <v>0</v>
      </c>
      <c r="J93" s="37"/>
      <c r="L93" s="28"/>
      <c r="M93" s="29"/>
      <c r="N93" s="30"/>
    </row>
    <row r="94" spans="1:14" ht="15.75" hidden="1" customHeight="1">
      <c r="A94" s="171"/>
      <c r="B94" s="148" t="s">
        <v>227</v>
      </c>
      <c r="C94" s="191" t="s">
        <v>228</v>
      </c>
      <c r="D94" s="22"/>
      <c r="E94" s="26"/>
      <c r="F94" s="20">
        <v>0.01</v>
      </c>
      <c r="G94" s="20">
        <v>7033.13</v>
      </c>
      <c r="H94" s="225">
        <f t="shared" si="6"/>
        <v>7.0331299999999999E-2</v>
      </c>
      <c r="I94" s="229">
        <v>0</v>
      </c>
      <c r="J94" s="37"/>
      <c r="L94" s="28"/>
      <c r="M94" s="29"/>
      <c r="N94" s="30"/>
    </row>
    <row r="95" spans="1:14" ht="15.75" hidden="1" customHeight="1">
      <c r="A95" s="171"/>
      <c r="B95" s="148" t="s">
        <v>229</v>
      </c>
      <c r="C95" s="191" t="s">
        <v>102</v>
      </c>
      <c r="D95" s="22"/>
      <c r="E95" s="26"/>
      <c r="F95" s="20">
        <v>2</v>
      </c>
      <c r="G95" s="20">
        <v>1187</v>
      </c>
      <c r="H95" s="225">
        <f t="shared" si="6"/>
        <v>2.3740000000000001</v>
      </c>
      <c r="I95" s="229">
        <v>0</v>
      </c>
      <c r="J95" s="37"/>
      <c r="L95" s="28"/>
      <c r="M95" s="29"/>
      <c r="N95" s="30"/>
    </row>
    <row r="96" spans="1:14" ht="15.75" hidden="1" customHeight="1">
      <c r="A96" s="171"/>
      <c r="B96" s="148" t="s">
        <v>230</v>
      </c>
      <c r="C96" s="191" t="s">
        <v>144</v>
      </c>
      <c r="D96" s="22"/>
      <c r="E96" s="26"/>
      <c r="F96" s="20">
        <v>1</v>
      </c>
      <c r="G96" s="20">
        <v>149.63999999999999</v>
      </c>
      <c r="H96" s="225">
        <f t="shared" si="6"/>
        <v>0.14964</v>
      </c>
      <c r="I96" s="229">
        <v>0</v>
      </c>
      <c r="J96" s="37"/>
      <c r="L96" s="28"/>
      <c r="M96" s="29"/>
      <c r="N96" s="30"/>
    </row>
    <row r="97" spans="1:14" ht="15.75" hidden="1" customHeight="1">
      <c r="A97" s="171"/>
      <c r="B97" s="148" t="s">
        <v>99</v>
      </c>
      <c r="C97" s="191" t="s">
        <v>144</v>
      </c>
      <c r="D97" s="22"/>
      <c r="E97" s="26"/>
      <c r="F97" s="20">
        <v>2</v>
      </c>
      <c r="G97" s="20">
        <v>79.09</v>
      </c>
      <c r="H97" s="225">
        <f t="shared" si="6"/>
        <v>0.15818000000000002</v>
      </c>
      <c r="I97" s="229">
        <v>0</v>
      </c>
      <c r="J97" s="37"/>
      <c r="L97" s="28"/>
      <c r="M97" s="29"/>
      <c r="N97" s="30"/>
    </row>
    <row r="98" spans="1:14" ht="15.75" hidden="1" customHeight="1">
      <c r="A98" s="171"/>
      <c r="B98" s="148" t="s">
        <v>231</v>
      </c>
      <c r="C98" s="191" t="s">
        <v>149</v>
      </c>
      <c r="D98" s="22"/>
      <c r="E98" s="26"/>
      <c r="F98" s="20">
        <v>1</v>
      </c>
      <c r="G98" s="20">
        <v>51.39</v>
      </c>
      <c r="H98" s="225">
        <f t="shared" si="6"/>
        <v>5.1389999999999998E-2</v>
      </c>
      <c r="I98" s="229">
        <v>0</v>
      </c>
      <c r="J98" s="37"/>
      <c r="L98" s="28"/>
      <c r="M98" s="29"/>
      <c r="N98" s="30"/>
    </row>
    <row r="99" spans="1:14" ht="15.75" hidden="1" customHeight="1">
      <c r="A99" s="171"/>
      <c r="B99" s="148" t="s">
        <v>232</v>
      </c>
      <c r="C99" s="191" t="s">
        <v>69</v>
      </c>
      <c r="D99" s="22"/>
      <c r="E99" s="26"/>
      <c r="F99" s="20">
        <v>4</v>
      </c>
      <c r="G99" s="20">
        <v>802.14</v>
      </c>
      <c r="H99" s="225">
        <f t="shared" si="6"/>
        <v>3.2085599999999999</v>
      </c>
      <c r="I99" s="229">
        <v>0</v>
      </c>
      <c r="J99" s="37"/>
      <c r="L99" s="28"/>
      <c r="M99" s="29"/>
      <c r="N99" s="30"/>
    </row>
    <row r="100" spans="1:14" ht="15.75" hidden="1" customHeight="1">
      <c r="A100" s="171"/>
      <c r="B100" s="189" t="s">
        <v>183</v>
      </c>
      <c r="C100" s="190" t="s">
        <v>143</v>
      </c>
      <c r="D100" s="22"/>
      <c r="E100" s="26"/>
      <c r="F100" s="20">
        <f>21/3</f>
        <v>7</v>
      </c>
      <c r="G100" s="20">
        <v>1063.47</v>
      </c>
      <c r="H100" s="225">
        <f t="shared" si="6"/>
        <v>7.4442899999999996</v>
      </c>
      <c r="I100" s="229">
        <v>0</v>
      </c>
      <c r="J100" s="37"/>
      <c r="L100" s="28"/>
      <c r="M100" s="29"/>
      <c r="N100" s="30"/>
    </row>
    <row r="101" spans="1:14" ht="15.75" hidden="1" customHeight="1">
      <c r="A101" s="171"/>
      <c r="B101" s="148" t="s">
        <v>148</v>
      </c>
      <c r="C101" s="191" t="s">
        <v>149</v>
      </c>
      <c r="D101" s="22"/>
      <c r="E101" s="26"/>
      <c r="F101" s="20">
        <v>1</v>
      </c>
      <c r="G101" s="20">
        <v>286.55</v>
      </c>
      <c r="H101" s="225">
        <f t="shared" si="6"/>
        <v>0.28655000000000003</v>
      </c>
      <c r="I101" s="229">
        <v>0</v>
      </c>
      <c r="J101" s="37"/>
      <c r="L101" s="28"/>
      <c r="M101" s="29"/>
      <c r="N101" s="30"/>
    </row>
    <row r="102" spans="1:14" ht="15.75" hidden="1" customHeight="1">
      <c r="A102" s="171"/>
      <c r="B102" s="231" t="s">
        <v>113</v>
      </c>
      <c r="C102" s="191" t="s">
        <v>144</v>
      </c>
      <c r="D102" s="22"/>
      <c r="E102" s="26"/>
      <c r="F102" s="20">
        <v>1</v>
      </c>
      <c r="G102" s="20">
        <v>179.96</v>
      </c>
      <c r="H102" s="225">
        <f t="shared" si="6"/>
        <v>0.17996000000000001</v>
      </c>
      <c r="I102" s="229">
        <v>0</v>
      </c>
      <c r="J102" s="37"/>
      <c r="L102" s="28"/>
      <c r="M102" s="29"/>
      <c r="N102" s="30"/>
    </row>
    <row r="103" spans="1:14" ht="15.75" hidden="1" customHeight="1">
      <c r="A103" s="171"/>
      <c r="B103" s="231" t="s">
        <v>111</v>
      </c>
      <c r="C103" s="228" t="s">
        <v>91</v>
      </c>
      <c r="D103" s="22"/>
      <c r="E103" s="26"/>
      <c r="F103" s="20">
        <f>2/10</f>
        <v>0.2</v>
      </c>
      <c r="G103" s="20">
        <v>3800</v>
      </c>
      <c r="H103" s="225">
        <f t="shared" si="6"/>
        <v>0.76</v>
      </c>
      <c r="I103" s="229">
        <v>0</v>
      </c>
      <c r="J103" s="37"/>
      <c r="L103" s="28"/>
      <c r="M103" s="29"/>
      <c r="N103" s="30"/>
    </row>
    <row r="104" spans="1:14" ht="15.75" hidden="1" customHeight="1">
      <c r="A104" s="171"/>
      <c r="B104" s="148" t="s">
        <v>141</v>
      </c>
      <c r="C104" s="191" t="s">
        <v>145</v>
      </c>
      <c r="D104" s="22"/>
      <c r="E104" s="26"/>
      <c r="F104" s="20">
        <f>4.5/10</f>
        <v>0.45</v>
      </c>
      <c r="G104" s="20">
        <v>5641.28</v>
      </c>
      <c r="H104" s="225">
        <f t="shared" si="6"/>
        <v>2.5385759999999999</v>
      </c>
      <c r="I104" s="229">
        <v>0</v>
      </c>
      <c r="J104" s="37"/>
      <c r="L104" s="28"/>
      <c r="M104" s="29"/>
      <c r="N104" s="30"/>
    </row>
    <row r="105" spans="1:14" ht="15.75" hidden="1" customHeight="1">
      <c r="A105" s="171"/>
      <c r="B105" s="230" t="s">
        <v>142</v>
      </c>
      <c r="C105" s="50" t="s">
        <v>146</v>
      </c>
      <c r="D105" s="22"/>
      <c r="E105" s="26"/>
      <c r="F105" s="20">
        <f>0.5/10</f>
        <v>0.05</v>
      </c>
      <c r="G105" s="20">
        <v>39222.99</v>
      </c>
      <c r="H105" s="225">
        <f t="shared" si="6"/>
        <v>1.9611494999999999</v>
      </c>
      <c r="I105" s="229">
        <v>0</v>
      </c>
      <c r="J105" s="37"/>
      <c r="L105" s="28"/>
      <c r="M105" s="29"/>
      <c r="N105" s="30"/>
    </row>
    <row r="106" spans="1:14" ht="15.75" hidden="1" customHeight="1">
      <c r="A106" s="171"/>
      <c r="B106" s="148" t="s">
        <v>187</v>
      </c>
      <c r="C106" s="191" t="s">
        <v>233</v>
      </c>
      <c r="D106" s="22"/>
      <c r="E106" s="26"/>
      <c r="F106" s="20">
        <v>3</v>
      </c>
      <c r="G106" s="20">
        <v>3210.77</v>
      </c>
      <c r="H106" s="225">
        <f t="shared" si="6"/>
        <v>9.6323100000000004</v>
      </c>
      <c r="I106" s="229">
        <v>0</v>
      </c>
      <c r="J106" s="37"/>
      <c r="L106" s="28"/>
      <c r="M106" s="29"/>
      <c r="N106" s="30"/>
    </row>
    <row r="107" spans="1:14" ht="15.75" hidden="1" customHeight="1">
      <c r="A107" s="171"/>
      <c r="B107" s="148" t="s">
        <v>178</v>
      </c>
      <c r="C107" s="228" t="s">
        <v>102</v>
      </c>
      <c r="D107" s="22"/>
      <c r="E107" s="26"/>
      <c r="F107" s="20">
        <v>1</v>
      </c>
      <c r="G107" s="20">
        <v>18</v>
      </c>
      <c r="H107" s="225">
        <f t="shared" si="6"/>
        <v>1.7999999999999999E-2</v>
      </c>
      <c r="I107" s="229">
        <v>0</v>
      </c>
      <c r="J107" s="37"/>
      <c r="L107" s="28"/>
      <c r="M107" s="29"/>
      <c r="N107" s="30"/>
    </row>
    <row r="108" spans="1:14" ht="15.75" hidden="1" customHeight="1">
      <c r="A108" s="171"/>
      <c r="B108" s="148" t="s">
        <v>179</v>
      </c>
      <c r="C108" s="191" t="s">
        <v>144</v>
      </c>
      <c r="D108" s="22"/>
      <c r="E108" s="26"/>
      <c r="F108" s="20">
        <v>1</v>
      </c>
      <c r="G108" s="20">
        <v>183.7</v>
      </c>
      <c r="H108" s="225">
        <f t="shared" si="6"/>
        <v>0.1837</v>
      </c>
      <c r="I108" s="229">
        <v>0</v>
      </c>
      <c r="J108" s="37"/>
      <c r="L108" s="28"/>
      <c r="M108" s="29"/>
      <c r="N108" s="30"/>
    </row>
    <row r="109" spans="1:14" ht="15.75" hidden="1" customHeight="1">
      <c r="A109" s="171"/>
      <c r="B109" s="175" t="s">
        <v>51</v>
      </c>
      <c r="C109" s="210" t="s">
        <v>144</v>
      </c>
      <c r="D109" s="22"/>
      <c r="E109" s="26"/>
      <c r="F109" s="20">
        <v>1</v>
      </c>
      <c r="G109" s="20">
        <v>81.73</v>
      </c>
      <c r="H109" s="225">
        <f>G109*F109/1000</f>
        <v>8.1729999999999997E-2</v>
      </c>
      <c r="I109" s="229">
        <v>0</v>
      </c>
      <c r="J109" s="37"/>
      <c r="L109" s="28"/>
      <c r="M109" s="29"/>
      <c r="N109" s="30"/>
    </row>
    <row r="110" spans="1:14" ht="15.75" customHeight="1">
      <c r="A110" s="50"/>
      <c r="B110" s="79" t="s">
        <v>63</v>
      </c>
      <c r="C110" s="75"/>
      <c r="D110" s="130"/>
      <c r="E110" s="75">
        <v>1</v>
      </c>
      <c r="F110" s="75"/>
      <c r="G110" s="59"/>
      <c r="H110" s="75"/>
      <c r="I110" s="59">
        <f>SUM(I84:I87)</f>
        <v>6684.5899999999992</v>
      </c>
      <c r="J110" s="37"/>
      <c r="L110" s="28"/>
      <c r="M110" s="29"/>
      <c r="N110" s="30"/>
    </row>
    <row r="111" spans="1:14" ht="15.75" customHeight="1">
      <c r="A111" s="50"/>
      <c r="B111" s="84" t="s">
        <v>96</v>
      </c>
      <c r="C111" s="23"/>
      <c r="D111" s="23"/>
      <c r="E111" s="76"/>
      <c r="F111" s="77"/>
      <c r="G111" s="25"/>
      <c r="H111" s="208"/>
      <c r="I111" s="26">
        <v>0</v>
      </c>
      <c r="J111" s="37"/>
      <c r="L111" s="28"/>
      <c r="M111" s="29"/>
      <c r="N111" s="30"/>
    </row>
    <row r="112" spans="1:14" ht="15.75" customHeight="1">
      <c r="A112" s="209"/>
      <c r="B112" s="80" t="s">
        <v>64</v>
      </c>
      <c r="C112" s="63"/>
      <c r="D112" s="63"/>
      <c r="E112" s="63"/>
      <c r="F112" s="63"/>
      <c r="G112" s="78"/>
      <c r="H112" s="64"/>
      <c r="I112" s="59">
        <f>I82+I110</f>
        <v>60932.953331516663</v>
      </c>
      <c r="J112" s="37"/>
      <c r="L112" s="28"/>
      <c r="M112" s="29"/>
      <c r="N112" s="30"/>
    </row>
    <row r="113" spans="1:22" ht="15" customHeight="1">
      <c r="A113" s="237" t="s">
        <v>241</v>
      </c>
      <c r="B113" s="237"/>
      <c r="C113" s="237"/>
      <c r="D113" s="237"/>
      <c r="E113" s="237"/>
      <c r="F113" s="237"/>
      <c r="G113" s="237"/>
      <c r="H113" s="237"/>
      <c r="I113" s="237"/>
      <c r="J113" s="37"/>
      <c r="L113" s="28"/>
      <c r="M113" s="29"/>
      <c r="N113" s="30"/>
    </row>
    <row r="114" spans="1:22" ht="15.75">
      <c r="A114" s="13"/>
      <c r="B114" s="259" t="s">
        <v>273</v>
      </c>
      <c r="C114" s="259"/>
      <c r="D114" s="259"/>
      <c r="E114" s="259"/>
      <c r="F114" s="259"/>
      <c r="G114" s="259"/>
      <c r="H114" s="197"/>
      <c r="I114" s="4"/>
      <c r="J114" s="37"/>
      <c r="L114" s="28"/>
    </row>
    <row r="115" spans="1:22" ht="15.75">
      <c r="A115" s="162"/>
      <c r="B115" s="239" t="s">
        <v>7</v>
      </c>
      <c r="C115" s="239"/>
      <c r="D115" s="239"/>
      <c r="E115" s="239"/>
      <c r="F115" s="239"/>
      <c r="G115" s="239"/>
      <c r="H115" s="41"/>
      <c r="I115" s="121"/>
    </row>
    <row r="116" spans="1:22" ht="15.75">
      <c r="A116" s="122"/>
      <c r="B116" s="122"/>
      <c r="C116" s="122"/>
      <c r="D116" s="122"/>
      <c r="E116" s="122"/>
      <c r="F116" s="122"/>
      <c r="G116" s="122"/>
      <c r="H116" s="122"/>
      <c r="I116" s="122"/>
    </row>
    <row r="117" spans="1:22" ht="15.75">
      <c r="A117" s="260" t="s">
        <v>8</v>
      </c>
      <c r="B117" s="260"/>
      <c r="C117" s="260"/>
      <c r="D117" s="260"/>
      <c r="E117" s="260"/>
      <c r="F117" s="260"/>
      <c r="G117" s="260"/>
      <c r="H117" s="260"/>
      <c r="I117" s="260"/>
    </row>
    <row r="118" spans="1:22" ht="15.75" customHeight="1">
      <c r="A118" s="260" t="s">
        <v>9</v>
      </c>
      <c r="B118" s="260"/>
      <c r="C118" s="260"/>
      <c r="D118" s="260"/>
      <c r="E118" s="260"/>
      <c r="F118" s="260"/>
      <c r="G118" s="260"/>
      <c r="H118" s="260"/>
      <c r="I118" s="260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12"/>
    </row>
    <row r="119" spans="1:22" ht="15.75" customHeight="1">
      <c r="A119" s="237" t="s">
        <v>10</v>
      </c>
      <c r="B119" s="237"/>
      <c r="C119" s="237"/>
      <c r="D119" s="237"/>
      <c r="E119" s="237"/>
      <c r="F119" s="237"/>
      <c r="G119" s="237"/>
      <c r="H119" s="237"/>
      <c r="I119" s="237"/>
      <c r="J119" s="42"/>
      <c r="K119" s="42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2" ht="15.75">
      <c r="A120" s="15"/>
      <c r="B120" s="119"/>
      <c r="C120" s="119"/>
      <c r="D120" s="119"/>
      <c r="E120" s="119"/>
      <c r="F120" s="119"/>
      <c r="G120" s="119"/>
      <c r="H120" s="119"/>
      <c r="I120" s="119"/>
      <c r="J120" s="6"/>
      <c r="K120" s="6"/>
      <c r="L120" s="6"/>
      <c r="M120" s="6"/>
      <c r="N120" s="6"/>
      <c r="O120" s="6"/>
      <c r="P120" s="6"/>
      <c r="Q120" s="6"/>
      <c r="R120" s="236"/>
      <c r="S120" s="236"/>
      <c r="T120" s="236"/>
      <c r="U120" s="236"/>
    </row>
    <row r="121" spans="1:22" ht="15.75">
      <c r="A121" s="261" t="s">
        <v>11</v>
      </c>
      <c r="B121" s="261"/>
      <c r="C121" s="261"/>
      <c r="D121" s="261"/>
      <c r="E121" s="261"/>
      <c r="F121" s="261"/>
      <c r="G121" s="261"/>
      <c r="H121" s="261"/>
      <c r="I121" s="261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:22" ht="15.75">
      <c r="A122" s="5"/>
      <c r="B122" s="119"/>
      <c r="C122" s="119"/>
      <c r="D122" s="119"/>
      <c r="E122" s="119"/>
      <c r="F122" s="119"/>
      <c r="G122" s="119"/>
      <c r="H122" s="119"/>
      <c r="I122" s="119"/>
    </row>
    <row r="123" spans="1:22" ht="15.75">
      <c r="A123" s="237" t="s">
        <v>12</v>
      </c>
      <c r="B123" s="237"/>
      <c r="C123" s="238" t="s">
        <v>133</v>
      </c>
      <c r="D123" s="238"/>
      <c r="E123" s="238"/>
      <c r="F123" s="203"/>
      <c r="I123" s="160"/>
    </row>
    <row r="124" spans="1:22" ht="15.75" customHeight="1">
      <c r="A124" s="162"/>
      <c r="B124" s="119"/>
      <c r="C124" s="239" t="s">
        <v>13</v>
      </c>
      <c r="D124" s="239"/>
      <c r="E124" s="239"/>
      <c r="F124" s="41"/>
      <c r="I124" s="159" t="s">
        <v>14</v>
      </c>
    </row>
    <row r="125" spans="1:22" ht="15.75">
      <c r="A125" s="42"/>
      <c r="B125" s="119"/>
      <c r="C125" s="16"/>
      <c r="D125" s="16"/>
      <c r="G125" s="16"/>
      <c r="H125" s="16"/>
    </row>
    <row r="126" spans="1:22" ht="15.75">
      <c r="A126" s="237" t="s">
        <v>15</v>
      </c>
      <c r="B126" s="237"/>
      <c r="C126" s="250"/>
      <c r="D126" s="250"/>
      <c r="E126" s="250"/>
      <c r="F126" s="204"/>
      <c r="I126" s="160"/>
    </row>
    <row r="127" spans="1:22">
      <c r="A127" s="157"/>
      <c r="C127" s="236" t="s">
        <v>13</v>
      </c>
      <c r="D127" s="236"/>
      <c r="E127" s="236"/>
      <c r="F127" s="194"/>
      <c r="I127" s="159" t="s">
        <v>14</v>
      </c>
    </row>
    <row r="128" spans="1:22" ht="15.75">
      <c r="A128" s="5" t="s">
        <v>16</v>
      </c>
    </row>
    <row r="129" spans="1:9">
      <c r="A129" s="251" t="s">
        <v>17</v>
      </c>
      <c r="B129" s="251"/>
      <c r="C129" s="251"/>
      <c r="D129" s="251"/>
      <c r="E129" s="251"/>
      <c r="F129" s="251"/>
      <c r="G129" s="251"/>
      <c r="H129" s="251"/>
      <c r="I129" s="251"/>
    </row>
    <row r="130" spans="1:9" ht="47.25" customHeight="1">
      <c r="A130" s="249" t="s">
        <v>18</v>
      </c>
      <c r="B130" s="249"/>
      <c r="C130" s="249"/>
      <c r="D130" s="249"/>
      <c r="E130" s="249"/>
      <c r="F130" s="249"/>
      <c r="G130" s="249"/>
      <c r="H130" s="249"/>
      <c r="I130" s="249"/>
    </row>
    <row r="131" spans="1:9" ht="31.5" customHeight="1">
      <c r="A131" s="249" t="s">
        <v>19</v>
      </c>
      <c r="B131" s="249"/>
      <c r="C131" s="249"/>
      <c r="D131" s="249"/>
      <c r="E131" s="249"/>
      <c r="F131" s="249"/>
      <c r="G131" s="249"/>
      <c r="H131" s="249"/>
      <c r="I131" s="249"/>
    </row>
    <row r="132" spans="1:9" ht="31.5" customHeight="1">
      <c r="A132" s="249" t="s">
        <v>24</v>
      </c>
      <c r="B132" s="249"/>
      <c r="C132" s="249"/>
      <c r="D132" s="249"/>
      <c r="E132" s="249"/>
      <c r="F132" s="249"/>
      <c r="G132" s="249"/>
      <c r="H132" s="249"/>
      <c r="I132" s="249"/>
    </row>
    <row r="133" spans="1:9" ht="15.75">
      <c r="A133" s="249" t="s">
        <v>23</v>
      </c>
      <c r="B133" s="249"/>
      <c r="C133" s="249"/>
      <c r="D133" s="249"/>
      <c r="E133" s="249"/>
      <c r="F133" s="249"/>
      <c r="G133" s="249"/>
      <c r="H133" s="249"/>
      <c r="I133" s="249"/>
    </row>
  </sheetData>
  <autoFilter ref="I14:I116"/>
  <mergeCells count="30">
    <mergeCell ref="A27:I27"/>
    <mergeCell ref="A34:I34"/>
    <mergeCell ref="A43:I43"/>
    <mergeCell ref="A55:I55"/>
    <mergeCell ref="A132:I132"/>
    <mergeCell ref="B114:G114"/>
    <mergeCell ref="B115:G115"/>
    <mergeCell ref="A117:I117"/>
    <mergeCell ref="A119:I119"/>
    <mergeCell ref="A121:I121"/>
    <mergeCell ref="A118:I118"/>
    <mergeCell ref="A113:I113"/>
    <mergeCell ref="A79:I79"/>
    <mergeCell ref="A133:I133"/>
    <mergeCell ref="C126:E126"/>
    <mergeCell ref="C127:E127"/>
    <mergeCell ref="A129:I129"/>
    <mergeCell ref="A130:I130"/>
    <mergeCell ref="A131:I131"/>
    <mergeCell ref="A3:I3"/>
    <mergeCell ref="A4:I4"/>
    <mergeCell ref="A8:I8"/>
    <mergeCell ref="A14:I14"/>
    <mergeCell ref="A5:I5"/>
    <mergeCell ref="A10:I10"/>
    <mergeCell ref="R120:U120"/>
    <mergeCell ref="A123:B123"/>
    <mergeCell ref="C123:E123"/>
    <mergeCell ref="C124:E124"/>
    <mergeCell ref="A126:B12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B1" s="57" t="s">
        <v>118</v>
      </c>
      <c r="I1" s="56"/>
    </row>
    <row r="2" spans="1:13" ht="15.75">
      <c r="B2" s="45" t="s">
        <v>79</v>
      </c>
      <c r="J2" s="1"/>
      <c r="K2" s="1"/>
      <c r="L2" s="1"/>
      <c r="M2" s="1"/>
    </row>
    <row r="3" spans="1:13" ht="15.75" customHeight="1">
      <c r="A3" s="240" t="s">
        <v>269</v>
      </c>
      <c r="B3" s="240"/>
      <c r="C3" s="240"/>
      <c r="D3" s="240"/>
      <c r="E3" s="240"/>
      <c r="F3" s="240"/>
      <c r="G3" s="240"/>
      <c r="H3" s="240"/>
      <c r="I3" s="240"/>
      <c r="J3" s="2"/>
      <c r="K3" s="2"/>
      <c r="L3" s="2"/>
      <c r="M3" s="2"/>
    </row>
    <row r="4" spans="1:13" ht="33.75" customHeight="1">
      <c r="A4" s="241" t="s">
        <v>153</v>
      </c>
      <c r="B4" s="241"/>
      <c r="C4" s="241"/>
      <c r="D4" s="241"/>
      <c r="E4" s="241"/>
      <c r="F4" s="241"/>
      <c r="G4" s="241"/>
      <c r="H4" s="241"/>
      <c r="I4" s="241"/>
      <c r="J4" s="3"/>
      <c r="K4" s="3"/>
      <c r="L4" s="3"/>
      <c r="M4" s="3"/>
    </row>
    <row r="5" spans="1:13" ht="15.75" customHeight="1">
      <c r="A5" s="246" t="s">
        <v>78</v>
      </c>
      <c r="B5" s="247"/>
      <c r="C5" s="247"/>
      <c r="D5" s="247"/>
      <c r="E5" s="247"/>
      <c r="F5" s="247"/>
      <c r="G5" s="247"/>
      <c r="H5" s="247"/>
      <c r="I5" s="247"/>
      <c r="J5" s="4"/>
      <c r="K5" s="4"/>
      <c r="L5" s="4"/>
    </row>
    <row r="6" spans="1:13" ht="15.75" customHeight="1">
      <c r="A6" s="3"/>
      <c r="B6" s="192"/>
      <c r="C6" s="192"/>
      <c r="D6" s="192"/>
      <c r="E6" s="192"/>
      <c r="F6" s="192"/>
      <c r="G6" s="192"/>
      <c r="H6" s="192"/>
      <c r="I6" s="58">
        <v>42674</v>
      </c>
    </row>
    <row r="7" spans="1:13" ht="15.75">
      <c r="B7" s="193"/>
      <c r="C7" s="193"/>
      <c r="D7" s="193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242" t="s">
        <v>274</v>
      </c>
      <c r="B8" s="242"/>
      <c r="C8" s="242"/>
      <c r="D8" s="242"/>
      <c r="E8" s="242"/>
      <c r="F8" s="242"/>
      <c r="G8" s="242"/>
      <c r="H8" s="242"/>
      <c r="I8" s="242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248" t="s">
        <v>155</v>
      </c>
      <c r="B10" s="248"/>
      <c r="C10" s="248"/>
      <c r="D10" s="248"/>
      <c r="E10" s="248"/>
      <c r="F10" s="248"/>
      <c r="G10" s="248"/>
      <c r="H10" s="248"/>
      <c r="I10" s="248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243" t="s">
        <v>4</v>
      </c>
      <c r="B14" s="244"/>
      <c r="C14" s="244"/>
      <c r="D14" s="244"/>
      <c r="E14" s="244"/>
      <c r="F14" s="244"/>
      <c r="G14" s="244"/>
      <c r="H14" s="244"/>
      <c r="I14" s="245"/>
    </row>
    <row r="15" spans="1:13" ht="31.5" customHeight="1">
      <c r="A15" s="50">
        <v>1</v>
      </c>
      <c r="B15" s="175" t="s">
        <v>120</v>
      </c>
      <c r="C15" s="210" t="s">
        <v>156</v>
      </c>
      <c r="D15" s="175" t="s">
        <v>191</v>
      </c>
      <c r="E15" s="211">
        <v>66.2</v>
      </c>
      <c r="F15" s="212">
        <f>SUM(E15*156/100)</f>
        <v>103.27200000000001</v>
      </c>
      <c r="G15" s="212">
        <v>175.38</v>
      </c>
      <c r="H15" s="213">
        <f t="shared" ref="H15:H24" si="0">SUM(F15*G15/1000)</f>
        <v>18.111843359999998</v>
      </c>
      <c r="I15" s="20">
        <f>F15/12*G15</f>
        <v>1509.3202799999999</v>
      </c>
      <c r="J15" s="10"/>
      <c r="K15" s="10"/>
      <c r="L15" s="10"/>
      <c r="M15" s="10"/>
    </row>
    <row r="16" spans="1:13" ht="31.5" customHeight="1">
      <c r="A16" s="50">
        <v>2</v>
      </c>
      <c r="B16" s="175" t="s">
        <v>121</v>
      </c>
      <c r="C16" s="210" t="s">
        <v>156</v>
      </c>
      <c r="D16" s="175" t="s">
        <v>192</v>
      </c>
      <c r="E16" s="211">
        <v>198.7</v>
      </c>
      <c r="F16" s="212">
        <f>SUM(E16*104/100)</f>
        <v>206.648</v>
      </c>
      <c r="G16" s="212">
        <v>175.38</v>
      </c>
      <c r="H16" s="213">
        <f t="shared" si="0"/>
        <v>36.241926239999998</v>
      </c>
      <c r="I16" s="20">
        <f>F16/12*G16</f>
        <v>3020.1605199999999</v>
      </c>
      <c r="J16" s="10"/>
      <c r="K16" s="10"/>
      <c r="L16" s="10"/>
      <c r="M16" s="10"/>
    </row>
    <row r="17" spans="1:13" ht="31.5" customHeight="1">
      <c r="A17" s="50">
        <v>3</v>
      </c>
      <c r="B17" s="175" t="s">
        <v>122</v>
      </c>
      <c r="C17" s="210" t="s">
        <v>156</v>
      </c>
      <c r="D17" s="175" t="s">
        <v>234</v>
      </c>
      <c r="E17" s="211">
        <f>SUM(E15+E16)</f>
        <v>264.89999999999998</v>
      </c>
      <c r="F17" s="212">
        <f>SUM(E17*24/100)</f>
        <v>63.575999999999993</v>
      </c>
      <c r="G17" s="212">
        <v>504.5</v>
      </c>
      <c r="H17" s="213">
        <f t="shared" si="0"/>
        <v>32.074092</v>
      </c>
      <c r="I17" s="20">
        <f>F17/12*G17</f>
        <v>2672.8409999999994</v>
      </c>
      <c r="J17" s="10"/>
      <c r="K17" s="10"/>
      <c r="L17" s="10"/>
      <c r="M17" s="10"/>
    </row>
    <row r="18" spans="1:13" ht="15.75" hidden="1" customHeight="1">
      <c r="A18" s="50"/>
      <c r="B18" s="175" t="s">
        <v>157</v>
      </c>
      <c r="C18" s="210" t="s">
        <v>146</v>
      </c>
      <c r="D18" s="175" t="s">
        <v>158</v>
      </c>
      <c r="E18" s="211">
        <v>40</v>
      </c>
      <c r="F18" s="212">
        <f>SUM(E18/10)</f>
        <v>4</v>
      </c>
      <c r="G18" s="212">
        <v>170.16</v>
      </c>
      <c r="H18" s="213">
        <f t="shared" si="0"/>
        <v>0.68064000000000002</v>
      </c>
      <c r="I18" s="20">
        <v>0</v>
      </c>
      <c r="J18" s="10"/>
      <c r="K18" s="10"/>
      <c r="L18" s="10"/>
      <c r="M18" s="10"/>
    </row>
    <row r="19" spans="1:13" ht="15.75" hidden="1" customHeight="1">
      <c r="A19" s="50"/>
      <c r="B19" s="175" t="s">
        <v>159</v>
      </c>
      <c r="C19" s="210" t="s">
        <v>156</v>
      </c>
      <c r="D19" s="175" t="s">
        <v>66</v>
      </c>
      <c r="E19" s="211">
        <v>10.5</v>
      </c>
      <c r="F19" s="212">
        <f t="shared" ref="F19:F24" si="1">SUM(E19/100)</f>
        <v>0.105</v>
      </c>
      <c r="G19" s="212">
        <v>217.88</v>
      </c>
      <c r="H19" s="213">
        <f t="shared" si="0"/>
        <v>2.2877399999999999E-2</v>
      </c>
      <c r="I19" s="20">
        <v>0</v>
      </c>
      <c r="J19" s="10"/>
      <c r="K19" s="10"/>
      <c r="L19" s="10"/>
      <c r="M19" s="10"/>
    </row>
    <row r="20" spans="1:13" ht="15.75" hidden="1" customHeight="1">
      <c r="A20" s="50"/>
      <c r="B20" s="175" t="s">
        <v>160</v>
      </c>
      <c r="C20" s="210" t="s">
        <v>156</v>
      </c>
      <c r="D20" s="175" t="s">
        <v>66</v>
      </c>
      <c r="E20" s="211">
        <v>2.7</v>
      </c>
      <c r="F20" s="212">
        <f t="shared" si="1"/>
        <v>2.7000000000000003E-2</v>
      </c>
      <c r="G20" s="212">
        <v>216.12</v>
      </c>
      <c r="H20" s="213">
        <f t="shared" si="0"/>
        <v>5.8352400000000002E-3</v>
      </c>
      <c r="I20" s="20">
        <v>0</v>
      </c>
      <c r="J20" s="10"/>
      <c r="K20" s="10"/>
      <c r="L20" s="10"/>
      <c r="M20" s="10"/>
    </row>
    <row r="21" spans="1:13" ht="15.75" hidden="1" customHeight="1">
      <c r="A21" s="50"/>
      <c r="B21" s="175" t="s">
        <v>161</v>
      </c>
      <c r="C21" s="210" t="s">
        <v>65</v>
      </c>
      <c r="D21" s="175" t="s">
        <v>158</v>
      </c>
      <c r="E21" s="211">
        <v>357</v>
      </c>
      <c r="F21" s="212">
        <f t="shared" si="1"/>
        <v>3.57</v>
      </c>
      <c r="G21" s="212">
        <v>269.26</v>
      </c>
      <c r="H21" s="213">
        <f t="shared" si="0"/>
        <v>0.96125819999999984</v>
      </c>
      <c r="I21" s="20">
        <v>0</v>
      </c>
      <c r="J21" s="10"/>
      <c r="K21" s="10"/>
      <c r="L21" s="10"/>
      <c r="M21" s="10"/>
    </row>
    <row r="22" spans="1:13" ht="15.75" hidden="1" customHeight="1">
      <c r="A22" s="50"/>
      <c r="B22" s="175" t="s">
        <v>162</v>
      </c>
      <c r="C22" s="210" t="s">
        <v>65</v>
      </c>
      <c r="D22" s="175" t="s">
        <v>158</v>
      </c>
      <c r="E22" s="214">
        <v>38.64</v>
      </c>
      <c r="F22" s="212">
        <f t="shared" si="1"/>
        <v>0.38640000000000002</v>
      </c>
      <c r="G22" s="212">
        <v>44.29</v>
      </c>
      <c r="H22" s="213">
        <f t="shared" si="0"/>
        <v>1.7113655999999998E-2</v>
      </c>
      <c r="I22" s="20">
        <v>0</v>
      </c>
      <c r="J22" s="10"/>
      <c r="K22" s="10"/>
      <c r="L22" s="10"/>
      <c r="M22" s="10"/>
    </row>
    <row r="23" spans="1:13" ht="15.75" hidden="1" customHeight="1">
      <c r="A23" s="50"/>
      <c r="B23" s="175" t="s">
        <v>163</v>
      </c>
      <c r="C23" s="210" t="s">
        <v>65</v>
      </c>
      <c r="D23" s="176" t="s">
        <v>158</v>
      </c>
      <c r="E23" s="26">
        <v>15</v>
      </c>
      <c r="F23" s="215">
        <f t="shared" si="1"/>
        <v>0.15</v>
      </c>
      <c r="G23" s="212">
        <v>389.72</v>
      </c>
      <c r="H23" s="213">
        <f t="shared" si="0"/>
        <v>5.8457999999999996E-2</v>
      </c>
      <c r="I23" s="20">
        <v>0</v>
      </c>
      <c r="J23" s="10"/>
      <c r="K23" s="10"/>
      <c r="L23" s="10"/>
      <c r="M23" s="10"/>
    </row>
    <row r="24" spans="1:13" ht="15.75" hidden="1" customHeight="1">
      <c r="A24" s="50"/>
      <c r="B24" s="175" t="s">
        <v>164</v>
      </c>
      <c r="C24" s="210" t="s">
        <v>65</v>
      </c>
      <c r="D24" s="175" t="s">
        <v>158</v>
      </c>
      <c r="E24" s="216">
        <v>6.38</v>
      </c>
      <c r="F24" s="212">
        <f t="shared" si="1"/>
        <v>6.3799999999999996E-2</v>
      </c>
      <c r="G24" s="212">
        <v>520.79999999999995</v>
      </c>
      <c r="H24" s="213">
        <f t="shared" si="0"/>
        <v>3.3227039999999992E-2</v>
      </c>
      <c r="I24" s="20">
        <v>0</v>
      </c>
      <c r="J24" s="10"/>
      <c r="K24" s="10"/>
      <c r="L24" s="10"/>
      <c r="M24" s="10"/>
    </row>
    <row r="25" spans="1:13" ht="15.75" customHeight="1">
      <c r="A25" s="207">
        <v>4</v>
      </c>
      <c r="B25" s="175" t="s">
        <v>81</v>
      </c>
      <c r="C25" s="210" t="s">
        <v>37</v>
      </c>
      <c r="D25" s="175" t="s">
        <v>198</v>
      </c>
      <c r="E25" s="211">
        <v>0.1</v>
      </c>
      <c r="F25" s="212">
        <f>SUM(E25*365)</f>
        <v>36.5</v>
      </c>
      <c r="G25" s="212">
        <v>147.03</v>
      </c>
      <c r="H25" s="213">
        <f>SUM(F25*G25/1000)</f>
        <v>5.3665950000000002</v>
      </c>
      <c r="I25" s="20">
        <f>F25/12*G25</f>
        <v>447.21625</v>
      </c>
      <c r="J25" s="36"/>
      <c r="K25" s="10"/>
      <c r="L25" s="10"/>
      <c r="M25" s="10"/>
    </row>
    <row r="26" spans="1:13" ht="15.75" customHeight="1">
      <c r="A26" s="207">
        <v>5</v>
      </c>
      <c r="B26" s="218" t="s">
        <v>26</v>
      </c>
      <c r="C26" s="210" t="s">
        <v>27</v>
      </c>
      <c r="D26" s="218" t="s">
        <v>177</v>
      </c>
      <c r="E26" s="211">
        <v>2566.6</v>
      </c>
      <c r="F26" s="212">
        <f>SUM(E26*12)</f>
        <v>30799.199999999997</v>
      </c>
      <c r="G26" s="212">
        <v>4.53</v>
      </c>
      <c r="H26" s="213">
        <f>SUM(F26*G26/1000)</f>
        <v>139.520376</v>
      </c>
      <c r="I26" s="20">
        <f>F26/12*G26</f>
        <v>11626.698</v>
      </c>
      <c r="J26" s="36"/>
      <c r="K26" s="10"/>
      <c r="L26" s="10"/>
      <c r="M26" s="10"/>
    </row>
    <row r="27" spans="1:13" ht="15.75" customHeight="1">
      <c r="A27" s="252" t="s">
        <v>235</v>
      </c>
      <c r="B27" s="253"/>
      <c r="C27" s="253"/>
      <c r="D27" s="253"/>
      <c r="E27" s="253"/>
      <c r="F27" s="253"/>
      <c r="G27" s="253"/>
      <c r="H27" s="253"/>
      <c r="I27" s="254"/>
      <c r="J27" s="36"/>
      <c r="K27" s="10"/>
      <c r="L27" s="10"/>
      <c r="M27" s="10"/>
    </row>
    <row r="28" spans="1:13" ht="31.5" customHeight="1">
      <c r="A28" s="205">
        <v>6</v>
      </c>
      <c r="B28" s="175" t="s">
        <v>193</v>
      </c>
      <c r="C28" s="210" t="s">
        <v>165</v>
      </c>
      <c r="D28" s="175" t="s">
        <v>194</v>
      </c>
      <c r="E28" s="212">
        <v>852.6</v>
      </c>
      <c r="F28" s="212">
        <f>SUM(E28*52/1000)</f>
        <v>44.335200000000007</v>
      </c>
      <c r="G28" s="212">
        <v>155.88999999999999</v>
      </c>
      <c r="H28" s="213">
        <f t="shared" ref="H28:H33" si="2">SUM(F28*G28/1000)</f>
        <v>6.9114143280000011</v>
      </c>
      <c r="I28" s="20">
        <f>F28/6*G28</f>
        <v>1151.9023880000002</v>
      </c>
      <c r="J28" s="36"/>
      <c r="K28" s="10"/>
      <c r="L28" s="10"/>
      <c r="M28" s="10"/>
    </row>
    <row r="29" spans="1:13" ht="31.5" customHeight="1">
      <c r="A29" s="50">
        <v>7</v>
      </c>
      <c r="B29" s="175" t="s">
        <v>195</v>
      </c>
      <c r="C29" s="210" t="s">
        <v>165</v>
      </c>
      <c r="D29" s="175" t="s">
        <v>196</v>
      </c>
      <c r="E29" s="212">
        <v>65.33</v>
      </c>
      <c r="F29" s="212">
        <f>SUM(E29*78/1000)</f>
        <v>5.0957400000000002</v>
      </c>
      <c r="G29" s="212">
        <v>258.63</v>
      </c>
      <c r="H29" s="213">
        <f t="shared" si="2"/>
        <v>1.3179112362000001</v>
      </c>
      <c r="I29" s="20">
        <f t="shared" ref="I29:I31" si="3">F29/6*G29</f>
        <v>219.65187269999998</v>
      </c>
      <c r="J29" s="36"/>
      <c r="K29" s="10"/>
      <c r="L29" s="10"/>
      <c r="M29" s="10"/>
    </row>
    <row r="30" spans="1:13" ht="15.75" hidden="1" customHeight="1">
      <c r="A30" s="207"/>
      <c r="B30" s="175" t="s">
        <v>32</v>
      </c>
      <c r="C30" s="210" t="s">
        <v>165</v>
      </c>
      <c r="D30" s="175" t="s">
        <v>66</v>
      </c>
      <c r="E30" s="212">
        <v>852.6</v>
      </c>
      <c r="F30" s="212">
        <f>SUM(E30/1000)</f>
        <v>0.85260000000000002</v>
      </c>
      <c r="G30" s="212">
        <v>3020.33</v>
      </c>
      <c r="H30" s="213">
        <f t="shared" si="2"/>
        <v>2.575133358</v>
      </c>
      <c r="I30" s="20">
        <f t="shared" si="3"/>
        <v>429.18889300000001</v>
      </c>
      <c r="J30" s="36"/>
      <c r="K30" s="10"/>
      <c r="L30" s="10"/>
      <c r="M30" s="10"/>
    </row>
    <row r="31" spans="1:13" ht="15.75" customHeight="1">
      <c r="A31" s="207">
        <v>8</v>
      </c>
      <c r="B31" s="175" t="s">
        <v>197</v>
      </c>
      <c r="C31" s="210" t="s">
        <v>35</v>
      </c>
      <c r="D31" s="175" t="s">
        <v>80</v>
      </c>
      <c r="E31" s="217">
        <v>0.33333333333333331</v>
      </c>
      <c r="F31" s="212">
        <f>155/3</f>
        <v>51.666666666666664</v>
      </c>
      <c r="G31" s="212">
        <v>56.69</v>
      </c>
      <c r="H31" s="213">
        <f>SUM(G31*155/3/1000)</f>
        <v>2.9289833333333331</v>
      </c>
      <c r="I31" s="20">
        <f t="shared" si="3"/>
        <v>488.16388888888883</v>
      </c>
      <c r="J31" s="36"/>
      <c r="K31" s="10"/>
      <c r="L31" s="10"/>
      <c r="M31" s="10"/>
    </row>
    <row r="32" spans="1:13" ht="15.75" hidden="1" customHeight="1">
      <c r="A32" s="207"/>
      <c r="B32" s="175" t="s">
        <v>82</v>
      </c>
      <c r="C32" s="210" t="s">
        <v>37</v>
      </c>
      <c r="D32" s="175" t="s">
        <v>83</v>
      </c>
      <c r="E32" s="211"/>
      <c r="F32" s="212">
        <v>3</v>
      </c>
      <c r="G32" s="212">
        <v>191.32</v>
      </c>
      <c r="H32" s="213">
        <f t="shared" si="2"/>
        <v>0.57396000000000003</v>
      </c>
      <c r="I32" s="20">
        <v>0</v>
      </c>
      <c r="J32" s="36"/>
      <c r="K32" s="10"/>
      <c r="L32" s="10"/>
      <c r="M32" s="10"/>
    </row>
    <row r="33" spans="1:14" ht="15.75" hidden="1" customHeight="1">
      <c r="A33" s="207"/>
      <c r="B33" s="175" t="s">
        <v>200</v>
      </c>
      <c r="C33" s="210" t="s">
        <v>36</v>
      </c>
      <c r="D33" s="175" t="s">
        <v>83</v>
      </c>
      <c r="E33" s="211"/>
      <c r="F33" s="212">
        <v>2</v>
      </c>
      <c r="G33" s="212">
        <v>1136.33</v>
      </c>
      <c r="H33" s="213">
        <f t="shared" si="2"/>
        <v>2.2726599999999997</v>
      </c>
      <c r="I33" s="20">
        <v>0</v>
      </c>
      <c r="J33" s="36"/>
      <c r="K33" s="10"/>
      <c r="L33" s="10"/>
      <c r="M33" s="10"/>
    </row>
    <row r="34" spans="1:14" ht="15.75" hidden="1" customHeight="1">
      <c r="A34" s="252" t="s">
        <v>236</v>
      </c>
      <c r="B34" s="253"/>
      <c r="C34" s="253"/>
      <c r="D34" s="253"/>
      <c r="E34" s="253"/>
      <c r="F34" s="253"/>
      <c r="G34" s="253"/>
      <c r="H34" s="253"/>
      <c r="I34" s="254"/>
      <c r="J34" s="36"/>
      <c r="K34" s="10"/>
      <c r="L34" s="10"/>
      <c r="M34" s="10"/>
    </row>
    <row r="35" spans="1:14" ht="15.75" hidden="1" customHeight="1">
      <c r="A35" s="50">
        <v>6</v>
      </c>
      <c r="B35" s="175" t="s">
        <v>30</v>
      </c>
      <c r="C35" s="210" t="s">
        <v>36</v>
      </c>
      <c r="D35" s="175"/>
      <c r="E35" s="211"/>
      <c r="F35" s="212">
        <v>8</v>
      </c>
      <c r="G35" s="212">
        <v>1527.22</v>
      </c>
      <c r="H35" s="213">
        <f t="shared" ref="H35:H42" si="4">SUM(F35*G35/1000)</f>
        <v>12.21776</v>
      </c>
      <c r="I35" s="20">
        <f>F35/6*G35</f>
        <v>2036.2933333333333</v>
      </c>
      <c r="J35" s="36"/>
      <c r="K35" s="10"/>
      <c r="L35" s="10"/>
      <c r="M35" s="10"/>
    </row>
    <row r="36" spans="1:14" ht="15.75" hidden="1" customHeight="1">
      <c r="A36" s="50">
        <v>7</v>
      </c>
      <c r="B36" s="175" t="s">
        <v>136</v>
      </c>
      <c r="C36" s="210" t="s">
        <v>33</v>
      </c>
      <c r="D36" s="175" t="s">
        <v>201</v>
      </c>
      <c r="E36" s="211">
        <v>269.5</v>
      </c>
      <c r="F36" s="212">
        <f>E36*12/1000</f>
        <v>3.234</v>
      </c>
      <c r="G36" s="212">
        <v>2102.71</v>
      </c>
      <c r="H36" s="213">
        <f>G36*F36/1000</f>
        <v>6.8001641399999997</v>
      </c>
      <c r="I36" s="20">
        <f>F36/6*G36</f>
        <v>1133.3606900000002</v>
      </c>
      <c r="J36" s="36"/>
      <c r="K36" s="10"/>
      <c r="L36" s="10"/>
      <c r="M36" s="10"/>
    </row>
    <row r="37" spans="1:14" ht="15.75" hidden="1" customHeight="1">
      <c r="A37" s="50">
        <v>8</v>
      </c>
      <c r="B37" s="175" t="s">
        <v>202</v>
      </c>
      <c r="C37" s="210" t="s">
        <v>33</v>
      </c>
      <c r="D37" s="175" t="s">
        <v>203</v>
      </c>
      <c r="E37" s="211">
        <v>60</v>
      </c>
      <c r="F37" s="212">
        <f>E37*30/1000</f>
        <v>1.8</v>
      </c>
      <c r="G37" s="212">
        <v>2102.71</v>
      </c>
      <c r="H37" s="213">
        <f>G37*F37/1000</f>
        <v>3.784878</v>
      </c>
      <c r="I37" s="20">
        <f>F37/6*G37</f>
        <v>630.81299999999999</v>
      </c>
      <c r="J37" s="36"/>
      <c r="K37" s="10"/>
      <c r="L37" s="10"/>
      <c r="M37" s="10"/>
    </row>
    <row r="38" spans="1:14" ht="15.75" hidden="1" customHeight="1">
      <c r="A38" s="50"/>
      <c r="B38" s="175" t="s">
        <v>204</v>
      </c>
      <c r="C38" s="210" t="s">
        <v>205</v>
      </c>
      <c r="D38" s="175" t="s">
        <v>83</v>
      </c>
      <c r="E38" s="211"/>
      <c r="F38" s="212">
        <v>100</v>
      </c>
      <c r="G38" s="212">
        <v>213.2</v>
      </c>
      <c r="H38" s="213">
        <f>G38*F38/1000</f>
        <v>21.32</v>
      </c>
      <c r="I38" s="20">
        <v>0</v>
      </c>
      <c r="J38" s="36"/>
      <c r="K38" s="10"/>
      <c r="L38" s="10"/>
      <c r="M38" s="10"/>
    </row>
    <row r="39" spans="1:14" ht="15.75" hidden="1" customHeight="1">
      <c r="A39" s="50">
        <v>9</v>
      </c>
      <c r="B39" s="175" t="s">
        <v>84</v>
      </c>
      <c r="C39" s="210" t="s">
        <v>33</v>
      </c>
      <c r="D39" s="175" t="s">
        <v>206</v>
      </c>
      <c r="E39" s="212">
        <v>65.33</v>
      </c>
      <c r="F39" s="212">
        <f>SUM(E39*155/1000)</f>
        <v>10.126149999999999</v>
      </c>
      <c r="G39" s="212">
        <v>350.75</v>
      </c>
      <c r="H39" s="213">
        <f t="shared" si="4"/>
        <v>3.5517471124999997</v>
      </c>
      <c r="I39" s="20">
        <f>F39/6*G39</f>
        <v>591.95785208333325</v>
      </c>
      <c r="J39" s="36"/>
      <c r="K39" s="10"/>
      <c r="L39" s="10"/>
      <c r="M39" s="10"/>
    </row>
    <row r="40" spans="1:14" ht="47.25" hidden="1" customHeight="1">
      <c r="A40" s="50">
        <v>10</v>
      </c>
      <c r="B40" s="175" t="s">
        <v>110</v>
      </c>
      <c r="C40" s="210" t="s">
        <v>165</v>
      </c>
      <c r="D40" s="175" t="s">
        <v>207</v>
      </c>
      <c r="E40" s="212">
        <v>65.33</v>
      </c>
      <c r="F40" s="212">
        <f>SUM(E40*24/1000)</f>
        <v>1.56792</v>
      </c>
      <c r="G40" s="212">
        <v>5803.28</v>
      </c>
      <c r="H40" s="213">
        <f t="shared" si="4"/>
        <v>9.0990787775999991</v>
      </c>
      <c r="I40" s="20">
        <f>F40/6*G40</f>
        <v>1516.5131296</v>
      </c>
      <c r="J40" s="36"/>
      <c r="K40" s="10"/>
      <c r="L40" s="10"/>
      <c r="M40" s="10"/>
    </row>
    <row r="41" spans="1:14" ht="15.75" hidden="1" customHeight="1">
      <c r="A41" s="50">
        <v>11</v>
      </c>
      <c r="B41" s="175" t="s">
        <v>208</v>
      </c>
      <c r="C41" s="210" t="s">
        <v>165</v>
      </c>
      <c r="D41" s="175" t="s">
        <v>85</v>
      </c>
      <c r="E41" s="212">
        <v>65.33</v>
      </c>
      <c r="F41" s="212">
        <f>SUM(E41*45/1000)</f>
        <v>2.9398499999999999</v>
      </c>
      <c r="G41" s="212">
        <v>428.7</v>
      </c>
      <c r="H41" s="213">
        <f t="shared" si="4"/>
        <v>1.2603136949999998</v>
      </c>
      <c r="I41" s="20">
        <f>F41/6*G41</f>
        <v>210.05228249999999</v>
      </c>
      <c r="J41" s="36"/>
      <c r="K41" s="10"/>
    </row>
    <row r="42" spans="1:14" ht="15.75" hidden="1" customHeight="1">
      <c r="A42" s="50">
        <v>12</v>
      </c>
      <c r="B42" s="175" t="s">
        <v>86</v>
      </c>
      <c r="C42" s="210" t="s">
        <v>37</v>
      </c>
      <c r="D42" s="175"/>
      <c r="E42" s="211"/>
      <c r="F42" s="212">
        <v>0.8</v>
      </c>
      <c r="G42" s="212">
        <v>798</v>
      </c>
      <c r="H42" s="213">
        <f t="shared" si="4"/>
        <v>0.63840000000000008</v>
      </c>
      <c r="I42" s="20">
        <f>F42/6*G42</f>
        <v>106.39999999999999</v>
      </c>
      <c r="J42" s="37"/>
    </row>
    <row r="43" spans="1:14" ht="15.75" customHeight="1">
      <c r="A43" s="252" t="s">
        <v>238</v>
      </c>
      <c r="B43" s="255"/>
      <c r="C43" s="255"/>
      <c r="D43" s="255"/>
      <c r="E43" s="255"/>
      <c r="F43" s="255"/>
      <c r="G43" s="255"/>
      <c r="H43" s="255"/>
      <c r="I43" s="256"/>
      <c r="J43" s="37"/>
    </row>
    <row r="44" spans="1:14" ht="15.75" hidden="1" customHeight="1">
      <c r="A44" s="50"/>
      <c r="B44" s="175" t="s">
        <v>209</v>
      </c>
      <c r="C44" s="210" t="s">
        <v>165</v>
      </c>
      <c r="D44" s="175" t="s">
        <v>52</v>
      </c>
      <c r="E44" s="211">
        <v>1114.75</v>
      </c>
      <c r="F44" s="212">
        <f>SUM(E44*2/1000)</f>
        <v>2.2294999999999998</v>
      </c>
      <c r="G44" s="20">
        <v>809.74</v>
      </c>
      <c r="H44" s="213">
        <f t="shared" ref="H44:H54" si="5">SUM(F44*G44/1000)</f>
        <v>1.80531533</v>
      </c>
      <c r="I44" s="20">
        <v>0</v>
      </c>
      <c r="J44" s="37"/>
    </row>
    <row r="45" spans="1:14" ht="15.75" hidden="1" customHeight="1">
      <c r="A45" s="206"/>
      <c r="B45" s="175" t="s">
        <v>41</v>
      </c>
      <c r="C45" s="210" t="s">
        <v>165</v>
      </c>
      <c r="D45" s="175" t="s">
        <v>52</v>
      </c>
      <c r="E45" s="211">
        <v>88</v>
      </c>
      <c r="F45" s="212">
        <f>E45*2/1000</f>
        <v>0.17599999999999999</v>
      </c>
      <c r="G45" s="20">
        <v>579.48</v>
      </c>
      <c r="H45" s="213">
        <f t="shared" si="5"/>
        <v>0.10198847999999999</v>
      </c>
      <c r="I45" s="20">
        <v>0</v>
      </c>
      <c r="J45" s="37"/>
    </row>
    <row r="46" spans="1:14" ht="15.75" hidden="1" customHeight="1">
      <c r="A46" s="205"/>
      <c r="B46" s="175" t="s">
        <v>42</v>
      </c>
      <c r="C46" s="210" t="s">
        <v>165</v>
      </c>
      <c r="D46" s="175" t="s">
        <v>52</v>
      </c>
      <c r="E46" s="211">
        <v>1250.6199999999999</v>
      </c>
      <c r="F46" s="212">
        <f>SUM(E46*2/1000)</f>
        <v>2.5012399999999997</v>
      </c>
      <c r="G46" s="20">
        <v>579.48</v>
      </c>
      <c r="H46" s="213">
        <f t="shared" si="5"/>
        <v>1.4494185551999998</v>
      </c>
      <c r="I46" s="20">
        <v>0</v>
      </c>
      <c r="J46" s="37"/>
    </row>
    <row r="47" spans="1:14" ht="15.75" hidden="1" customHeight="1">
      <c r="A47" s="50"/>
      <c r="B47" s="175" t="s">
        <v>43</v>
      </c>
      <c r="C47" s="210" t="s">
        <v>165</v>
      </c>
      <c r="D47" s="175" t="s">
        <v>52</v>
      </c>
      <c r="E47" s="211">
        <v>1295.68</v>
      </c>
      <c r="F47" s="212">
        <f>SUM(E47*2/1000)</f>
        <v>2.5913600000000003</v>
      </c>
      <c r="G47" s="20">
        <v>606.77</v>
      </c>
      <c r="H47" s="213">
        <f t="shared" si="5"/>
        <v>1.5723595072000001</v>
      </c>
      <c r="I47" s="20">
        <v>0</v>
      </c>
      <c r="J47" s="37"/>
    </row>
    <row r="48" spans="1:14" ht="15.75" hidden="1" customHeight="1">
      <c r="A48" s="50"/>
      <c r="B48" s="175" t="s">
        <v>39</v>
      </c>
      <c r="C48" s="210" t="s">
        <v>40</v>
      </c>
      <c r="D48" s="175" t="s">
        <v>52</v>
      </c>
      <c r="E48" s="211">
        <v>85.84</v>
      </c>
      <c r="F48" s="212">
        <f>E48*2/100</f>
        <v>1.7168000000000001</v>
      </c>
      <c r="G48" s="20">
        <v>72.81</v>
      </c>
      <c r="H48" s="213">
        <f>G48*F48/1000</f>
        <v>0.125000208</v>
      </c>
      <c r="I48" s="20">
        <v>0</v>
      </c>
      <c r="J48" s="37"/>
      <c r="L48" s="28"/>
      <c r="M48" s="29"/>
      <c r="N48" s="30"/>
    </row>
    <row r="49" spans="1:14" ht="31.5" hidden="1" customHeight="1">
      <c r="A49" s="50">
        <v>13</v>
      </c>
      <c r="B49" s="175" t="s">
        <v>72</v>
      </c>
      <c r="C49" s="210" t="s">
        <v>165</v>
      </c>
      <c r="D49" s="175" t="s">
        <v>237</v>
      </c>
      <c r="E49" s="211">
        <v>891.8</v>
      </c>
      <c r="F49" s="212">
        <f>SUM(E49*5/1000)</f>
        <v>4.4589999999999996</v>
      </c>
      <c r="G49" s="20">
        <v>1213.55</v>
      </c>
      <c r="H49" s="213">
        <f t="shared" si="5"/>
        <v>5.4112194499999999</v>
      </c>
      <c r="I49" s="20">
        <f>F49/5*G49</f>
        <v>1082.24389</v>
      </c>
      <c r="J49" s="37"/>
      <c r="L49" s="28"/>
      <c r="M49" s="29"/>
      <c r="N49" s="30"/>
    </row>
    <row r="50" spans="1:14" ht="31.5" hidden="1" customHeight="1">
      <c r="A50" s="171"/>
      <c r="B50" s="175" t="s">
        <v>210</v>
      </c>
      <c r="C50" s="210" t="s">
        <v>165</v>
      </c>
      <c r="D50" s="175" t="s">
        <v>52</v>
      </c>
      <c r="E50" s="211">
        <v>891.8</v>
      </c>
      <c r="F50" s="212">
        <f>SUM(E50*2/1000)</f>
        <v>1.7835999999999999</v>
      </c>
      <c r="G50" s="20">
        <v>1213.55</v>
      </c>
      <c r="H50" s="213">
        <f t="shared" si="5"/>
        <v>2.16448778</v>
      </c>
      <c r="I50" s="20">
        <v>0</v>
      </c>
      <c r="J50" s="37"/>
      <c r="L50" s="28"/>
      <c r="M50" s="29"/>
      <c r="N50" s="30"/>
    </row>
    <row r="51" spans="1:14" ht="31.5" hidden="1" customHeight="1">
      <c r="A51" s="171"/>
      <c r="B51" s="175" t="s">
        <v>211</v>
      </c>
      <c r="C51" s="210" t="s">
        <v>46</v>
      </c>
      <c r="D51" s="175" t="s">
        <v>52</v>
      </c>
      <c r="E51" s="211">
        <v>16</v>
      </c>
      <c r="F51" s="212">
        <f>SUM(E51*2/100)</f>
        <v>0.32</v>
      </c>
      <c r="G51" s="20">
        <v>2730.49</v>
      </c>
      <c r="H51" s="213">
        <f t="shared" si="5"/>
        <v>0.8737568</v>
      </c>
      <c r="I51" s="20">
        <v>0</v>
      </c>
      <c r="J51" s="37"/>
      <c r="L51" s="28"/>
      <c r="M51" s="29"/>
      <c r="N51" s="30"/>
    </row>
    <row r="52" spans="1:14" ht="15.75" customHeight="1">
      <c r="A52" s="171">
        <v>9</v>
      </c>
      <c r="B52" s="175" t="s">
        <v>47</v>
      </c>
      <c r="C52" s="210" t="s">
        <v>48</v>
      </c>
      <c r="D52" s="175" t="s">
        <v>52</v>
      </c>
      <c r="E52" s="211">
        <v>1</v>
      </c>
      <c r="F52" s="212">
        <v>0.02</v>
      </c>
      <c r="G52" s="20">
        <v>5652.13</v>
      </c>
      <c r="H52" s="213">
        <f t="shared" si="5"/>
        <v>0.11304260000000001</v>
      </c>
      <c r="I52" s="20">
        <f>F52/2*G52</f>
        <v>56.521300000000004</v>
      </c>
      <c r="J52" s="37"/>
      <c r="L52" s="28"/>
      <c r="M52" s="29"/>
      <c r="N52" s="30"/>
    </row>
    <row r="53" spans="1:14" ht="15.75" hidden="1" customHeight="1">
      <c r="A53" s="171">
        <v>14</v>
      </c>
      <c r="B53" s="175" t="s">
        <v>212</v>
      </c>
      <c r="C53" s="210" t="s">
        <v>144</v>
      </c>
      <c r="D53" s="175" t="s">
        <v>87</v>
      </c>
      <c r="E53" s="211">
        <v>60</v>
      </c>
      <c r="F53" s="212">
        <f>E53*3</f>
        <v>180</v>
      </c>
      <c r="G53" s="20">
        <v>141.12</v>
      </c>
      <c r="H53" s="213">
        <f>F53*G53/1000</f>
        <v>25.401600000000002</v>
      </c>
      <c r="I53" s="20">
        <f>E53*G53</f>
        <v>8467.2000000000007</v>
      </c>
      <c r="J53" s="37"/>
      <c r="L53" s="28"/>
      <c r="M53" s="29"/>
      <c r="N53" s="30"/>
    </row>
    <row r="54" spans="1:14" ht="15.75" hidden="1" customHeight="1">
      <c r="A54" s="171">
        <v>15</v>
      </c>
      <c r="B54" s="175" t="s">
        <v>51</v>
      </c>
      <c r="C54" s="210" t="s">
        <v>144</v>
      </c>
      <c r="D54" s="175" t="s">
        <v>87</v>
      </c>
      <c r="E54" s="211">
        <v>120</v>
      </c>
      <c r="F54" s="212">
        <f>SUM(E54)*3</f>
        <v>360</v>
      </c>
      <c r="G54" s="20">
        <v>65.67</v>
      </c>
      <c r="H54" s="213">
        <f t="shared" si="5"/>
        <v>23.641200000000001</v>
      </c>
      <c r="I54" s="20">
        <f>E54*G54</f>
        <v>7880.4000000000005</v>
      </c>
      <c r="J54" s="37"/>
      <c r="L54" s="28"/>
      <c r="M54" s="29"/>
      <c r="N54" s="30"/>
    </row>
    <row r="55" spans="1:14" ht="15.75" customHeight="1">
      <c r="A55" s="252" t="s">
        <v>239</v>
      </c>
      <c r="B55" s="257"/>
      <c r="C55" s="257"/>
      <c r="D55" s="257"/>
      <c r="E55" s="257"/>
      <c r="F55" s="257"/>
      <c r="G55" s="257"/>
      <c r="H55" s="257"/>
      <c r="I55" s="258"/>
      <c r="J55" s="37"/>
      <c r="L55" s="28"/>
      <c r="M55" s="29"/>
      <c r="N55" s="30"/>
    </row>
    <row r="56" spans="1:14" ht="15.75" hidden="1" customHeight="1">
      <c r="A56" s="171"/>
      <c r="B56" s="233" t="s">
        <v>53</v>
      </c>
      <c r="C56" s="210"/>
      <c r="D56" s="175"/>
      <c r="E56" s="211"/>
      <c r="F56" s="212"/>
      <c r="G56" s="212"/>
      <c r="H56" s="213"/>
      <c r="I56" s="20"/>
      <c r="J56" s="37"/>
      <c r="L56" s="28"/>
      <c r="M56" s="29"/>
      <c r="N56" s="30"/>
    </row>
    <row r="57" spans="1:14" ht="31.5" hidden="1" customHeight="1">
      <c r="A57" s="171">
        <v>16</v>
      </c>
      <c r="B57" s="175" t="s">
        <v>213</v>
      </c>
      <c r="C57" s="210" t="s">
        <v>156</v>
      </c>
      <c r="D57" s="175" t="s">
        <v>214</v>
      </c>
      <c r="E57" s="211">
        <v>112.68</v>
      </c>
      <c r="F57" s="212">
        <f>SUM(E57*6/100)</f>
        <v>6.7608000000000006</v>
      </c>
      <c r="G57" s="20">
        <v>1547.28</v>
      </c>
      <c r="H57" s="213">
        <f>SUM(F57*G57/1000)</f>
        <v>10.460850624000001</v>
      </c>
      <c r="I57" s="20">
        <f>F57/6*G57</f>
        <v>1743.4751040000001</v>
      </c>
      <c r="J57" s="37"/>
      <c r="L57" s="28"/>
      <c r="M57" s="29"/>
      <c r="N57" s="30"/>
    </row>
    <row r="58" spans="1:14" ht="15.75" hidden="1" customHeight="1">
      <c r="A58" s="171"/>
      <c r="B58" s="232" t="s">
        <v>54</v>
      </c>
      <c r="C58" s="220"/>
      <c r="D58" s="219"/>
      <c r="E58" s="221"/>
      <c r="F58" s="222"/>
      <c r="G58" s="20"/>
      <c r="H58" s="223"/>
      <c r="I58" s="20"/>
      <c r="J58" s="37"/>
      <c r="L58" s="28"/>
      <c r="M58" s="29"/>
      <c r="N58" s="30"/>
    </row>
    <row r="59" spans="1:14" ht="15.75" hidden="1" customHeight="1">
      <c r="A59" s="206"/>
      <c r="B59" s="219" t="s">
        <v>215</v>
      </c>
      <c r="C59" s="220" t="s">
        <v>65</v>
      </c>
      <c r="D59" s="219" t="s">
        <v>66</v>
      </c>
      <c r="E59" s="221">
        <v>897</v>
      </c>
      <c r="F59" s="222">
        <v>8.9700000000000006</v>
      </c>
      <c r="G59" s="20">
        <v>793.61</v>
      </c>
      <c r="H59" s="223">
        <f>F59*G59/1000</f>
        <v>7.1186817000000007</v>
      </c>
      <c r="I59" s="20">
        <v>0</v>
      </c>
      <c r="J59" s="37"/>
      <c r="L59" s="28"/>
      <c r="M59" s="29"/>
      <c r="N59" s="30"/>
    </row>
    <row r="60" spans="1:14" ht="15.75" customHeight="1">
      <c r="A60" s="50"/>
      <c r="B60" s="232" t="s">
        <v>56</v>
      </c>
      <c r="C60" s="220"/>
      <c r="D60" s="219"/>
      <c r="E60" s="221"/>
      <c r="F60" s="224"/>
      <c r="G60" s="224"/>
      <c r="H60" s="222" t="s">
        <v>177</v>
      </c>
      <c r="I60" s="20"/>
      <c r="J60" s="37"/>
      <c r="L60" s="28"/>
      <c r="M60" s="29"/>
      <c r="N60" s="30"/>
    </row>
    <row r="61" spans="1:14" ht="15.75" customHeight="1">
      <c r="A61" s="171">
        <v>10</v>
      </c>
      <c r="B61" s="22" t="s">
        <v>57</v>
      </c>
      <c r="C61" s="24" t="s">
        <v>144</v>
      </c>
      <c r="D61" s="22" t="s">
        <v>83</v>
      </c>
      <c r="E61" s="26">
        <v>15</v>
      </c>
      <c r="F61" s="212">
        <v>15</v>
      </c>
      <c r="G61" s="20">
        <v>222.4</v>
      </c>
      <c r="H61" s="225">
        <f t="shared" ref="H61:H76" si="6">SUM(F61*G61/1000)</f>
        <v>3.3359999999999999</v>
      </c>
      <c r="I61" s="20">
        <f>G61</f>
        <v>222.4</v>
      </c>
      <c r="J61" s="37"/>
      <c r="L61" s="28"/>
      <c r="M61" s="29"/>
      <c r="N61" s="30"/>
    </row>
    <row r="62" spans="1:14" ht="15.75" hidden="1" customHeight="1">
      <c r="A62" s="171"/>
      <c r="B62" s="22" t="s">
        <v>58</v>
      </c>
      <c r="C62" s="24" t="s">
        <v>144</v>
      </c>
      <c r="D62" s="22" t="s">
        <v>199</v>
      </c>
      <c r="E62" s="26">
        <v>5</v>
      </c>
      <c r="F62" s="212">
        <v>5</v>
      </c>
      <c r="G62" s="20">
        <v>76.25</v>
      </c>
      <c r="H62" s="225">
        <f t="shared" si="6"/>
        <v>0.38124999999999998</v>
      </c>
      <c r="I62" s="20">
        <v>0</v>
      </c>
      <c r="J62" s="37"/>
      <c r="L62" s="28"/>
      <c r="M62" s="29"/>
      <c r="N62" s="30"/>
    </row>
    <row r="63" spans="1:14" ht="15.75" hidden="1" customHeight="1">
      <c r="A63" s="171"/>
      <c r="B63" s="22" t="s">
        <v>59</v>
      </c>
      <c r="C63" s="24" t="s">
        <v>168</v>
      </c>
      <c r="D63" s="22" t="s">
        <v>66</v>
      </c>
      <c r="E63" s="211">
        <v>10059</v>
      </c>
      <c r="F63" s="20">
        <f>SUM(E63/100)</f>
        <v>100.59</v>
      </c>
      <c r="G63" s="20">
        <v>212.15</v>
      </c>
      <c r="H63" s="225">
        <f t="shared" si="6"/>
        <v>21.340168500000001</v>
      </c>
      <c r="I63" s="20">
        <v>0</v>
      </c>
      <c r="J63" s="37"/>
      <c r="L63" s="28"/>
      <c r="M63" s="29"/>
      <c r="N63" s="30"/>
    </row>
    <row r="64" spans="1:14" ht="15.75" hidden="1" customHeight="1">
      <c r="A64" s="171"/>
      <c r="B64" s="22" t="s">
        <v>60</v>
      </c>
      <c r="C64" s="24" t="s">
        <v>169</v>
      </c>
      <c r="D64" s="22"/>
      <c r="E64" s="211">
        <v>10059</v>
      </c>
      <c r="F64" s="20">
        <f>SUM(E64/1000)</f>
        <v>10.058999999999999</v>
      </c>
      <c r="G64" s="20">
        <v>165.21</v>
      </c>
      <c r="H64" s="225">
        <f t="shared" si="6"/>
        <v>1.6618473899999999</v>
      </c>
      <c r="I64" s="20">
        <v>0</v>
      </c>
      <c r="J64" s="37"/>
      <c r="L64" s="28"/>
      <c r="M64" s="29"/>
      <c r="N64" s="30"/>
    </row>
    <row r="65" spans="1:14" ht="15.75" hidden="1" customHeight="1">
      <c r="A65" s="171"/>
      <c r="B65" s="22" t="s">
        <v>61</v>
      </c>
      <c r="C65" s="24" t="s">
        <v>94</v>
      </c>
      <c r="D65" s="22" t="s">
        <v>66</v>
      </c>
      <c r="E65" s="211">
        <v>2200</v>
      </c>
      <c r="F65" s="20">
        <f>SUM(E65/100)</f>
        <v>22</v>
      </c>
      <c r="G65" s="20">
        <v>2074.63</v>
      </c>
      <c r="H65" s="225">
        <f t="shared" si="6"/>
        <v>45.641860000000001</v>
      </c>
      <c r="I65" s="20">
        <v>0</v>
      </c>
      <c r="J65" s="37"/>
      <c r="L65" s="28"/>
      <c r="M65" s="29"/>
      <c r="N65" s="30"/>
    </row>
    <row r="66" spans="1:14" ht="15.75" hidden="1" customHeight="1">
      <c r="A66" s="171"/>
      <c r="B66" s="226" t="s">
        <v>170</v>
      </c>
      <c r="C66" s="24" t="s">
        <v>37</v>
      </c>
      <c r="D66" s="22"/>
      <c r="E66" s="211">
        <v>9.4</v>
      </c>
      <c r="F66" s="20">
        <f>SUM(E66)</f>
        <v>9.4</v>
      </c>
      <c r="G66" s="20">
        <v>42.67</v>
      </c>
      <c r="H66" s="225">
        <f t="shared" si="6"/>
        <v>0.40109800000000001</v>
      </c>
      <c r="I66" s="20">
        <v>0</v>
      </c>
      <c r="J66" s="37"/>
      <c r="L66" s="28"/>
      <c r="M66" s="29"/>
      <c r="N66" s="30"/>
    </row>
    <row r="67" spans="1:14" ht="15.75" hidden="1" customHeight="1">
      <c r="A67" s="171"/>
      <c r="B67" s="226" t="s">
        <v>171</v>
      </c>
      <c r="C67" s="24" t="s">
        <v>37</v>
      </c>
      <c r="D67" s="22"/>
      <c r="E67" s="211">
        <v>9.4</v>
      </c>
      <c r="F67" s="20">
        <f>SUM(E67)</f>
        <v>9.4</v>
      </c>
      <c r="G67" s="20">
        <v>39.81</v>
      </c>
      <c r="H67" s="225">
        <f t="shared" si="6"/>
        <v>0.37421400000000005</v>
      </c>
      <c r="I67" s="20">
        <v>0</v>
      </c>
      <c r="J67" s="37"/>
      <c r="L67" s="28"/>
      <c r="M67" s="29"/>
      <c r="N67" s="30"/>
    </row>
    <row r="68" spans="1:14" ht="15.75" hidden="1" customHeight="1">
      <c r="A68" s="171"/>
      <c r="B68" s="22" t="s">
        <v>73</v>
      </c>
      <c r="C68" s="24" t="s">
        <v>74</v>
      </c>
      <c r="D68" s="22" t="s">
        <v>66</v>
      </c>
      <c r="E68" s="26">
        <v>5</v>
      </c>
      <c r="F68" s="212">
        <v>5</v>
      </c>
      <c r="G68" s="20">
        <v>49.88</v>
      </c>
      <c r="H68" s="225">
        <f t="shared" si="6"/>
        <v>0.24940000000000001</v>
      </c>
      <c r="I68" s="20">
        <v>0</v>
      </c>
      <c r="J68" s="37"/>
      <c r="L68" s="28"/>
      <c r="M68" s="29"/>
      <c r="N68" s="30"/>
    </row>
    <row r="69" spans="1:14" ht="15.75" hidden="1" customHeight="1">
      <c r="A69" s="171"/>
      <c r="B69" s="201" t="s">
        <v>88</v>
      </c>
      <c r="C69" s="24"/>
      <c r="D69" s="22"/>
      <c r="E69" s="26"/>
      <c r="F69" s="20"/>
      <c r="G69" s="20"/>
      <c r="H69" s="225" t="s">
        <v>177</v>
      </c>
      <c r="I69" s="20"/>
      <c r="J69" s="37"/>
      <c r="L69" s="28"/>
      <c r="M69" s="29"/>
      <c r="N69" s="30"/>
    </row>
    <row r="70" spans="1:14" ht="15.75" hidden="1" customHeight="1">
      <c r="A70" s="171"/>
      <c r="B70" s="22" t="s">
        <v>89</v>
      </c>
      <c r="C70" s="24" t="s">
        <v>91</v>
      </c>
      <c r="D70" s="22"/>
      <c r="E70" s="26">
        <v>3</v>
      </c>
      <c r="F70" s="20">
        <v>0.3</v>
      </c>
      <c r="G70" s="20">
        <v>501.62</v>
      </c>
      <c r="H70" s="225">
        <f t="shared" si="6"/>
        <v>0.15048599999999998</v>
      </c>
      <c r="I70" s="20">
        <v>0</v>
      </c>
      <c r="J70" s="37"/>
      <c r="L70" s="28"/>
      <c r="M70" s="29"/>
      <c r="N70" s="30"/>
    </row>
    <row r="71" spans="1:14" ht="15.75" hidden="1" customHeight="1">
      <c r="A71" s="50"/>
      <c r="B71" s="22" t="s">
        <v>90</v>
      </c>
      <c r="C71" s="24" t="s">
        <v>35</v>
      </c>
      <c r="D71" s="22"/>
      <c r="E71" s="26">
        <v>1</v>
      </c>
      <c r="F71" s="202">
        <v>1</v>
      </c>
      <c r="G71" s="20">
        <v>852.99</v>
      </c>
      <c r="H71" s="225">
        <f>F71*G71/1000</f>
        <v>0.85299000000000003</v>
      </c>
      <c r="I71" s="20">
        <v>0</v>
      </c>
      <c r="J71" s="37"/>
      <c r="L71" s="28"/>
      <c r="M71" s="29"/>
      <c r="N71" s="30"/>
    </row>
    <row r="72" spans="1:14" ht="15.75" hidden="1" customHeight="1">
      <c r="A72" s="206"/>
      <c r="B72" s="22" t="s">
        <v>172</v>
      </c>
      <c r="C72" s="24" t="s">
        <v>35</v>
      </c>
      <c r="D72" s="22"/>
      <c r="E72" s="26">
        <v>1</v>
      </c>
      <c r="F72" s="20">
        <v>1</v>
      </c>
      <c r="G72" s="20">
        <v>358.51</v>
      </c>
      <c r="H72" s="225">
        <f>G72*F72/1000</f>
        <v>0.35851</v>
      </c>
      <c r="I72" s="20">
        <v>0</v>
      </c>
      <c r="J72" s="37"/>
      <c r="L72" s="28"/>
      <c r="M72" s="29"/>
      <c r="N72" s="30"/>
    </row>
    <row r="73" spans="1:14" ht="15.75" hidden="1" customHeight="1">
      <c r="A73" s="171"/>
      <c r="B73" s="22" t="s">
        <v>173</v>
      </c>
      <c r="C73" s="24" t="s">
        <v>35</v>
      </c>
      <c r="D73" s="22"/>
      <c r="E73" s="26">
        <v>2</v>
      </c>
      <c r="F73" s="20">
        <v>2</v>
      </c>
      <c r="G73" s="20">
        <v>784.67</v>
      </c>
      <c r="H73" s="225">
        <f>G73*F73/1000</f>
        <v>1.56934</v>
      </c>
      <c r="I73" s="20">
        <v>0</v>
      </c>
      <c r="J73" s="37"/>
      <c r="L73" s="28"/>
      <c r="M73" s="29"/>
      <c r="N73" s="30"/>
    </row>
    <row r="74" spans="1:14" ht="15.75" hidden="1" customHeight="1">
      <c r="A74" s="171"/>
      <c r="B74" s="22" t="s">
        <v>174</v>
      </c>
      <c r="C74" s="24" t="s">
        <v>175</v>
      </c>
      <c r="D74" s="22"/>
      <c r="E74" s="26">
        <v>2</v>
      </c>
      <c r="F74" s="20">
        <v>2</v>
      </c>
      <c r="G74" s="20">
        <v>1000</v>
      </c>
      <c r="H74" s="225">
        <f>G74*F74/1000</f>
        <v>2</v>
      </c>
      <c r="I74" s="20">
        <v>0</v>
      </c>
      <c r="J74" s="37"/>
      <c r="L74" s="28"/>
      <c r="M74" s="29"/>
      <c r="N74" s="30"/>
    </row>
    <row r="75" spans="1:14" ht="15.75" hidden="1" customHeight="1">
      <c r="A75" s="171"/>
      <c r="B75" s="234" t="s">
        <v>92</v>
      </c>
      <c r="C75" s="24"/>
      <c r="D75" s="22"/>
      <c r="E75" s="26"/>
      <c r="F75" s="20"/>
      <c r="G75" s="20" t="s">
        <v>177</v>
      </c>
      <c r="H75" s="225" t="s">
        <v>177</v>
      </c>
      <c r="I75" s="20"/>
      <c r="J75" s="37"/>
      <c r="L75" s="28"/>
      <c r="M75" s="29"/>
      <c r="N75" s="30"/>
    </row>
    <row r="76" spans="1:14" ht="15.75" hidden="1" customHeight="1">
      <c r="A76" s="171"/>
      <c r="B76" s="84" t="s">
        <v>93</v>
      </c>
      <c r="C76" s="24" t="s">
        <v>94</v>
      </c>
      <c r="D76" s="22"/>
      <c r="E76" s="26"/>
      <c r="F76" s="20">
        <v>1</v>
      </c>
      <c r="G76" s="20">
        <v>2579.44</v>
      </c>
      <c r="H76" s="225">
        <f t="shared" si="6"/>
        <v>2.57944</v>
      </c>
      <c r="I76" s="20">
        <v>0</v>
      </c>
      <c r="J76" s="37"/>
      <c r="L76" s="28"/>
      <c r="M76" s="29"/>
      <c r="N76" s="30"/>
    </row>
    <row r="77" spans="1:14" ht="15.75" hidden="1" customHeight="1">
      <c r="A77" s="171"/>
      <c r="B77" s="201" t="s">
        <v>166</v>
      </c>
      <c r="C77" s="24"/>
      <c r="D77" s="22"/>
      <c r="E77" s="26"/>
      <c r="F77" s="20"/>
      <c r="G77" s="20"/>
      <c r="H77" s="225">
        <f>SUM(H57:H76)</f>
        <v>98.476136213999993</v>
      </c>
      <c r="I77" s="20"/>
      <c r="J77" s="37"/>
      <c r="L77" s="28"/>
      <c r="M77" s="29"/>
      <c r="N77" s="30"/>
    </row>
    <row r="78" spans="1:14" ht="15.75" hidden="1" customHeight="1">
      <c r="A78" s="171"/>
      <c r="B78" s="175" t="s">
        <v>167</v>
      </c>
      <c r="C78" s="24"/>
      <c r="D78" s="22"/>
      <c r="E78" s="227"/>
      <c r="F78" s="20">
        <v>1</v>
      </c>
      <c r="G78" s="20">
        <v>20954</v>
      </c>
      <c r="H78" s="225">
        <f>G78*F78/1000</f>
        <v>20.954000000000001</v>
      </c>
      <c r="I78" s="20">
        <v>0</v>
      </c>
      <c r="J78" s="37"/>
      <c r="L78" s="28"/>
      <c r="M78" s="29"/>
      <c r="N78" s="30"/>
    </row>
    <row r="79" spans="1:14" ht="15.75" customHeight="1">
      <c r="A79" s="252" t="s">
        <v>240</v>
      </c>
      <c r="B79" s="262"/>
      <c r="C79" s="262"/>
      <c r="D79" s="262"/>
      <c r="E79" s="262"/>
      <c r="F79" s="262"/>
      <c r="G79" s="262"/>
      <c r="H79" s="262"/>
      <c r="I79" s="263"/>
      <c r="J79" s="37"/>
      <c r="L79" s="28"/>
      <c r="M79" s="29"/>
      <c r="N79" s="30"/>
    </row>
    <row r="80" spans="1:14" ht="15.75" customHeight="1">
      <c r="A80" s="171">
        <v>11</v>
      </c>
      <c r="B80" s="175" t="s">
        <v>216</v>
      </c>
      <c r="C80" s="24" t="s">
        <v>69</v>
      </c>
      <c r="D80" s="179" t="s">
        <v>70</v>
      </c>
      <c r="E80" s="20">
        <v>2566.6</v>
      </c>
      <c r="F80" s="20">
        <f>SUM(E80*12)</f>
        <v>30799.199999999997</v>
      </c>
      <c r="G80" s="20">
        <v>2.1</v>
      </c>
      <c r="H80" s="225">
        <f>SUM(F80*G80/1000)</f>
        <v>64.678319999999999</v>
      </c>
      <c r="I80" s="20">
        <f>F80/12*G80</f>
        <v>5389.86</v>
      </c>
      <c r="J80" s="37"/>
      <c r="L80" s="28"/>
      <c r="M80" s="29"/>
      <c r="N80" s="30"/>
    </row>
    <row r="81" spans="1:14" ht="31.5" customHeight="1">
      <c r="A81" s="171">
        <v>12</v>
      </c>
      <c r="B81" s="22" t="s">
        <v>95</v>
      </c>
      <c r="C81" s="24"/>
      <c r="D81" s="179" t="s">
        <v>70</v>
      </c>
      <c r="E81" s="211">
        <f>E80</f>
        <v>2566.6</v>
      </c>
      <c r="F81" s="20">
        <f>E81*12</f>
        <v>30799.199999999997</v>
      </c>
      <c r="G81" s="20">
        <v>1.63</v>
      </c>
      <c r="H81" s="225">
        <f>F81*G81/1000</f>
        <v>50.202695999999989</v>
      </c>
      <c r="I81" s="20">
        <f>F81/12*G81</f>
        <v>4183.558</v>
      </c>
      <c r="J81" s="37"/>
      <c r="L81" s="28"/>
      <c r="M81" s="29"/>
      <c r="N81" s="30"/>
    </row>
    <row r="82" spans="1:14" ht="15.75" customHeight="1">
      <c r="A82" s="171"/>
      <c r="B82" s="72" t="s">
        <v>100</v>
      </c>
      <c r="C82" s="24"/>
      <c r="D82" s="84"/>
      <c r="E82" s="20"/>
      <c r="F82" s="20"/>
      <c r="G82" s="20"/>
      <c r="H82" s="225">
        <f>H81</f>
        <v>50.202695999999989</v>
      </c>
      <c r="I82" s="235">
        <f>I15+I16+I17+I25+I26+I28+I29+I31+I52+I61+I80+I81</f>
        <v>30988.29349958889</v>
      </c>
      <c r="J82" s="37"/>
      <c r="L82" s="28"/>
      <c r="M82" s="29"/>
      <c r="N82" s="30"/>
    </row>
    <row r="83" spans="1:14" ht="15.75" customHeight="1">
      <c r="A83" s="171"/>
      <c r="B83" s="147" t="s">
        <v>75</v>
      </c>
      <c r="C83" s="24"/>
      <c r="D83" s="84"/>
      <c r="E83" s="20"/>
      <c r="F83" s="20"/>
      <c r="G83" s="20"/>
      <c r="H83" s="225" t="e">
        <f>SUM(H82+#REF!+H77+#REF!+#REF!+#REF!+#REF!)</f>
        <v>#REF!</v>
      </c>
      <c r="I83" s="20"/>
      <c r="J83" s="37"/>
      <c r="L83" s="28"/>
      <c r="M83" s="29"/>
      <c r="N83" s="30"/>
    </row>
    <row r="84" spans="1:14" ht="15.75" customHeight="1">
      <c r="A84" s="171">
        <v>13</v>
      </c>
      <c r="B84" s="148" t="s">
        <v>180</v>
      </c>
      <c r="C84" s="228" t="s">
        <v>181</v>
      </c>
      <c r="D84" s="22"/>
      <c r="E84" s="26"/>
      <c r="F84" s="20">
        <v>7.5</v>
      </c>
      <c r="G84" s="20">
        <v>1501</v>
      </c>
      <c r="H84" s="225">
        <f>G84*F84/1000</f>
        <v>11.2575</v>
      </c>
      <c r="I84" s="229">
        <f>G84*3</f>
        <v>4503</v>
      </c>
      <c r="J84" s="37"/>
      <c r="L84" s="28"/>
      <c r="M84" s="29"/>
      <c r="N84" s="30"/>
    </row>
    <row r="85" spans="1:14" ht="15.75" customHeight="1">
      <c r="A85" s="171">
        <v>14</v>
      </c>
      <c r="B85" s="148" t="s">
        <v>105</v>
      </c>
      <c r="C85" s="191" t="s">
        <v>144</v>
      </c>
      <c r="D85" s="84"/>
      <c r="E85" s="20"/>
      <c r="F85" s="20">
        <v>4</v>
      </c>
      <c r="G85" s="20">
        <v>180.15</v>
      </c>
      <c r="H85" s="225">
        <f>G85*F85/1000</f>
        <v>0.72060000000000002</v>
      </c>
      <c r="I85" s="229">
        <f>G85</f>
        <v>180.15</v>
      </c>
      <c r="J85" s="37"/>
      <c r="L85" s="28"/>
      <c r="M85" s="29"/>
      <c r="N85" s="30"/>
    </row>
    <row r="86" spans="1:14" ht="15.75" customHeight="1">
      <c r="A86" s="171">
        <v>15</v>
      </c>
      <c r="B86" s="148" t="s">
        <v>220</v>
      </c>
      <c r="C86" s="191" t="s">
        <v>221</v>
      </c>
      <c r="D86" s="22"/>
      <c r="E86" s="26"/>
      <c r="F86" s="20">
        <v>3</v>
      </c>
      <c r="G86" s="20">
        <v>195.95</v>
      </c>
      <c r="H86" s="225">
        <f t="shared" ref="H86:H88" si="7">G86*F86/1000</f>
        <v>0.58784999999999987</v>
      </c>
      <c r="I86" s="229">
        <f>G86</f>
        <v>195.95</v>
      </c>
      <c r="J86" s="37"/>
      <c r="L86" s="28"/>
      <c r="M86" s="29"/>
      <c r="N86" s="30"/>
    </row>
    <row r="87" spans="1:14" ht="31.5" customHeight="1">
      <c r="A87" s="171">
        <v>16</v>
      </c>
      <c r="B87" s="148" t="s">
        <v>231</v>
      </c>
      <c r="C87" s="191" t="s">
        <v>149</v>
      </c>
      <c r="D87" s="22"/>
      <c r="E87" s="26"/>
      <c r="F87" s="20">
        <v>1</v>
      </c>
      <c r="G87" s="20">
        <v>51.39</v>
      </c>
      <c r="H87" s="225">
        <f t="shared" si="7"/>
        <v>5.1389999999999998E-2</v>
      </c>
      <c r="I87" s="229">
        <f>G87</f>
        <v>51.39</v>
      </c>
      <c r="J87" s="37"/>
      <c r="L87" s="28"/>
      <c r="M87" s="29"/>
      <c r="N87" s="30"/>
    </row>
    <row r="88" spans="1:14" ht="15.75" customHeight="1">
      <c r="A88" s="171">
        <v>17</v>
      </c>
      <c r="B88" s="148" t="s">
        <v>232</v>
      </c>
      <c r="C88" s="191" t="s">
        <v>69</v>
      </c>
      <c r="D88" s="22"/>
      <c r="E88" s="26"/>
      <c r="F88" s="20">
        <v>4</v>
      </c>
      <c r="G88" s="20">
        <v>802.14</v>
      </c>
      <c r="H88" s="225">
        <f t="shared" si="7"/>
        <v>3.2085599999999999</v>
      </c>
      <c r="I88" s="20">
        <f>F88*G88</f>
        <v>3208.56</v>
      </c>
      <c r="J88" s="37"/>
      <c r="L88" s="28"/>
      <c r="M88" s="29"/>
      <c r="N88" s="30"/>
    </row>
    <row r="89" spans="1:14" ht="15.75" customHeight="1">
      <c r="A89" s="50"/>
      <c r="B89" s="79" t="s">
        <v>63</v>
      </c>
      <c r="C89" s="75"/>
      <c r="D89" s="130"/>
      <c r="E89" s="75">
        <v>1</v>
      </c>
      <c r="F89" s="75"/>
      <c r="G89" s="59"/>
      <c r="H89" s="75"/>
      <c r="I89" s="59">
        <f>SUM(I84:I88)</f>
        <v>8139.0499999999993</v>
      </c>
      <c r="J89" s="37"/>
      <c r="L89" s="28"/>
      <c r="M89" s="29"/>
      <c r="N89" s="30"/>
    </row>
    <row r="90" spans="1:14" ht="15.75" customHeight="1">
      <c r="A90" s="50"/>
      <c r="B90" s="84" t="s">
        <v>96</v>
      </c>
      <c r="C90" s="23"/>
      <c r="D90" s="23"/>
      <c r="E90" s="76"/>
      <c r="F90" s="77"/>
      <c r="G90" s="25"/>
      <c r="H90" s="208"/>
      <c r="I90" s="26">
        <v>0</v>
      </c>
      <c r="J90" s="37"/>
      <c r="L90" s="28"/>
      <c r="M90" s="29"/>
      <c r="N90" s="30"/>
    </row>
    <row r="91" spans="1:14" ht="15.75" customHeight="1">
      <c r="A91" s="209"/>
      <c r="B91" s="80" t="s">
        <v>64</v>
      </c>
      <c r="C91" s="63"/>
      <c r="D91" s="63"/>
      <c r="E91" s="63"/>
      <c r="F91" s="63"/>
      <c r="G91" s="78"/>
      <c r="H91" s="64"/>
      <c r="I91" s="59">
        <f>I82+I89</f>
        <v>39127.343499588889</v>
      </c>
      <c r="J91" s="37"/>
      <c r="L91" s="28"/>
      <c r="M91" s="29"/>
      <c r="N91" s="30"/>
    </row>
    <row r="92" spans="1:14" ht="15" customHeight="1">
      <c r="A92" s="237" t="s">
        <v>270</v>
      </c>
      <c r="B92" s="237"/>
      <c r="C92" s="237"/>
      <c r="D92" s="237"/>
      <c r="E92" s="237"/>
      <c r="F92" s="237"/>
      <c r="G92" s="237"/>
      <c r="H92" s="237"/>
      <c r="I92" s="237"/>
      <c r="J92" s="37"/>
      <c r="L92" s="28"/>
      <c r="M92" s="29"/>
      <c r="N92" s="30"/>
    </row>
    <row r="93" spans="1:14" ht="15.75">
      <c r="A93" s="13"/>
      <c r="B93" s="259" t="s">
        <v>271</v>
      </c>
      <c r="C93" s="259"/>
      <c r="D93" s="259"/>
      <c r="E93" s="259"/>
      <c r="F93" s="259"/>
      <c r="G93" s="259"/>
      <c r="H93" s="197"/>
      <c r="I93" s="4"/>
      <c r="J93" s="37"/>
      <c r="L93" s="28"/>
    </row>
    <row r="94" spans="1:14" ht="15.75">
      <c r="A94" s="199"/>
      <c r="B94" s="239" t="s">
        <v>7</v>
      </c>
      <c r="C94" s="239"/>
      <c r="D94" s="239"/>
      <c r="E94" s="239"/>
      <c r="F94" s="239"/>
      <c r="G94" s="239"/>
      <c r="H94" s="41"/>
      <c r="I94" s="121"/>
    </row>
    <row r="95" spans="1:14" ht="15.75">
      <c r="A95" s="122"/>
      <c r="B95" s="122"/>
      <c r="C95" s="122"/>
      <c r="D95" s="122"/>
      <c r="E95" s="122"/>
      <c r="F95" s="122"/>
      <c r="G95" s="122"/>
      <c r="H95" s="122"/>
      <c r="I95" s="122"/>
    </row>
    <row r="96" spans="1:14" ht="15.75">
      <c r="A96" s="260" t="s">
        <v>8</v>
      </c>
      <c r="B96" s="260"/>
      <c r="C96" s="260"/>
      <c r="D96" s="260"/>
      <c r="E96" s="260"/>
      <c r="F96" s="260"/>
      <c r="G96" s="260"/>
      <c r="H96" s="260"/>
      <c r="I96" s="260"/>
    </row>
    <row r="97" spans="1:22" ht="15.75" customHeight="1">
      <c r="A97" s="260" t="s">
        <v>9</v>
      </c>
      <c r="B97" s="260"/>
      <c r="C97" s="260"/>
      <c r="D97" s="260"/>
      <c r="E97" s="260"/>
      <c r="F97" s="260"/>
      <c r="G97" s="260"/>
      <c r="H97" s="260"/>
      <c r="I97" s="260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2"/>
    </row>
    <row r="98" spans="1:22" ht="15.75" customHeight="1">
      <c r="A98" s="237" t="s">
        <v>10</v>
      </c>
      <c r="B98" s="237"/>
      <c r="C98" s="237"/>
      <c r="D98" s="237"/>
      <c r="E98" s="237"/>
      <c r="F98" s="237"/>
      <c r="G98" s="237"/>
      <c r="H98" s="237"/>
      <c r="I98" s="237"/>
      <c r="J98" s="42"/>
      <c r="K98" s="42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>
      <c r="A99" s="15"/>
      <c r="B99" s="119"/>
      <c r="C99" s="119"/>
      <c r="D99" s="119"/>
      <c r="E99" s="119"/>
      <c r="F99" s="119"/>
      <c r="G99" s="119"/>
      <c r="H99" s="119"/>
      <c r="I99" s="119"/>
      <c r="J99" s="6"/>
      <c r="K99" s="6"/>
      <c r="L99" s="6"/>
      <c r="M99" s="6"/>
      <c r="N99" s="6"/>
      <c r="O99" s="6"/>
      <c r="P99" s="6"/>
      <c r="Q99" s="6"/>
      <c r="R99" s="236"/>
      <c r="S99" s="236"/>
      <c r="T99" s="236"/>
      <c r="U99" s="236"/>
    </row>
    <row r="100" spans="1:22" ht="15.75">
      <c r="A100" s="261" t="s">
        <v>11</v>
      </c>
      <c r="B100" s="261"/>
      <c r="C100" s="261"/>
      <c r="D100" s="261"/>
      <c r="E100" s="261"/>
      <c r="F100" s="261"/>
      <c r="G100" s="261"/>
      <c r="H100" s="261"/>
      <c r="I100" s="261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:22" ht="15.75">
      <c r="A101" s="5"/>
      <c r="B101" s="119"/>
      <c r="C101" s="119"/>
      <c r="D101" s="119"/>
      <c r="E101" s="119"/>
      <c r="F101" s="119"/>
      <c r="G101" s="119"/>
      <c r="H101" s="119"/>
      <c r="I101" s="119"/>
    </row>
    <row r="102" spans="1:22" ht="15.75">
      <c r="A102" s="237" t="s">
        <v>12</v>
      </c>
      <c r="B102" s="237"/>
      <c r="C102" s="238" t="s">
        <v>133</v>
      </c>
      <c r="D102" s="238"/>
      <c r="E102" s="238"/>
      <c r="F102" s="203"/>
      <c r="I102" s="196"/>
    </row>
    <row r="103" spans="1:22" ht="15.75" customHeight="1">
      <c r="A103" s="199"/>
      <c r="B103" s="119"/>
      <c r="C103" s="239" t="s">
        <v>13</v>
      </c>
      <c r="D103" s="239"/>
      <c r="E103" s="239"/>
      <c r="F103" s="41"/>
      <c r="I103" s="195" t="s">
        <v>14</v>
      </c>
    </row>
    <row r="104" spans="1:22" ht="15.75">
      <c r="A104" s="42"/>
      <c r="B104" s="119"/>
      <c r="C104" s="16"/>
      <c r="D104" s="16"/>
      <c r="G104" s="16"/>
      <c r="H104" s="16"/>
    </row>
    <row r="105" spans="1:22" ht="15.75">
      <c r="A105" s="237" t="s">
        <v>15</v>
      </c>
      <c r="B105" s="237"/>
      <c r="C105" s="250"/>
      <c r="D105" s="250"/>
      <c r="E105" s="250"/>
      <c r="F105" s="204"/>
      <c r="I105" s="196"/>
    </row>
    <row r="106" spans="1:22">
      <c r="A106" s="194"/>
      <c r="C106" s="236" t="s">
        <v>13</v>
      </c>
      <c r="D106" s="236"/>
      <c r="E106" s="236"/>
      <c r="F106" s="194"/>
      <c r="I106" s="195" t="s">
        <v>14</v>
      </c>
    </row>
    <row r="107" spans="1:22" ht="15.75">
      <c r="A107" s="5" t="s">
        <v>16</v>
      </c>
    </row>
    <row r="108" spans="1:22">
      <c r="A108" s="251" t="s">
        <v>17</v>
      </c>
      <c r="B108" s="251"/>
      <c r="C108" s="251"/>
      <c r="D108" s="251"/>
      <c r="E108" s="251"/>
      <c r="F108" s="251"/>
      <c r="G108" s="251"/>
      <c r="H108" s="251"/>
      <c r="I108" s="251"/>
    </row>
    <row r="109" spans="1:22" ht="47.25" customHeight="1">
      <c r="A109" s="249" t="s">
        <v>18</v>
      </c>
      <c r="B109" s="249"/>
      <c r="C109" s="249"/>
      <c r="D109" s="249"/>
      <c r="E109" s="249"/>
      <c r="F109" s="249"/>
      <c r="G109" s="249"/>
      <c r="H109" s="249"/>
      <c r="I109" s="249"/>
    </row>
    <row r="110" spans="1:22" ht="31.5" customHeight="1">
      <c r="A110" s="249" t="s">
        <v>19</v>
      </c>
      <c r="B110" s="249"/>
      <c r="C110" s="249"/>
      <c r="D110" s="249"/>
      <c r="E110" s="249"/>
      <c r="F110" s="249"/>
      <c r="G110" s="249"/>
      <c r="H110" s="249"/>
      <c r="I110" s="249"/>
    </row>
    <row r="111" spans="1:22" ht="31.5" customHeight="1">
      <c r="A111" s="249" t="s">
        <v>24</v>
      </c>
      <c r="B111" s="249"/>
      <c r="C111" s="249"/>
      <c r="D111" s="249"/>
      <c r="E111" s="249"/>
      <c r="F111" s="249"/>
      <c r="G111" s="249"/>
      <c r="H111" s="249"/>
      <c r="I111" s="249"/>
    </row>
    <row r="112" spans="1:22" ht="15.75">
      <c r="A112" s="249" t="s">
        <v>23</v>
      </c>
      <c r="B112" s="249"/>
      <c r="C112" s="249"/>
      <c r="D112" s="249"/>
      <c r="E112" s="249"/>
      <c r="F112" s="249"/>
      <c r="G112" s="249"/>
      <c r="H112" s="249"/>
      <c r="I112" s="249"/>
    </row>
  </sheetData>
  <autoFilter ref="I14:I95"/>
  <mergeCells count="30">
    <mergeCell ref="A112:I112"/>
    <mergeCell ref="A100:I100"/>
    <mergeCell ref="A102:B102"/>
    <mergeCell ref="C102:E102"/>
    <mergeCell ref="C103:E103"/>
    <mergeCell ref="A105:B105"/>
    <mergeCell ref="C105:E105"/>
    <mergeCell ref="C106:E106"/>
    <mergeCell ref="A108:I108"/>
    <mergeCell ref="A109:I109"/>
    <mergeCell ref="A110:I110"/>
    <mergeCell ref="A111:I111"/>
    <mergeCell ref="R99:U99"/>
    <mergeCell ref="A27:I27"/>
    <mergeCell ref="A34:I34"/>
    <mergeCell ref="A43:I43"/>
    <mergeCell ref="A55:I55"/>
    <mergeCell ref="A79:I79"/>
    <mergeCell ref="A92:I92"/>
    <mergeCell ref="B93:G93"/>
    <mergeCell ref="B94:G94"/>
    <mergeCell ref="A96:I96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90"/>
  <sheetViews>
    <sheetView view="pageLayout" zoomScale="77" zoomScaleNormal="77" zoomScalePageLayoutView="77" workbookViewId="0">
      <selection activeCell="A9" sqref="A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31.5" customHeight="1">
      <c r="B1" s="57" t="s">
        <v>118</v>
      </c>
      <c r="G1" s="56"/>
      <c r="H1" s="2"/>
      <c r="I1" s="2"/>
      <c r="J1" s="2"/>
      <c r="K1" s="2"/>
    </row>
    <row r="2" spans="1:11" ht="15.75">
      <c r="B2" s="45" t="s">
        <v>79</v>
      </c>
      <c r="H2" s="3"/>
      <c r="I2" s="3"/>
      <c r="J2" s="3"/>
      <c r="K2" s="3"/>
    </row>
    <row r="3" spans="1:11" ht="15.75" customHeight="1">
      <c r="A3" s="240" t="s">
        <v>272</v>
      </c>
      <c r="B3" s="240"/>
      <c r="C3" s="240"/>
      <c r="D3" s="240"/>
      <c r="E3" s="240"/>
      <c r="F3" s="240"/>
      <c r="G3" s="240"/>
      <c r="H3" s="4"/>
      <c r="I3" s="4"/>
      <c r="J3" s="4"/>
    </row>
    <row r="4" spans="1:11" ht="33.75" customHeight="1">
      <c r="A4" s="241" t="s">
        <v>134</v>
      </c>
      <c r="B4" s="241"/>
      <c r="C4" s="241"/>
      <c r="D4" s="241"/>
      <c r="E4" s="241"/>
      <c r="F4" s="241"/>
      <c r="G4" s="241"/>
    </row>
    <row r="5" spans="1:11" ht="15.75">
      <c r="A5" s="3"/>
      <c r="B5" s="246" t="s">
        <v>119</v>
      </c>
      <c r="C5" s="246"/>
      <c r="D5" s="246"/>
      <c r="E5" s="246"/>
      <c r="F5" s="246"/>
      <c r="H5" s="3"/>
      <c r="I5" s="3"/>
      <c r="J5" s="3"/>
      <c r="K5" s="3"/>
    </row>
    <row r="6" spans="1:11" ht="15.75">
      <c r="A6" s="3"/>
      <c r="B6" s="38"/>
      <c r="C6" s="38"/>
      <c r="D6" s="38"/>
      <c r="E6" s="38"/>
      <c r="F6" s="38"/>
      <c r="G6" s="58">
        <v>42704</v>
      </c>
      <c r="H6" s="3"/>
      <c r="I6" s="3"/>
      <c r="J6" s="3"/>
      <c r="K6" s="3"/>
    </row>
    <row r="7" spans="1:11" ht="15.75" customHeight="1">
      <c r="B7" s="43"/>
      <c r="C7" s="43"/>
      <c r="D7" s="43"/>
      <c r="E7" s="4"/>
      <c r="F7" s="4"/>
      <c r="H7" s="4"/>
      <c r="I7" s="4"/>
      <c r="J7" s="4"/>
      <c r="K7" s="4"/>
    </row>
    <row r="8" spans="1:11" ht="84.75" customHeight="1">
      <c r="A8" s="242" t="s">
        <v>275</v>
      </c>
      <c r="B8" s="242"/>
      <c r="C8" s="242"/>
      <c r="D8" s="242"/>
      <c r="E8" s="242"/>
      <c r="F8" s="242"/>
      <c r="G8" s="242"/>
      <c r="H8" s="6"/>
      <c r="I8" s="6"/>
      <c r="J8" s="6"/>
      <c r="K8" s="6"/>
    </row>
    <row r="9" spans="1:11" ht="15.75">
      <c r="A9" s="5"/>
      <c r="H9" s="3"/>
      <c r="I9" s="3"/>
      <c r="J9" s="3"/>
      <c r="K9" s="3"/>
    </row>
    <row r="10" spans="1:11" ht="47.25" customHeight="1">
      <c r="A10" s="237" t="s">
        <v>135</v>
      </c>
      <c r="B10" s="237"/>
      <c r="C10" s="237"/>
      <c r="D10" s="237"/>
      <c r="E10" s="237"/>
      <c r="F10" s="237"/>
      <c r="G10" s="237"/>
      <c r="H10" s="3"/>
      <c r="I10" s="3"/>
      <c r="J10" s="3"/>
      <c r="K10" s="3"/>
    </row>
    <row r="11" spans="1:11" ht="11.25" customHeight="1">
      <c r="A11" s="4"/>
      <c r="B11" s="4"/>
      <c r="C11" s="41"/>
      <c r="D11" s="41"/>
      <c r="E11" s="41"/>
      <c r="F11" s="41"/>
      <c r="G11" s="41"/>
      <c r="H11" s="4"/>
    </row>
    <row r="12" spans="1:11" ht="9.75" customHeight="1">
      <c r="A12" s="5"/>
    </row>
    <row r="13" spans="1:11" ht="51">
      <c r="A13" s="7" t="s">
        <v>0</v>
      </c>
      <c r="B13" s="7" t="s">
        <v>1</v>
      </c>
      <c r="C13" s="7" t="s">
        <v>2</v>
      </c>
      <c r="D13" s="7" t="s">
        <v>20</v>
      </c>
      <c r="E13" s="7" t="s">
        <v>21</v>
      </c>
      <c r="F13" s="7" t="s">
        <v>25</v>
      </c>
      <c r="G13" s="7" t="s">
        <v>3</v>
      </c>
    </row>
    <row r="14" spans="1:11">
      <c r="A14" s="8">
        <v>1</v>
      </c>
      <c r="B14" s="8">
        <v>2</v>
      </c>
      <c r="C14" s="8">
        <v>3</v>
      </c>
      <c r="D14" s="9">
        <v>4</v>
      </c>
      <c r="E14" s="8">
        <v>5</v>
      </c>
      <c r="F14" s="8">
        <v>6</v>
      </c>
      <c r="G14" s="8">
        <v>7</v>
      </c>
      <c r="H14" s="10"/>
      <c r="I14" s="10"/>
      <c r="J14" s="10"/>
      <c r="K14" s="10"/>
    </row>
    <row r="15" spans="1:11" ht="24.75" customHeight="1">
      <c r="A15" s="265" t="s">
        <v>4</v>
      </c>
      <c r="B15" s="266"/>
      <c r="C15" s="266"/>
      <c r="D15" s="266"/>
      <c r="E15" s="266"/>
      <c r="F15" s="266"/>
      <c r="G15" s="267"/>
      <c r="H15" s="10"/>
      <c r="I15" s="10"/>
      <c r="J15" s="10"/>
      <c r="K15" s="10"/>
    </row>
    <row r="16" spans="1:11" ht="30.75" customHeight="1">
      <c r="A16" s="87">
        <v>1</v>
      </c>
      <c r="B16" s="96" t="s">
        <v>120</v>
      </c>
      <c r="C16" s="87" t="s">
        <v>65</v>
      </c>
      <c r="D16" s="87" t="s">
        <v>123</v>
      </c>
      <c r="E16" s="87"/>
      <c r="F16" s="87">
        <v>175.38</v>
      </c>
      <c r="G16" s="87">
        <v>1509.33</v>
      </c>
      <c r="H16" s="10"/>
      <c r="I16" s="10"/>
      <c r="J16" s="10"/>
      <c r="K16" s="10"/>
    </row>
    <row r="17" spans="1:11" ht="31.5" customHeight="1">
      <c r="A17" s="87">
        <v>2</v>
      </c>
      <c r="B17" s="96" t="s">
        <v>121</v>
      </c>
      <c r="C17" s="87" t="s">
        <v>65</v>
      </c>
      <c r="D17" s="87" t="s">
        <v>124</v>
      </c>
      <c r="E17" s="87"/>
      <c r="F17" s="87">
        <v>175.38</v>
      </c>
      <c r="G17" s="111">
        <v>3020.17</v>
      </c>
      <c r="H17" s="10"/>
      <c r="I17" s="10"/>
      <c r="J17" s="10"/>
      <c r="K17" s="10"/>
    </row>
    <row r="18" spans="1:11" ht="30.75" customHeight="1">
      <c r="A18" s="87">
        <v>3</v>
      </c>
      <c r="B18" s="96" t="s">
        <v>122</v>
      </c>
      <c r="C18" s="87" t="s">
        <v>65</v>
      </c>
      <c r="D18" s="87" t="s">
        <v>98</v>
      </c>
      <c r="E18" s="87"/>
      <c r="F18" s="111">
        <v>504.5</v>
      </c>
      <c r="G18" s="87">
        <v>2672.83</v>
      </c>
      <c r="H18" s="10"/>
      <c r="I18" s="10"/>
      <c r="J18" s="10"/>
      <c r="K18" s="10"/>
    </row>
    <row r="19" spans="1:11" ht="15" customHeight="1">
      <c r="A19" s="87">
        <v>4</v>
      </c>
      <c r="B19" s="123" t="s">
        <v>26</v>
      </c>
      <c r="C19" s="86" t="s">
        <v>27</v>
      </c>
      <c r="D19" s="87" t="s">
        <v>28</v>
      </c>
      <c r="E19" s="106" t="e">
        <f>#REF!+#REF!+#REF!+#REF!+#REF!+#REF!+'01.16'!E13+#REF!+#REF!+#REF!+#REF!+#REF!</f>
        <v>#REF!</v>
      </c>
      <c r="F19" s="94">
        <v>4.53</v>
      </c>
      <c r="G19" s="89">
        <v>11626.7</v>
      </c>
      <c r="H19" s="10"/>
      <c r="I19" s="10"/>
      <c r="J19" s="10"/>
      <c r="K19" s="10"/>
    </row>
    <row r="20" spans="1:11" ht="17.25" customHeight="1">
      <c r="A20" s="87">
        <v>5</v>
      </c>
      <c r="B20" s="96" t="s">
        <v>81</v>
      </c>
      <c r="C20" s="97" t="s">
        <v>37</v>
      </c>
      <c r="D20" s="98" t="s">
        <v>115</v>
      </c>
      <c r="E20" s="95">
        <v>0</v>
      </c>
      <c r="F20" s="88">
        <v>147.03</v>
      </c>
      <c r="G20" s="95">
        <v>447.25</v>
      </c>
      <c r="H20" s="10"/>
      <c r="I20" s="10"/>
      <c r="J20" s="10"/>
      <c r="K20" s="10"/>
    </row>
    <row r="21" spans="1:11" ht="18.75" customHeight="1">
      <c r="A21" s="265" t="s">
        <v>116</v>
      </c>
      <c r="B21" s="266"/>
      <c r="C21" s="266"/>
      <c r="D21" s="266"/>
      <c r="E21" s="266"/>
      <c r="F21" s="266"/>
      <c r="G21" s="267"/>
      <c r="H21" s="51"/>
      <c r="I21" s="10"/>
      <c r="J21" s="10"/>
      <c r="K21" s="10"/>
    </row>
    <row r="22" spans="1:11" ht="18.75" customHeight="1">
      <c r="A22" s="85"/>
      <c r="B22" s="99" t="s">
        <v>5</v>
      </c>
      <c r="C22" s="85"/>
      <c r="D22" s="85"/>
      <c r="E22" s="106"/>
      <c r="F22" s="94"/>
      <c r="G22" s="138"/>
      <c r="H22" s="36"/>
      <c r="I22" s="10"/>
      <c r="J22" s="10"/>
      <c r="K22" s="10"/>
    </row>
    <row r="23" spans="1:11" ht="30" customHeight="1">
      <c r="A23" s="100">
        <v>6</v>
      </c>
      <c r="B23" s="135" t="s">
        <v>30</v>
      </c>
      <c r="C23" s="93" t="s">
        <v>36</v>
      </c>
      <c r="D23" s="87" t="s">
        <v>29</v>
      </c>
      <c r="E23" s="106" t="e">
        <f>#REF!+#REF!+#REF!+#REF!+#REF!+#REF!+'01.16'!#REF!+#REF!+#REF!+#REF!+#REF!+#REF!</f>
        <v>#REF!</v>
      </c>
      <c r="F23" s="102">
        <v>1527.22</v>
      </c>
      <c r="G23" s="89">
        <v>2036.33</v>
      </c>
      <c r="H23" s="36"/>
      <c r="I23" s="10"/>
      <c r="J23" s="10"/>
      <c r="K23" s="10"/>
    </row>
    <row r="24" spans="1:11" ht="16.5" customHeight="1">
      <c r="A24" s="100">
        <v>7</v>
      </c>
      <c r="B24" s="136" t="s">
        <v>136</v>
      </c>
      <c r="C24" s="93" t="s">
        <v>33</v>
      </c>
      <c r="D24" s="87" t="s">
        <v>98</v>
      </c>
      <c r="E24" s="106" t="e">
        <f>#REF!+#REF!+#REF!+#REF!+#REF!+#REF!+'01.16'!E34+#REF!+#REF!+#REF!+#REF!+#REF!</f>
        <v>#REF!</v>
      </c>
      <c r="F24" s="102">
        <v>2102.71</v>
      </c>
      <c r="G24" s="89">
        <v>1133.33</v>
      </c>
      <c r="H24" s="36"/>
      <c r="I24" s="47"/>
      <c r="J24" s="10"/>
      <c r="K24" s="10"/>
    </row>
    <row r="25" spans="1:11" ht="33" customHeight="1">
      <c r="A25" s="100">
        <v>8</v>
      </c>
      <c r="B25" s="136" t="s">
        <v>137</v>
      </c>
      <c r="C25" s="93" t="s">
        <v>33</v>
      </c>
      <c r="D25" s="87" t="s">
        <v>138</v>
      </c>
      <c r="E25" s="106"/>
      <c r="F25" s="102">
        <v>2102.71</v>
      </c>
      <c r="G25" s="89">
        <v>630.83000000000004</v>
      </c>
      <c r="H25" s="36"/>
      <c r="I25" s="47"/>
      <c r="J25" s="10"/>
      <c r="K25" s="10"/>
    </row>
    <row r="26" spans="1:11" ht="64.5" customHeight="1">
      <c r="A26" s="100">
        <v>9</v>
      </c>
      <c r="B26" s="96" t="s">
        <v>110</v>
      </c>
      <c r="C26" s="93" t="s">
        <v>33</v>
      </c>
      <c r="D26" s="87" t="s">
        <v>147</v>
      </c>
      <c r="E26" s="106" t="e">
        <f>#REF!+#REF!+#REF!+#REF!+#REF!+#REF!+'01.16'!E35+#REF!+#REF!+#REF!+#REF!+#REF!</f>
        <v>#REF!</v>
      </c>
      <c r="F26" s="102">
        <v>5803.28</v>
      </c>
      <c r="G26" s="89">
        <v>1516.5</v>
      </c>
      <c r="H26" s="36"/>
      <c r="I26" s="10"/>
      <c r="J26" s="10"/>
      <c r="K26" s="10"/>
    </row>
    <row r="27" spans="1:11" ht="31.5">
      <c r="A27" s="100">
        <v>10</v>
      </c>
      <c r="B27" s="136" t="s">
        <v>139</v>
      </c>
      <c r="C27" s="93" t="s">
        <v>33</v>
      </c>
      <c r="D27" s="87" t="s">
        <v>117</v>
      </c>
      <c r="E27" s="106" t="e">
        <f>#REF!+#REF!+#REF!+#REF!+#REF!+#REF!+'01.16'!E36+#REF!+#REF!+#REF!+#REF!+#REF!</f>
        <v>#REF!</v>
      </c>
      <c r="F27" s="102">
        <v>350.75</v>
      </c>
      <c r="G27" s="89">
        <v>592</v>
      </c>
      <c r="H27" s="36"/>
      <c r="I27" s="49"/>
      <c r="J27" s="10"/>
      <c r="K27" s="10"/>
    </row>
    <row r="28" spans="1:11" ht="18" customHeight="1">
      <c r="A28" s="100">
        <v>11</v>
      </c>
      <c r="B28" s="135" t="s">
        <v>128</v>
      </c>
      <c r="C28" s="93" t="s">
        <v>33</v>
      </c>
      <c r="D28" s="87" t="s">
        <v>114</v>
      </c>
      <c r="E28" s="89" t="e">
        <f>#REF!+#REF!+#REF!+#REF!+#REF!+#REF!+'01.16'!E37+#REF!+#REF!+#REF!+#REF!+#REF!</f>
        <v>#REF!</v>
      </c>
      <c r="F28" s="102">
        <v>428.7</v>
      </c>
      <c r="G28" s="138">
        <v>210</v>
      </c>
      <c r="H28" s="36"/>
      <c r="I28" s="10"/>
      <c r="J28" s="10"/>
      <c r="K28" s="10"/>
    </row>
    <row r="29" spans="1:11" ht="15.75" customHeight="1">
      <c r="A29" s="100">
        <v>12</v>
      </c>
      <c r="B29" s="136" t="s">
        <v>31</v>
      </c>
      <c r="C29" s="86" t="s">
        <v>37</v>
      </c>
      <c r="D29" s="92"/>
      <c r="E29" s="106" t="e">
        <f>#REF!+#REF!+#REF!+#REF!+#REF!+#REF!+'01.16'!E38+#REF!+#REF!+#REF!+#REF!+#REF!</f>
        <v>#REF!</v>
      </c>
      <c r="F29" s="102">
        <v>798</v>
      </c>
      <c r="G29" s="89">
        <v>106.33</v>
      </c>
      <c r="H29" s="36"/>
      <c r="I29" s="10"/>
      <c r="J29" s="10"/>
      <c r="K29" s="10"/>
    </row>
    <row r="30" spans="1:11" ht="15" hidden="1" customHeight="1">
      <c r="A30" s="133"/>
      <c r="B30" s="265" t="s">
        <v>125</v>
      </c>
      <c r="C30" s="266"/>
      <c r="D30" s="266"/>
      <c r="E30" s="266"/>
      <c r="F30" s="266"/>
      <c r="G30" s="267"/>
      <c r="H30" s="52"/>
      <c r="I30" s="10"/>
    </row>
    <row r="31" spans="1:11" ht="22.5" hidden="1" customHeight="1">
      <c r="A31" s="85">
        <v>16</v>
      </c>
      <c r="B31" s="135" t="s">
        <v>38</v>
      </c>
      <c r="C31" s="93" t="s">
        <v>33</v>
      </c>
      <c r="D31" s="87" t="s">
        <v>76</v>
      </c>
      <c r="E31" s="89" t="e">
        <f>#REF!+#REF!+#REF!+#REF!+#REF!+#REF!+'01.16'!E42+#REF!+#REF!+#REF!+#REF!+#REF!</f>
        <v>#REF!</v>
      </c>
      <c r="F31" s="102">
        <v>1098.72</v>
      </c>
      <c r="G31" s="138" t="e">
        <f>#REF!+#REF!+#REF!+#REF!+#REF!+#REF!+'01.16'!I42+#REF!+#REF!+#REF!+#REF!+#REF!</f>
        <v>#REF!</v>
      </c>
      <c r="H31" s="37"/>
    </row>
    <row r="32" spans="1:11" ht="24" hidden="1" customHeight="1">
      <c r="A32" s="85">
        <v>17</v>
      </c>
      <c r="B32" s="135" t="s">
        <v>39</v>
      </c>
      <c r="C32" s="93" t="s">
        <v>40</v>
      </c>
      <c r="D32" s="87" t="s">
        <v>76</v>
      </c>
      <c r="E32" s="89" t="e">
        <f>#REF!+#REF!+#REF!+#REF!+#REF!+#REF!+'01.16'!#REF!+#REF!+#REF!+#REF!+#REF!+#REF!</f>
        <v>#REF!</v>
      </c>
      <c r="F32" s="102">
        <v>94.18</v>
      </c>
      <c r="G32" s="138" t="e">
        <f>#REF!+#REF!+#REF!+#REF!+#REF!+#REF!+'01.16'!I42+#REF!+#REF!+#REF!+#REF!+#REF!</f>
        <v>#REF!</v>
      </c>
      <c r="H32" s="37"/>
    </row>
    <row r="33" spans="1:12" ht="24" hidden="1" customHeight="1">
      <c r="A33" s="85">
        <v>18</v>
      </c>
      <c r="B33" s="135" t="s">
        <v>41</v>
      </c>
      <c r="C33" s="93" t="s">
        <v>33</v>
      </c>
      <c r="D33" s="87" t="s">
        <v>76</v>
      </c>
      <c r="E33" s="89" t="e">
        <f>#REF!+#REF!+#REF!+#REF!+#REF!+#REF!+'01.16'!E43+#REF!+#REF!+#REF!+#REF!+#REF!</f>
        <v>#REF!</v>
      </c>
      <c r="F33" s="102">
        <v>749.49</v>
      </c>
      <c r="G33" s="138" t="e">
        <f>#REF!+#REF!+#REF!+#REF!+#REF!+#REF!+'01.16'!#REF!+#REF!+#REF!+#REF!+#REF!+#REF!</f>
        <v>#REF!</v>
      </c>
      <c r="H33" s="37"/>
    </row>
    <row r="34" spans="1:12" ht="24" hidden="1" customHeight="1">
      <c r="A34" s="85">
        <v>19</v>
      </c>
      <c r="B34" s="135" t="s">
        <v>42</v>
      </c>
      <c r="C34" s="93" t="s">
        <v>33</v>
      </c>
      <c r="D34" s="87" t="s">
        <v>76</v>
      </c>
      <c r="E34" s="89" t="e">
        <f>#REF!+#REF!+#REF!+#REF!+#REF!+#REF!+'01.16'!E44+#REF!+#REF!+#REF!+#REF!+#REF!</f>
        <v>#REF!</v>
      </c>
      <c r="F34" s="102">
        <v>749.49</v>
      </c>
      <c r="G34" s="138" t="e">
        <f>#REF!+#REF!+#REF!+#REF!+#REF!+#REF!+'01.16'!I44+#REF!+#REF!+#REF!+#REF!+#REF!</f>
        <v>#REF!</v>
      </c>
      <c r="H34" s="37"/>
    </row>
    <row r="35" spans="1:12" ht="23.25" hidden="1" customHeight="1">
      <c r="A35" s="85">
        <v>20</v>
      </c>
      <c r="B35" s="135" t="s">
        <v>43</v>
      </c>
      <c r="C35" s="93" t="s">
        <v>33</v>
      </c>
      <c r="D35" s="87" t="s">
        <v>76</v>
      </c>
      <c r="E35" s="89" t="e">
        <f>#REF!+#REF!+#REF!+#REF!+#REF!+#REF!+'01.16'!E45+#REF!+#REF!+#REF!+#REF!+#REF!</f>
        <v>#REF!</v>
      </c>
      <c r="F35" s="102">
        <v>784.8</v>
      </c>
      <c r="G35" s="138" t="e">
        <f>#REF!+#REF!+#REF!+#REF!+#REF!+#REF!+'01.16'!I45+#REF!+#REF!+#REF!+#REF!+#REF!</f>
        <v>#REF!</v>
      </c>
      <c r="H35" s="37"/>
    </row>
    <row r="36" spans="1:12" ht="23.25" hidden="1" customHeight="1">
      <c r="A36" s="85">
        <v>21</v>
      </c>
      <c r="B36" s="135" t="s">
        <v>72</v>
      </c>
      <c r="C36" s="93" t="s">
        <v>33</v>
      </c>
      <c r="D36" s="87" t="s">
        <v>76</v>
      </c>
      <c r="E36" s="89" t="e">
        <f>#REF!+#REF!+#REF!+#REF!+#REF!+#REF!+'01.16'!E46+#REF!+#REF!+#REF!+#REF!+#REF!</f>
        <v>#REF!</v>
      </c>
      <c r="F36" s="102">
        <v>1599.61</v>
      </c>
      <c r="G36" s="138" t="e">
        <f>#REF!+#REF!+#REF!+#REF!+#REF!+#REF!+'01.16'!I46+#REF!+#REF!+#REF!+#REF!+#REF!</f>
        <v>#REF!</v>
      </c>
      <c r="H36" s="37"/>
    </row>
    <row r="37" spans="1:12" ht="30.75" hidden="1" customHeight="1">
      <c r="A37" s="85">
        <v>22</v>
      </c>
      <c r="B37" s="135" t="s">
        <v>44</v>
      </c>
      <c r="C37" s="93" t="s">
        <v>33</v>
      </c>
      <c r="D37" s="87" t="s">
        <v>76</v>
      </c>
      <c r="E37" s="89" t="e">
        <f>#REF!+#REF!+#REF!+#REF!+#REF!+#REF!+'01.16'!E47+#REF!+#REF!+#REF!+#REF!+#REF!</f>
        <v>#REF!</v>
      </c>
      <c r="F37" s="102">
        <v>1599.61</v>
      </c>
      <c r="G37" s="138" t="e">
        <f>#REF!+#REF!+#REF!+#REF!+#REF!+#REF!+'01.16'!I47+#REF!+#REF!+#REF!+#REF!+#REF!</f>
        <v>#REF!</v>
      </c>
      <c r="H37" s="37"/>
    </row>
    <row r="38" spans="1:12" ht="30.75" hidden="1" customHeight="1">
      <c r="A38" s="85">
        <v>23</v>
      </c>
      <c r="B38" s="135" t="s">
        <v>45</v>
      </c>
      <c r="C38" s="93" t="s">
        <v>46</v>
      </c>
      <c r="D38" s="87" t="s">
        <v>76</v>
      </c>
      <c r="E38" s="89" t="e">
        <f>#REF!+#REF!+#REF!+#REF!+#REF!+#REF!+'01.16'!E48+#REF!+#REF!+#REF!+#REF!+#REF!</f>
        <v>#REF!</v>
      </c>
      <c r="F38" s="102">
        <v>3599.1</v>
      </c>
      <c r="G38" s="138" t="e">
        <f>#REF!+#REF!+#REF!+#REF!+#REF!+#REF!+'01.16'!I48+#REF!+#REF!+#REF!+#REF!+#REF!</f>
        <v>#REF!</v>
      </c>
      <c r="H38" s="37"/>
      <c r="J38" s="28"/>
      <c r="K38" s="29"/>
      <c r="L38" s="30"/>
    </row>
    <row r="39" spans="1:12" ht="25.5" hidden="1" customHeight="1">
      <c r="A39" s="85">
        <v>24</v>
      </c>
      <c r="B39" s="135" t="s">
        <v>47</v>
      </c>
      <c r="C39" s="93" t="s">
        <v>48</v>
      </c>
      <c r="D39" s="87" t="s">
        <v>76</v>
      </c>
      <c r="E39" s="89" t="e">
        <f>#REF!+#REF!+#REF!+#REF!+#REF!+#REF!+'01.16'!E49+#REF!+#REF!+#REF!+#REF!+#REF!</f>
        <v>#REF!</v>
      </c>
      <c r="F39" s="102">
        <v>7450.14</v>
      </c>
      <c r="G39" s="138" t="e">
        <f>#REF!+#REF!+#REF!+#REF!+#REF!+#REF!+'01.16'!I49+#REF!+#REF!+#REF!+#REF!+#REF!</f>
        <v>#REF!</v>
      </c>
      <c r="H39" s="37"/>
      <c r="J39" s="28"/>
      <c r="K39" s="29"/>
      <c r="L39" s="30"/>
    </row>
    <row r="40" spans="1:12" ht="25.5" hidden="1" customHeight="1">
      <c r="A40" s="85">
        <v>25</v>
      </c>
      <c r="B40" s="139" t="s">
        <v>49</v>
      </c>
      <c r="C40" s="125" t="s">
        <v>35</v>
      </c>
      <c r="D40" s="126" t="s">
        <v>50</v>
      </c>
      <c r="E40" s="89">
        <v>32</v>
      </c>
      <c r="F40" s="102">
        <v>158.66</v>
      </c>
      <c r="G40" s="138">
        <f>E40*F40</f>
        <v>5077.12</v>
      </c>
      <c r="H40" s="37"/>
      <c r="J40" s="28"/>
      <c r="K40" s="29"/>
      <c r="L40" s="30"/>
    </row>
    <row r="41" spans="1:12" ht="16.5" hidden="1" customHeight="1">
      <c r="A41" s="85">
        <v>26</v>
      </c>
      <c r="B41" s="135" t="s">
        <v>51</v>
      </c>
      <c r="C41" s="125" t="s">
        <v>35</v>
      </c>
      <c r="D41" s="87" t="s">
        <v>52</v>
      </c>
      <c r="E41" s="89">
        <v>32</v>
      </c>
      <c r="F41" s="102">
        <v>73.84</v>
      </c>
      <c r="G41" s="138">
        <f>E41*F41</f>
        <v>2362.88</v>
      </c>
      <c r="H41" s="37"/>
      <c r="J41" s="28"/>
      <c r="K41" s="29"/>
      <c r="L41" s="30"/>
    </row>
    <row r="42" spans="1:12" ht="19.5" customHeight="1">
      <c r="A42" s="90"/>
      <c r="B42" s="265" t="s">
        <v>126</v>
      </c>
      <c r="C42" s="266"/>
      <c r="D42" s="266"/>
      <c r="E42" s="266"/>
      <c r="F42" s="266"/>
      <c r="G42" s="267"/>
      <c r="H42" s="53"/>
      <c r="J42" s="28"/>
      <c r="K42" s="29"/>
      <c r="L42" s="30"/>
    </row>
    <row r="43" spans="1:12" ht="18" customHeight="1">
      <c r="A43" s="133"/>
      <c r="B43" s="120" t="s">
        <v>53</v>
      </c>
      <c r="C43" s="93"/>
      <c r="D43" s="140"/>
      <c r="E43" s="106"/>
      <c r="F43" s="104"/>
      <c r="G43" s="138"/>
      <c r="H43" s="37"/>
      <c r="J43" s="28"/>
      <c r="K43" s="29"/>
      <c r="L43" s="30"/>
    </row>
    <row r="44" spans="1:12" ht="45.75" customHeight="1">
      <c r="A44" s="85">
        <v>13</v>
      </c>
      <c r="B44" s="135" t="s">
        <v>130</v>
      </c>
      <c r="C44" s="93" t="s">
        <v>65</v>
      </c>
      <c r="D44" s="91" t="s">
        <v>34</v>
      </c>
      <c r="E44" s="89" t="e">
        <f>#REF!+#REF!+#REF!+#REF!+#REF!+#REF!+'01.16'!E72+#REF!+#REF!+#REF!+#REF!+#REF!</f>
        <v>#REF!</v>
      </c>
      <c r="F44" s="102">
        <v>1547.28</v>
      </c>
      <c r="G44" s="89">
        <v>1743.5</v>
      </c>
      <c r="H44" s="37"/>
      <c r="J44" s="28"/>
      <c r="K44" s="29"/>
      <c r="L44" s="30"/>
    </row>
    <row r="45" spans="1:12" ht="17.25" hidden="1" customHeight="1">
      <c r="A45" s="85"/>
      <c r="B45" s="103" t="s">
        <v>54</v>
      </c>
      <c r="C45" s="124"/>
      <c r="D45" s="124"/>
      <c r="E45" s="106"/>
      <c r="F45" s="141"/>
      <c r="G45" s="138"/>
      <c r="H45" s="37"/>
      <c r="J45" s="28"/>
      <c r="K45" s="29"/>
      <c r="L45" s="30"/>
    </row>
    <row r="46" spans="1:12" ht="15.75" hidden="1" customHeight="1">
      <c r="A46" s="85">
        <v>29</v>
      </c>
      <c r="B46" s="135" t="s">
        <v>55</v>
      </c>
      <c r="C46" s="93" t="s">
        <v>65</v>
      </c>
      <c r="D46" s="87" t="s">
        <v>66</v>
      </c>
      <c r="E46" s="106" t="e">
        <f>#REF!+#REF!+#REF!+#REF!+#REF!+#REF!+'01.16'!E75+#REF!+#REF!+#REF!+#REF!+#REF!</f>
        <v>#REF!</v>
      </c>
      <c r="F46" s="87">
        <v>1012.74</v>
      </c>
      <c r="G46" s="138" t="e">
        <f>#REF!+#REF!+#REF!+#REF!+#REF!+#REF!+'01.16'!I75+#REF!+#REF!+#REF!+#REF!+#REF!</f>
        <v>#REF!</v>
      </c>
      <c r="H46" s="37"/>
      <c r="J46" s="28"/>
      <c r="K46" s="29"/>
      <c r="L46" s="30"/>
    </row>
    <row r="47" spans="1:12" ht="15.75" hidden="1" customHeight="1">
      <c r="A47" s="133"/>
      <c r="B47" s="143" t="s">
        <v>67</v>
      </c>
      <c r="C47" s="144"/>
      <c r="D47" s="145"/>
      <c r="E47" s="106"/>
      <c r="F47" s="87"/>
      <c r="G47" s="138" t="e">
        <f>#REF!+#REF!+#REF!+#REF!+#REF!+#REF!+'01.16'!#REF!+#REF!+#REF!+#REF!+#REF!+#REF!</f>
        <v>#REF!</v>
      </c>
      <c r="H47" s="37"/>
      <c r="J47" s="28"/>
      <c r="K47" s="29"/>
      <c r="L47" s="30"/>
    </row>
    <row r="48" spans="1:12" ht="30" hidden="1" customHeight="1">
      <c r="A48" s="142">
        <v>36</v>
      </c>
      <c r="B48" s="92" t="s">
        <v>62</v>
      </c>
      <c r="C48" s="93" t="s">
        <v>68</v>
      </c>
      <c r="D48" s="87" t="s">
        <v>66</v>
      </c>
      <c r="E48" s="89" t="e">
        <f>#REF!+#REF!+#REF!+#REF!+#REF!+#REF!+'01.16'!#REF!+#REF!+#REF!+#REF!+#REF!+#REF!</f>
        <v>#REF!</v>
      </c>
      <c r="F48" s="87">
        <v>9.32</v>
      </c>
      <c r="G48" s="138" t="e">
        <f>#REF!+#REF!+#REF!+#REF!+#REF!+#REF!+'01.16'!#REF!+#REF!+#REF!+#REF!+#REF!+#REF!</f>
        <v>#REF!</v>
      </c>
      <c r="H48" s="37"/>
      <c r="J48" s="28"/>
      <c r="K48" s="29"/>
      <c r="L48" s="30"/>
    </row>
    <row r="49" spans="1:12" ht="17.25" customHeight="1">
      <c r="A49" s="142"/>
      <c r="B49" s="265" t="s">
        <v>127</v>
      </c>
      <c r="C49" s="266"/>
      <c r="D49" s="266"/>
      <c r="E49" s="266"/>
      <c r="F49" s="266"/>
      <c r="G49" s="267"/>
      <c r="H49" s="37"/>
      <c r="J49" s="28"/>
      <c r="K49" s="29"/>
      <c r="L49" s="30"/>
    </row>
    <row r="50" spans="1:12" ht="24" customHeight="1">
      <c r="A50" s="142">
        <v>14</v>
      </c>
      <c r="B50" s="137" t="s">
        <v>129</v>
      </c>
      <c r="C50" s="93" t="s">
        <v>69</v>
      </c>
      <c r="D50" s="91" t="s">
        <v>70</v>
      </c>
      <c r="E50" s="106" t="e">
        <f>#REF!+#REF!+#REF!+#REF!+#REF!+#REF!+'01.16'!E113+#REF!+#REF!+#REF!+#REF!+#REF!</f>
        <v>#REF!</v>
      </c>
      <c r="F50" s="151">
        <v>2.1</v>
      </c>
      <c r="G50" s="89">
        <v>5389.86</v>
      </c>
      <c r="H50" s="34" t="e">
        <f>G48+#REF!+#REF!+#REF!+G50</f>
        <v>#REF!</v>
      </c>
      <c r="J50" s="28">
        <f>6846.6/3934.8/12</f>
        <v>0.14500101657009251</v>
      </c>
      <c r="K50" s="29"/>
      <c r="L50" s="30"/>
    </row>
    <row r="51" spans="1:12" ht="47.25">
      <c r="A51" s="87">
        <v>15</v>
      </c>
      <c r="B51" s="107" t="s">
        <v>95</v>
      </c>
      <c r="C51" s="93" t="s">
        <v>69</v>
      </c>
      <c r="D51" s="87" t="s">
        <v>70</v>
      </c>
      <c r="E51" s="91"/>
      <c r="F51" s="101">
        <v>1.63</v>
      </c>
      <c r="G51" s="95">
        <v>4183.5600000000004</v>
      </c>
      <c r="H51" s="35" t="e">
        <f>H21+H30+H42+#REF!+H50</f>
        <v>#REF!</v>
      </c>
      <c r="J51" s="46"/>
    </row>
    <row r="52" spans="1:12" ht="15.75">
      <c r="A52" s="90"/>
      <c r="B52" s="108" t="s">
        <v>100</v>
      </c>
      <c r="C52" s="85"/>
      <c r="D52" s="91"/>
      <c r="E52" s="91"/>
      <c r="F52" s="89"/>
      <c r="G52" s="109">
        <f>SUM(G16+G17+G18+G19+G20+G23+G24+G25+G26+G27+G28+G29+G44+G50+G51)</f>
        <v>36818.520000000004</v>
      </c>
    </row>
    <row r="53" spans="1:12" ht="13.5" customHeight="1">
      <c r="A53" s="48"/>
      <c r="B53" s="147" t="s">
        <v>75</v>
      </c>
      <c r="C53" s="146"/>
      <c r="D53" s="146"/>
      <c r="E53" s="91"/>
      <c r="F53" s="89"/>
      <c r="G53" s="89"/>
    </row>
    <row r="54" spans="1:12" ht="30" hidden="1">
      <c r="A54" s="48"/>
      <c r="B54" s="148" t="s">
        <v>105</v>
      </c>
      <c r="C54" s="87" t="s">
        <v>35</v>
      </c>
      <c r="D54" s="146"/>
      <c r="E54" s="91"/>
      <c r="F54" s="89">
        <v>180.15</v>
      </c>
      <c r="G54" s="89">
        <v>180.15</v>
      </c>
    </row>
    <row r="55" spans="1:12" ht="30" hidden="1">
      <c r="A55" s="48"/>
      <c r="B55" s="148" t="s">
        <v>131</v>
      </c>
      <c r="C55" s="87" t="s">
        <v>35</v>
      </c>
      <c r="D55" s="146"/>
      <c r="E55" s="91"/>
      <c r="F55" s="89">
        <v>559.62</v>
      </c>
      <c r="G55" s="89">
        <v>559.62</v>
      </c>
    </row>
    <row r="56" spans="1:12" ht="30" hidden="1">
      <c r="A56" s="48"/>
      <c r="B56" s="148" t="s">
        <v>132</v>
      </c>
      <c r="C56" s="87" t="s">
        <v>102</v>
      </c>
      <c r="D56" s="146"/>
      <c r="E56" s="91"/>
      <c r="F56" s="89">
        <v>1146</v>
      </c>
      <c r="G56" s="89">
        <v>802.2</v>
      </c>
    </row>
    <row r="57" spans="1:12" ht="30" hidden="1">
      <c r="A57" s="48"/>
      <c r="B57" s="148" t="s">
        <v>99</v>
      </c>
      <c r="C57" s="87" t="s">
        <v>35</v>
      </c>
      <c r="D57" s="146"/>
      <c r="E57" s="91"/>
      <c r="F57" s="89">
        <v>79.09</v>
      </c>
      <c r="G57" s="89">
        <v>79.09</v>
      </c>
    </row>
    <row r="58" spans="1:12" ht="14.25" customHeight="1">
      <c r="A58" s="142">
        <v>16</v>
      </c>
      <c r="B58" s="148" t="s">
        <v>140</v>
      </c>
      <c r="C58" s="153" t="s">
        <v>143</v>
      </c>
      <c r="D58" s="146"/>
      <c r="E58" s="91"/>
      <c r="F58" s="89">
        <v>1063.47</v>
      </c>
      <c r="G58" s="89">
        <v>2126.94</v>
      </c>
    </row>
    <row r="59" spans="1:12" ht="14.25" customHeight="1">
      <c r="A59" s="142">
        <v>17</v>
      </c>
      <c r="B59" s="132" t="s">
        <v>113</v>
      </c>
      <c r="C59" s="154" t="s">
        <v>144</v>
      </c>
      <c r="D59" s="146"/>
      <c r="E59" s="91"/>
      <c r="F59" s="89">
        <v>179.96</v>
      </c>
      <c r="G59" s="89">
        <v>179.96</v>
      </c>
    </row>
    <row r="60" spans="1:12" ht="15.75">
      <c r="A60" s="142">
        <v>18</v>
      </c>
      <c r="B60" s="132" t="s">
        <v>111</v>
      </c>
      <c r="C60" s="155" t="s">
        <v>91</v>
      </c>
      <c r="D60" s="146"/>
      <c r="E60" s="91"/>
      <c r="F60" s="89">
        <v>3800</v>
      </c>
      <c r="G60" s="89">
        <v>760</v>
      </c>
    </row>
    <row r="61" spans="1:12" ht="47.25">
      <c r="A61" s="142">
        <v>19</v>
      </c>
      <c r="B61" s="110" t="s">
        <v>141</v>
      </c>
      <c r="C61" s="154" t="s">
        <v>145</v>
      </c>
      <c r="D61" s="146"/>
      <c r="E61" s="91"/>
      <c r="F61" s="89">
        <v>5641.28</v>
      </c>
      <c r="G61" s="89">
        <v>2538.58</v>
      </c>
    </row>
    <row r="62" spans="1:12" ht="47.25">
      <c r="A62" s="142">
        <v>20</v>
      </c>
      <c r="B62" s="152" t="s">
        <v>142</v>
      </c>
      <c r="C62" s="85" t="s">
        <v>146</v>
      </c>
      <c r="D62" s="146"/>
      <c r="E62" s="91"/>
      <c r="F62" s="89">
        <v>39222.99</v>
      </c>
      <c r="G62" s="89">
        <v>1961.15</v>
      </c>
    </row>
    <row r="63" spans="1:12" ht="15.75">
      <c r="A63" s="142">
        <v>21</v>
      </c>
      <c r="B63" s="110" t="s">
        <v>148</v>
      </c>
      <c r="C63" s="154" t="s">
        <v>149</v>
      </c>
      <c r="D63" s="146"/>
      <c r="E63" s="91"/>
      <c r="F63" s="89">
        <v>286.55</v>
      </c>
      <c r="G63" s="89">
        <v>286.55</v>
      </c>
    </row>
    <row r="64" spans="1:12" ht="15.75">
      <c r="A64" s="54"/>
      <c r="B64" s="134" t="s">
        <v>63</v>
      </c>
      <c r="C64" s="112"/>
      <c r="D64" s="113"/>
      <c r="E64" s="112">
        <v>1</v>
      </c>
      <c r="F64" s="112"/>
      <c r="G64" s="109">
        <f>SUM(G58+G59+G60+G61+G62+G63)</f>
        <v>7853.1799999999994</v>
      </c>
    </row>
    <row r="65" spans="1:20" ht="15.75">
      <c r="A65" s="11"/>
      <c r="B65" s="123" t="s">
        <v>96</v>
      </c>
      <c r="C65" s="91"/>
      <c r="D65" s="91"/>
      <c r="E65" s="114"/>
      <c r="F65" s="115"/>
      <c r="G65" s="116">
        <v>0</v>
      </c>
    </row>
    <row r="66" spans="1:20" ht="15.75">
      <c r="A66" s="33"/>
      <c r="B66" s="117" t="s">
        <v>64</v>
      </c>
      <c r="C66" s="105"/>
      <c r="D66" s="105"/>
      <c r="E66" s="105"/>
      <c r="F66" s="105"/>
      <c r="G66" s="118">
        <f>G52+G64</f>
        <v>44671.700000000004</v>
      </c>
    </row>
    <row r="67" spans="1:20" ht="18" customHeight="1">
      <c r="A67" s="264" t="s">
        <v>150</v>
      </c>
      <c r="B67" s="264"/>
      <c r="C67" s="264"/>
      <c r="D67" s="264"/>
      <c r="E67" s="264"/>
      <c r="F67" s="264"/>
      <c r="G67" s="26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12"/>
    </row>
    <row r="68" spans="1:20" ht="15.75" customHeight="1">
      <c r="A68" s="149" t="s">
        <v>6</v>
      </c>
      <c r="B68" s="268" t="s">
        <v>151</v>
      </c>
      <c r="C68" s="268"/>
      <c r="D68" s="268"/>
      <c r="E68" s="268"/>
      <c r="F68" s="268"/>
      <c r="G68" s="150"/>
      <c r="H68" s="42"/>
      <c r="I68" s="42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20">
      <c r="A69" s="44"/>
      <c r="B69" s="239" t="s">
        <v>7</v>
      </c>
      <c r="C69" s="239"/>
      <c r="D69" s="239"/>
      <c r="E69" s="239"/>
      <c r="F69" s="239"/>
      <c r="G69" s="6"/>
      <c r="H69" s="6"/>
      <c r="I69" s="6"/>
      <c r="J69" s="6"/>
      <c r="K69" s="6"/>
      <c r="L69" s="6"/>
      <c r="M69" s="6"/>
      <c r="N69" s="6"/>
      <c r="O69" s="6"/>
      <c r="P69" s="236"/>
      <c r="Q69" s="236"/>
      <c r="R69" s="236"/>
      <c r="S69" s="236"/>
    </row>
    <row r="70" spans="1:2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:20" ht="18.75">
      <c r="A71" s="269" t="s">
        <v>8</v>
      </c>
      <c r="B71" s="269"/>
      <c r="C71" s="269"/>
      <c r="D71" s="269"/>
      <c r="E71" s="269"/>
      <c r="F71" s="269"/>
      <c r="G71" s="269"/>
    </row>
    <row r="72" spans="1:20" ht="18.75">
      <c r="A72" s="269" t="s">
        <v>9</v>
      </c>
      <c r="B72" s="269"/>
      <c r="C72" s="269"/>
      <c r="D72" s="269"/>
      <c r="E72" s="269"/>
      <c r="F72" s="269"/>
      <c r="G72" s="269"/>
    </row>
    <row r="73" spans="1:20" ht="18.75">
      <c r="A73" s="264" t="s">
        <v>10</v>
      </c>
      <c r="B73" s="264"/>
      <c r="C73" s="264"/>
      <c r="D73" s="264"/>
      <c r="E73" s="264"/>
      <c r="F73" s="264"/>
      <c r="G73" s="264"/>
    </row>
    <row r="74" spans="1:20" ht="18.75">
      <c r="A74" s="156"/>
      <c r="B74" s="156"/>
      <c r="C74" s="156"/>
      <c r="D74" s="156"/>
      <c r="E74" s="156"/>
      <c r="F74" s="156"/>
      <c r="G74" s="156"/>
    </row>
    <row r="75" spans="1:20" ht="18.75">
      <c r="A75" s="163"/>
      <c r="B75" s="164"/>
      <c r="C75" s="164"/>
      <c r="D75" s="164"/>
      <c r="E75" s="164"/>
      <c r="F75" s="164"/>
      <c r="G75" s="164"/>
    </row>
    <row r="76" spans="1:20" ht="18.75">
      <c r="A76" s="270" t="s">
        <v>11</v>
      </c>
      <c r="B76" s="270"/>
      <c r="C76" s="270"/>
      <c r="D76" s="270"/>
      <c r="E76" s="270"/>
      <c r="F76" s="270"/>
      <c r="G76" s="270"/>
    </row>
    <row r="77" spans="1:20" ht="15.75">
      <c r="A77" s="5"/>
    </row>
    <row r="78" spans="1:20" ht="18.75">
      <c r="A78" s="264" t="s">
        <v>12</v>
      </c>
      <c r="B78" s="264"/>
      <c r="C78" s="238" t="s">
        <v>133</v>
      </c>
      <c r="D78" s="238"/>
      <c r="E78" s="238"/>
      <c r="G78" s="39"/>
    </row>
    <row r="79" spans="1:20" ht="18.75">
      <c r="A79" s="165"/>
      <c r="B79" s="164"/>
      <c r="C79" s="239" t="s">
        <v>13</v>
      </c>
      <c r="D79" s="239"/>
      <c r="E79" s="239"/>
      <c r="G79" s="40" t="s">
        <v>14</v>
      </c>
    </row>
    <row r="80" spans="1:20" ht="18.75">
      <c r="A80" s="166"/>
      <c r="B80" s="164"/>
      <c r="C80" s="16"/>
      <c r="D80" s="16"/>
      <c r="F80" s="16"/>
    </row>
    <row r="81" spans="1:7" ht="18.75">
      <c r="A81" s="264" t="s">
        <v>15</v>
      </c>
      <c r="B81" s="264"/>
      <c r="C81" s="250"/>
      <c r="D81" s="250"/>
      <c r="E81" s="250"/>
      <c r="G81" s="39"/>
    </row>
    <row r="82" spans="1:7">
      <c r="A82" s="44"/>
      <c r="C82" s="236" t="s">
        <v>13</v>
      </c>
      <c r="D82" s="236"/>
      <c r="E82" s="236"/>
      <c r="G82" s="40" t="s">
        <v>14</v>
      </c>
    </row>
    <row r="83" spans="1:7" ht="15.75">
      <c r="A83" s="5" t="s">
        <v>16</v>
      </c>
    </row>
    <row r="84" spans="1:7">
      <c r="A84" s="251" t="s">
        <v>17</v>
      </c>
      <c r="B84" s="251"/>
      <c r="C84" s="251"/>
      <c r="D84" s="251"/>
      <c r="E84" s="251"/>
      <c r="F84" s="251"/>
      <c r="G84" s="251"/>
    </row>
    <row r="85" spans="1:7" ht="45" customHeight="1">
      <c r="A85" s="249" t="s">
        <v>18</v>
      </c>
      <c r="B85" s="249"/>
      <c r="C85" s="249"/>
      <c r="D85" s="249"/>
      <c r="E85" s="249"/>
      <c r="F85" s="249"/>
      <c r="G85" s="249"/>
    </row>
    <row r="86" spans="1:7" ht="28.5" customHeight="1">
      <c r="A86" s="249" t="s">
        <v>19</v>
      </c>
      <c r="B86" s="249"/>
      <c r="C86" s="249"/>
      <c r="D86" s="249"/>
      <c r="E86" s="249"/>
      <c r="F86" s="249"/>
      <c r="G86" s="249"/>
    </row>
    <row r="87" spans="1:7" ht="27" customHeight="1">
      <c r="A87" s="249" t="s">
        <v>24</v>
      </c>
      <c r="B87" s="249"/>
      <c r="C87" s="249"/>
      <c r="D87" s="249"/>
      <c r="E87" s="249"/>
      <c r="F87" s="249"/>
      <c r="G87" s="249"/>
    </row>
    <row r="88" spans="1:7" ht="15" customHeight="1">
      <c r="A88" s="249" t="s">
        <v>23</v>
      </c>
      <c r="B88" s="249"/>
      <c r="C88" s="249"/>
      <c r="D88" s="249"/>
      <c r="E88" s="249"/>
      <c r="F88" s="249"/>
      <c r="G88" s="249"/>
    </row>
    <row r="90" spans="1:7" ht="27.75" customHeight="1">
      <c r="A90" s="17" t="s">
        <v>22</v>
      </c>
      <c r="B90" s="17"/>
      <c r="C90" s="17"/>
      <c r="D90" s="17"/>
      <c r="E90" s="17"/>
      <c r="F90" s="17"/>
    </row>
  </sheetData>
  <autoFilter ref="G13:G65"/>
  <mergeCells count="29">
    <mergeCell ref="A3:G3"/>
    <mergeCell ref="A4:G4"/>
    <mergeCell ref="B5:F5"/>
    <mergeCell ref="A8:G8"/>
    <mergeCell ref="A10:G10"/>
    <mergeCell ref="P69:S69"/>
    <mergeCell ref="A71:G71"/>
    <mergeCell ref="A72:G72"/>
    <mergeCell ref="A73:G73"/>
    <mergeCell ref="A76:G76"/>
    <mergeCell ref="B68:F68"/>
    <mergeCell ref="C79:E79"/>
    <mergeCell ref="A81:B81"/>
    <mergeCell ref="C81:E81"/>
    <mergeCell ref="C82:E82"/>
    <mergeCell ref="B69:F69"/>
    <mergeCell ref="A78:B78"/>
    <mergeCell ref="C78:E78"/>
    <mergeCell ref="A67:G67"/>
    <mergeCell ref="A15:G15"/>
    <mergeCell ref="A21:G21"/>
    <mergeCell ref="B30:G30"/>
    <mergeCell ref="B42:G42"/>
    <mergeCell ref="B49:G49"/>
    <mergeCell ref="A84:G84"/>
    <mergeCell ref="A85:G85"/>
    <mergeCell ref="A86:G86"/>
    <mergeCell ref="A87:G87"/>
    <mergeCell ref="A88:G88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T111"/>
  <sheetViews>
    <sheetView workbookViewId="0">
      <selection activeCell="A8" sqref="A8:G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>
      <c r="B1" s="57" t="s">
        <v>118</v>
      </c>
      <c r="G1" s="56"/>
    </row>
    <row r="2" spans="1:11" ht="15.75">
      <c r="B2" s="45" t="s">
        <v>79</v>
      </c>
      <c r="H2" s="1"/>
      <c r="I2" s="1"/>
      <c r="J2" s="1"/>
      <c r="K2" s="1"/>
    </row>
    <row r="3" spans="1:11" ht="15.75" customHeight="1">
      <c r="A3" s="240" t="s">
        <v>152</v>
      </c>
      <c r="B3" s="240"/>
      <c r="C3" s="240"/>
      <c r="D3" s="240"/>
      <c r="E3" s="240"/>
      <c r="F3" s="240"/>
      <c r="G3" s="240"/>
      <c r="H3" s="2"/>
      <c r="I3" s="2"/>
      <c r="J3" s="2"/>
      <c r="K3" s="2"/>
    </row>
    <row r="4" spans="1:11" ht="33.75" customHeight="1">
      <c r="A4" s="241" t="s">
        <v>153</v>
      </c>
      <c r="B4" s="241"/>
      <c r="C4" s="241"/>
      <c r="D4" s="241"/>
      <c r="E4" s="241"/>
      <c r="F4" s="241"/>
      <c r="G4" s="241"/>
      <c r="H4" s="3"/>
      <c r="I4" s="3"/>
      <c r="J4" s="3"/>
      <c r="K4" s="3"/>
    </row>
    <row r="5" spans="1:11" ht="15.75" customHeight="1">
      <c r="A5" s="246" t="s">
        <v>154</v>
      </c>
      <c r="B5" s="247"/>
      <c r="C5" s="247"/>
      <c r="D5" s="247"/>
      <c r="E5" s="247"/>
      <c r="F5" s="247"/>
      <c r="G5" s="247"/>
      <c r="H5" s="4"/>
      <c r="I5" s="4"/>
      <c r="J5" s="4"/>
    </row>
    <row r="6" spans="1:11" ht="15.75" customHeight="1">
      <c r="A6" s="3"/>
      <c r="B6" s="192"/>
      <c r="C6" s="192"/>
      <c r="D6" s="192"/>
      <c r="E6" s="192"/>
      <c r="F6" s="192"/>
      <c r="G6" s="58">
        <v>42735</v>
      </c>
    </row>
    <row r="7" spans="1:11" ht="15.75">
      <c r="B7" s="193"/>
      <c r="C7" s="193"/>
      <c r="D7" s="193"/>
      <c r="E7" s="4"/>
      <c r="F7" s="4"/>
      <c r="H7" s="3"/>
      <c r="I7" s="3"/>
      <c r="J7" s="3"/>
      <c r="K7" s="3"/>
    </row>
    <row r="8" spans="1:11" ht="78.75" customHeight="1">
      <c r="A8" s="242" t="s">
        <v>274</v>
      </c>
      <c r="B8" s="242"/>
      <c r="C8" s="242"/>
      <c r="D8" s="242"/>
      <c r="E8" s="242"/>
      <c r="F8" s="242"/>
      <c r="G8" s="242"/>
      <c r="H8" s="271"/>
      <c r="I8" s="271"/>
      <c r="J8" s="3"/>
      <c r="K8" s="3"/>
    </row>
    <row r="9" spans="1:11" ht="15.75">
      <c r="A9" s="5"/>
      <c r="H9" s="4"/>
      <c r="I9" s="4"/>
      <c r="J9" s="4"/>
      <c r="K9" s="4"/>
    </row>
    <row r="10" spans="1:11" ht="47.25" customHeight="1">
      <c r="A10" s="248" t="s">
        <v>155</v>
      </c>
      <c r="B10" s="248"/>
      <c r="C10" s="248"/>
      <c r="D10" s="248"/>
      <c r="E10" s="248"/>
      <c r="F10" s="248"/>
      <c r="G10" s="248"/>
      <c r="H10" s="6"/>
      <c r="I10" s="6"/>
      <c r="J10" s="6"/>
      <c r="K10" s="6"/>
    </row>
    <row r="11" spans="1:11" ht="15.75" customHeight="1">
      <c r="A11" s="5"/>
      <c r="H11" s="3"/>
      <c r="I11" s="3"/>
      <c r="J11" s="3"/>
      <c r="K11" s="3"/>
    </row>
    <row r="12" spans="1:11" ht="47.25" customHeight="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 t="s">
        <v>25</v>
      </c>
      <c r="G12" s="7" t="s">
        <v>3</v>
      </c>
      <c r="H12" s="4"/>
    </row>
    <row r="13" spans="1:11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>
        <v>5</v>
      </c>
      <c r="G13" s="8">
        <v>6</v>
      </c>
    </row>
    <row r="14" spans="1:11">
      <c r="A14" s="243" t="s">
        <v>4</v>
      </c>
      <c r="B14" s="244"/>
      <c r="C14" s="244"/>
      <c r="D14" s="244"/>
      <c r="E14" s="244"/>
      <c r="F14" s="244"/>
      <c r="G14" s="245"/>
    </row>
    <row r="15" spans="1:11" ht="15.75" customHeight="1">
      <c r="A15" s="50">
        <v>1</v>
      </c>
      <c r="B15" s="61" t="s">
        <v>120</v>
      </c>
      <c r="C15" s="73" t="s">
        <v>156</v>
      </c>
      <c r="D15" s="61" t="s">
        <v>184</v>
      </c>
      <c r="E15" s="50"/>
      <c r="F15" s="60">
        <v>175.38</v>
      </c>
      <c r="G15" s="50">
        <v>1509.32</v>
      </c>
      <c r="H15" s="10"/>
      <c r="I15" s="10"/>
      <c r="J15" s="10"/>
      <c r="K15" s="10"/>
    </row>
    <row r="16" spans="1:11" ht="15.75" customHeight="1">
      <c r="A16" s="50">
        <v>2</v>
      </c>
      <c r="B16" s="61" t="s">
        <v>121</v>
      </c>
      <c r="C16" s="73" t="s">
        <v>156</v>
      </c>
      <c r="D16" s="61" t="s">
        <v>185</v>
      </c>
      <c r="E16" s="50"/>
      <c r="F16" s="60">
        <v>175.38</v>
      </c>
      <c r="G16" s="174">
        <v>3020.16</v>
      </c>
      <c r="H16" s="10"/>
      <c r="I16" s="10"/>
      <c r="J16" s="10"/>
      <c r="K16" s="10"/>
    </row>
    <row r="17" spans="1:11" ht="15.75" customHeight="1">
      <c r="A17" s="50">
        <v>3</v>
      </c>
      <c r="B17" s="61" t="s">
        <v>122</v>
      </c>
      <c r="C17" s="73" t="s">
        <v>156</v>
      </c>
      <c r="D17" s="61" t="s">
        <v>186</v>
      </c>
      <c r="E17" s="50"/>
      <c r="F17" s="60">
        <v>504.5</v>
      </c>
      <c r="G17" s="50">
        <v>2672.84</v>
      </c>
      <c r="H17" s="10"/>
      <c r="I17" s="10"/>
      <c r="J17" s="10"/>
      <c r="K17" s="10"/>
    </row>
    <row r="18" spans="1:11" hidden="1">
      <c r="A18" s="50"/>
      <c r="B18" s="61" t="s">
        <v>157</v>
      </c>
      <c r="C18" s="73" t="s">
        <v>146</v>
      </c>
      <c r="D18" s="175" t="s">
        <v>158</v>
      </c>
      <c r="E18" s="50"/>
      <c r="F18" s="60">
        <v>170.16</v>
      </c>
      <c r="G18" s="50"/>
      <c r="H18" s="10"/>
      <c r="I18" s="10"/>
      <c r="J18" s="10"/>
      <c r="K18" s="10"/>
    </row>
    <row r="19" spans="1:11" hidden="1">
      <c r="A19" s="50"/>
      <c r="B19" s="61" t="s">
        <v>159</v>
      </c>
      <c r="C19" s="73" t="s">
        <v>156</v>
      </c>
      <c r="D19" s="175" t="s">
        <v>66</v>
      </c>
      <c r="E19" s="50"/>
      <c r="F19" s="60">
        <v>217.88</v>
      </c>
      <c r="G19" s="50"/>
      <c r="H19" s="10"/>
      <c r="I19" s="10"/>
      <c r="J19" s="10"/>
      <c r="K19" s="10"/>
    </row>
    <row r="20" spans="1:11" hidden="1">
      <c r="A20" s="50"/>
      <c r="B20" s="61" t="s">
        <v>160</v>
      </c>
      <c r="C20" s="73" t="s">
        <v>156</v>
      </c>
      <c r="D20" s="175" t="s">
        <v>66</v>
      </c>
      <c r="E20" s="50"/>
      <c r="F20" s="60">
        <v>216.12</v>
      </c>
      <c r="G20" s="50"/>
      <c r="H20" s="10"/>
      <c r="I20" s="10"/>
      <c r="J20" s="10"/>
      <c r="K20" s="10"/>
    </row>
    <row r="21" spans="1:11" hidden="1">
      <c r="A21" s="50"/>
      <c r="B21" s="61" t="s">
        <v>161</v>
      </c>
      <c r="C21" s="73" t="s">
        <v>65</v>
      </c>
      <c r="D21" s="175" t="s">
        <v>158</v>
      </c>
      <c r="E21" s="50"/>
      <c r="F21" s="60">
        <v>269.26</v>
      </c>
      <c r="G21" s="50"/>
      <c r="H21" s="10"/>
      <c r="I21" s="10"/>
      <c r="J21" s="10"/>
      <c r="K21" s="10"/>
    </row>
    <row r="22" spans="1:11" hidden="1">
      <c r="A22" s="50"/>
      <c r="B22" s="61" t="s">
        <v>162</v>
      </c>
      <c r="C22" s="73" t="s">
        <v>65</v>
      </c>
      <c r="D22" s="175" t="s">
        <v>158</v>
      </c>
      <c r="E22" s="50"/>
      <c r="F22" s="60">
        <v>44.29</v>
      </c>
      <c r="G22" s="50"/>
      <c r="H22" s="10"/>
      <c r="I22" s="10"/>
      <c r="J22" s="10"/>
      <c r="K22" s="10"/>
    </row>
    <row r="23" spans="1:11" hidden="1">
      <c r="A23" s="50"/>
      <c r="B23" s="61" t="s">
        <v>163</v>
      </c>
      <c r="C23" s="73" t="s">
        <v>65</v>
      </c>
      <c r="D23" s="176" t="s">
        <v>158</v>
      </c>
      <c r="E23" s="50"/>
      <c r="F23" s="60">
        <v>389.72</v>
      </c>
      <c r="G23" s="50"/>
      <c r="H23" s="10"/>
      <c r="I23" s="10"/>
      <c r="J23" s="10"/>
      <c r="K23" s="10"/>
    </row>
    <row r="24" spans="1:11" hidden="1">
      <c r="A24" s="50"/>
      <c r="B24" s="61" t="s">
        <v>164</v>
      </c>
      <c r="C24" s="73" t="s">
        <v>65</v>
      </c>
      <c r="D24" s="175" t="s">
        <v>158</v>
      </c>
      <c r="E24" s="50"/>
      <c r="F24" s="60">
        <v>520.79999999999995</v>
      </c>
      <c r="G24" s="50"/>
      <c r="H24" s="10"/>
      <c r="I24" s="10"/>
      <c r="J24" s="10"/>
      <c r="K24" s="10"/>
    </row>
    <row r="25" spans="1:11">
      <c r="A25" s="50">
        <v>4</v>
      </c>
      <c r="B25" s="84" t="s">
        <v>26</v>
      </c>
      <c r="C25" s="18" t="s">
        <v>27</v>
      </c>
      <c r="D25" s="22" t="s">
        <v>28</v>
      </c>
      <c r="E25" s="19" t="e">
        <f>#REF!+#REF!+#REF!+#REF!+#REF!+#REF!+'12.16'!E13+#REF!+#REF!+#REF!+#REF!+#REF!</f>
        <v>#REF!</v>
      </c>
      <c r="F25" s="21">
        <v>4.53</v>
      </c>
      <c r="G25" s="26">
        <v>11626.7</v>
      </c>
      <c r="H25" s="10"/>
      <c r="I25" s="10"/>
      <c r="J25" s="10"/>
      <c r="K25" s="10"/>
    </row>
    <row r="26" spans="1:11" ht="15" customHeight="1">
      <c r="A26" s="50">
        <v>5</v>
      </c>
      <c r="B26" s="61" t="s">
        <v>81</v>
      </c>
      <c r="C26" s="73" t="s">
        <v>37</v>
      </c>
      <c r="D26" s="61" t="s">
        <v>115</v>
      </c>
      <c r="E26" s="20">
        <v>0</v>
      </c>
      <c r="F26" s="60">
        <v>147.03</v>
      </c>
      <c r="G26" s="20">
        <v>447.22</v>
      </c>
      <c r="H26" s="36"/>
      <c r="I26" s="10"/>
      <c r="J26" s="10"/>
      <c r="K26" s="10"/>
    </row>
    <row r="27" spans="1:11" ht="15" customHeight="1">
      <c r="A27" s="243" t="s">
        <v>116</v>
      </c>
      <c r="B27" s="244"/>
      <c r="C27" s="244"/>
      <c r="D27" s="244"/>
      <c r="E27" s="244"/>
      <c r="F27" s="244"/>
      <c r="G27" s="245"/>
      <c r="H27" s="36"/>
      <c r="I27" s="10"/>
      <c r="J27" s="10"/>
      <c r="K27" s="10"/>
    </row>
    <row r="28" spans="1:11" ht="16.5" customHeight="1">
      <c r="A28" s="74"/>
      <c r="B28" s="82" t="s">
        <v>5</v>
      </c>
      <c r="C28" s="74"/>
      <c r="D28" s="74"/>
      <c r="E28" s="19"/>
      <c r="F28" s="21"/>
      <c r="G28" s="177"/>
      <c r="H28" s="36"/>
      <c r="I28" s="10"/>
      <c r="J28" s="10"/>
      <c r="K28" s="10"/>
    </row>
    <row r="29" spans="1:11" ht="15.75" customHeight="1">
      <c r="A29" s="62">
        <v>6</v>
      </c>
      <c r="B29" s="22" t="s">
        <v>30</v>
      </c>
      <c r="C29" s="24" t="s">
        <v>36</v>
      </c>
      <c r="D29" s="22" t="s">
        <v>83</v>
      </c>
      <c r="E29" s="19" t="e">
        <f>#REF!+#REF!+#REF!+#REF!+#REF!+#REF!+'12.16'!E35+#REF!+#REF!+#REF!+#REF!+#REF!</f>
        <v>#REF!</v>
      </c>
      <c r="F29" s="60">
        <v>1527.22</v>
      </c>
      <c r="G29" s="26">
        <v>2036.29</v>
      </c>
      <c r="H29" s="36"/>
      <c r="I29" s="10"/>
      <c r="J29" s="10"/>
      <c r="K29" s="10"/>
    </row>
    <row r="30" spans="1:11" ht="15.75" customHeight="1">
      <c r="A30" s="62">
        <v>7</v>
      </c>
      <c r="B30" s="22" t="s">
        <v>136</v>
      </c>
      <c r="C30" s="24" t="s">
        <v>33</v>
      </c>
      <c r="D30" s="22" t="s">
        <v>98</v>
      </c>
      <c r="E30" s="19" t="e">
        <f>#REF!+#REF!+#REF!+#REF!+#REF!+#REF!+'12.16'!E36+#REF!+#REF!+#REF!+#REF!+#REF!</f>
        <v>#REF!</v>
      </c>
      <c r="F30" s="60">
        <v>2102.71</v>
      </c>
      <c r="G30" s="26">
        <v>1133.3599999999999</v>
      </c>
      <c r="H30" s="36"/>
      <c r="I30" s="10"/>
      <c r="J30" s="10"/>
      <c r="K30" s="10"/>
    </row>
    <row r="31" spans="1:11" ht="15.75" customHeight="1">
      <c r="A31" s="62">
        <v>8</v>
      </c>
      <c r="B31" s="22" t="s">
        <v>137</v>
      </c>
      <c r="C31" s="24" t="s">
        <v>33</v>
      </c>
      <c r="D31" s="22" t="s">
        <v>138</v>
      </c>
      <c r="E31" s="19"/>
      <c r="F31" s="60">
        <v>2102.71</v>
      </c>
      <c r="G31" s="26">
        <v>630.80999999999995</v>
      </c>
      <c r="H31" s="36"/>
      <c r="I31" s="10"/>
      <c r="J31" s="10"/>
      <c r="K31" s="10"/>
    </row>
    <row r="32" spans="1:11" ht="47.25" customHeight="1">
      <c r="A32" s="62">
        <v>9</v>
      </c>
      <c r="B32" s="61" t="s">
        <v>110</v>
      </c>
      <c r="C32" s="24" t="s">
        <v>33</v>
      </c>
      <c r="D32" s="22" t="s">
        <v>147</v>
      </c>
      <c r="E32" s="19" t="e">
        <f>#REF!+#REF!+#REF!+#REF!+#REF!+#REF!+'12.16'!E37+#REF!+#REF!+#REF!+#REF!+#REF!</f>
        <v>#REF!</v>
      </c>
      <c r="F32" s="27">
        <v>5803.28</v>
      </c>
      <c r="G32" s="26">
        <v>1516.51</v>
      </c>
      <c r="H32" s="36"/>
      <c r="I32" s="10"/>
      <c r="J32" s="10"/>
      <c r="K32" s="10"/>
    </row>
    <row r="33" spans="1:11" ht="31.5" customHeight="1">
      <c r="A33" s="62">
        <v>10</v>
      </c>
      <c r="B33" s="22" t="s">
        <v>139</v>
      </c>
      <c r="C33" s="24" t="s">
        <v>33</v>
      </c>
      <c r="D33" s="22" t="s">
        <v>117</v>
      </c>
      <c r="E33" s="19" t="e">
        <f>#REF!+#REF!+#REF!+#REF!+#REF!+#REF!+'12.16'!E38+#REF!+#REF!+#REF!+#REF!+#REF!</f>
        <v>#REF!</v>
      </c>
      <c r="F33" s="27">
        <v>350.75</v>
      </c>
      <c r="G33" s="26">
        <v>591.96</v>
      </c>
      <c r="H33" s="36"/>
      <c r="I33" s="10"/>
      <c r="J33" s="10"/>
      <c r="K33" s="10"/>
    </row>
    <row r="34" spans="1:11">
      <c r="A34" s="62">
        <v>11</v>
      </c>
      <c r="B34" s="22" t="s">
        <v>128</v>
      </c>
      <c r="C34" s="24" t="s">
        <v>33</v>
      </c>
      <c r="D34" s="22" t="s">
        <v>114</v>
      </c>
      <c r="E34" s="26" t="e">
        <f>#REF!+#REF!+#REF!+#REF!+#REF!+#REF!+'12.16'!E39+#REF!+#REF!+#REF!+#REF!+#REF!</f>
        <v>#REF!</v>
      </c>
      <c r="F34" s="27">
        <v>428.7</v>
      </c>
      <c r="G34" s="26">
        <v>210.05</v>
      </c>
      <c r="H34" s="36"/>
      <c r="I34" s="10"/>
      <c r="J34" s="10"/>
      <c r="K34" s="10"/>
    </row>
    <row r="35" spans="1:11" ht="16.5" customHeight="1">
      <c r="A35" s="62">
        <v>12</v>
      </c>
      <c r="B35" s="22" t="s">
        <v>31</v>
      </c>
      <c r="C35" s="18" t="s">
        <v>37</v>
      </c>
      <c r="D35" s="200"/>
      <c r="E35" s="19" t="e">
        <f>#REF!+#REF!+#REF!+#REF!+#REF!+#REF!+'12.16'!E40+#REF!+#REF!+#REF!+#REF!+#REF!</f>
        <v>#REF!</v>
      </c>
      <c r="F35" s="27">
        <v>798</v>
      </c>
      <c r="G35" s="26">
        <v>106.4</v>
      </c>
      <c r="H35" s="36"/>
      <c r="I35" s="10"/>
      <c r="J35" s="10"/>
      <c r="K35" s="10"/>
    </row>
    <row r="36" spans="1:11" ht="16.5" customHeight="1">
      <c r="A36" s="198"/>
      <c r="B36" s="243" t="s">
        <v>125</v>
      </c>
      <c r="C36" s="244"/>
      <c r="D36" s="244"/>
      <c r="E36" s="244"/>
      <c r="F36" s="244"/>
      <c r="G36" s="245"/>
      <c r="H36" s="36"/>
      <c r="I36" s="10"/>
      <c r="J36" s="10"/>
      <c r="K36" s="10"/>
    </row>
    <row r="37" spans="1:11" ht="31.5" hidden="1" customHeight="1">
      <c r="A37" s="74">
        <v>16</v>
      </c>
      <c r="B37" s="22" t="s">
        <v>38</v>
      </c>
      <c r="C37" s="24" t="s">
        <v>33</v>
      </c>
      <c r="D37" s="22" t="s">
        <v>76</v>
      </c>
      <c r="E37" s="26" t="e">
        <f>#REF!+#REF!+#REF!+#REF!+#REF!+#REF!+'12.16'!E44+#REF!+#REF!+#REF!+#REF!+#REF!</f>
        <v>#REF!</v>
      </c>
      <c r="F37" s="65">
        <v>809.74</v>
      </c>
      <c r="G37" s="26">
        <v>0</v>
      </c>
      <c r="H37" s="36"/>
      <c r="I37" s="10"/>
      <c r="J37" s="10"/>
      <c r="K37" s="10"/>
    </row>
    <row r="38" spans="1:11" ht="31.5" hidden="1" customHeight="1">
      <c r="A38" s="74">
        <v>17</v>
      </c>
      <c r="B38" s="61" t="s">
        <v>41</v>
      </c>
      <c r="C38" s="73" t="s">
        <v>165</v>
      </c>
      <c r="D38" s="22" t="s">
        <v>76</v>
      </c>
      <c r="E38" s="26" t="e">
        <f>#REF!+#REF!+#REF!+#REF!+#REF!+#REF!+'12.16'!E45+#REF!+#REF!+#REF!+#REF!+#REF!</f>
        <v>#REF!</v>
      </c>
      <c r="F38" s="65">
        <v>579.48</v>
      </c>
      <c r="G38" s="26">
        <v>0</v>
      </c>
      <c r="H38" s="36"/>
      <c r="I38" s="10"/>
      <c r="J38" s="10"/>
      <c r="K38" s="10"/>
    </row>
    <row r="39" spans="1:11" ht="31.5" hidden="1" customHeight="1">
      <c r="A39" s="74">
        <v>18</v>
      </c>
      <c r="B39" s="61" t="s">
        <v>42</v>
      </c>
      <c r="C39" s="73" t="s">
        <v>165</v>
      </c>
      <c r="D39" s="22" t="s">
        <v>76</v>
      </c>
      <c r="E39" s="26" t="e">
        <f>#REF!+#REF!+#REF!+#REF!+#REF!+#REF!+'12.16'!E46+#REF!+#REF!+#REF!+#REF!+#REF!</f>
        <v>#REF!</v>
      </c>
      <c r="F39" s="65">
        <v>579.48</v>
      </c>
      <c r="G39" s="26">
        <v>0</v>
      </c>
      <c r="H39" s="36"/>
      <c r="I39" s="10"/>
      <c r="J39" s="10"/>
      <c r="K39" s="10"/>
    </row>
    <row r="40" spans="1:11" ht="31.5" hidden="1" customHeight="1">
      <c r="A40" s="74">
        <v>19</v>
      </c>
      <c r="B40" s="61" t="s">
        <v>43</v>
      </c>
      <c r="C40" s="73" t="s">
        <v>165</v>
      </c>
      <c r="D40" s="22" t="s">
        <v>76</v>
      </c>
      <c r="E40" s="26" t="e">
        <f>#REF!+#REF!+#REF!+#REF!+#REF!+#REF!+'12.16'!E47+#REF!+#REF!+#REF!+#REF!+#REF!</f>
        <v>#REF!</v>
      </c>
      <c r="F40" s="65">
        <v>606.77</v>
      </c>
      <c r="G40" s="26">
        <v>0</v>
      </c>
      <c r="H40" s="36"/>
      <c r="I40" s="10"/>
      <c r="J40" s="10"/>
      <c r="K40" s="10"/>
    </row>
    <row r="41" spans="1:11" ht="31.5" hidden="1" customHeight="1">
      <c r="A41" s="74">
        <v>20</v>
      </c>
      <c r="B41" s="61" t="s">
        <v>39</v>
      </c>
      <c r="C41" s="73" t="s">
        <v>40</v>
      </c>
      <c r="D41" s="22" t="s">
        <v>76</v>
      </c>
      <c r="E41" s="26" t="e">
        <f>#REF!+#REF!+#REF!+#REF!+#REF!+#REF!+'12.16'!E48+#REF!+#REF!+#REF!+#REF!+#REF!</f>
        <v>#REF!</v>
      </c>
      <c r="F41" s="65">
        <v>72.81</v>
      </c>
      <c r="G41" s="26">
        <v>0</v>
      </c>
      <c r="H41" s="36"/>
      <c r="I41" s="10"/>
      <c r="J41" s="10"/>
      <c r="K41" s="10"/>
    </row>
    <row r="42" spans="1:11" ht="31.5" customHeight="1">
      <c r="A42" s="74">
        <v>13</v>
      </c>
      <c r="B42" s="22" t="s">
        <v>72</v>
      </c>
      <c r="C42" s="24" t="s">
        <v>33</v>
      </c>
      <c r="D42" s="22" t="s">
        <v>76</v>
      </c>
      <c r="E42" s="26" t="e">
        <f>#REF!+#REF!+#REF!+#REF!+#REF!+#REF!+'12.16'!E49+#REF!+#REF!+#REF!+#REF!+#REF!</f>
        <v>#REF!</v>
      </c>
      <c r="F42" s="65">
        <v>1213.55</v>
      </c>
      <c r="G42" s="26">
        <v>1082.24</v>
      </c>
      <c r="H42" s="36"/>
      <c r="I42" s="10"/>
      <c r="J42" s="10"/>
      <c r="K42" s="10"/>
    </row>
    <row r="43" spans="1:11" ht="31.5" hidden="1" customHeight="1">
      <c r="A43" s="74">
        <v>22</v>
      </c>
      <c r="B43" s="22" t="s">
        <v>44</v>
      </c>
      <c r="C43" s="24" t="s">
        <v>33</v>
      </c>
      <c r="D43" s="22" t="s">
        <v>76</v>
      </c>
      <c r="E43" s="26" t="e">
        <f>#REF!+#REF!+#REF!+#REF!+#REF!+#REF!+'12.16'!E50+#REF!+#REF!+#REF!+#REF!+#REF!</f>
        <v>#REF!</v>
      </c>
      <c r="F43" s="65">
        <v>1213.55</v>
      </c>
      <c r="G43" s="26">
        <v>0</v>
      </c>
      <c r="H43" s="36"/>
      <c r="I43" s="10"/>
    </row>
    <row r="44" spans="1:11" ht="31.5" hidden="1" customHeight="1">
      <c r="A44" s="74">
        <v>23</v>
      </c>
      <c r="B44" s="22" t="s">
        <v>45</v>
      </c>
      <c r="C44" s="24" t="s">
        <v>46</v>
      </c>
      <c r="D44" s="22" t="s">
        <v>76</v>
      </c>
      <c r="E44" s="26" t="e">
        <f>#REF!+#REF!+#REF!+#REF!+#REF!+#REF!+'12.16'!E51+#REF!+#REF!+#REF!+#REF!+#REF!</f>
        <v>#REF!</v>
      </c>
      <c r="F44" s="65">
        <v>2730.49</v>
      </c>
      <c r="G44" s="26">
        <v>0</v>
      </c>
      <c r="H44" s="37"/>
    </row>
    <row r="45" spans="1:11" ht="31.5" hidden="1" customHeight="1">
      <c r="A45" s="74">
        <v>24</v>
      </c>
      <c r="B45" s="22" t="s">
        <v>47</v>
      </c>
      <c r="C45" s="24" t="s">
        <v>48</v>
      </c>
      <c r="D45" s="22" t="s">
        <v>76</v>
      </c>
      <c r="E45" s="26" t="e">
        <f>#REF!+#REF!+#REF!+#REF!+#REF!+#REF!+'12.16'!E52+#REF!+#REF!+#REF!+#REF!+#REF!</f>
        <v>#REF!</v>
      </c>
      <c r="F45" s="65">
        <v>5652.13</v>
      </c>
      <c r="G45" s="26">
        <v>0</v>
      </c>
      <c r="H45" s="37"/>
    </row>
    <row r="46" spans="1:11" ht="15.75" hidden="1" customHeight="1">
      <c r="A46" s="74">
        <v>25</v>
      </c>
      <c r="B46" s="31" t="s">
        <v>49</v>
      </c>
      <c r="C46" s="32" t="s">
        <v>35</v>
      </c>
      <c r="D46" s="31" t="s">
        <v>50</v>
      </c>
      <c r="E46" s="26">
        <v>32</v>
      </c>
      <c r="F46" s="65">
        <v>141.12</v>
      </c>
      <c r="G46" s="177">
        <f>E46*F46</f>
        <v>4515.84</v>
      </c>
      <c r="H46" s="37"/>
    </row>
    <row r="47" spans="1:11" ht="15.75" hidden="1" customHeight="1">
      <c r="A47" s="74">
        <v>26</v>
      </c>
      <c r="B47" s="22" t="s">
        <v>51</v>
      </c>
      <c r="C47" s="32" t="s">
        <v>35</v>
      </c>
      <c r="D47" s="22" t="s">
        <v>52</v>
      </c>
      <c r="E47" s="26">
        <v>32</v>
      </c>
      <c r="F47" s="66">
        <v>65.67</v>
      </c>
      <c r="G47" s="177">
        <f>E47*F47</f>
        <v>2101.44</v>
      </c>
      <c r="H47" s="37"/>
    </row>
    <row r="48" spans="1:11" ht="15.75" customHeight="1">
      <c r="A48" s="128"/>
      <c r="B48" s="243" t="s">
        <v>239</v>
      </c>
      <c r="C48" s="244"/>
      <c r="D48" s="244"/>
      <c r="E48" s="244"/>
      <c r="F48" s="244"/>
      <c r="G48" s="245"/>
      <c r="H48" s="37"/>
    </row>
    <row r="49" spans="1:12" ht="15.75" customHeight="1">
      <c r="A49" s="198"/>
      <c r="B49" s="81" t="s">
        <v>53</v>
      </c>
      <c r="C49" s="24"/>
      <c r="D49" s="178"/>
      <c r="E49" s="19"/>
      <c r="F49" s="50"/>
      <c r="G49" s="177"/>
      <c r="H49" s="37"/>
    </row>
    <row r="50" spans="1:12" ht="47.25" customHeight="1">
      <c r="A50" s="74">
        <v>14</v>
      </c>
      <c r="B50" s="22" t="s">
        <v>130</v>
      </c>
      <c r="C50" s="24" t="s">
        <v>65</v>
      </c>
      <c r="D50" s="179" t="s">
        <v>34</v>
      </c>
      <c r="E50" s="26" t="e">
        <f>#REF!+#REF!+#REF!+#REF!+#REF!+#REF!+'12.16'!E75+#REF!+#REF!+#REF!+#REF!+#REF!</f>
        <v>#REF!</v>
      </c>
      <c r="F50" s="27">
        <v>1547.28</v>
      </c>
      <c r="G50" s="26">
        <v>1743.48</v>
      </c>
      <c r="H50" s="37"/>
    </row>
    <row r="51" spans="1:12" ht="15.75" hidden="1" customHeight="1">
      <c r="A51" s="74"/>
      <c r="B51" s="201" t="s">
        <v>54</v>
      </c>
      <c r="C51" s="63"/>
      <c r="D51" s="180"/>
      <c r="E51" s="19"/>
      <c r="F51" s="64"/>
      <c r="G51" s="177"/>
      <c r="H51" s="37"/>
      <c r="J51" s="28"/>
      <c r="K51" s="29"/>
      <c r="L51" s="30"/>
    </row>
    <row r="52" spans="1:12" ht="15.75" hidden="1" customHeight="1">
      <c r="A52" s="74">
        <v>29</v>
      </c>
      <c r="B52" s="22" t="s">
        <v>55</v>
      </c>
      <c r="C52" s="24" t="s">
        <v>65</v>
      </c>
      <c r="D52" s="22" t="s">
        <v>66</v>
      </c>
      <c r="E52" s="19" t="e">
        <f>#REF!+#REF!+#REF!+#REF!+#REF!+#REF!+'12.16'!E78+#REF!+#REF!+#REF!+#REF!+#REF!</f>
        <v>#REF!</v>
      </c>
      <c r="F52" s="50">
        <v>793.61</v>
      </c>
      <c r="G52" s="177">
        <v>0</v>
      </c>
      <c r="H52" s="37"/>
      <c r="J52" s="28"/>
      <c r="K52" s="29"/>
      <c r="L52" s="30"/>
    </row>
    <row r="53" spans="1:12" ht="16.5" hidden="1" customHeight="1">
      <c r="A53" s="171"/>
      <c r="B53" s="181" t="s">
        <v>56</v>
      </c>
      <c r="C53" s="127"/>
      <c r="D53" s="182"/>
      <c r="E53" s="172"/>
      <c r="F53" s="183"/>
      <c r="G53" s="173"/>
      <c r="H53" s="37"/>
      <c r="J53" s="28"/>
      <c r="K53" s="29"/>
      <c r="L53" s="30"/>
    </row>
    <row r="54" spans="1:12" ht="16.5" hidden="1" customHeight="1">
      <c r="A54" s="171"/>
      <c r="B54" s="184" t="s">
        <v>57</v>
      </c>
      <c r="C54" s="69" t="s">
        <v>144</v>
      </c>
      <c r="D54" s="68" t="s">
        <v>83</v>
      </c>
      <c r="E54" s="172"/>
      <c r="F54" s="65">
        <v>222.4</v>
      </c>
      <c r="G54" s="173">
        <v>0</v>
      </c>
      <c r="H54" s="37"/>
      <c r="J54" s="28"/>
      <c r="K54" s="29"/>
      <c r="L54" s="30"/>
    </row>
    <row r="55" spans="1:12" ht="16.5" hidden="1" customHeight="1">
      <c r="A55" s="171"/>
      <c r="B55" s="184" t="s">
        <v>58</v>
      </c>
      <c r="C55" s="69" t="s">
        <v>144</v>
      </c>
      <c r="D55" s="68" t="s">
        <v>83</v>
      </c>
      <c r="E55" s="172"/>
      <c r="F55" s="65">
        <v>76.25</v>
      </c>
      <c r="G55" s="173">
        <v>0</v>
      </c>
      <c r="H55" s="37"/>
      <c r="J55" s="28"/>
      <c r="K55" s="29"/>
      <c r="L55" s="30"/>
    </row>
    <row r="56" spans="1:12" ht="16.5" hidden="1" customHeight="1">
      <c r="A56" s="171"/>
      <c r="B56" s="184" t="s">
        <v>59</v>
      </c>
      <c r="C56" s="71" t="s">
        <v>168</v>
      </c>
      <c r="D56" s="68" t="s">
        <v>66</v>
      </c>
      <c r="E56" s="172"/>
      <c r="F56" s="65">
        <v>212.15</v>
      </c>
      <c r="G56" s="173">
        <v>0</v>
      </c>
      <c r="H56" s="37"/>
      <c r="J56" s="28"/>
      <c r="K56" s="29"/>
      <c r="L56" s="30"/>
    </row>
    <row r="57" spans="1:12" ht="16.5" hidden="1" customHeight="1">
      <c r="A57" s="171"/>
      <c r="B57" s="184" t="s">
        <v>60</v>
      </c>
      <c r="C57" s="69" t="s">
        <v>169</v>
      </c>
      <c r="D57" s="68"/>
      <c r="E57" s="172"/>
      <c r="F57" s="65">
        <v>165.21</v>
      </c>
      <c r="G57" s="173">
        <v>0</v>
      </c>
      <c r="H57" s="37"/>
      <c r="J57" s="28"/>
      <c r="K57" s="29"/>
      <c r="L57" s="30"/>
    </row>
    <row r="58" spans="1:12" ht="16.5" hidden="1" customHeight="1">
      <c r="A58" s="171"/>
      <c r="B58" s="184" t="s">
        <v>61</v>
      </c>
      <c r="C58" s="69" t="s">
        <v>94</v>
      </c>
      <c r="D58" s="68" t="s">
        <v>66</v>
      </c>
      <c r="E58" s="172"/>
      <c r="F58" s="65">
        <v>2074.63</v>
      </c>
      <c r="G58" s="173">
        <v>0</v>
      </c>
      <c r="H58" s="37"/>
      <c r="J58" s="28"/>
      <c r="K58" s="29"/>
      <c r="L58" s="30"/>
    </row>
    <row r="59" spans="1:12" ht="16.5" hidden="1" customHeight="1">
      <c r="A59" s="171"/>
      <c r="B59" s="129" t="s">
        <v>170</v>
      </c>
      <c r="C59" s="69" t="s">
        <v>37</v>
      </c>
      <c r="D59" s="68"/>
      <c r="E59" s="172"/>
      <c r="F59" s="65">
        <v>42.67</v>
      </c>
      <c r="G59" s="173">
        <v>0</v>
      </c>
      <c r="H59" s="37"/>
      <c r="J59" s="28"/>
      <c r="K59" s="29"/>
      <c r="L59" s="30"/>
    </row>
    <row r="60" spans="1:12" ht="16.5" hidden="1" customHeight="1">
      <c r="A60" s="171"/>
      <c r="B60" s="129" t="s">
        <v>171</v>
      </c>
      <c r="C60" s="69" t="s">
        <v>37</v>
      </c>
      <c r="D60" s="68"/>
      <c r="E60" s="172"/>
      <c r="F60" s="65">
        <v>39.81</v>
      </c>
      <c r="G60" s="173">
        <v>0</v>
      </c>
      <c r="H60" s="37"/>
      <c r="J60" s="28"/>
      <c r="K60" s="29"/>
      <c r="L60" s="30"/>
    </row>
    <row r="61" spans="1:12" ht="16.5" hidden="1" customHeight="1">
      <c r="A61" s="171"/>
      <c r="B61" s="68" t="s">
        <v>73</v>
      </c>
      <c r="C61" s="69" t="s">
        <v>74</v>
      </c>
      <c r="D61" s="68" t="s">
        <v>66</v>
      </c>
      <c r="E61" s="172"/>
      <c r="F61" s="65">
        <v>49.88</v>
      </c>
      <c r="G61" s="173">
        <v>0</v>
      </c>
      <c r="H61" s="37"/>
      <c r="J61" s="28"/>
      <c r="K61" s="29"/>
      <c r="L61" s="30"/>
    </row>
    <row r="62" spans="1:12" ht="14.25" hidden="1" customHeight="1">
      <c r="A62" s="128"/>
      <c r="B62" s="201" t="s">
        <v>166</v>
      </c>
      <c r="C62" s="201"/>
      <c r="D62" s="201"/>
      <c r="E62" s="201"/>
      <c r="F62" s="201"/>
      <c r="G62" s="26"/>
      <c r="H62" s="37"/>
      <c r="J62" s="28"/>
      <c r="K62" s="29"/>
      <c r="L62" s="30"/>
    </row>
    <row r="63" spans="1:12" ht="16.5" hidden="1" customHeight="1">
      <c r="A63" s="50">
        <v>36</v>
      </c>
      <c r="B63" s="167" t="s">
        <v>167</v>
      </c>
      <c r="C63" s="168"/>
      <c r="D63" s="169" t="s">
        <v>66</v>
      </c>
      <c r="E63" s="170">
        <v>0</v>
      </c>
      <c r="F63" s="67">
        <v>20954</v>
      </c>
      <c r="G63" s="26">
        <v>0</v>
      </c>
      <c r="H63" s="37"/>
      <c r="J63" s="28"/>
      <c r="K63" s="29"/>
      <c r="L63" s="30"/>
    </row>
    <row r="64" spans="1:12" ht="16.5" hidden="1" customHeight="1">
      <c r="A64" s="171"/>
      <c r="B64" s="82" t="s">
        <v>88</v>
      </c>
      <c r="C64" s="69"/>
      <c r="D64" s="68"/>
      <c r="E64" s="172"/>
      <c r="F64" s="65"/>
      <c r="G64" s="173"/>
      <c r="H64" s="37"/>
      <c r="J64" s="28"/>
      <c r="K64" s="29"/>
      <c r="L64" s="30"/>
    </row>
    <row r="65" spans="1:12" ht="16.5" hidden="1" customHeight="1">
      <c r="A65" s="171"/>
      <c r="B65" s="68" t="s">
        <v>89</v>
      </c>
      <c r="C65" s="69" t="s">
        <v>91</v>
      </c>
      <c r="D65" s="68" t="s">
        <v>83</v>
      </c>
      <c r="E65" s="172"/>
      <c r="F65" s="65">
        <v>501.62</v>
      </c>
      <c r="G65" s="173">
        <v>0</v>
      </c>
      <c r="H65" s="37"/>
      <c r="J65" s="28"/>
      <c r="K65" s="29"/>
      <c r="L65" s="30"/>
    </row>
    <row r="66" spans="1:12" ht="16.5" hidden="1" customHeight="1">
      <c r="A66" s="171"/>
      <c r="B66" s="68" t="s">
        <v>90</v>
      </c>
      <c r="C66" s="69" t="s">
        <v>35</v>
      </c>
      <c r="D66" s="68" t="s">
        <v>83</v>
      </c>
      <c r="E66" s="172"/>
      <c r="F66" s="65">
        <v>852.99</v>
      </c>
      <c r="G66" s="173">
        <v>0</v>
      </c>
      <c r="H66" s="37"/>
      <c r="J66" s="28"/>
      <c r="K66" s="29"/>
      <c r="L66" s="30"/>
    </row>
    <row r="67" spans="1:12" ht="16.5" hidden="1" customHeight="1">
      <c r="A67" s="171"/>
      <c r="B67" s="68" t="s">
        <v>172</v>
      </c>
      <c r="C67" s="69" t="s">
        <v>35</v>
      </c>
      <c r="D67" s="68" t="s">
        <v>83</v>
      </c>
      <c r="E67" s="172"/>
      <c r="F67" s="65">
        <v>358.51</v>
      </c>
      <c r="G67" s="173">
        <v>0</v>
      </c>
      <c r="H67" s="37"/>
      <c r="J67" s="28"/>
      <c r="K67" s="29"/>
      <c r="L67" s="30"/>
    </row>
    <row r="68" spans="1:12" ht="16.5" hidden="1" customHeight="1">
      <c r="A68" s="171"/>
      <c r="B68" s="68" t="s">
        <v>173</v>
      </c>
      <c r="C68" s="69" t="s">
        <v>35</v>
      </c>
      <c r="D68" s="68" t="s">
        <v>83</v>
      </c>
      <c r="E68" s="172"/>
      <c r="F68" s="65">
        <v>784.67</v>
      </c>
      <c r="G68" s="173">
        <v>0</v>
      </c>
      <c r="H68" s="37"/>
      <c r="J68" s="28"/>
      <c r="K68" s="29"/>
      <c r="L68" s="30"/>
    </row>
    <row r="69" spans="1:12" ht="16.5" hidden="1" customHeight="1">
      <c r="A69" s="171"/>
      <c r="B69" s="68" t="s">
        <v>174</v>
      </c>
      <c r="C69" s="69" t="s">
        <v>175</v>
      </c>
      <c r="D69" s="68"/>
      <c r="E69" s="172"/>
      <c r="F69" s="65">
        <v>1000</v>
      </c>
      <c r="G69" s="173">
        <v>0</v>
      </c>
      <c r="H69" s="37"/>
      <c r="J69" s="28"/>
      <c r="K69" s="29"/>
      <c r="L69" s="30"/>
    </row>
    <row r="70" spans="1:12" ht="16.5" hidden="1" customHeight="1">
      <c r="A70" s="171"/>
      <c r="B70" s="83" t="s">
        <v>92</v>
      </c>
      <c r="C70" s="69"/>
      <c r="D70" s="68"/>
      <c r="E70" s="172"/>
      <c r="F70" s="65" t="s">
        <v>177</v>
      </c>
      <c r="G70" s="173"/>
      <c r="H70" s="37"/>
      <c r="J70" s="28"/>
      <c r="K70" s="29"/>
      <c r="L70" s="30"/>
    </row>
    <row r="71" spans="1:12" ht="16.5" hidden="1" customHeight="1">
      <c r="A71" s="171"/>
      <c r="B71" s="70" t="s">
        <v>176</v>
      </c>
      <c r="C71" s="71" t="s">
        <v>94</v>
      </c>
      <c r="D71" s="184"/>
      <c r="E71" s="172"/>
      <c r="F71" s="66">
        <v>2579.44</v>
      </c>
      <c r="G71" s="173">
        <v>0</v>
      </c>
      <c r="H71" s="37"/>
      <c r="J71" s="28"/>
      <c r="K71" s="29"/>
      <c r="L71" s="30"/>
    </row>
    <row r="72" spans="1:12" ht="17.25" customHeight="1">
      <c r="A72" s="171"/>
      <c r="B72" s="243" t="s">
        <v>240</v>
      </c>
      <c r="C72" s="244"/>
      <c r="D72" s="244"/>
      <c r="E72" s="244"/>
      <c r="F72" s="244"/>
      <c r="G72" s="245"/>
      <c r="H72" s="37"/>
      <c r="J72" s="28"/>
      <c r="K72" s="29"/>
      <c r="L72" s="30"/>
    </row>
    <row r="73" spans="1:12" ht="15" customHeight="1">
      <c r="A73" s="171">
        <v>15</v>
      </c>
      <c r="B73" s="55" t="s">
        <v>129</v>
      </c>
      <c r="C73" s="24" t="s">
        <v>69</v>
      </c>
      <c r="D73" s="179" t="s">
        <v>70</v>
      </c>
      <c r="E73" s="19" t="e">
        <f>#REF!+#REF!+#REF!+#REF!+#REF!+#REF!+'12.16'!E89+#REF!+#REF!+#REF!+#REF!+#REF!</f>
        <v>#REF!</v>
      </c>
      <c r="F73" s="185">
        <v>2.1</v>
      </c>
      <c r="G73" s="26">
        <v>5389.86</v>
      </c>
      <c r="H73" s="37"/>
      <c r="J73" s="28"/>
      <c r="K73" s="29"/>
      <c r="L73" s="30"/>
    </row>
    <row r="74" spans="1:12" ht="31.5" customHeight="1">
      <c r="A74" s="50">
        <v>16</v>
      </c>
      <c r="B74" s="68" t="s">
        <v>95</v>
      </c>
      <c r="C74" s="24" t="s">
        <v>69</v>
      </c>
      <c r="D74" s="22" t="s">
        <v>70</v>
      </c>
      <c r="E74" s="23"/>
      <c r="F74" s="65">
        <v>1.63</v>
      </c>
      <c r="G74" s="20">
        <v>4183.5600000000004</v>
      </c>
      <c r="H74" s="37"/>
      <c r="J74" s="28"/>
      <c r="K74" s="29"/>
      <c r="L74" s="30"/>
    </row>
    <row r="75" spans="1:12" ht="15" customHeight="1">
      <c r="A75" s="128"/>
      <c r="B75" s="72" t="s">
        <v>100</v>
      </c>
      <c r="C75" s="74"/>
      <c r="D75" s="23"/>
      <c r="E75" s="23"/>
      <c r="F75" s="26"/>
      <c r="G75" s="59">
        <f>SUM(G15+G16+G17+G25+G26+G29+G30+G31+G32+G33+G34+G35+G42+G50+G73+G74)</f>
        <v>37900.76</v>
      </c>
      <c r="H75" s="37"/>
      <c r="J75" s="28"/>
      <c r="K75" s="29"/>
      <c r="L75" s="30"/>
    </row>
    <row r="76" spans="1:12" ht="17.25" customHeight="1">
      <c r="A76" s="171"/>
      <c r="B76" s="147" t="s">
        <v>75</v>
      </c>
      <c r="C76" s="147"/>
      <c r="D76" s="147"/>
      <c r="E76" s="23"/>
      <c r="F76" s="26"/>
      <c r="G76" s="26"/>
      <c r="H76" s="37"/>
      <c r="J76" s="28"/>
      <c r="K76" s="29"/>
      <c r="L76" s="30"/>
    </row>
    <row r="77" spans="1:12" ht="17.25" customHeight="1">
      <c r="A77" s="171">
        <v>17</v>
      </c>
      <c r="B77" s="148" t="s">
        <v>187</v>
      </c>
      <c r="C77" s="191" t="s">
        <v>188</v>
      </c>
      <c r="D77" s="147"/>
      <c r="E77" s="23"/>
      <c r="F77" s="65">
        <v>3210.77</v>
      </c>
      <c r="G77" s="26">
        <v>9632.31</v>
      </c>
      <c r="H77" s="37"/>
      <c r="J77" s="28"/>
      <c r="K77" s="29"/>
      <c r="L77" s="30"/>
    </row>
    <row r="78" spans="1:12" ht="15.75" customHeight="1">
      <c r="A78" s="171">
        <v>18</v>
      </c>
      <c r="B78" s="148" t="s">
        <v>178</v>
      </c>
      <c r="C78" s="186" t="s">
        <v>102</v>
      </c>
      <c r="D78" s="147"/>
      <c r="E78" s="23"/>
      <c r="F78" s="65">
        <v>18</v>
      </c>
      <c r="G78" s="26">
        <v>18</v>
      </c>
      <c r="H78" s="37"/>
      <c r="J78" s="28"/>
      <c r="K78" s="29"/>
      <c r="L78" s="30"/>
    </row>
    <row r="79" spans="1:12" ht="31.5" customHeight="1">
      <c r="A79" s="171">
        <v>19</v>
      </c>
      <c r="B79" s="148" t="s">
        <v>179</v>
      </c>
      <c r="C79" s="187" t="s">
        <v>144</v>
      </c>
      <c r="D79" s="147"/>
      <c r="E79" s="23"/>
      <c r="F79" s="65">
        <v>183.7</v>
      </c>
      <c r="G79" s="26">
        <v>183.7</v>
      </c>
      <c r="H79" s="37"/>
      <c r="J79" s="28"/>
      <c r="K79" s="29"/>
      <c r="L79" s="30"/>
    </row>
    <row r="80" spans="1:12" ht="16.5" customHeight="1">
      <c r="A80" s="171">
        <v>20</v>
      </c>
      <c r="B80" s="175" t="s">
        <v>51</v>
      </c>
      <c r="C80" s="73" t="s">
        <v>144</v>
      </c>
      <c r="D80" s="147"/>
      <c r="E80" s="23"/>
      <c r="F80" s="65">
        <v>81.73</v>
      </c>
      <c r="G80" s="26">
        <v>81.73</v>
      </c>
      <c r="H80" s="37"/>
      <c r="J80" s="28"/>
      <c r="K80" s="29"/>
      <c r="L80" s="30"/>
    </row>
    <row r="81" spans="1:20" ht="15" customHeight="1">
      <c r="A81" s="171">
        <v>21</v>
      </c>
      <c r="B81" s="148" t="s">
        <v>180</v>
      </c>
      <c r="C81" s="186" t="s">
        <v>181</v>
      </c>
      <c r="D81" s="147"/>
      <c r="E81" s="23"/>
      <c r="F81" s="26">
        <v>1501</v>
      </c>
      <c r="G81" s="26">
        <v>750.5</v>
      </c>
      <c r="H81" s="37"/>
      <c r="J81" s="28"/>
      <c r="K81" s="29"/>
      <c r="L81" s="30"/>
    </row>
    <row r="82" spans="1:20" ht="15.75" customHeight="1">
      <c r="A82" s="171">
        <v>22</v>
      </c>
      <c r="B82" s="148" t="s">
        <v>112</v>
      </c>
      <c r="C82" s="188" t="s">
        <v>182</v>
      </c>
      <c r="D82" s="147"/>
      <c r="E82" s="23"/>
      <c r="F82" s="65">
        <v>290.91000000000003</v>
      </c>
      <c r="G82" s="26">
        <v>290.91000000000003</v>
      </c>
      <c r="H82" s="37"/>
      <c r="J82" s="28"/>
      <c r="K82" s="29"/>
      <c r="L82" s="30"/>
    </row>
    <row r="83" spans="1:20" ht="15.75" customHeight="1">
      <c r="A83" s="171">
        <v>23</v>
      </c>
      <c r="B83" s="148" t="s">
        <v>105</v>
      </c>
      <c r="C83" s="187" t="s">
        <v>144</v>
      </c>
      <c r="D83" s="147"/>
      <c r="E83" s="23"/>
      <c r="F83" s="65">
        <v>180.15</v>
      </c>
      <c r="G83" s="26">
        <v>360.3</v>
      </c>
      <c r="H83" s="37"/>
      <c r="J83" s="28"/>
      <c r="K83" s="29"/>
      <c r="L83" s="30"/>
    </row>
    <row r="84" spans="1:20" ht="31.5" customHeight="1">
      <c r="A84" s="171">
        <v>24</v>
      </c>
      <c r="B84" s="148" t="s">
        <v>99</v>
      </c>
      <c r="C84" s="188" t="s">
        <v>144</v>
      </c>
      <c r="D84" s="147"/>
      <c r="E84" s="23"/>
      <c r="F84" s="26">
        <v>79.09</v>
      </c>
      <c r="G84" s="26">
        <v>79.09</v>
      </c>
      <c r="H84" s="37"/>
      <c r="J84" s="28"/>
      <c r="K84" s="29"/>
      <c r="L84" s="30"/>
    </row>
    <row r="85" spans="1:20" ht="15.75" customHeight="1">
      <c r="A85" s="171">
        <v>25</v>
      </c>
      <c r="B85" s="189" t="s">
        <v>183</v>
      </c>
      <c r="C85" s="190" t="s">
        <v>143</v>
      </c>
      <c r="D85" s="147"/>
      <c r="E85" s="23"/>
      <c r="F85" s="26">
        <v>1063.47</v>
      </c>
      <c r="G85" s="26">
        <v>5317.35</v>
      </c>
      <c r="H85" s="37"/>
      <c r="J85" s="28"/>
      <c r="K85" s="29"/>
      <c r="L85" s="30"/>
    </row>
    <row r="86" spans="1:20" ht="15.75" customHeight="1">
      <c r="A86" s="50"/>
      <c r="B86" s="79" t="s">
        <v>63</v>
      </c>
      <c r="C86" s="75"/>
      <c r="D86" s="130"/>
      <c r="E86" s="75">
        <v>1</v>
      </c>
      <c r="F86" s="75"/>
      <c r="G86" s="59">
        <f>SUM(G77:G85)</f>
        <v>16713.89</v>
      </c>
      <c r="H86" s="37"/>
      <c r="J86" s="28"/>
      <c r="K86" s="29"/>
      <c r="L86" s="30"/>
    </row>
    <row r="87" spans="1:20" ht="15.75" customHeight="1">
      <c r="A87" s="50"/>
      <c r="B87" s="84" t="s">
        <v>96</v>
      </c>
      <c r="C87" s="23"/>
      <c r="D87" s="23"/>
      <c r="E87" s="76"/>
      <c r="F87" s="77"/>
      <c r="G87" s="25">
        <v>0</v>
      </c>
      <c r="H87" s="37"/>
      <c r="J87" s="28"/>
      <c r="K87" s="29"/>
      <c r="L87" s="30"/>
    </row>
    <row r="88" spans="1:20" ht="15.75" customHeight="1">
      <c r="A88" s="131"/>
      <c r="B88" s="80" t="s">
        <v>64</v>
      </c>
      <c r="C88" s="63"/>
      <c r="D88" s="63"/>
      <c r="E88" s="63"/>
      <c r="F88" s="63"/>
      <c r="G88" s="78">
        <f>G75+G86</f>
        <v>54614.65</v>
      </c>
      <c r="H88" s="37"/>
      <c r="J88" s="28"/>
      <c r="K88" s="29"/>
      <c r="L88" s="30"/>
    </row>
    <row r="89" spans="1:20" ht="15" customHeight="1">
      <c r="A89" s="237" t="s">
        <v>189</v>
      </c>
      <c r="B89" s="237"/>
      <c r="C89" s="237"/>
      <c r="D89" s="237"/>
      <c r="E89" s="237"/>
      <c r="F89" s="237"/>
      <c r="G89" s="237"/>
      <c r="H89" s="37"/>
      <c r="J89" s="28"/>
      <c r="K89" s="29"/>
      <c r="L89" s="30"/>
    </row>
    <row r="90" spans="1:20" ht="15.75">
      <c r="A90" s="13"/>
      <c r="B90" s="259" t="s">
        <v>190</v>
      </c>
      <c r="C90" s="259"/>
      <c r="D90" s="259"/>
      <c r="E90" s="259"/>
      <c r="F90" s="259"/>
      <c r="G90" s="4"/>
      <c r="H90" s="37"/>
      <c r="J90" s="28"/>
    </row>
    <row r="91" spans="1:20" ht="15.75">
      <c r="A91" s="199"/>
      <c r="B91" s="239" t="s">
        <v>7</v>
      </c>
      <c r="C91" s="239"/>
      <c r="D91" s="239"/>
      <c r="E91" s="239"/>
      <c r="F91" s="239"/>
      <c r="G91" s="121"/>
    </row>
    <row r="92" spans="1:20" ht="15.75">
      <c r="A92" s="122"/>
      <c r="B92" s="122"/>
      <c r="C92" s="122"/>
      <c r="D92" s="122"/>
      <c r="E92" s="122"/>
      <c r="F92" s="122"/>
      <c r="G92" s="122"/>
    </row>
    <row r="93" spans="1:20" ht="15.75">
      <c r="A93" s="260" t="s">
        <v>8</v>
      </c>
      <c r="B93" s="260"/>
      <c r="C93" s="260"/>
      <c r="D93" s="260"/>
      <c r="E93" s="260"/>
      <c r="F93" s="260"/>
      <c r="G93" s="260"/>
    </row>
    <row r="94" spans="1:20" ht="15.75" customHeight="1">
      <c r="A94" s="260" t="s">
        <v>9</v>
      </c>
      <c r="B94" s="260"/>
      <c r="C94" s="260"/>
      <c r="D94" s="260"/>
      <c r="E94" s="260"/>
      <c r="F94" s="260"/>
      <c r="G94" s="260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12"/>
    </row>
    <row r="95" spans="1:20" ht="15.75" customHeight="1">
      <c r="A95" s="237" t="s">
        <v>10</v>
      </c>
      <c r="B95" s="237"/>
      <c r="C95" s="237"/>
      <c r="D95" s="237"/>
      <c r="E95" s="237"/>
      <c r="F95" s="237"/>
      <c r="G95" s="237"/>
      <c r="H95" s="42"/>
      <c r="I95" s="42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20" ht="15.75">
      <c r="A96" s="15"/>
      <c r="B96" s="119"/>
      <c r="C96" s="119"/>
      <c r="D96" s="119"/>
      <c r="E96" s="119"/>
      <c r="F96" s="119"/>
      <c r="G96" s="119"/>
      <c r="H96" s="6"/>
      <c r="I96" s="6"/>
      <c r="J96" s="6"/>
      <c r="K96" s="6"/>
      <c r="L96" s="6"/>
      <c r="M96" s="6"/>
      <c r="N96" s="6"/>
      <c r="O96" s="6"/>
      <c r="P96" s="236"/>
      <c r="Q96" s="236"/>
      <c r="R96" s="236"/>
      <c r="S96" s="236"/>
    </row>
    <row r="97" spans="1:19" ht="15.75">
      <c r="A97" s="261" t="s">
        <v>11</v>
      </c>
      <c r="B97" s="261"/>
      <c r="C97" s="261"/>
      <c r="D97" s="261"/>
      <c r="E97" s="261"/>
      <c r="F97" s="261"/>
      <c r="G97" s="261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:19" ht="15.75">
      <c r="A98" s="5"/>
      <c r="B98" s="119"/>
      <c r="C98" s="119"/>
      <c r="D98" s="119"/>
      <c r="E98" s="119"/>
      <c r="F98" s="119"/>
      <c r="G98" s="119"/>
    </row>
    <row r="99" spans="1:19" ht="15.75">
      <c r="A99" s="237" t="s">
        <v>12</v>
      </c>
      <c r="B99" s="237"/>
      <c r="C99" s="238" t="s">
        <v>133</v>
      </c>
      <c r="D99" s="238"/>
      <c r="E99" s="238"/>
      <c r="G99" s="196"/>
    </row>
    <row r="100" spans="1:19" ht="15.75" customHeight="1">
      <c r="A100" s="199"/>
      <c r="B100" s="119"/>
      <c r="C100" s="239" t="s">
        <v>13</v>
      </c>
      <c r="D100" s="239"/>
      <c r="E100" s="239"/>
      <c r="G100" s="195" t="s">
        <v>14</v>
      </c>
    </row>
    <row r="101" spans="1:19" ht="15.75">
      <c r="A101" s="42"/>
      <c r="B101" s="119"/>
      <c r="C101" s="16"/>
      <c r="D101" s="16"/>
      <c r="F101" s="16"/>
    </row>
    <row r="102" spans="1:19" ht="15.75">
      <c r="A102" s="237" t="s">
        <v>15</v>
      </c>
      <c r="B102" s="237"/>
      <c r="C102" s="250"/>
      <c r="D102" s="250"/>
      <c r="E102" s="250"/>
      <c r="G102" s="196"/>
    </row>
    <row r="103" spans="1:19">
      <c r="A103" s="194"/>
      <c r="C103" s="236" t="s">
        <v>13</v>
      </c>
      <c r="D103" s="236"/>
      <c r="E103" s="236"/>
      <c r="G103" s="195" t="s">
        <v>14</v>
      </c>
    </row>
    <row r="104" spans="1:19" ht="15.75">
      <c r="A104" s="5" t="s">
        <v>16</v>
      </c>
    </row>
    <row r="105" spans="1:19">
      <c r="A105" s="251" t="s">
        <v>17</v>
      </c>
      <c r="B105" s="251"/>
      <c r="C105" s="251"/>
      <c r="D105" s="251"/>
      <c r="E105" s="251"/>
      <c r="F105" s="251"/>
      <c r="G105" s="251"/>
    </row>
    <row r="106" spans="1:19" ht="47.25" customHeight="1">
      <c r="A106" s="249" t="s">
        <v>18</v>
      </c>
      <c r="B106" s="249"/>
      <c r="C106" s="249"/>
      <c r="D106" s="249"/>
      <c r="E106" s="249"/>
      <c r="F106" s="249"/>
      <c r="G106" s="249"/>
    </row>
    <row r="107" spans="1:19" ht="31.5" customHeight="1">
      <c r="A107" s="249" t="s">
        <v>19</v>
      </c>
      <c r="B107" s="249"/>
      <c r="C107" s="249"/>
      <c r="D107" s="249"/>
      <c r="E107" s="249"/>
      <c r="F107" s="249"/>
      <c r="G107" s="249"/>
    </row>
    <row r="108" spans="1:19" ht="31.5" customHeight="1">
      <c r="A108" s="249" t="s">
        <v>24</v>
      </c>
      <c r="B108" s="249"/>
      <c r="C108" s="249"/>
      <c r="D108" s="249"/>
      <c r="E108" s="249"/>
      <c r="F108" s="249"/>
      <c r="G108" s="249"/>
    </row>
    <row r="109" spans="1:19" ht="15.75">
      <c r="A109" s="249" t="s">
        <v>23</v>
      </c>
      <c r="B109" s="249"/>
      <c r="C109" s="249"/>
      <c r="D109" s="249"/>
      <c r="E109" s="249"/>
      <c r="F109" s="249"/>
      <c r="G109" s="249"/>
    </row>
    <row r="111" spans="1:19">
      <c r="A111" s="17" t="s">
        <v>22</v>
      </c>
      <c r="B111" s="17"/>
      <c r="C111" s="17"/>
      <c r="D111" s="17"/>
      <c r="E111" s="17"/>
      <c r="F111" s="17"/>
    </row>
  </sheetData>
  <autoFilter ref="G14:G92"/>
  <mergeCells count="29">
    <mergeCell ref="A105:G105"/>
    <mergeCell ref="A106:G106"/>
    <mergeCell ref="A107:G107"/>
    <mergeCell ref="A108:G108"/>
    <mergeCell ref="A109:G109"/>
    <mergeCell ref="C103:E103"/>
    <mergeCell ref="B91:F91"/>
    <mergeCell ref="A93:G93"/>
    <mergeCell ref="A94:G94"/>
    <mergeCell ref="A95:G95"/>
    <mergeCell ref="A99:B99"/>
    <mergeCell ref="C99:E99"/>
    <mergeCell ref="C100:E100"/>
    <mergeCell ref="A102:B102"/>
    <mergeCell ref="C102:E102"/>
    <mergeCell ref="P96:S96"/>
    <mergeCell ref="A97:G97"/>
    <mergeCell ref="A27:G27"/>
    <mergeCell ref="B36:G36"/>
    <mergeCell ref="B48:G48"/>
    <mergeCell ref="B72:G72"/>
    <mergeCell ref="A89:G89"/>
    <mergeCell ref="B90:F90"/>
    <mergeCell ref="A14:G14"/>
    <mergeCell ref="A3:G3"/>
    <mergeCell ref="A4:G4"/>
    <mergeCell ref="A5:G5"/>
    <mergeCell ref="A8:G8"/>
    <mergeCell ref="A10:G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B1" s="57" t="s">
        <v>118</v>
      </c>
      <c r="I1" s="56"/>
    </row>
    <row r="2" spans="1:13" ht="15.75">
      <c r="B2" s="45" t="s">
        <v>79</v>
      </c>
      <c r="J2" s="1"/>
      <c r="K2" s="1"/>
      <c r="L2" s="1"/>
      <c r="M2" s="1"/>
    </row>
    <row r="3" spans="1:13" ht="15.75" customHeight="1">
      <c r="A3" s="240" t="s">
        <v>243</v>
      </c>
      <c r="B3" s="240"/>
      <c r="C3" s="240"/>
      <c r="D3" s="240"/>
      <c r="E3" s="240"/>
      <c r="F3" s="240"/>
      <c r="G3" s="240"/>
      <c r="H3" s="240"/>
      <c r="I3" s="240"/>
      <c r="J3" s="2"/>
      <c r="K3" s="2"/>
      <c r="L3" s="2"/>
      <c r="M3" s="2"/>
    </row>
    <row r="4" spans="1:13" ht="33.75" customHeight="1">
      <c r="A4" s="241" t="s">
        <v>153</v>
      </c>
      <c r="B4" s="241"/>
      <c r="C4" s="241"/>
      <c r="D4" s="241"/>
      <c r="E4" s="241"/>
      <c r="F4" s="241"/>
      <c r="G4" s="241"/>
      <c r="H4" s="241"/>
      <c r="I4" s="241"/>
      <c r="J4" s="3"/>
      <c r="K4" s="3"/>
      <c r="L4" s="3"/>
      <c r="M4" s="3"/>
    </row>
    <row r="5" spans="1:13" ht="15.75" customHeight="1">
      <c r="A5" s="246" t="s">
        <v>101</v>
      </c>
      <c r="B5" s="247"/>
      <c r="C5" s="247"/>
      <c r="D5" s="247"/>
      <c r="E5" s="247"/>
      <c r="F5" s="247"/>
      <c r="G5" s="247"/>
      <c r="H5" s="247"/>
      <c r="I5" s="247"/>
      <c r="J5" s="4"/>
      <c r="K5" s="4"/>
      <c r="L5" s="4"/>
    </row>
    <row r="6" spans="1:13" ht="15.75" customHeight="1">
      <c r="A6" s="3"/>
      <c r="B6" s="192"/>
      <c r="C6" s="192"/>
      <c r="D6" s="192"/>
      <c r="E6" s="192"/>
      <c r="F6" s="192"/>
      <c r="G6" s="192"/>
      <c r="H6" s="192"/>
      <c r="I6" s="58">
        <v>42429</v>
      </c>
    </row>
    <row r="7" spans="1:13" ht="15.75">
      <c r="B7" s="193"/>
      <c r="C7" s="193"/>
      <c r="D7" s="193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242" t="s">
        <v>274</v>
      </c>
      <c r="B8" s="242"/>
      <c r="C8" s="242"/>
      <c r="D8" s="242"/>
      <c r="E8" s="242"/>
      <c r="F8" s="242"/>
      <c r="G8" s="242"/>
      <c r="H8" s="242"/>
      <c r="I8" s="242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248" t="s">
        <v>155</v>
      </c>
      <c r="B10" s="248"/>
      <c r="C10" s="248"/>
      <c r="D10" s="248"/>
      <c r="E10" s="248"/>
      <c r="F10" s="248"/>
      <c r="G10" s="248"/>
      <c r="H10" s="248"/>
      <c r="I10" s="248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243" t="s">
        <v>4</v>
      </c>
      <c r="B14" s="244"/>
      <c r="C14" s="244"/>
      <c r="D14" s="244"/>
      <c r="E14" s="244"/>
      <c r="F14" s="244"/>
      <c r="G14" s="244"/>
      <c r="H14" s="244"/>
      <c r="I14" s="245"/>
    </row>
    <row r="15" spans="1:13" ht="31.5" customHeight="1">
      <c r="A15" s="50">
        <v>1</v>
      </c>
      <c r="B15" s="175" t="s">
        <v>120</v>
      </c>
      <c r="C15" s="210" t="s">
        <v>156</v>
      </c>
      <c r="D15" s="175" t="s">
        <v>191</v>
      </c>
      <c r="E15" s="211">
        <v>66.2</v>
      </c>
      <c r="F15" s="212">
        <f>SUM(E15*156/100)</f>
        <v>103.27200000000001</v>
      </c>
      <c r="G15" s="212">
        <v>175.38</v>
      </c>
      <c r="H15" s="213">
        <f t="shared" ref="H15:H24" si="0">SUM(F15*G15/1000)</f>
        <v>18.111843359999998</v>
      </c>
      <c r="I15" s="20">
        <f>F15/12*G15</f>
        <v>1509.3202799999999</v>
      </c>
      <c r="J15" s="10"/>
      <c r="K15" s="10"/>
      <c r="L15" s="10"/>
      <c r="M15" s="10"/>
    </row>
    <row r="16" spans="1:13" ht="31.5" customHeight="1">
      <c r="A16" s="50">
        <v>2</v>
      </c>
      <c r="B16" s="175" t="s">
        <v>121</v>
      </c>
      <c r="C16" s="210" t="s">
        <v>156</v>
      </c>
      <c r="D16" s="175" t="s">
        <v>192</v>
      </c>
      <c r="E16" s="211">
        <v>198.7</v>
      </c>
      <c r="F16" s="212">
        <f>SUM(E16*104/100)</f>
        <v>206.648</v>
      </c>
      <c r="G16" s="212">
        <v>175.38</v>
      </c>
      <c r="H16" s="213">
        <f t="shared" si="0"/>
        <v>36.241926239999998</v>
      </c>
      <c r="I16" s="20">
        <f>F16/12*G16</f>
        <v>3020.1605199999999</v>
      </c>
      <c r="J16" s="10"/>
      <c r="K16" s="10"/>
      <c r="L16" s="10"/>
      <c r="M16" s="10"/>
    </row>
    <row r="17" spans="1:13" ht="31.5" customHeight="1">
      <c r="A17" s="50">
        <v>3</v>
      </c>
      <c r="B17" s="175" t="s">
        <v>122</v>
      </c>
      <c r="C17" s="210" t="s">
        <v>156</v>
      </c>
      <c r="D17" s="175" t="s">
        <v>234</v>
      </c>
      <c r="E17" s="211">
        <f>SUM(E15+E16)</f>
        <v>264.89999999999998</v>
      </c>
      <c r="F17" s="212">
        <f>SUM(E17*24/100)</f>
        <v>63.575999999999993</v>
      </c>
      <c r="G17" s="212">
        <v>504.5</v>
      </c>
      <c r="H17" s="213">
        <f t="shared" si="0"/>
        <v>32.074092</v>
      </c>
      <c r="I17" s="20">
        <f>F17/12*G17</f>
        <v>2672.8409999999994</v>
      </c>
      <c r="J17" s="10"/>
      <c r="K17" s="10"/>
      <c r="L17" s="10"/>
      <c r="M17" s="10"/>
    </row>
    <row r="18" spans="1:13" ht="15.75" hidden="1" customHeight="1">
      <c r="A18" s="50"/>
      <c r="B18" s="175" t="s">
        <v>157</v>
      </c>
      <c r="C18" s="210" t="s">
        <v>146</v>
      </c>
      <c r="D18" s="175" t="s">
        <v>158</v>
      </c>
      <c r="E18" s="211">
        <v>40</v>
      </c>
      <c r="F18" s="212">
        <f>SUM(E18/10)</f>
        <v>4</v>
      </c>
      <c r="G18" s="212">
        <v>170.16</v>
      </c>
      <c r="H18" s="213">
        <f t="shared" si="0"/>
        <v>0.68064000000000002</v>
      </c>
      <c r="I18" s="20">
        <v>0</v>
      </c>
      <c r="J18" s="10"/>
      <c r="K18" s="10"/>
      <c r="L18" s="10"/>
      <c r="M18" s="10"/>
    </row>
    <row r="19" spans="1:13" ht="15.75" hidden="1" customHeight="1">
      <c r="A19" s="50"/>
      <c r="B19" s="175" t="s">
        <v>159</v>
      </c>
      <c r="C19" s="210" t="s">
        <v>156</v>
      </c>
      <c r="D19" s="175" t="s">
        <v>66</v>
      </c>
      <c r="E19" s="211">
        <v>10.5</v>
      </c>
      <c r="F19" s="212">
        <f t="shared" ref="F19:F24" si="1">SUM(E19/100)</f>
        <v>0.105</v>
      </c>
      <c r="G19" s="212">
        <v>217.88</v>
      </c>
      <c r="H19" s="213">
        <f t="shared" si="0"/>
        <v>2.2877399999999999E-2</v>
      </c>
      <c r="I19" s="20">
        <v>0</v>
      </c>
      <c r="J19" s="10"/>
      <c r="K19" s="10"/>
      <c r="L19" s="10"/>
      <c r="M19" s="10"/>
    </row>
    <row r="20" spans="1:13" ht="15.75" hidden="1" customHeight="1">
      <c r="A20" s="50"/>
      <c r="B20" s="175" t="s">
        <v>160</v>
      </c>
      <c r="C20" s="210" t="s">
        <v>156</v>
      </c>
      <c r="D20" s="175" t="s">
        <v>66</v>
      </c>
      <c r="E20" s="211">
        <v>2.7</v>
      </c>
      <c r="F20" s="212">
        <f t="shared" si="1"/>
        <v>2.7000000000000003E-2</v>
      </c>
      <c r="G20" s="212">
        <v>216.12</v>
      </c>
      <c r="H20" s="213">
        <f t="shared" si="0"/>
        <v>5.8352400000000002E-3</v>
      </c>
      <c r="I20" s="20">
        <v>0</v>
      </c>
      <c r="J20" s="10"/>
      <c r="K20" s="10"/>
      <c r="L20" s="10"/>
      <c r="M20" s="10"/>
    </row>
    <row r="21" spans="1:13" ht="15.75" hidden="1" customHeight="1">
      <c r="A21" s="50"/>
      <c r="B21" s="175" t="s">
        <v>161</v>
      </c>
      <c r="C21" s="210" t="s">
        <v>65</v>
      </c>
      <c r="D21" s="175" t="s">
        <v>158</v>
      </c>
      <c r="E21" s="211">
        <v>357</v>
      </c>
      <c r="F21" s="212">
        <f t="shared" si="1"/>
        <v>3.57</v>
      </c>
      <c r="G21" s="212">
        <v>269.26</v>
      </c>
      <c r="H21" s="213">
        <f t="shared" si="0"/>
        <v>0.96125819999999984</v>
      </c>
      <c r="I21" s="20">
        <v>0</v>
      </c>
      <c r="J21" s="10"/>
      <c r="K21" s="10"/>
      <c r="L21" s="10"/>
      <c r="M21" s="10"/>
    </row>
    <row r="22" spans="1:13" ht="15.75" hidden="1" customHeight="1">
      <c r="A22" s="50"/>
      <c r="B22" s="175" t="s">
        <v>162</v>
      </c>
      <c r="C22" s="210" t="s">
        <v>65</v>
      </c>
      <c r="D22" s="175" t="s">
        <v>158</v>
      </c>
      <c r="E22" s="214">
        <v>38.64</v>
      </c>
      <c r="F22" s="212">
        <f t="shared" si="1"/>
        <v>0.38640000000000002</v>
      </c>
      <c r="G22" s="212">
        <v>44.29</v>
      </c>
      <c r="H22" s="213">
        <f t="shared" si="0"/>
        <v>1.7113655999999998E-2</v>
      </c>
      <c r="I22" s="20">
        <v>0</v>
      </c>
      <c r="J22" s="10"/>
      <c r="K22" s="10"/>
      <c r="L22" s="10"/>
      <c r="M22" s="10"/>
    </row>
    <row r="23" spans="1:13" ht="15.75" hidden="1" customHeight="1">
      <c r="A23" s="50"/>
      <c r="B23" s="175" t="s">
        <v>163</v>
      </c>
      <c r="C23" s="210" t="s">
        <v>65</v>
      </c>
      <c r="D23" s="176" t="s">
        <v>158</v>
      </c>
      <c r="E23" s="26">
        <v>15</v>
      </c>
      <c r="F23" s="215">
        <f t="shared" si="1"/>
        <v>0.15</v>
      </c>
      <c r="G23" s="212">
        <v>389.72</v>
      </c>
      <c r="H23" s="213">
        <f t="shared" si="0"/>
        <v>5.8457999999999996E-2</v>
      </c>
      <c r="I23" s="20">
        <v>0</v>
      </c>
      <c r="J23" s="10"/>
      <c r="K23" s="10"/>
      <c r="L23" s="10"/>
      <c r="M23" s="10"/>
    </row>
    <row r="24" spans="1:13" ht="15.75" hidden="1" customHeight="1">
      <c r="A24" s="50"/>
      <c r="B24" s="175" t="s">
        <v>164</v>
      </c>
      <c r="C24" s="210" t="s">
        <v>65</v>
      </c>
      <c r="D24" s="175" t="s">
        <v>158</v>
      </c>
      <c r="E24" s="216">
        <v>6.38</v>
      </c>
      <c r="F24" s="212">
        <f t="shared" si="1"/>
        <v>6.3799999999999996E-2</v>
      </c>
      <c r="G24" s="212">
        <v>520.79999999999995</v>
      </c>
      <c r="H24" s="213">
        <f t="shared" si="0"/>
        <v>3.3227039999999992E-2</v>
      </c>
      <c r="I24" s="20">
        <v>0</v>
      </c>
      <c r="J24" s="10"/>
      <c r="K24" s="10"/>
      <c r="L24" s="10"/>
      <c r="M24" s="10"/>
    </row>
    <row r="25" spans="1:13" ht="15.75" customHeight="1">
      <c r="A25" s="207">
        <v>4</v>
      </c>
      <c r="B25" s="175" t="s">
        <v>81</v>
      </c>
      <c r="C25" s="210" t="s">
        <v>37</v>
      </c>
      <c r="D25" s="175" t="s">
        <v>198</v>
      </c>
      <c r="E25" s="211">
        <v>0.1</v>
      </c>
      <c r="F25" s="212">
        <f>SUM(E25*365)</f>
        <v>36.5</v>
      </c>
      <c r="G25" s="212">
        <v>147.03</v>
      </c>
      <c r="H25" s="213">
        <f>SUM(F25*G25/1000)</f>
        <v>5.3665950000000002</v>
      </c>
      <c r="I25" s="20">
        <f>F25/12*G25</f>
        <v>447.21625</v>
      </c>
      <c r="J25" s="36"/>
      <c r="K25" s="10"/>
      <c r="L25" s="10"/>
      <c r="M25" s="10"/>
    </row>
    <row r="26" spans="1:13" ht="15.75" customHeight="1">
      <c r="A26" s="207">
        <v>5</v>
      </c>
      <c r="B26" s="218" t="s">
        <v>26</v>
      </c>
      <c r="C26" s="210" t="s">
        <v>27</v>
      </c>
      <c r="D26" s="218" t="s">
        <v>177</v>
      </c>
      <c r="E26" s="211">
        <v>2566.6</v>
      </c>
      <c r="F26" s="212">
        <f>SUM(E26*12)</f>
        <v>30799.199999999997</v>
      </c>
      <c r="G26" s="212">
        <v>4.53</v>
      </c>
      <c r="H26" s="213">
        <f>SUM(F26*G26/1000)</f>
        <v>139.520376</v>
      </c>
      <c r="I26" s="20">
        <f>F26/12*G26</f>
        <v>11626.698</v>
      </c>
      <c r="J26" s="36"/>
      <c r="K26" s="10"/>
      <c r="L26" s="10"/>
      <c r="M26" s="10"/>
    </row>
    <row r="27" spans="1:13" ht="15.75" hidden="1" customHeight="1">
      <c r="A27" s="252" t="s">
        <v>235</v>
      </c>
      <c r="B27" s="253"/>
      <c r="C27" s="253"/>
      <c r="D27" s="253"/>
      <c r="E27" s="253"/>
      <c r="F27" s="253"/>
      <c r="G27" s="253"/>
      <c r="H27" s="253"/>
      <c r="I27" s="254"/>
      <c r="J27" s="36"/>
      <c r="K27" s="10"/>
      <c r="L27" s="10"/>
      <c r="M27" s="10"/>
    </row>
    <row r="28" spans="1:13" ht="31.5" hidden="1" customHeight="1">
      <c r="A28" s="205"/>
      <c r="B28" s="175" t="s">
        <v>193</v>
      </c>
      <c r="C28" s="210" t="s">
        <v>165</v>
      </c>
      <c r="D28" s="175" t="s">
        <v>194</v>
      </c>
      <c r="E28" s="212">
        <v>852.6</v>
      </c>
      <c r="F28" s="212">
        <f>SUM(E28*52/1000)</f>
        <v>44.335200000000007</v>
      </c>
      <c r="G28" s="212">
        <v>155.88999999999999</v>
      </c>
      <c r="H28" s="213">
        <f t="shared" ref="H28:H33" si="2">SUM(F28*G28/1000)</f>
        <v>6.9114143280000011</v>
      </c>
      <c r="I28" s="20">
        <v>0</v>
      </c>
      <c r="J28" s="36"/>
      <c r="K28" s="10"/>
      <c r="L28" s="10"/>
      <c r="M28" s="10"/>
    </row>
    <row r="29" spans="1:13" ht="31.5" hidden="1" customHeight="1">
      <c r="A29" s="50"/>
      <c r="B29" s="175" t="s">
        <v>195</v>
      </c>
      <c r="C29" s="210" t="s">
        <v>165</v>
      </c>
      <c r="D29" s="175" t="s">
        <v>196</v>
      </c>
      <c r="E29" s="212">
        <v>65.33</v>
      </c>
      <c r="F29" s="212">
        <f>SUM(E29*78/1000)</f>
        <v>5.0957400000000002</v>
      </c>
      <c r="G29" s="212">
        <v>258.63</v>
      </c>
      <c r="H29" s="213">
        <f t="shared" si="2"/>
        <v>1.3179112362000001</v>
      </c>
      <c r="I29" s="20">
        <v>0</v>
      </c>
      <c r="J29" s="36"/>
      <c r="K29" s="10"/>
      <c r="L29" s="10"/>
      <c r="M29" s="10"/>
    </row>
    <row r="30" spans="1:13" ht="15.75" hidden="1" customHeight="1">
      <c r="A30" s="207"/>
      <c r="B30" s="175" t="s">
        <v>32</v>
      </c>
      <c r="C30" s="210" t="s">
        <v>165</v>
      </c>
      <c r="D30" s="175" t="s">
        <v>66</v>
      </c>
      <c r="E30" s="212">
        <v>852.6</v>
      </c>
      <c r="F30" s="212">
        <f>SUM(E30/1000)</f>
        <v>0.85260000000000002</v>
      </c>
      <c r="G30" s="212">
        <v>3020.33</v>
      </c>
      <c r="H30" s="213">
        <f t="shared" si="2"/>
        <v>2.575133358</v>
      </c>
      <c r="I30" s="20">
        <v>0</v>
      </c>
      <c r="J30" s="36"/>
      <c r="K30" s="10"/>
      <c r="L30" s="10"/>
      <c r="M30" s="10"/>
    </row>
    <row r="31" spans="1:13" ht="15.75" hidden="1" customHeight="1">
      <c r="A31" s="207"/>
      <c r="B31" s="175" t="s">
        <v>197</v>
      </c>
      <c r="C31" s="210" t="s">
        <v>35</v>
      </c>
      <c r="D31" s="175" t="s">
        <v>80</v>
      </c>
      <c r="E31" s="217">
        <v>0.33333333333333331</v>
      </c>
      <c r="F31" s="212">
        <f>155/3</f>
        <v>51.666666666666664</v>
      </c>
      <c r="G31" s="212">
        <v>56.69</v>
      </c>
      <c r="H31" s="213">
        <f>SUM(G31*155/3/1000)</f>
        <v>2.9289833333333331</v>
      </c>
      <c r="I31" s="20">
        <v>0</v>
      </c>
      <c r="J31" s="36"/>
      <c r="K31" s="10"/>
      <c r="L31" s="10"/>
      <c r="M31" s="10"/>
    </row>
    <row r="32" spans="1:13" ht="15.75" hidden="1" customHeight="1">
      <c r="A32" s="207"/>
      <c r="B32" s="175" t="s">
        <v>82</v>
      </c>
      <c r="C32" s="210" t="s">
        <v>37</v>
      </c>
      <c r="D32" s="175" t="s">
        <v>83</v>
      </c>
      <c r="E32" s="211"/>
      <c r="F32" s="212">
        <v>3</v>
      </c>
      <c r="G32" s="212">
        <v>191.32</v>
      </c>
      <c r="H32" s="213">
        <f t="shared" si="2"/>
        <v>0.57396000000000003</v>
      </c>
      <c r="I32" s="20">
        <v>0</v>
      </c>
      <c r="J32" s="36"/>
      <c r="K32" s="10"/>
      <c r="L32" s="10"/>
      <c r="M32" s="10"/>
    </row>
    <row r="33" spans="1:14" ht="15.75" hidden="1" customHeight="1">
      <c r="A33" s="207"/>
      <c r="B33" s="175" t="s">
        <v>200</v>
      </c>
      <c r="C33" s="210" t="s">
        <v>36</v>
      </c>
      <c r="D33" s="175" t="s">
        <v>83</v>
      </c>
      <c r="E33" s="211"/>
      <c r="F33" s="212">
        <v>2</v>
      </c>
      <c r="G33" s="212">
        <v>1136.33</v>
      </c>
      <c r="H33" s="213">
        <f t="shared" si="2"/>
        <v>2.2726599999999997</v>
      </c>
      <c r="I33" s="20">
        <v>0</v>
      </c>
      <c r="J33" s="36"/>
      <c r="K33" s="10"/>
      <c r="L33" s="10"/>
      <c r="M33" s="10"/>
    </row>
    <row r="34" spans="1:14" ht="15.75" customHeight="1">
      <c r="A34" s="252" t="s">
        <v>236</v>
      </c>
      <c r="B34" s="253"/>
      <c r="C34" s="253"/>
      <c r="D34" s="253"/>
      <c r="E34" s="253"/>
      <c r="F34" s="253"/>
      <c r="G34" s="253"/>
      <c r="H34" s="253"/>
      <c r="I34" s="254"/>
      <c r="J34" s="36"/>
      <c r="K34" s="10"/>
      <c r="L34" s="10"/>
      <c r="M34" s="10"/>
    </row>
    <row r="35" spans="1:14" ht="15.75" customHeight="1">
      <c r="A35" s="50">
        <v>6</v>
      </c>
      <c r="B35" s="175" t="s">
        <v>30</v>
      </c>
      <c r="C35" s="210" t="s">
        <v>36</v>
      </c>
      <c r="D35" s="175"/>
      <c r="E35" s="211"/>
      <c r="F35" s="212">
        <v>8</v>
      </c>
      <c r="G35" s="212">
        <v>1527.22</v>
      </c>
      <c r="H35" s="213">
        <f t="shared" ref="H35:H42" si="3">SUM(F35*G35/1000)</f>
        <v>12.21776</v>
      </c>
      <c r="I35" s="20">
        <f>F35/6*G35</f>
        <v>2036.2933333333333</v>
      </c>
      <c r="J35" s="36"/>
      <c r="K35" s="10"/>
      <c r="L35" s="10"/>
      <c r="M35" s="10"/>
    </row>
    <row r="36" spans="1:14" ht="15.75" customHeight="1">
      <c r="A36" s="50">
        <v>7</v>
      </c>
      <c r="B36" s="175" t="s">
        <v>136</v>
      </c>
      <c r="C36" s="210" t="s">
        <v>33</v>
      </c>
      <c r="D36" s="175" t="s">
        <v>201</v>
      </c>
      <c r="E36" s="211">
        <v>269.5</v>
      </c>
      <c r="F36" s="212">
        <f>E36*12/1000</f>
        <v>3.234</v>
      </c>
      <c r="G36" s="212">
        <v>2102.71</v>
      </c>
      <c r="H36" s="213">
        <f>G36*F36/1000</f>
        <v>6.8001641399999997</v>
      </c>
      <c r="I36" s="20">
        <f>F36/6*G36</f>
        <v>1133.3606900000002</v>
      </c>
      <c r="J36" s="36"/>
      <c r="K36" s="10"/>
      <c r="L36" s="10"/>
      <c r="M36" s="10"/>
    </row>
    <row r="37" spans="1:14" ht="15.75" customHeight="1">
      <c r="A37" s="50">
        <v>8</v>
      </c>
      <c r="B37" s="175" t="s">
        <v>202</v>
      </c>
      <c r="C37" s="210" t="s">
        <v>33</v>
      </c>
      <c r="D37" s="175" t="s">
        <v>203</v>
      </c>
      <c r="E37" s="211">
        <v>60</v>
      </c>
      <c r="F37" s="212">
        <f>E37*30/1000</f>
        <v>1.8</v>
      </c>
      <c r="G37" s="212">
        <v>2102.71</v>
      </c>
      <c r="H37" s="213">
        <f>G37*F37/1000</f>
        <v>3.784878</v>
      </c>
      <c r="I37" s="20">
        <f>F37/6*G37</f>
        <v>630.81299999999999</v>
      </c>
      <c r="J37" s="36"/>
      <c r="K37" s="10"/>
      <c r="L37" s="10"/>
      <c r="M37" s="10"/>
    </row>
    <row r="38" spans="1:14" ht="15.75" hidden="1" customHeight="1">
      <c r="A38" s="50"/>
      <c r="B38" s="175" t="s">
        <v>204</v>
      </c>
      <c r="C38" s="210" t="s">
        <v>205</v>
      </c>
      <c r="D38" s="175" t="s">
        <v>83</v>
      </c>
      <c r="E38" s="211"/>
      <c r="F38" s="212">
        <v>100</v>
      </c>
      <c r="G38" s="212">
        <v>213.2</v>
      </c>
      <c r="H38" s="213">
        <f>G38*F38/1000</f>
        <v>21.32</v>
      </c>
      <c r="I38" s="20">
        <v>0</v>
      </c>
      <c r="J38" s="36"/>
      <c r="K38" s="10"/>
      <c r="L38" s="10"/>
      <c r="M38" s="10"/>
    </row>
    <row r="39" spans="1:14" ht="15.75" customHeight="1">
      <c r="A39" s="50">
        <v>9</v>
      </c>
      <c r="B39" s="175" t="s">
        <v>84</v>
      </c>
      <c r="C39" s="210" t="s">
        <v>33</v>
      </c>
      <c r="D39" s="175" t="s">
        <v>206</v>
      </c>
      <c r="E39" s="212">
        <v>65.33</v>
      </c>
      <c r="F39" s="212">
        <f>SUM(E39*155/1000)</f>
        <v>10.126149999999999</v>
      </c>
      <c r="G39" s="212">
        <v>350.75</v>
      </c>
      <c r="H39" s="213">
        <f t="shared" si="3"/>
        <v>3.5517471124999997</v>
      </c>
      <c r="I39" s="20">
        <f>F39/6*G39</f>
        <v>591.95785208333325</v>
      </c>
      <c r="J39" s="36"/>
      <c r="K39" s="10"/>
      <c r="L39" s="10"/>
      <c r="M39" s="10"/>
    </row>
    <row r="40" spans="1:14" ht="47.25" customHeight="1">
      <c r="A40" s="50">
        <v>10</v>
      </c>
      <c r="B40" s="175" t="s">
        <v>110</v>
      </c>
      <c r="C40" s="210" t="s">
        <v>165</v>
      </c>
      <c r="D40" s="175" t="s">
        <v>207</v>
      </c>
      <c r="E40" s="212">
        <v>65.33</v>
      </c>
      <c r="F40" s="212">
        <f>SUM(E40*24/1000)</f>
        <v>1.56792</v>
      </c>
      <c r="G40" s="212">
        <v>5803.28</v>
      </c>
      <c r="H40" s="213">
        <f t="shared" si="3"/>
        <v>9.0990787775999991</v>
      </c>
      <c r="I40" s="20">
        <f>F40/6*G40</f>
        <v>1516.5131296</v>
      </c>
      <c r="J40" s="36"/>
      <c r="K40" s="10"/>
      <c r="L40" s="10"/>
      <c r="M40" s="10"/>
    </row>
    <row r="41" spans="1:14" ht="15.75" customHeight="1">
      <c r="A41" s="50">
        <v>11</v>
      </c>
      <c r="B41" s="175" t="s">
        <v>208</v>
      </c>
      <c r="C41" s="210" t="s">
        <v>165</v>
      </c>
      <c r="D41" s="175" t="s">
        <v>85</v>
      </c>
      <c r="E41" s="212">
        <v>65.33</v>
      </c>
      <c r="F41" s="212">
        <f>SUM(E41*45/1000)</f>
        <v>2.9398499999999999</v>
      </c>
      <c r="G41" s="212">
        <v>428.7</v>
      </c>
      <c r="H41" s="213">
        <f t="shared" si="3"/>
        <v>1.2603136949999998</v>
      </c>
      <c r="I41" s="20">
        <f>F41/6*G41</f>
        <v>210.05228249999999</v>
      </c>
      <c r="J41" s="36"/>
      <c r="K41" s="10"/>
    </row>
    <row r="42" spans="1:14" ht="15.75" customHeight="1">
      <c r="A42" s="50">
        <v>12</v>
      </c>
      <c r="B42" s="175" t="s">
        <v>86</v>
      </c>
      <c r="C42" s="210" t="s">
        <v>37</v>
      </c>
      <c r="D42" s="175"/>
      <c r="E42" s="211"/>
      <c r="F42" s="212">
        <v>0.8</v>
      </c>
      <c r="G42" s="212">
        <v>798</v>
      </c>
      <c r="H42" s="213">
        <f t="shared" si="3"/>
        <v>0.63840000000000008</v>
      </c>
      <c r="I42" s="20">
        <f>F42/6*G42</f>
        <v>106.39999999999999</v>
      </c>
      <c r="J42" s="37"/>
    </row>
    <row r="43" spans="1:14" ht="15.75" customHeight="1">
      <c r="A43" s="252" t="s">
        <v>238</v>
      </c>
      <c r="B43" s="255"/>
      <c r="C43" s="255"/>
      <c r="D43" s="255"/>
      <c r="E43" s="255"/>
      <c r="F43" s="255"/>
      <c r="G43" s="255"/>
      <c r="H43" s="255"/>
      <c r="I43" s="256"/>
      <c r="J43" s="37"/>
    </row>
    <row r="44" spans="1:14" ht="15.75" hidden="1" customHeight="1">
      <c r="A44" s="50"/>
      <c r="B44" s="175" t="s">
        <v>209</v>
      </c>
      <c r="C44" s="210" t="s">
        <v>165</v>
      </c>
      <c r="D44" s="175" t="s">
        <v>52</v>
      </c>
      <c r="E44" s="211">
        <v>1114.75</v>
      </c>
      <c r="F44" s="212">
        <f>SUM(E44*2/1000)</f>
        <v>2.2294999999999998</v>
      </c>
      <c r="G44" s="20">
        <v>809.74</v>
      </c>
      <c r="H44" s="213">
        <f t="shared" ref="H44:H54" si="4">SUM(F44*G44/1000)</f>
        <v>1.80531533</v>
      </c>
      <c r="I44" s="20">
        <v>0</v>
      </c>
      <c r="J44" s="37"/>
    </row>
    <row r="45" spans="1:14" ht="15.75" hidden="1" customHeight="1">
      <c r="A45" s="206"/>
      <c r="B45" s="175" t="s">
        <v>41</v>
      </c>
      <c r="C45" s="210" t="s">
        <v>165</v>
      </c>
      <c r="D45" s="175" t="s">
        <v>52</v>
      </c>
      <c r="E45" s="211">
        <v>88</v>
      </c>
      <c r="F45" s="212">
        <f>E45*2/1000</f>
        <v>0.17599999999999999</v>
      </c>
      <c r="G45" s="20">
        <v>579.48</v>
      </c>
      <c r="H45" s="213">
        <f t="shared" si="4"/>
        <v>0.10198847999999999</v>
      </c>
      <c r="I45" s="20">
        <v>0</v>
      </c>
      <c r="J45" s="37"/>
    </row>
    <row r="46" spans="1:14" ht="15.75" hidden="1" customHeight="1">
      <c r="A46" s="205"/>
      <c r="B46" s="175" t="s">
        <v>42</v>
      </c>
      <c r="C46" s="210" t="s">
        <v>165</v>
      </c>
      <c r="D46" s="175" t="s">
        <v>52</v>
      </c>
      <c r="E46" s="211">
        <v>1250.6199999999999</v>
      </c>
      <c r="F46" s="212">
        <f>SUM(E46*2/1000)</f>
        <v>2.5012399999999997</v>
      </c>
      <c r="G46" s="20">
        <v>579.48</v>
      </c>
      <c r="H46" s="213">
        <f t="shared" si="4"/>
        <v>1.4494185551999998</v>
      </c>
      <c r="I46" s="20">
        <v>0</v>
      </c>
      <c r="J46" s="37"/>
    </row>
    <row r="47" spans="1:14" ht="15.75" hidden="1" customHeight="1">
      <c r="A47" s="50"/>
      <c r="B47" s="175" t="s">
        <v>43</v>
      </c>
      <c r="C47" s="210" t="s">
        <v>165</v>
      </c>
      <c r="D47" s="175" t="s">
        <v>52</v>
      </c>
      <c r="E47" s="211">
        <v>1295.68</v>
      </c>
      <c r="F47" s="212">
        <f>SUM(E47*2/1000)</f>
        <v>2.5913600000000003</v>
      </c>
      <c r="G47" s="20">
        <v>606.77</v>
      </c>
      <c r="H47" s="213">
        <f t="shared" si="4"/>
        <v>1.5723595072000001</v>
      </c>
      <c r="I47" s="20">
        <v>0</v>
      </c>
      <c r="J47" s="37"/>
    </row>
    <row r="48" spans="1:14" ht="15.75" hidden="1" customHeight="1">
      <c r="A48" s="50"/>
      <c r="B48" s="175" t="s">
        <v>39</v>
      </c>
      <c r="C48" s="210" t="s">
        <v>40</v>
      </c>
      <c r="D48" s="175" t="s">
        <v>52</v>
      </c>
      <c r="E48" s="211">
        <v>85.84</v>
      </c>
      <c r="F48" s="212">
        <f>E48*2/100</f>
        <v>1.7168000000000001</v>
      </c>
      <c r="G48" s="20">
        <v>72.81</v>
      </c>
      <c r="H48" s="213">
        <f>G48*F48/1000</f>
        <v>0.125000208</v>
      </c>
      <c r="I48" s="20">
        <v>0</v>
      </c>
      <c r="J48" s="37"/>
      <c r="L48" s="28"/>
      <c r="M48" s="29"/>
      <c r="N48" s="30"/>
    </row>
    <row r="49" spans="1:14" ht="31.5" customHeight="1">
      <c r="A49" s="50">
        <v>13</v>
      </c>
      <c r="B49" s="175" t="s">
        <v>72</v>
      </c>
      <c r="C49" s="210" t="s">
        <v>165</v>
      </c>
      <c r="D49" s="175" t="s">
        <v>237</v>
      </c>
      <c r="E49" s="211">
        <v>891.8</v>
      </c>
      <c r="F49" s="212">
        <f>SUM(E49*5/1000)</f>
        <v>4.4589999999999996</v>
      </c>
      <c r="G49" s="20">
        <v>1213.55</v>
      </c>
      <c r="H49" s="213">
        <f t="shared" si="4"/>
        <v>5.4112194499999999</v>
      </c>
      <c r="I49" s="20">
        <f>F49/5*G49</f>
        <v>1082.24389</v>
      </c>
      <c r="J49" s="37"/>
      <c r="L49" s="28"/>
      <c r="M49" s="29"/>
      <c r="N49" s="30"/>
    </row>
    <row r="50" spans="1:14" ht="31.5" hidden="1" customHeight="1">
      <c r="A50" s="171"/>
      <c r="B50" s="175" t="s">
        <v>210</v>
      </c>
      <c r="C50" s="210" t="s">
        <v>165</v>
      </c>
      <c r="D50" s="175" t="s">
        <v>52</v>
      </c>
      <c r="E50" s="211">
        <v>891.8</v>
      </c>
      <c r="F50" s="212">
        <f>SUM(E50*2/1000)</f>
        <v>1.7835999999999999</v>
      </c>
      <c r="G50" s="20">
        <v>1213.55</v>
      </c>
      <c r="H50" s="213">
        <f t="shared" si="4"/>
        <v>2.16448778</v>
      </c>
      <c r="I50" s="20">
        <v>0</v>
      </c>
      <c r="J50" s="37"/>
      <c r="L50" s="28"/>
      <c r="M50" s="29"/>
      <c r="N50" s="30"/>
    </row>
    <row r="51" spans="1:14" ht="31.5" hidden="1" customHeight="1">
      <c r="A51" s="171"/>
      <c r="B51" s="175" t="s">
        <v>211</v>
      </c>
      <c r="C51" s="210" t="s">
        <v>46</v>
      </c>
      <c r="D51" s="175" t="s">
        <v>52</v>
      </c>
      <c r="E51" s="211">
        <v>16</v>
      </c>
      <c r="F51" s="212">
        <f>SUM(E51*2/100)</f>
        <v>0.32</v>
      </c>
      <c r="G51" s="20">
        <v>2730.49</v>
      </c>
      <c r="H51" s="213">
        <f t="shared" si="4"/>
        <v>0.8737568</v>
      </c>
      <c r="I51" s="20">
        <v>0</v>
      </c>
      <c r="J51" s="37"/>
      <c r="L51" s="28"/>
      <c r="M51" s="29"/>
      <c r="N51" s="30"/>
    </row>
    <row r="52" spans="1:14" ht="15.75" hidden="1" customHeight="1">
      <c r="A52" s="171"/>
      <c r="B52" s="175" t="s">
        <v>47</v>
      </c>
      <c r="C52" s="210" t="s">
        <v>48</v>
      </c>
      <c r="D52" s="175" t="s">
        <v>52</v>
      </c>
      <c r="E52" s="211">
        <v>1</v>
      </c>
      <c r="F52" s="212">
        <v>0.02</v>
      </c>
      <c r="G52" s="20">
        <v>5652.13</v>
      </c>
      <c r="H52" s="213">
        <f t="shared" si="4"/>
        <v>0.11304260000000001</v>
      </c>
      <c r="I52" s="20">
        <v>0</v>
      </c>
      <c r="J52" s="37"/>
      <c r="L52" s="28"/>
      <c r="M52" s="29"/>
      <c r="N52" s="30"/>
    </row>
    <row r="53" spans="1:14" ht="15.75" hidden="1" customHeight="1">
      <c r="A53" s="171">
        <v>14</v>
      </c>
      <c r="B53" s="175" t="s">
        <v>212</v>
      </c>
      <c r="C53" s="210" t="s">
        <v>144</v>
      </c>
      <c r="D53" s="175" t="s">
        <v>87</v>
      </c>
      <c r="E53" s="211">
        <v>60</v>
      </c>
      <c r="F53" s="212">
        <f>E53*3</f>
        <v>180</v>
      </c>
      <c r="G53" s="20">
        <v>141.12</v>
      </c>
      <c r="H53" s="213">
        <f>F53*G53/1000</f>
        <v>25.401600000000002</v>
      </c>
      <c r="I53" s="20">
        <f>E53*G53</f>
        <v>8467.2000000000007</v>
      </c>
      <c r="J53" s="37"/>
      <c r="L53" s="28"/>
      <c r="M53" s="29"/>
      <c r="N53" s="30"/>
    </row>
    <row r="54" spans="1:14" ht="15.75" hidden="1" customHeight="1">
      <c r="A54" s="171">
        <v>15</v>
      </c>
      <c r="B54" s="175" t="s">
        <v>51</v>
      </c>
      <c r="C54" s="210" t="s">
        <v>144</v>
      </c>
      <c r="D54" s="175" t="s">
        <v>87</v>
      </c>
      <c r="E54" s="211">
        <v>120</v>
      </c>
      <c r="F54" s="212">
        <f>SUM(E54)*3</f>
        <v>360</v>
      </c>
      <c r="G54" s="20">
        <v>65.67</v>
      </c>
      <c r="H54" s="213">
        <f t="shared" si="4"/>
        <v>23.641200000000001</v>
      </c>
      <c r="I54" s="20">
        <f>E54*G54</f>
        <v>7880.4000000000005</v>
      </c>
      <c r="J54" s="37"/>
      <c r="L54" s="28"/>
      <c r="M54" s="29"/>
      <c r="N54" s="30"/>
    </row>
    <row r="55" spans="1:14" ht="15.75" customHeight="1">
      <c r="A55" s="252" t="s">
        <v>239</v>
      </c>
      <c r="B55" s="257"/>
      <c r="C55" s="257"/>
      <c r="D55" s="257"/>
      <c r="E55" s="257"/>
      <c r="F55" s="257"/>
      <c r="G55" s="257"/>
      <c r="H55" s="257"/>
      <c r="I55" s="258"/>
      <c r="J55" s="37"/>
      <c r="L55" s="28"/>
      <c r="M55" s="29"/>
      <c r="N55" s="30"/>
    </row>
    <row r="56" spans="1:14" ht="15.75" customHeight="1">
      <c r="A56" s="171"/>
      <c r="B56" s="233" t="s">
        <v>53</v>
      </c>
      <c r="C56" s="210"/>
      <c r="D56" s="175"/>
      <c r="E56" s="211"/>
      <c r="F56" s="212"/>
      <c r="G56" s="212"/>
      <c r="H56" s="213"/>
      <c r="I56" s="20"/>
      <c r="J56" s="37"/>
      <c r="L56" s="28"/>
      <c r="M56" s="29"/>
      <c r="N56" s="30"/>
    </row>
    <row r="57" spans="1:14" ht="31.5" customHeight="1">
      <c r="A57" s="171">
        <v>16</v>
      </c>
      <c r="B57" s="175" t="s">
        <v>213</v>
      </c>
      <c r="C57" s="210" t="s">
        <v>156</v>
      </c>
      <c r="D57" s="175" t="s">
        <v>214</v>
      </c>
      <c r="E57" s="211">
        <v>112.68</v>
      </c>
      <c r="F57" s="212">
        <f>SUM(E57*6/100)</f>
        <v>6.7608000000000006</v>
      </c>
      <c r="G57" s="20">
        <v>1547.28</v>
      </c>
      <c r="H57" s="213">
        <f>SUM(F57*G57/1000)</f>
        <v>10.460850624000001</v>
      </c>
      <c r="I57" s="20">
        <f>F57/6*G57</f>
        <v>1743.4751040000001</v>
      </c>
      <c r="J57" s="37"/>
      <c r="L57" s="28"/>
      <c r="M57" s="29"/>
      <c r="N57" s="30"/>
    </row>
    <row r="58" spans="1:14" ht="15.75" hidden="1" customHeight="1">
      <c r="A58" s="171"/>
      <c r="B58" s="232" t="s">
        <v>54</v>
      </c>
      <c r="C58" s="220"/>
      <c r="D58" s="219"/>
      <c r="E58" s="221"/>
      <c r="F58" s="222"/>
      <c r="G58" s="20"/>
      <c r="H58" s="223"/>
      <c r="I58" s="20"/>
      <c r="J58" s="37"/>
      <c r="L58" s="28"/>
      <c r="M58" s="29"/>
      <c r="N58" s="30"/>
    </row>
    <row r="59" spans="1:14" ht="15.75" hidden="1" customHeight="1">
      <c r="A59" s="206"/>
      <c r="B59" s="219" t="s">
        <v>215</v>
      </c>
      <c r="C59" s="220" t="s">
        <v>65</v>
      </c>
      <c r="D59" s="219" t="s">
        <v>66</v>
      </c>
      <c r="E59" s="221">
        <v>897</v>
      </c>
      <c r="F59" s="222">
        <v>8.9700000000000006</v>
      </c>
      <c r="G59" s="20">
        <v>793.61</v>
      </c>
      <c r="H59" s="223">
        <f>F59*G59/1000</f>
        <v>7.1186817000000007</v>
      </c>
      <c r="I59" s="20">
        <v>0</v>
      </c>
      <c r="J59" s="37"/>
      <c r="L59" s="28"/>
      <c r="M59" s="29"/>
      <c r="N59" s="30"/>
    </row>
    <row r="60" spans="1:14" ht="15.75" hidden="1" customHeight="1">
      <c r="A60" s="50"/>
      <c r="B60" s="232" t="s">
        <v>56</v>
      </c>
      <c r="C60" s="220"/>
      <c r="D60" s="219"/>
      <c r="E60" s="221"/>
      <c r="F60" s="224"/>
      <c r="G60" s="224"/>
      <c r="H60" s="222" t="s">
        <v>177</v>
      </c>
      <c r="I60" s="20"/>
      <c r="J60" s="37"/>
      <c r="L60" s="28"/>
      <c r="M60" s="29"/>
      <c r="N60" s="30"/>
    </row>
    <row r="61" spans="1:14" ht="15.75" hidden="1" customHeight="1">
      <c r="A61" s="171"/>
      <c r="B61" s="22" t="s">
        <v>57</v>
      </c>
      <c r="C61" s="24" t="s">
        <v>144</v>
      </c>
      <c r="D61" s="22" t="s">
        <v>199</v>
      </c>
      <c r="E61" s="26">
        <v>15</v>
      </c>
      <c r="F61" s="212">
        <v>15</v>
      </c>
      <c r="G61" s="20">
        <v>222.4</v>
      </c>
      <c r="H61" s="225">
        <f t="shared" ref="H61:H76" si="5">SUM(F61*G61/1000)</f>
        <v>3.3359999999999999</v>
      </c>
      <c r="I61" s="20">
        <v>0</v>
      </c>
      <c r="J61" s="37"/>
      <c r="L61" s="28"/>
      <c r="M61" s="29"/>
      <c r="N61" s="30"/>
    </row>
    <row r="62" spans="1:14" ht="15.75" hidden="1" customHeight="1">
      <c r="A62" s="171"/>
      <c r="B62" s="22" t="s">
        <v>58</v>
      </c>
      <c r="C62" s="24" t="s">
        <v>144</v>
      </c>
      <c r="D62" s="22" t="s">
        <v>199</v>
      </c>
      <c r="E62" s="26">
        <v>5</v>
      </c>
      <c r="F62" s="212">
        <v>5</v>
      </c>
      <c r="G62" s="20">
        <v>76.25</v>
      </c>
      <c r="H62" s="225">
        <f t="shared" si="5"/>
        <v>0.38124999999999998</v>
      </c>
      <c r="I62" s="20">
        <v>0</v>
      </c>
      <c r="J62" s="37"/>
      <c r="L62" s="28"/>
      <c r="M62" s="29"/>
      <c r="N62" s="30"/>
    </row>
    <row r="63" spans="1:14" ht="15.75" hidden="1" customHeight="1">
      <c r="A63" s="171"/>
      <c r="B63" s="22" t="s">
        <v>59</v>
      </c>
      <c r="C63" s="24" t="s">
        <v>168</v>
      </c>
      <c r="D63" s="22" t="s">
        <v>66</v>
      </c>
      <c r="E63" s="211">
        <v>10059</v>
      </c>
      <c r="F63" s="20">
        <f>SUM(E63/100)</f>
        <v>100.59</v>
      </c>
      <c r="G63" s="20">
        <v>212.15</v>
      </c>
      <c r="H63" s="225">
        <f t="shared" si="5"/>
        <v>21.340168500000001</v>
      </c>
      <c r="I63" s="20">
        <v>0</v>
      </c>
      <c r="J63" s="37"/>
      <c r="L63" s="28"/>
      <c r="M63" s="29"/>
      <c r="N63" s="30"/>
    </row>
    <row r="64" spans="1:14" ht="15.75" hidden="1" customHeight="1">
      <c r="A64" s="171"/>
      <c r="B64" s="22" t="s">
        <v>60</v>
      </c>
      <c r="C64" s="24" t="s">
        <v>169</v>
      </c>
      <c r="D64" s="22"/>
      <c r="E64" s="211">
        <v>10059</v>
      </c>
      <c r="F64" s="20">
        <f>SUM(E64/1000)</f>
        <v>10.058999999999999</v>
      </c>
      <c r="G64" s="20">
        <v>165.21</v>
      </c>
      <c r="H64" s="225">
        <f t="shared" si="5"/>
        <v>1.6618473899999999</v>
      </c>
      <c r="I64" s="20">
        <v>0</v>
      </c>
      <c r="J64" s="37"/>
      <c r="L64" s="28"/>
      <c r="M64" s="29"/>
      <c r="N64" s="30"/>
    </row>
    <row r="65" spans="1:14" ht="15.75" hidden="1" customHeight="1">
      <c r="A65" s="171"/>
      <c r="B65" s="22" t="s">
        <v>61</v>
      </c>
      <c r="C65" s="24" t="s">
        <v>94</v>
      </c>
      <c r="D65" s="22" t="s">
        <v>66</v>
      </c>
      <c r="E65" s="211">
        <v>2200</v>
      </c>
      <c r="F65" s="20">
        <f>SUM(E65/100)</f>
        <v>22</v>
      </c>
      <c r="G65" s="20">
        <v>2074.63</v>
      </c>
      <c r="H65" s="225">
        <f t="shared" si="5"/>
        <v>45.641860000000001</v>
      </c>
      <c r="I65" s="20">
        <v>0</v>
      </c>
      <c r="J65" s="37"/>
      <c r="L65" s="28"/>
      <c r="M65" s="29"/>
      <c r="N65" s="30"/>
    </row>
    <row r="66" spans="1:14" ht="15.75" hidden="1" customHeight="1">
      <c r="A66" s="171"/>
      <c r="B66" s="226" t="s">
        <v>170</v>
      </c>
      <c r="C66" s="24" t="s">
        <v>37</v>
      </c>
      <c r="D66" s="22"/>
      <c r="E66" s="211">
        <v>9.4</v>
      </c>
      <c r="F66" s="20">
        <f>SUM(E66)</f>
        <v>9.4</v>
      </c>
      <c r="G66" s="20">
        <v>42.67</v>
      </c>
      <c r="H66" s="225">
        <f t="shared" si="5"/>
        <v>0.40109800000000001</v>
      </c>
      <c r="I66" s="20">
        <v>0</v>
      </c>
      <c r="J66" s="37"/>
      <c r="L66" s="28"/>
      <c r="M66" s="29"/>
      <c r="N66" s="30"/>
    </row>
    <row r="67" spans="1:14" ht="15.75" hidden="1" customHeight="1">
      <c r="A67" s="171"/>
      <c r="B67" s="226" t="s">
        <v>171</v>
      </c>
      <c r="C67" s="24" t="s">
        <v>37</v>
      </c>
      <c r="D67" s="22"/>
      <c r="E67" s="211">
        <v>9.4</v>
      </c>
      <c r="F67" s="20">
        <f>SUM(E67)</f>
        <v>9.4</v>
      </c>
      <c r="G67" s="20">
        <v>39.81</v>
      </c>
      <c r="H67" s="225">
        <f t="shared" si="5"/>
        <v>0.37421400000000005</v>
      </c>
      <c r="I67" s="20">
        <v>0</v>
      </c>
      <c r="J67" s="37"/>
      <c r="L67" s="28"/>
      <c r="M67" s="29"/>
      <c r="N67" s="30"/>
    </row>
    <row r="68" spans="1:14" ht="15.75" hidden="1" customHeight="1">
      <c r="A68" s="171"/>
      <c r="B68" s="22" t="s">
        <v>73</v>
      </c>
      <c r="C68" s="24" t="s">
        <v>74</v>
      </c>
      <c r="D68" s="22" t="s">
        <v>66</v>
      </c>
      <c r="E68" s="26">
        <v>5</v>
      </c>
      <c r="F68" s="212">
        <v>5</v>
      </c>
      <c r="G68" s="20">
        <v>49.88</v>
      </c>
      <c r="H68" s="225">
        <f t="shared" si="5"/>
        <v>0.24940000000000001</v>
      </c>
      <c r="I68" s="20">
        <v>0</v>
      </c>
      <c r="J68" s="37"/>
      <c r="L68" s="28"/>
      <c r="M68" s="29"/>
      <c r="N68" s="30"/>
    </row>
    <row r="69" spans="1:14" ht="15.75" hidden="1" customHeight="1">
      <c r="A69" s="171"/>
      <c r="B69" s="201" t="s">
        <v>88</v>
      </c>
      <c r="C69" s="24"/>
      <c r="D69" s="22"/>
      <c r="E69" s="26"/>
      <c r="F69" s="20"/>
      <c r="G69" s="20"/>
      <c r="H69" s="225" t="s">
        <v>177</v>
      </c>
      <c r="I69" s="20"/>
      <c r="J69" s="37"/>
      <c r="L69" s="28"/>
      <c r="M69" s="29"/>
      <c r="N69" s="30"/>
    </row>
    <row r="70" spans="1:14" ht="15.75" hidden="1" customHeight="1">
      <c r="A70" s="171"/>
      <c r="B70" s="22" t="s">
        <v>89</v>
      </c>
      <c r="C70" s="24" t="s">
        <v>91</v>
      </c>
      <c r="D70" s="22"/>
      <c r="E70" s="26">
        <v>3</v>
      </c>
      <c r="F70" s="20">
        <v>0.3</v>
      </c>
      <c r="G70" s="20">
        <v>501.62</v>
      </c>
      <c r="H70" s="225">
        <f t="shared" si="5"/>
        <v>0.15048599999999998</v>
      </c>
      <c r="I70" s="20">
        <v>0</v>
      </c>
      <c r="J70" s="37"/>
      <c r="L70" s="28"/>
      <c r="M70" s="29"/>
      <c r="N70" s="30"/>
    </row>
    <row r="71" spans="1:14" ht="15.75" hidden="1" customHeight="1">
      <c r="A71" s="50"/>
      <c r="B71" s="22" t="s">
        <v>90</v>
      </c>
      <c r="C71" s="24" t="s">
        <v>35</v>
      </c>
      <c r="D71" s="22"/>
      <c r="E71" s="26">
        <v>1</v>
      </c>
      <c r="F71" s="202">
        <v>1</v>
      </c>
      <c r="G71" s="20">
        <v>852.99</v>
      </c>
      <c r="H71" s="225">
        <f>F71*G71/1000</f>
        <v>0.85299000000000003</v>
      </c>
      <c r="I71" s="20">
        <v>0</v>
      </c>
      <c r="J71" s="37"/>
      <c r="L71" s="28"/>
      <c r="M71" s="29"/>
      <c r="N71" s="30"/>
    </row>
    <row r="72" spans="1:14" ht="15.75" hidden="1" customHeight="1">
      <c r="A72" s="206"/>
      <c r="B72" s="22" t="s">
        <v>172</v>
      </c>
      <c r="C72" s="24" t="s">
        <v>35</v>
      </c>
      <c r="D72" s="22"/>
      <c r="E72" s="26">
        <v>1</v>
      </c>
      <c r="F72" s="20">
        <v>1</v>
      </c>
      <c r="G72" s="20">
        <v>358.51</v>
      </c>
      <c r="H72" s="225">
        <f>G72*F72/1000</f>
        <v>0.35851</v>
      </c>
      <c r="I72" s="20">
        <v>0</v>
      </c>
      <c r="J72" s="37"/>
      <c r="L72" s="28"/>
      <c r="M72" s="29"/>
      <c r="N72" s="30"/>
    </row>
    <row r="73" spans="1:14" ht="15.75" hidden="1" customHeight="1">
      <c r="A73" s="171"/>
      <c r="B73" s="22" t="s">
        <v>173</v>
      </c>
      <c r="C73" s="24" t="s">
        <v>35</v>
      </c>
      <c r="D73" s="22"/>
      <c r="E73" s="26">
        <v>2</v>
      </c>
      <c r="F73" s="20">
        <v>2</v>
      </c>
      <c r="G73" s="20">
        <v>784.67</v>
      </c>
      <c r="H73" s="225">
        <f>G73*F73/1000</f>
        <v>1.56934</v>
      </c>
      <c r="I73" s="20">
        <v>0</v>
      </c>
      <c r="J73" s="37"/>
      <c r="L73" s="28"/>
      <c r="M73" s="29"/>
      <c r="N73" s="30"/>
    </row>
    <row r="74" spans="1:14" ht="15.75" hidden="1" customHeight="1">
      <c r="A74" s="171"/>
      <c r="B74" s="22" t="s">
        <v>174</v>
      </c>
      <c r="C74" s="24" t="s">
        <v>175</v>
      </c>
      <c r="D74" s="22"/>
      <c r="E74" s="26">
        <v>2</v>
      </c>
      <c r="F74" s="20">
        <v>2</v>
      </c>
      <c r="G74" s="20">
        <v>1000</v>
      </c>
      <c r="H74" s="225">
        <f>G74*F74/1000</f>
        <v>2</v>
      </c>
      <c r="I74" s="20">
        <v>0</v>
      </c>
      <c r="J74" s="37"/>
      <c r="L74" s="28"/>
      <c r="M74" s="29"/>
      <c r="N74" s="30"/>
    </row>
    <row r="75" spans="1:14" ht="15.75" hidden="1" customHeight="1">
      <c r="A75" s="171"/>
      <c r="B75" s="234" t="s">
        <v>92</v>
      </c>
      <c r="C75" s="24"/>
      <c r="D75" s="22"/>
      <c r="E75" s="26"/>
      <c r="F75" s="20"/>
      <c r="G75" s="20" t="s">
        <v>177</v>
      </c>
      <c r="H75" s="225" t="s">
        <v>177</v>
      </c>
      <c r="I75" s="20"/>
      <c r="J75" s="37"/>
      <c r="L75" s="28"/>
      <c r="M75" s="29"/>
      <c r="N75" s="30"/>
    </row>
    <row r="76" spans="1:14" ht="15.75" hidden="1" customHeight="1">
      <c r="A76" s="171"/>
      <c r="B76" s="84" t="s">
        <v>93</v>
      </c>
      <c r="C76" s="24" t="s">
        <v>94</v>
      </c>
      <c r="D76" s="22"/>
      <c r="E76" s="26"/>
      <c r="F76" s="20">
        <v>1</v>
      </c>
      <c r="G76" s="20">
        <v>2579.44</v>
      </c>
      <c r="H76" s="225">
        <f t="shared" si="5"/>
        <v>2.57944</v>
      </c>
      <c r="I76" s="20">
        <v>0</v>
      </c>
      <c r="J76" s="37"/>
      <c r="L76" s="28"/>
      <c r="M76" s="29"/>
      <c r="N76" s="30"/>
    </row>
    <row r="77" spans="1:14" ht="15.75" hidden="1" customHeight="1">
      <c r="A77" s="171"/>
      <c r="B77" s="201" t="s">
        <v>166</v>
      </c>
      <c r="C77" s="24"/>
      <c r="D77" s="22"/>
      <c r="E77" s="26"/>
      <c r="F77" s="20"/>
      <c r="G77" s="20"/>
      <c r="H77" s="225">
        <f>SUM(H57:H76)</f>
        <v>98.476136213999993</v>
      </c>
      <c r="I77" s="20"/>
      <c r="J77" s="37"/>
      <c r="L77" s="28"/>
      <c r="M77" s="29"/>
      <c r="N77" s="30"/>
    </row>
    <row r="78" spans="1:14" ht="15.75" hidden="1" customHeight="1">
      <c r="A78" s="171"/>
      <c r="B78" s="175" t="s">
        <v>167</v>
      </c>
      <c r="C78" s="24"/>
      <c r="D78" s="22"/>
      <c r="E78" s="227"/>
      <c r="F78" s="20">
        <v>1</v>
      </c>
      <c r="G78" s="20">
        <v>20954</v>
      </c>
      <c r="H78" s="225">
        <f>G78*F78/1000</f>
        <v>20.954000000000001</v>
      </c>
      <c r="I78" s="20">
        <v>0</v>
      </c>
      <c r="J78" s="37"/>
      <c r="L78" s="28"/>
      <c r="M78" s="29"/>
      <c r="N78" s="30"/>
    </row>
    <row r="79" spans="1:14" ht="15.75" customHeight="1">
      <c r="A79" s="252" t="s">
        <v>240</v>
      </c>
      <c r="B79" s="262"/>
      <c r="C79" s="262"/>
      <c r="D79" s="262"/>
      <c r="E79" s="262"/>
      <c r="F79" s="262"/>
      <c r="G79" s="262"/>
      <c r="H79" s="262"/>
      <c r="I79" s="263"/>
      <c r="J79" s="37"/>
      <c r="L79" s="28"/>
      <c r="M79" s="29"/>
      <c r="N79" s="30"/>
    </row>
    <row r="80" spans="1:14" ht="15.75" customHeight="1">
      <c r="A80" s="171">
        <v>17</v>
      </c>
      <c r="B80" s="175" t="s">
        <v>216</v>
      </c>
      <c r="C80" s="24" t="s">
        <v>69</v>
      </c>
      <c r="D80" s="179" t="s">
        <v>70</v>
      </c>
      <c r="E80" s="20">
        <v>2566.6</v>
      </c>
      <c r="F80" s="20">
        <f>SUM(E80*12)</f>
        <v>30799.199999999997</v>
      </c>
      <c r="G80" s="20">
        <v>2.1</v>
      </c>
      <c r="H80" s="225">
        <f>SUM(F80*G80/1000)</f>
        <v>64.678319999999999</v>
      </c>
      <c r="I80" s="20">
        <f>F80/12*G80</f>
        <v>5389.86</v>
      </c>
      <c r="J80" s="37"/>
      <c r="L80" s="28"/>
      <c r="M80" s="29"/>
      <c r="N80" s="30"/>
    </row>
    <row r="81" spans="1:22" ht="31.5" customHeight="1">
      <c r="A81" s="171">
        <v>18</v>
      </c>
      <c r="B81" s="22" t="s">
        <v>95</v>
      </c>
      <c r="C81" s="24"/>
      <c r="D81" s="179" t="s">
        <v>70</v>
      </c>
      <c r="E81" s="211">
        <f>E80</f>
        <v>2566.6</v>
      </c>
      <c r="F81" s="20">
        <f>E81*12</f>
        <v>30799.199999999997</v>
      </c>
      <c r="G81" s="20">
        <v>1.63</v>
      </c>
      <c r="H81" s="225">
        <f>F81*G81/1000</f>
        <v>50.202695999999989</v>
      </c>
      <c r="I81" s="20">
        <f>F81/12*G81</f>
        <v>4183.558</v>
      </c>
      <c r="J81" s="37"/>
      <c r="L81" s="28"/>
      <c r="M81" s="29"/>
      <c r="N81" s="30"/>
    </row>
    <row r="82" spans="1:22" ht="15.75" customHeight="1">
      <c r="A82" s="171"/>
      <c r="B82" s="72" t="s">
        <v>100</v>
      </c>
      <c r="C82" s="24"/>
      <c r="D82" s="84"/>
      <c r="E82" s="20"/>
      <c r="F82" s="20"/>
      <c r="G82" s="20"/>
      <c r="H82" s="225">
        <f>H81</f>
        <v>50.202695999999989</v>
      </c>
      <c r="I82" s="235">
        <f>I15+I16+I17+I25+I26+I35+I36+I37+I39+I40+I41+I42+I49+I57+I80+I81</f>
        <v>37900.763331516668</v>
      </c>
      <c r="J82" s="37"/>
      <c r="L82" s="28"/>
      <c r="M82" s="29"/>
      <c r="N82" s="30"/>
    </row>
    <row r="83" spans="1:22" ht="15.75" customHeight="1">
      <c r="A83" s="171"/>
      <c r="B83" s="147" t="s">
        <v>75</v>
      </c>
      <c r="C83" s="24"/>
      <c r="D83" s="84"/>
      <c r="E83" s="20"/>
      <c r="F83" s="20"/>
      <c r="G83" s="20"/>
      <c r="H83" s="225" t="e">
        <f>SUM(H82+#REF!+H77+#REF!+#REF!+#REF!+#REF!)</f>
        <v>#REF!</v>
      </c>
      <c r="I83" s="20"/>
      <c r="J83" s="37"/>
      <c r="L83" s="28"/>
      <c r="M83" s="29"/>
      <c r="N83" s="30"/>
    </row>
    <row r="84" spans="1:22" ht="15.75" customHeight="1">
      <c r="A84" s="50"/>
      <c r="B84" s="79" t="s">
        <v>63</v>
      </c>
      <c r="C84" s="75"/>
      <c r="D84" s="130"/>
      <c r="E84" s="75">
        <v>1</v>
      </c>
      <c r="F84" s="75"/>
      <c r="G84" s="59"/>
      <c r="H84" s="75"/>
      <c r="I84" s="59">
        <f>SUM(I83)</f>
        <v>0</v>
      </c>
      <c r="J84" s="37"/>
      <c r="L84" s="28"/>
      <c r="M84" s="29"/>
      <c r="N84" s="30"/>
    </row>
    <row r="85" spans="1:22" ht="15.75" customHeight="1">
      <c r="A85" s="50"/>
      <c r="B85" s="84" t="s">
        <v>96</v>
      </c>
      <c r="C85" s="23"/>
      <c r="D85" s="23"/>
      <c r="E85" s="76"/>
      <c r="F85" s="77"/>
      <c r="G85" s="25"/>
      <c r="H85" s="208"/>
      <c r="I85" s="26">
        <v>0</v>
      </c>
      <c r="J85" s="37"/>
      <c r="L85" s="28"/>
      <c r="M85" s="29"/>
      <c r="N85" s="30"/>
    </row>
    <row r="86" spans="1:22" ht="15.75" customHeight="1">
      <c r="A86" s="209"/>
      <c r="B86" s="80" t="s">
        <v>64</v>
      </c>
      <c r="C86" s="63"/>
      <c r="D86" s="63"/>
      <c r="E86" s="63"/>
      <c r="F86" s="63"/>
      <c r="G86" s="78"/>
      <c r="H86" s="64"/>
      <c r="I86" s="59">
        <f>I82+I84</f>
        <v>37900.763331516668</v>
      </c>
      <c r="J86" s="37"/>
      <c r="L86" s="28"/>
      <c r="M86" s="29"/>
      <c r="N86" s="30"/>
    </row>
    <row r="87" spans="1:22" ht="15" customHeight="1">
      <c r="A87" s="237" t="s">
        <v>244</v>
      </c>
      <c r="B87" s="237"/>
      <c r="C87" s="237"/>
      <c r="D87" s="237"/>
      <c r="E87" s="237"/>
      <c r="F87" s="237"/>
      <c r="G87" s="237"/>
      <c r="H87" s="237"/>
      <c r="I87" s="237"/>
      <c r="J87" s="37"/>
      <c r="L87" s="28"/>
      <c r="M87" s="29"/>
      <c r="N87" s="30"/>
    </row>
    <row r="88" spans="1:22" ht="15.75">
      <c r="A88" s="13"/>
      <c r="B88" s="259" t="s">
        <v>245</v>
      </c>
      <c r="C88" s="259"/>
      <c r="D88" s="259"/>
      <c r="E88" s="259"/>
      <c r="F88" s="259"/>
      <c r="G88" s="259"/>
      <c r="H88" s="197"/>
      <c r="I88" s="4"/>
      <c r="J88" s="37"/>
      <c r="L88" s="28"/>
    </row>
    <row r="89" spans="1:22" ht="15.75">
      <c r="A89" s="199"/>
      <c r="B89" s="239" t="s">
        <v>7</v>
      </c>
      <c r="C89" s="239"/>
      <c r="D89" s="239"/>
      <c r="E89" s="239"/>
      <c r="F89" s="239"/>
      <c r="G89" s="239"/>
      <c r="H89" s="41"/>
      <c r="I89" s="121"/>
    </row>
    <row r="90" spans="1:22" ht="15.75">
      <c r="A90" s="122"/>
      <c r="B90" s="122"/>
      <c r="C90" s="122"/>
      <c r="D90" s="122"/>
      <c r="E90" s="122"/>
      <c r="F90" s="122"/>
      <c r="G90" s="122"/>
      <c r="H90" s="122"/>
      <c r="I90" s="122"/>
    </row>
    <row r="91" spans="1:22" ht="15.75">
      <c r="A91" s="260" t="s">
        <v>8</v>
      </c>
      <c r="B91" s="260"/>
      <c r="C91" s="260"/>
      <c r="D91" s="260"/>
      <c r="E91" s="260"/>
      <c r="F91" s="260"/>
      <c r="G91" s="260"/>
      <c r="H91" s="260"/>
      <c r="I91" s="260"/>
    </row>
    <row r="92" spans="1:22" ht="15.75" customHeight="1">
      <c r="A92" s="260" t="s">
        <v>9</v>
      </c>
      <c r="B92" s="260"/>
      <c r="C92" s="260"/>
      <c r="D92" s="260"/>
      <c r="E92" s="260"/>
      <c r="F92" s="260"/>
      <c r="G92" s="260"/>
      <c r="H92" s="260"/>
      <c r="I92" s="260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12"/>
    </row>
    <row r="93" spans="1:22" ht="15.75" customHeight="1">
      <c r="A93" s="237" t="s">
        <v>10</v>
      </c>
      <c r="B93" s="237"/>
      <c r="C93" s="237"/>
      <c r="D93" s="237"/>
      <c r="E93" s="237"/>
      <c r="F93" s="237"/>
      <c r="G93" s="237"/>
      <c r="H93" s="237"/>
      <c r="I93" s="237"/>
      <c r="J93" s="42"/>
      <c r="K93" s="42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2" ht="15.75">
      <c r="A94" s="15"/>
      <c r="B94" s="119"/>
      <c r="C94" s="119"/>
      <c r="D94" s="119"/>
      <c r="E94" s="119"/>
      <c r="F94" s="119"/>
      <c r="G94" s="119"/>
      <c r="H94" s="119"/>
      <c r="I94" s="119"/>
      <c r="J94" s="6"/>
      <c r="K94" s="6"/>
      <c r="L94" s="6"/>
      <c r="M94" s="6"/>
      <c r="N94" s="6"/>
      <c r="O94" s="6"/>
      <c r="P94" s="6"/>
      <c r="Q94" s="6"/>
      <c r="R94" s="236"/>
      <c r="S94" s="236"/>
      <c r="T94" s="236"/>
      <c r="U94" s="236"/>
    </row>
    <row r="95" spans="1:22" ht="15.75">
      <c r="A95" s="261" t="s">
        <v>11</v>
      </c>
      <c r="B95" s="261"/>
      <c r="C95" s="261"/>
      <c r="D95" s="261"/>
      <c r="E95" s="261"/>
      <c r="F95" s="261"/>
      <c r="G95" s="261"/>
      <c r="H95" s="261"/>
      <c r="I95" s="261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2" ht="15.75">
      <c r="A96" s="5"/>
      <c r="B96" s="119"/>
      <c r="C96" s="119"/>
      <c r="D96" s="119"/>
      <c r="E96" s="119"/>
      <c r="F96" s="119"/>
      <c r="G96" s="119"/>
      <c r="H96" s="119"/>
      <c r="I96" s="119"/>
    </row>
    <row r="97" spans="1:9" ht="15.75">
      <c r="A97" s="237" t="s">
        <v>12</v>
      </c>
      <c r="B97" s="237"/>
      <c r="C97" s="238" t="s">
        <v>133</v>
      </c>
      <c r="D97" s="238"/>
      <c r="E97" s="238"/>
      <c r="F97" s="203"/>
      <c r="I97" s="196"/>
    </row>
    <row r="98" spans="1:9" ht="15.75" customHeight="1">
      <c r="A98" s="199"/>
      <c r="B98" s="119"/>
      <c r="C98" s="239" t="s">
        <v>13</v>
      </c>
      <c r="D98" s="239"/>
      <c r="E98" s="239"/>
      <c r="F98" s="41"/>
      <c r="I98" s="195" t="s">
        <v>14</v>
      </c>
    </row>
    <row r="99" spans="1:9" ht="15.75">
      <c r="A99" s="42"/>
      <c r="B99" s="119"/>
      <c r="C99" s="16"/>
      <c r="D99" s="16"/>
      <c r="G99" s="16"/>
      <c r="H99" s="16"/>
    </row>
    <row r="100" spans="1:9" ht="15.75">
      <c r="A100" s="237" t="s">
        <v>15</v>
      </c>
      <c r="B100" s="237"/>
      <c r="C100" s="250"/>
      <c r="D100" s="250"/>
      <c r="E100" s="250"/>
      <c r="F100" s="204"/>
      <c r="I100" s="196"/>
    </row>
    <row r="101" spans="1:9">
      <c r="A101" s="194"/>
      <c r="C101" s="236" t="s">
        <v>13</v>
      </c>
      <c r="D101" s="236"/>
      <c r="E101" s="236"/>
      <c r="F101" s="194"/>
      <c r="I101" s="195" t="s">
        <v>14</v>
      </c>
    </row>
    <row r="102" spans="1:9" ht="15.75">
      <c r="A102" s="5" t="s">
        <v>16</v>
      </c>
    </row>
    <row r="103" spans="1:9">
      <c r="A103" s="251" t="s">
        <v>17</v>
      </c>
      <c r="B103" s="251"/>
      <c r="C103" s="251"/>
      <c r="D103" s="251"/>
      <c r="E103" s="251"/>
      <c r="F103" s="251"/>
      <c r="G103" s="251"/>
      <c r="H103" s="251"/>
      <c r="I103" s="251"/>
    </row>
    <row r="104" spans="1:9" ht="47.25" customHeight="1">
      <c r="A104" s="249" t="s">
        <v>18</v>
      </c>
      <c r="B104" s="249"/>
      <c r="C104" s="249"/>
      <c r="D104" s="249"/>
      <c r="E104" s="249"/>
      <c r="F104" s="249"/>
      <c r="G104" s="249"/>
      <c r="H104" s="249"/>
      <c r="I104" s="249"/>
    </row>
    <row r="105" spans="1:9" ht="31.5" customHeight="1">
      <c r="A105" s="249" t="s">
        <v>19</v>
      </c>
      <c r="B105" s="249"/>
      <c r="C105" s="249"/>
      <c r="D105" s="249"/>
      <c r="E105" s="249"/>
      <c r="F105" s="249"/>
      <c r="G105" s="249"/>
      <c r="H105" s="249"/>
      <c r="I105" s="249"/>
    </row>
    <row r="106" spans="1:9" ht="31.5" customHeight="1">
      <c r="A106" s="249" t="s">
        <v>24</v>
      </c>
      <c r="B106" s="249"/>
      <c r="C106" s="249"/>
      <c r="D106" s="249"/>
      <c r="E106" s="249"/>
      <c r="F106" s="249"/>
      <c r="G106" s="249"/>
      <c r="H106" s="249"/>
      <c r="I106" s="249"/>
    </row>
    <row r="107" spans="1:9" ht="15.75">
      <c r="A107" s="249" t="s">
        <v>23</v>
      </c>
      <c r="B107" s="249"/>
      <c r="C107" s="249"/>
      <c r="D107" s="249"/>
      <c r="E107" s="249"/>
      <c r="F107" s="249"/>
      <c r="G107" s="249"/>
      <c r="H107" s="249"/>
      <c r="I107" s="249"/>
    </row>
  </sheetData>
  <autoFilter ref="I14:I90"/>
  <mergeCells count="30">
    <mergeCell ref="A107:I107"/>
    <mergeCell ref="A95:I95"/>
    <mergeCell ref="A97:B97"/>
    <mergeCell ref="C97:E97"/>
    <mergeCell ref="C98:E98"/>
    <mergeCell ref="A100:B100"/>
    <mergeCell ref="C100:E100"/>
    <mergeCell ref="C101:E101"/>
    <mergeCell ref="A103:I103"/>
    <mergeCell ref="A104:I104"/>
    <mergeCell ref="A105:I105"/>
    <mergeCell ref="A106:I106"/>
    <mergeCell ref="R94:U94"/>
    <mergeCell ref="A27:I27"/>
    <mergeCell ref="A34:I34"/>
    <mergeCell ref="A43:I43"/>
    <mergeCell ref="A55:I55"/>
    <mergeCell ref="A79:I79"/>
    <mergeCell ref="A87:I87"/>
    <mergeCell ref="B88:G88"/>
    <mergeCell ref="B89:G89"/>
    <mergeCell ref="A91:I91"/>
    <mergeCell ref="A92:I92"/>
    <mergeCell ref="A93:I93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B1" s="57" t="s">
        <v>118</v>
      </c>
      <c r="I1" s="56"/>
    </row>
    <row r="2" spans="1:13" ht="15.75">
      <c r="B2" s="45" t="s">
        <v>79</v>
      </c>
      <c r="J2" s="1"/>
      <c r="K2" s="1"/>
      <c r="L2" s="1"/>
      <c r="M2" s="1"/>
    </row>
    <row r="3" spans="1:13" ht="15.75" customHeight="1">
      <c r="A3" s="240" t="s">
        <v>246</v>
      </c>
      <c r="B3" s="240"/>
      <c r="C3" s="240"/>
      <c r="D3" s="240"/>
      <c r="E3" s="240"/>
      <c r="F3" s="240"/>
      <c r="G3" s="240"/>
      <c r="H3" s="240"/>
      <c r="I3" s="240"/>
      <c r="J3" s="2"/>
      <c r="K3" s="2"/>
      <c r="L3" s="2"/>
      <c r="M3" s="2"/>
    </row>
    <row r="4" spans="1:13" ht="33.75" customHeight="1">
      <c r="A4" s="241" t="s">
        <v>153</v>
      </c>
      <c r="B4" s="241"/>
      <c r="C4" s="241"/>
      <c r="D4" s="241"/>
      <c r="E4" s="241"/>
      <c r="F4" s="241"/>
      <c r="G4" s="241"/>
      <c r="H4" s="241"/>
      <c r="I4" s="241"/>
      <c r="J4" s="3"/>
      <c r="K4" s="3"/>
      <c r="L4" s="3"/>
      <c r="M4" s="3"/>
    </row>
    <row r="5" spans="1:13" ht="15.75" customHeight="1">
      <c r="A5" s="246" t="s">
        <v>103</v>
      </c>
      <c r="B5" s="247"/>
      <c r="C5" s="247"/>
      <c r="D5" s="247"/>
      <c r="E5" s="247"/>
      <c r="F5" s="247"/>
      <c r="G5" s="247"/>
      <c r="H5" s="247"/>
      <c r="I5" s="247"/>
      <c r="J5" s="4"/>
      <c r="K5" s="4"/>
      <c r="L5" s="4"/>
    </row>
    <row r="6" spans="1:13" ht="15.75" customHeight="1">
      <c r="A6" s="3"/>
      <c r="B6" s="192"/>
      <c r="C6" s="192"/>
      <c r="D6" s="192"/>
      <c r="E6" s="192"/>
      <c r="F6" s="192"/>
      <c r="G6" s="192"/>
      <c r="H6" s="192"/>
      <c r="I6" s="58">
        <v>42460</v>
      </c>
    </row>
    <row r="7" spans="1:13" ht="15.75">
      <c r="B7" s="193"/>
      <c r="C7" s="193"/>
      <c r="D7" s="193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242" t="s">
        <v>274</v>
      </c>
      <c r="B8" s="242"/>
      <c r="C8" s="242"/>
      <c r="D8" s="242"/>
      <c r="E8" s="242"/>
      <c r="F8" s="242"/>
      <c r="G8" s="242"/>
      <c r="H8" s="242"/>
      <c r="I8" s="242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248" t="s">
        <v>155</v>
      </c>
      <c r="B10" s="248"/>
      <c r="C10" s="248"/>
      <c r="D10" s="248"/>
      <c r="E10" s="248"/>
      <c r="F10" s="248"/>
      <c r="G10" s="248"/>
      <c r="H10" s="248"/>
      <c r="I10" s="248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243" t="s">
        <v>4</v>
      </c>
      <c r="B14" s="244"/>
      <c r="C14" s="244"/>
      <c r="D14" s="244"/>
      <c r="E14" s="244"/>
      <c r="F14" s="244"/>
      <c r="G14" s="244"/>
      <c r="H14" s="244"/>
      <c r="I14" s="245"/>
    </row>
    <row r="15" spans="1:13" ht="31.5" customHeight="1">
      <c r="A15" s="50">
        <v>1</v>
      </c>
      <c r="B15" s="175" t="s">
        <v>120</v>
      </c>
      <c r="C15" s="210" t="s">
        <v>156</v>
      </c>
      <c r="D15" s="175" t="s">
        <v>191</v>
      </c>
      <c r="E15" s="211">
        <v>66.2</v>
      </c>
      <c r="F15" s="212">
        <f>SUM(E15*156/100)</f>
        <v>103.27200000000001</v>
      </c>
      <c r="G15" s="212">
        <v>175.38</v>
      </c>
      <c r="H15" s="213">
        <f t="shared" ref="H15:H24" si="0">SUM(F15*G15/1000)</f>
        <v>18.111843359999998</v>
      </c>
      <c r="I15" s="20">
        <f>F15/12*G15</f>
        <v>1509.3202799999999</v>
      </c>
      <c r="J15" s="10"/>
      <c r="K15" s="10"/>
      <c r="L15" s="10"/>
      <c r="M15" s="10"/>
    </row>
    <row r="16" spans="1:13" ht="31.5" customHeight="1">
      <c r="A16" s="50">
        <v>2</v>
      </c>
      <c r="B16" s="175" t="s">
        <v>121</v>
      </c>
      <c r="C16" s="210" t="s">
        <v>156</v>
      </c>
      <c r="D16" s="175" t="s">
        <v>192</v>
      </c>
      <c r="E16" s="211">
        <v>198.7</v>
      </c>
      <c r="F16" s="212">
        <f>SUM(E16*104/100)</f>
        <v>206.648</v>
      </c>
      <c r="G16" s="212">
        <v>175.38</v>
      </c>
      <c r="H16" s="213">
        <f t="shared" si="0"/>
        <v>36.241926239999998</v>
      </c>
      <c r="I16" s="20">
        <f>F16/12*G16</f>
        <v>3020.1605199999999</v>
      </c>
      <c r="J16" s="10"/>
      <c r="K16" s="10"/>
      <c r="L16" s="10"/>
      <c r="M16" s="10"/>
    </row>
    <row r="17" spans="1:13" ht="31.5" customHeight="1">
      <c r="A17" s="50">
        <v>3</v>
      </c>
      <c r="B17" s="175" t="s">
        <v>122</v>
      </c>
      <c r="C17" s="210" t="s">
        <v>156</v>
      </c>
      <c r="D17" s="175" t="s">
        <v>234</v>
      </c>
      <c r="E17" s="211">
        <f>SUM(E15+E16)</f>
        <v>264.89999999999998</v>
      </c>
      <c r="F17" s="212">
        <f>SUM(E17*24/100)</f>
        <v>63.575999999999993</v>
      </c>
      <c r="G17" s="212">
        <v>504.5</v>
      </c>
      <c r="H17" s="213">
        <f t="shared" si="0"/>
        <v>32.074092</v>
      </c>
      <c r="I17" s="20">
        <f>F17/12*G17</f>
        <v>2672.8409999999994</v>
      </c>
      <c r="J17" s="10"/>
      <c r="K17" s="10"/>
      <c r="L17" s="10"/>
      <c r="M17" s="10"/>
    </row>
    <row r="18" spans="1:13" ht="15.75" hidden="1" customHeight="1">
      <c r="A18" s="50"/>
      <c r="B18" s="175" t="s">
        <v>157</v>
      </c>
      <c r="C18" s="210" t="s">
        <v>146</v>
      </c>
      <c r="D18" s="175" t="s">
        <v>158</v>
      </c>
      <c r="E18" s="211">
        <v>40</v>
      </c>
      <c r="F18" s="212">
        <f>SUM(E18/10)</f>
        <v>4</v>
      </c>
      <c r="G18" s="212">
        <v>170.16</v>
      </c>
      <c r="H18" s="213">
        <f t="shared" si="0"/>
        <v>0.68064000000000002</v>
      </c>
      <c r="I18" s="20">
        <v>0</v>
      </c>
      <c r="J18" s="10"/>
      <c r="K18" s="10"/>
      <c r="L18" s="10"/>
      <c r="M18" s="10"/>
    </row>
    <row r="19" spans="1:13" ht="15.75" hidden="1" customHeight="1">
      <c r="A19" s="50"/>
      <c r="B19" s="175" t="s">
        <v>159</v>
      </c>
      <c r="C19" s="210" t="s">
        <v>156</v>
      </c>
      <c r="D19" s="175" t="s">
        <v>66</v>
      </c>
      <c r="E19" s="211">
        <v>10.5</v>
      </c>
      <c r="F19" s="212">
        <f t="shared" ref="F19:F24" si="1">SUM(E19/100)</f>
        <v>0.105</v>
      </c>
      <c r="G19" s="212">
        <v>217.88</v>
      </c>
      <c r="H19" s="213">
        <f t="shared" si="0"/>
        <v>2.2877399999999999E-2</v>
      </c>
      <c r="I19" s="20">
        <v>0</v>
      </c>
      <c r="J19" s="10"/>
      <c r="K19" s="10"/>
      <c r="L19" s="10"/>
      <c r="M19" s="10"/>
    </row>
    <row r="20" spans="1:13" ht="15.75" hidden="1" customHeight="1">
      <c r="A20" s="50"/>
      <c r="B20" s="175" t="s">
        <v>160</v>
      </c>
      <c r="C20" s="210" t="s">
        <v>156</v>
      </c>
      <c r="D20" s="175" t="s">
        <v>66</v>
      </c>
      <c r="E20" s="211">
        <v>2.7</v>
      </c>
      <c r="F20" s="212">
        <f t="shared" si="1"/>
        <v>2.7000000000000003E-2</v>
      </c>
      <c r="G20" s="212">
        <v>216.12</v>
      </c>
      <c r="H20" s="213">
        <f t="shared" si="0"/>
        <v>5.8352400000000002E-3</v>
      </c>
      <c r="I20" s="20">
        <v>0</v>
      </c>
      <c r="J20" s="10"/>
      <c r="K20" s="10"/>
      <c r="L20" s="10"/>
      <c r="M20" s="10"/>
    </row>
    <row r="21" spans="1:13" ht="15.75" hidden="1" customHeight="1">
      <c r="A21" s="50"/>
      <c r="B21" s="175" t="s">
        <v>161</v>
      </c>
      <c r="C21" s="210" t="s">
        <v>65</v>
      </c>
      <c r="D21" s="175" t="s">
        <v>158</v>
      </c>
      <c r="E21" s="211">
        <v>357</v>
      </c>
      <c r="F21" s="212">
        <f t="shared" si="1"/>
        <v>3.57</v>
      </c>
      <c r="G21" s="212">
        <v>269.26</v>
      </c>
      <c r="H21" s="213">
        <f t="shared" si="0"/>
        <v>0.96125819999999984</v>
      </c>
      <c r="I21" s="20">
        <v>0</v>
      </c>
      <c r="J21" s="10"/>
      <c r="K21" s="10"/>
      <c r="L21" s="10"/>
      <c r="M21" s="10"/>
    </row>
    <row r="22" spans="1:13" ht="15.75" hidden="1" customHeight="1">
      <c r="A22" s="50"/>
      <c r="B22" s="175" t="s">
        <v>162</v>
      </c>
      <c r="C22" s="210" t="s">
        <v>65</v>
      </c>
      <c r="D22" s="175" t="s">
        <v>158</v>
      </c>
      <c r="E22" s="214">
        <v>38.64</v>
      </c>
      <c r="F22" s="212">
        <f t="shared" si="1"/>
        <v>0.38640000000000002</v>
      </c>
      <c r="G22" s="212">
        <v>44.29</v>
      </c>
      <c r="H22" s="213">
        <f t="shared" si="0"/>
        <v>1.7113655999999998E-2</v>
      </c>
      <c r="I22" s="20">
        <v>0</v>
      </c>
      <c r="J22" s="10"/>
      <c r="K22" s="10"/>
      <c r="L22" s="10"/>
      <c r="M22" s="10"/>
    </row>
    <row r="23" spans="1:13" ht="15.75" hidden="1" customHeight="1">
      <c r="A23" s="50"/>
      <c r="B23" s="175" t="s">
        <v>163</v>
      </c>
      <c r="C23" s="210" t="s">
        <v>65</v>
      </c>
      <c r="D23" s="176" t="s">
        <v>158</v>
      </c>
      <c r="E23" s="26">
        <v>15</v>
      </c>
      <c r="F23" s="215">
        <f t="shared" si="1"/>
        <v>0.15</v>
      </c>
      <c r="G23" s="212">
        <v>389.72</v>
      </c>
      <c r="H23" s="213">
        <f t="shared" si="0"/>
        <v>5.8457999999999996E-2</v>
      </c>
      <c r="I23" s="20">
        <v>0</v>
      </c>
      <c r="J23" s="10"/>
      <c r="K23" s="10"/>
      <c r="L23" s="10"/>
      <c r="M23" s="10"/>
    </row>
    <row r="24" spans="1:13" ht="15.75" hidden="1" customHeight="1">
      <c r="A24" s="50"/>
      <c r="B24" s="175" t="s">
        <v>164</v>
      </c>
      <c r="C24" s="210" t="s">
        <v>65</v>
      </c>
      <c r="D24" s="175" t="s">
        <v>158</v>
      </c>
      <c r="E24" s="216">
        <v>6.38</v>
      </c>
      <c r="F24" s="212">
        <f t="shared" si="1"/>
        <v>6.3799999999999996E-2</v>
      </c>
      <c r="G24" s="212">
        <v>520.79999999999995</v>
      </c>
      <c r="H24" s="213">
        <f t="shared" si="0"/>
        <v>3.3227039999999992E-2</v>
      </c>
      <c r="I24" s="20">
        <v>0</v>
      </c>
      <c r="J24" s="10"/>
      <c r="K24" s="10"/>
      <c r="L24" s="10"/>
      <c r="M24" s="10"/>
    </row>
    <row r="25" spans="1:13" ht="15.75" customHeight="1">
      <c r="A25" s="207">
        <v>4</v>
      </c>
      <c r="B25" s="175" t="s">
        <v>81</v>
      </c>
      <c r="C25" s="210" t="s">
        <v>37</v>
      </c>
      <c r="D25" s="175" t="s">
        <v>198</v>
      </c>
      <c r="E25" s="211">
        <v>0.1</v>
      </c>
      <c r="F25" s="212">
        <f>SUM(E25*365)</f>
        <v>36.5</v>
      </c>
      <c r="G25" s="212">
        <v>147.03</v>
      </c>
      <c r="H25" s="213">
        <f>SUM(F25*G25/1000)</f>
        <v>5.3665950000000002</v>
      </c>
      <c r="I25" s="20">
        <f>F25/12*G25</f>
        <v>447.21625</v>
      </c>
      <c r="J25" s="36"/>
      <c r="K25" s="10"/>
      <c r="L25" s="10"/>
      <c r="M25" s="10"/>
    </row>
    <row r="26" spans="1:13" ht="15.75" customHeight="1">
      <c r="A26" s="207">
        <v>5</v>
      </c>
      <c r="B26" s="218" t="s">
        <v>26</v>
      </c>
      <c r="C26" s="210" t="s">
        <v>27</v>
      </c>
      <c r="D26" s="218" t="s">
        <v>177</v>
      </c>
      <c r="E26" s="211">
        <v>2566.6</v>
      </c>
      <c r="F26" s="212">
        <f>SUM(E26*12)</f>
        <v>30799.199999999997</v>
      </c>
      <c r="G26" s="212">
        <v>4.53</v>
      </c>
      <c r="H26" s="213">
        <f>SUM(F26*G26/1000)</f>
        <v>139.520376</v>
      </c>
      <c r="I26" s="20">
        <f>F26/12*G26</f>
        <v>11626.698</v>
      </c>
      <c r="J26" s="36"/>
      <c r="K26" s="10"/>
      <c r="L26" s="10"/>
      <c r="M26" s="10"/>
    </row>
    <row r="27" spans="1:13" ht="15.75" hidden="1" customHeight="1">
      <c r="A27" s="252" t="s">
        <v>235</v>
      </c>
      <c r="B27" s="253"/>
      <c r="C27" s="253"/>
      <c r="D27" s="253"/>
      <c r="E27" s="253"/>
      <c r="F27" s="253"/>
      <c r="G27" s="253"/>
      <c r="H27" s="253"/>
      <c r="I27" s="254"/>
      <c r="J27" s="36"/>
      <c r="K27" s="10"/>
      <c r="L27" s="10"/>
      <c r="M27" s="10"/>
    </row>
    <row r="28" spans="1:13" ht="31.5" hidden="1" customHeight="1">
      <c r="A28" s="205"/>
      <c r="B28" s="175" t="s">
        <v>193</v>
      </c>
      <c r="C28" s="210" t="s">
        <v>165</v>
      </c>
      <c r="D28" s="175" t="s">
        <v>194</v>
      </c>
      <c r="E28" s="212">
        <v>852.6</v>
      </c>
      <c r="F28" s="212">
        <f>SUM(E28*52/1000)</f>
        <v>44.335200000000007</v>
      </c>
      <c r="G28" s="212">
        <v>155.88999999999999</v>
      </c>
      <c r="H28" s="213">
        <f t="shared" ref="H28:H33" si="2">SUM(F28*G28/1000)</f>
        <v>6.9114143280000011</v>
      </c>
      <c r="I28" s="20">
        <v>0</v>
      </c>
      <c r="J28" s="36"/>
      <c r="K28" s="10"/>
      <c r="L28" s="10"/>
      <c r="M28" s="10"/>
    </row>
    <row r="29" spans="1:13" ht="31.5" hidden="1" customHeight="1">
      <c r="A29" s="50"/>
      <c r="B29" s="175" t="s">
        <v>195</v>
      </c>
      <c r="C29" s="210" t="s">
        <v>165</v>
      </c>
      <c r="D29" s="175" t="s">
        <v>196</v>
      </c>
      <c r="E29" s="212">
        <v>65.33</v>
      </c>
      <c r="F29" s="212">
        <f>SUM(E29*78/1000)</f>
        <v>5.0957400000000002</v>
      </c>
      <c r="G29" s="212">
        <v>258.63</v>
      </c>
      <c r="H29" s="213">
        <f t="shared" si="2"/>
        <v>1.3179112362000001</v>
      </c>
      <c r="I29" s="20">
        <v>0</v>
      </c>
      <c r="J29" s="36"/>
      <c r="K29" s="10"/>
      <c r="L29" s="10"/>
      <c r="M29" s="10"/>
    </row>
    <row r="30" spans="1:13" ht="15.75" hidden="1" customHeight="1">
      <c r="A30" s="207"/>
      <c r="B30" s="175" t="s">
        <v>32</v>
      </c>
      <c r="C30" s="210" t="s">
        <v>165</v>
      </c>
      <c r="D30" s="175" t="s">
        <v>66</v>
      </c>
      <c r="E30" s="212">
        <v>852.6</v>
      </c>
      <c r="F30" s="212">
        <f>SUM(E30/1000)</f>
        <v>0.85260000000000002</v>
      </c>
      <c r="G30" s="212">
        <v>3020.33</v>
      </c>
      <c r="H30" s="213">
        <f t="shared" si="2"/>
        <v>2.575133358</v>
      </c>
      <c r="I30" s="20">
        <v>0</v>
      </c>
      <c r="J30" s="36"/>
      <c r="K30" s="10"/>
      <c r="L30" s="10"/>
      <c r="M30" s="10"/>
    </row>
    <row r="31" spans="1:13" ht="15.75" hidden="1" customHeight="1">
      <c r="A31" s="207"/>
      <c r="B31" s="175" t="s">
        <v>197</v>
      </c>
      <c r="C31" s="210" t="s">
        <v>35</v>
      </c>
      <c r="D31" s="175" t="s">
        <v>80</v>
      </c>
      <c r="E31" s="217">
        <v>0.33333333333333331</v>
      </c>
      <c r="F31" s="212">
        <f>155/3</f>
        <v>51.666666666666664</v>
      </c>
      <c r="G31" s="212">
        <v>56.69</v>
      </c>
      <c r="H31" s="213">
        <f>SUM(G31*155/3/1000)</f>
        <v>2.9289833333333331</v>
      </c>
      <c r="I31" s="20">
        <v>0</v>
      </c>
      <c r="J31" s="36"/>
      <c r="K31" s="10"/>
      <c r="L31" s="10"/>
      <c r="M31" s="10"/>
    </row>
    <row r="32" spans="1:13" ht="15.75" hidden="1" customHeight="1">
      <c r="A32" s="207"/>
      <c r="B32" s="175" t="s">
        <v>82</v>
      </c>
      <c r="C32" s="210" t="s">
        <v>37</v>
      </c>
      <c r="D32" s="175" t="s">
        <v>83</v>
      </c>
      <c r="E32" s="211"/>
      <c r="F32" s="212">
        <v>3</v>
      </c>
      <c r="G32" s="212">
        <v>191.32</v>
      </c>
      <c r="H32" s="213">
        <f t="shared" si="2"/>
        <v>0.57396000000000003</v>
      </c>
      <c r="I32" s="20">
        <v>0</v>
      </c>
      <c r="J32" s="36"/>
      <c r="K32" s="10"/>
      <c r="L32" s="10"/>
      <c r="M32" s="10"/>
    </row>
    <row r="33" spans="1:14" ht="15.75" hidden="1" customHeight="1">
      <c r="A33" s="207"/>
      <c r="B33" s="175" t="s">
        <v>200</v>
      </c>
      <c r="C33" s="210" t="s">
        <v>36</v>
      </c>
      <c r="D33" s="175" t="s">
        <v>83</v>
      </c>
      <c r="E33" s="211"/>
      <c r="F33" s="212">
        <v>2</v>
      </c>
      <c r="G33" s="212">
        <v>1136.33</v>
      </c>
      <c r="H33" s="213">
        <f t="shared" si="2"/>
        <v>2.2726599999999997</v>
      </c>
      <c r="I33" s="20">
        <v>0</v>
      </c>
      <c r="J33" s="36"/>
      <c r="K33" s="10"/>
      <c r="L33" s="10"/>
      <c r="M33" s="10"/>
    </row>
    <row r="34" spans="1:14" ht="15.75" customHeight="1">
      <c r="A34" s="252" t="s">
        <v>236</v>
      </c>
      <c r="B34" s="253"/>
      <c r="C34" s="253"/>
      <c r="D34" s="253"/>
      <c r="E34" s="253"/>
      <c r="F34" s="253"/>
      <c r="G34" s="253"/>
      <c r="H34" s="253"/>
      <c r="I34" s="254"/>
      <c r="J34" s="36"/>
      <c r="K34" s="10"/>
      <c r="L34" s="10"/>
      <c r="M34" s="10"/>
    </row>
    <row r="35" spans="1:14" ht="15.75" customHeight="1">
      <c r="A35" s="50">
        <v>6</v>
      </c>
      <c r="B35" s="175" t="s">
        <v>30</v>
      </c>
      <c r="C35" s="210" t="s">
        <v>36</v>
      </c>
      <c r="D35" s="175"/>
      <c r="E35" s="211"/>
      <c r="F35" s="212">
        <v>8</v>
      </c>
      <c r="G35" s="212">
        <v>1527.22</v>
      </c>
      <c r="H35" s="213">
        <f t="shared" ref="H35:H42" si="3">SUM(F35*G35/1000)</f>
        <v>12.21776</v>
      </c>
      <c r="I35" s="20">
        <f>F35/6*G35</f>
        <v>2036.2933333333333</v>
      </c>
      <c r="J35" s="36"/>
      <c r="K35" s="10"/>
      <c r="L35" s="10"/>
      <c r="M35" s="10"/>
    </row>
    <row r="36" spans="1:14" ht="15.75" customHeight="1">
      <c r="A36" s="50">
        <v>7</v>
      </c>
      <c r="B36" s="175" t="s">
        <v>136</v>
      </c>
      <c r="C36" s="210" t="s">
        <v>33</v>
      </c>
      <c r="D36" s="175" t="s">
        <v>201</v>
      </c>
      <c r="E36" s="211">
        <v>269.5</v>
      </c>
      <c r="F36" s="212">
        <f>E36*12/1000</f>
        <v>3.234</v>
      </c>
      <c r="G36" s="212">
        <v>2102.71</v>
      </c>
      <c r="H36" s="213">
        <f>G36*F36/1000</f>
        <v>6.8001641399999997</v>
      </c>
      <c r="I36" s="20">
        <f>F36/6*G36</f>
        <v>1133.3606900000002</v>
      </c>
      <c r="J36" s="36"/>
      <c r="K36" s="10"/>
      <c r="L36" s="10"/>
      <c r="M36" s="10"/>
    </row>
    <row r="37" spans="1:14" ht="15.75" customHeight="1">
      <c r="A37" s="50">
        <v>8</v>
      </c>
      <c r="B37" s="175" t="s">
        <v>202</v>
      </c>
      <c r="C37" s="210" t="s">
        <v>33</v>
      </c>
      <c r="D37" s="175" t="s">
        <v>203</v>
      </c>
      <c r="E37" s="211">
        <v>60</v>
      </c>
      <c r="F37" s="212">
        <f>E37*30/1000</f>
        <v>1.8</v>
      </c>
      <c r="G37" s="212">
        <v>2102.71</v>
      </c>
      <c r="H37" s="213">
        <f>G37*F37/1000</f>
        <v>3.784878</v>
      </c>
      <c r="I37" s="20">
        <f>F37/6*G37</f>
        <v>630.81299999999999</v>
      </c>
      <c r="J37" s="36"/>
      <c r="K37" s="10"/>
      <c r="L37" s="10"/>
      <c r="M37" s="10"/>
    </row>
    <row r="38" spans="1:14" ht="15.75" hidden="1" customHeight="1">
      <c r="A38" s="50"/>
      <c r="B38" s="175" t="s">
        <v>204</v>
      </c>
      <c r="C38" s="210" t="s">
        <v>205</v>
      </c>
      <c r="D38" s="175" t="s">
        <v>83</v>
      </c>
      <c r="E38" s="211"/>
      <c r="F38" s="212">
        <v>100</v>
      </c>
      <c r="G38" s="212">
        <v>213.2</v>
      </c>
      <c r="H38" s="213">
        <f>G38*F38/1000</f>
        <v>21.32</v>
      </c>
      <c r="I38" s="20">
        <v>0</v>
      </c>
      <c r="J38" s="36"/>
      <c r="K38" s="10"/>
      <c r="L38" s="10"/>
      <c r="M38" s="10"/>
    </row>
    <row r="39" spans="1:14" ht="15.75" customHeight="1">
      <c r="A39" s="50">
        <v>9</v>
      </c>
      <c r="B39" s="175" t="s">
        <v>84</v>
      </c>
      <c r="C39" s="210" t="s">
        <v>33</v>
      </c>
      <c r="D39" s="175" t="s">
        <v>206</v>
      </c>
      <c r="E39" s="212">
        <v>65.33</v>
      </c>
      <c r="F39" s="212">
        <f>SUM(E39*155/1000)</f>
        <v>10.126149999999999</v>
      </c>
      <c r="G39" s="212">
        <v>350.75</v>
      </c>
      <c r="H39" s="213">
        <f t="shared" si="3"/>
        <v>3.5517471124999997</v>
      </c>
      <c r="I39" s="20">
        <f>F39/6*G39</f>
        <v>591.95785208333325</v>
      </c>
      <c r="J39" s="36"/>
      <c r="K39" s="10"/>
      <c r="L39" s="10"/>
      <c r="M39" s="10"/>
    </row>
    <row r="40" spans="1:14" ht="47.25" customHeight="1">
      <c r="A40" s="50">
        <v>10</v>
      </c>
      <c r="B40" s="175" t="s">
        <v>110</v>
      </c>
      <c r="C40" s="210" t="s">
        <v>165</v>
      </c>
      <c r="D40" s="175" t="s">
        <v>207</v>
      </c>
      <c r="E40" s="212">
        <v>65.33</v>
      </c>
      <c r="F40" s="212">
        <f>SUM(E40*24/1000)</f>
        <v>1.56792</v>
      </c>
      <c r="G40" s="212">
        <v>5803.28</v>
      </c>
      <c r="H40" s="213">
        <f t="shared" si="3"/>
        <v>9.0990787775999991</v>
      </c>
      <c r="I40" s="20">
        <f>F40/6*G40</f>
        <v>1516.5131296</v>
      </c>
      <c r="J40" s="36"/>
      <c r="K40" s="10"/>
      <c r="L40" s="10"/>
      <c r="M40" s="10"/>
    </row>
    <row r="41" spans="1:14" ht="15.75" customHeight="1">
      <c r="A41" s="50">
        <v>11</v>
      </c>
      <c r="B41" s="175" t="s">
        <v>208</v>
      </c>
      <c r="C41" s="210" t="s">
        <v>165</v>
      </c>
      <c r="D41" s="175" t="s">
        <v>85</v>
      </c>
      <c r="E41" s="212">
        <v>65.33</v>
      </c>
      <c r="F41" s="212">
        <f>SUM(E41*45/1000)</f>
        <v>2.9398499999999999</v>
      </c>
      <c r="G41" s="212">
        <v>428.7</v>
      </c>
      <c r="H41" s="213">
        <f t="shared" si="3"/>
        <v>1.2603136949999998</v>
      </c>
      <c r="I41" s="20">
        <f>F41/6*G41</f>
        <v>210.05228249999999</v>
      </c>
      <c r="J41" s="36"/>
      <c r="K41" s="10"/>
    </row>
    <row r="42" spans="1:14" ht="15.75" customHeight="1">
      <c r="A42" s="50">
        <v>12</v>
      </c>
      <c r="B42" s="175" t="s">
        <v>86</v>
      </c>
      <c r="C42" s="210" t="s">
        <v>37</v>
      </c>
      <c r="D42" s="175"/>
      <c r="E42" s="211"/>
      <c r="F42" s="212">
        <v>0.8</v>
      </c>
      <c r="G42" s="212">
        <v>798</v>
      </c>
      <c r="H42" s="213">
        <f t="shared" si="3"/>
        <v>0.63840000000000008</v>
      </c>
      <c r="I42" s="20">
        <f>F42/6*G42</f>
        <v>106.39999999999999</v>
      </c>
      <c r="J42" s="37"/>
    </row>
    <row r="43" spans="1:14" ht="15.75" customHeight="1">
      <c r="A43" s="252" t="s">
        <v>238</v>
      </c>
      <c r="B43" s="255"/>
      <c r="C43" s="255"/>
      <c r="D43" s="255"/>
      <c r="E43" s="255"/>
      <c r="F43" s="255"/>
      <c r="G43" s="255"/>
      <c r="H43" s="255"/>
      <c r="I43" s="256"/>
      <c r="J43" s="37"/>
    </row>
    <row r="44" spans="1:14" ht="15.75" hidden="1" customHeight="1">
      <c r="A44" s="50"/>
      <c r="B44" s="175" t="s">
        <v>209</v>
      </c>
      <c r="C44" s="210" t="s">
        <v>165</v>
      </c>
      <c r="D44" s="175" t="s">
        <v>52</v>
      </c>
      <c r="E44" s="211">
        <v>1114.75</v>
      </c>
      <c r="F44" s="212">
        <f>SUM(E44*2/1000)</f>
        <v>2.2294999999999998</v>
      </c>
      <c r="G44" s="20">
        <v>809.74</v>
      </c>
      <c r="H44" s="213">
        <f t="shared" ref="H44:H54" si="4">SUM(F44*G44/1000)</f>
        <v>1.80531533</v>
      </c>
      <c r="I44" s="20">
        <v>0</v>
      </c>
      <c r="J44" s="37"/>
    </row>
    <row r="45" spans="1:14" ht="15.75" hidden="1" customHeight="1">
      <c r="A45" s="206"/>
      <c r="B45" s="175" t="s">
        <v>41</v>
      </c>
      <c r="C45" s="210" t="s">
        <v>165</v>
      </c>
      <c r="D45" s="175" t="s">
        <v>52</v>
      </c>
      <c r="E45" s="211">
        <v>88</v>
      </c>
      <c r="F45" s="212">
        <f>E45*2/1000</f>
        <v>0.17599999999999999</v>
      </c>
      <c r="G45" s="20">
        <v>579.48</v>
      </c>
      <c r="H45" s="213">
        <f t="shared" si="4"/>
        <v>0.10198847999999999</v>
      </c>
      <c r="I45" s="20">
        <v>0</v>
      </c>
      <c r="J45" s="37"/>
    </row>
    <row r="46" spans="1:14" ht="15.75" hidden="1" customHeight="1">
      <c r="A46" s="205"/>
      <c r="B46" s="175" t="s">
        <v>42</v>
      </c>
      <c r="C46" s="210" t="s">
        <v>165</v>
      </c>
      <c r="D46" s="175" t="s">
        <v>52</v>
      </c>
      <c r="E46" s="211">
        <v>1250.6199999999999</v>
      </c>
      <c r="F46" s="212">
        <f>SUM(E46*2/1000)</f>
        <v>2.5012399999999997</v>
      </c>
      <c r="G46" s="20">
        <v>579.48</v>
      </c>
      <c r="H46" s="213">
        <f t="shared" si="4"/>
        <v>1.4494185551999998</v>
      </c>
      <c r="I46" s="20">
        <v>0</v>
      </c>
      <c r="J46" s="37"/>
    </row>
    <row r="47" spans="1:14" ht="15.75" hidden="1" customHeight="1">
      <c r="A47" s="50"/>
      <c r="B47" s="175" t="s">
        <v>43</v>
      </c>
      <c r="C47" s="210" t="s">
        <v>165</v>
      </c>
      <c r="D47" s="175" t="s">
        <v>52</v>
      </c>
      <c r="E47" s="211">
        <v>1295.68</v>
      </c>
      <c r="F47" s="212">
        <f>SUM(E47*2/1000)</f>
        <v>2.5913600000000003</v>
      </c>
      <c r="G47" s="20">
        <v>606.77</v>
      </c>
      <c r="H47" s="213">
        <f t="shared" si="4"/>
        <v>1.5723595072000001</v>
      </c>
      <c r="I47" s="20">
        <v>0</v>
      </c>
      <c r="J47" s="37"/>
    </row>
    <row r="48" spans="1:14" ht="15.75" hidden="1" customHeight="1">
      <c r="A48" s="50"/>
      <c r="B48" s="175" t="s">
        <v>39</v>
      </c>
      <c r="C48" s="210" t="s">
        <v>40</v>
      </c>
      <c r="D48" s="175" t="s">
        <v>52</v>
      </c>
      <c r="E48" s="211">
        <v>85.84</v>
      </c>
      <c r="F48" s="212">
        <f>E48*2/100</f>
        <v>1.7168000000000001</v>
      </c>
      <c r="G48" s="20">
        <v>72.81</v>
      </c>
      <c r="H48" s="213">
        <f>G48*F48/1000</f>
        <v>0.125000208</v>
      </c>
      <c r="I48" s="20">
        <v>0</v>
      </c>
      <c r="J48" s="37"/>
      <c r="L48" s="28"/>
      <c r="M48" s="29"/>
      <c r="N48" s="30"/>
    </row>
    <row r="49" spans="1:14" ht="31.5" hidden="1" customHeight="1">
      <c r="A49" s="50">
        <v>13</v>
      </c>
      <c r="B49" s="175" t="s">
        <v>72</v>
      </c>
      <c r="C49" s="210" t="s">
        <v>165</v>
      </c>
      <c r="D49" s="175" t="s">
        <v>237</v>
      </c>
      <c r="E49" s="211">
        <v>891.8</v>
      </c>
      <c r="F49" s="212">
        <f>SUM(E49*5/1000)</f>
        <v>4.4589999999999996</v>
      </c>
      <c r="G49" s="20">
        <v>1213.55</v>
      </c>
      <c r="H49" s="213">
        <f t="shared" si="4"/>
        <v>5.4112194499999999</v>
      </c>
      <c r="I49" s="20">
        <f>F49/5*G49</f>
        <v>1082.24389</v>
      </c>
      <c r="J49" s="37"/>
      <c r="L49" s="28"/>
      <c r="M49" s="29"/>
      <c r="N49" s="30"/>
    </row>
    <row r="50" spans="1:14" ht="31.5" customHeight="1">
      <c r="A50" s="171">
        <v>13</v>
      </c>
      <c r="B50" s="175" t="s">
        <v>210</v>
      </c>
      <c r="C50" s="210" t="s">
        <v>165</v>
      </c>
      <c r="D50" s="175" t="s">
        <v>52</v>
      </c>
      <c r="E50" s="211">
        <v>891.8</v>
      </c>
      <c r="F50" s="212">
        <f>SUM(E50*2/1000)</f>
        <v>1.7835999999999999</v>
      </c>
      <c r="G50" s="20">
        <v>1213.55</v>
      </c>
      <c r="H50" s="213">
        <f t="shared" si="4"/>
        <v>2.16448778</v>
      </c>
      <c r="I50" s="20">
        <f>F50/2*G50</f>
        <v>1082.24389</v>
      </c>
      <c r="J50" s="37"/>
      <c r="L50" s="28"/>
      <c r="M50" s="29"/>
      <c r="N50" s="30"/>
    </row>
    <row r="51" spans="1:14" ht="31.5" customHeight="1">
      <c r="A51" s="171">
        <v>14</v>
      </c>
      <c r="B51" s="175" t="s">
        <v>211</v>
      </c>
      <c r="C51" s="210" t="s">
        <v>46</v>
      </c>
      <c r="D51" s="175" t="s">
        <v>52</v>
      </c>
      <c r="E51" s="211">
        <v>16</v>
      </c>
      <c r="F51" s="212">
        <f>SUM(E51*2/100)</f>
        <v>0.32</v>
      </c>
      <c r="G51" s="20">
        <v>2730.49</v>
      </c>
      <c r="H51" s="213">
        <f t="shared" si="4"/>
        <v>0.8737568</v>
      </c>
      <c r="I51" s="20">
        <f t="shared" ref="I51:I52" si="5">F51/2*G51</f>
        <v>436.8784</v>
      </c>
      <c r="J51" s="37"/>
      <c r="L51" s="28"/>
      <c r="M51" s="29"/>
      <c r="N51" s="30"/>
    </row>
    <row r="52" spans="1:14" ht="15.75" customHeight="1">
      <c r="A52" s="171">
        <v>15</v>
      </c>
      <c r="B52" s="175" t="s">
        <v>47</v>
      </c>
      <c r="C52" s="210" t="s">
        <v>48</v>
      </c>
      <c r="D52" s="175" t="s">
        <v>52</v>
      </c>
      <c r="E52" s="211">
        <v>1</v>
      </c>
      <c r="F52" s="212">
        <v>0.02</v>
      </c>
      <c r="G52" s="20">
        <v>5652.13</v>
      </c>
      <c r="H52" s="213">
        <f t="shared" si="4"/>
        <v>0.11304260000000001</v>
      </c>
      <c r="I52" s="20">
        <f t="shared" si="5"/>
        <v>56.521300000000004</v>
      </c>
      <c r="J52" s="37"/>
      <c r="L52" s="28"/>
      <c r="M52" s="29"/>
      <c r="N52" s="30"/>
    </row>
    <row r="53" spans="1:14" ht="15.75" hidden="1" customHeight="1">
      <c r="A53" s="171">
        <v>14</v>
      </c>
      <c r="B53" s="175" t="s">
        <v>212</v>
      </c>
      <c r="C53" s="210" t="s">
        <v>144</v>
      </c>
      <c r="D53" s="175" t="s">
        <v>87</v>
      </c>
      <c r="E53" s="211">
        <v>60</v>
      </c>
      <c r="F53" s="212">
        <f>E53*3</f>
        <v>180</v>
      </c>
      <c r="G53" s="20">
        <v>141.12</v>
      </c>
      <c r="H53" s="213">
        <f>F53*G53/1000</f>
        <v>25.401600000000002</v>
      </c>
      <c r="I53" s="20">
        <f>E53*G53</f>
        <v>8467.2000000000007</v>
      </c>
      <c r="J53" s="37"/>
      <c r="L53" s="28"/>
      <c r="M53" s="29"/>
      <c r="N53" s="30"/>
    </row>
    <row r="54" spans="1:14" ht="15.75" hidden="1" customHeight="1">
      <c r="A54" s="171">
        <v>15</v>
      </c>
      <c r="B54" s="175" t="s">
        <v>51</v>
      </c>
      <c r="C54" s="210" t="s">
        <v>144</v>
      </c>
      <c r="D54" s="175" t="s">
        <v>87</v>
      </c>
      <c r="E54" s="211">
        <v>120</v>
      </c>
      <c r="F54" s="212">
        <f>SUM(E54)*3</f>
        <v>360</v>
      </c>
      <c r="G54" s="20">
        <v>65.67</v>
      </c>
      <c r="H54" s="213">
        <f t="shared" si="4"/>
        <v>23.641200000000001</v>
      </c>
      <c r="I54" s="20">
        <f>E54*G54</f>
        <v>7880.4000000000005</v>
      </c>
      <c r="J54" s="37"/>
      <c r="L54" s="28"/>
      <c r="M54" s="29"/>
      <c r="N54" s="30"/>
    </row>
    <row r="55" spans="1:14" ht="15.75" customHeight="1">
      <c r="A55" s="252" t="s">
        <v>239</v>
      </c>
      <c r="B55" s="257"/>
      <c r="C55" s="257"/>
      <c r="D55" s="257"/>
      <c r="E55" s="257"/>
      <c r="F55" s="257"/>
      <c r="G55" s="257"/>
      <c r="H55" s="257"/>
      <c r="I55" s="258"/>
      <c r="J55" s="37"/>
      <c r="L55" s="28"/>
      <c r="M55" s="29"/>
      <c r="N55" s="30"/>
    </row>
    <row r="56" spans="1:14" ht="15.75" customHeight="1">
      <c r="A56" s="171"/>
      <c r="B56" s="233" t="s">
        <v>53</v>
      </c>
      <c r="C56" s="210"/>
      <c r="D56" s="175"/>
      <c r="E56" s="211"/>
      <c r="F56" s="212"/>
      <c r="G56" s="212"/>
      <c r="H56" s="213"/>
      <c r="I56" s="20"/>
      <c r="J56" s="37"/>
      <c r="L56" s="28"/>
      <c r="M56" s="29"/>
      <c r="N56" s="30"/>
    </row>
    <row r="57" spans="1:14" ht="31.5" customHeight="1">
      <c r="A57" s="171">
        <v>16</v>
      </c>
      <c r="B57" s="175" t="s">
        <v>213</v>
      </c>
      <c r="C57" s="210" t="s">
        <v>156</v>
      </c>
      <c r="D57" s="175" t="s">
        <v>214</v>
      </c>
      <c r="E57" s="211">
        <v>112.68</v>
      </c>
      <c r="F57" s="212">
        <f>SUM(E57*6/100)</f>
        <v>6.7608000000000006</v>
      </c>
      <c r="G57" s="20">
        <v>1547.28</v>
      </c>
      <c r="H57" s="213">
        <f>SUM(F57*G57/1000)</f>
        <v>10.460850624000001</v>
      </c>
      <c r="I57" s="20">
        <f>F57/6*G57</f>
        <v>1743.4751040000001</v>
      </c>
      <c r="J57" s="37"/>
      <c r="L57" s="28"/>
      <c r="M57" s="29"/>
      <c r="N57" s="30"/>
    </row>
    <row r="58" spans="1:14" ht="15.75" hidden="1" customHeight="1">
      <c r="A58" s="171"/>
      <c r="B58" s="232" t="s">
        <v>54</v>
      </c>
      <c r="C58" s="220"/>
      <c r="D58" s="219"/>
      <c r="E58" s="221"/>
      <c r="F58" s="222"/>
      <c r="G58" s="20"/>
      <c r="H58" s="223"/>
      <c r="I58" s="20"/>
      <c r="J58" s="37"/>
      <c r="L58" s="28"/>
      <c r="M58" s="29"/>
      <c r="N58" s="30"/>
    </row>
    <row r="59" spans="1:14" ht="15.75" hidden="1" customHeight="1">
      <c r="A59" s="206"/>
      <c r="B59" s="219" t="s">
        <v>215</v>
      </c>
      <c r="C59" s="220" t="s">
        <v>65</v>
      </c>
      <c r="D59" s="219" t="s">
        <v>66</v>
      </c>
      <c r="E59" s="221">
        <v>897</v>
      </c>
      <c r="F59" s="222">
        <v>8.9700000000000006</v>
      </c>
      <c r="G59" s="20">
        <v>793.61</v>
      </c>
      <c r="H59" s="223">
        <f>F59*G59/1000</f>
        <v>7.1186817000000007</v>
      </c>
      <c r="I59" s="20">
        <v>0</v>
      </c>
      <c r="J59" s="37"/>
      <c r="L59" s="28"/>
      <c r="M59" s="29"/>
      <c r="N59" s="30"/>
    </row>
    <row r="60" spans="1:14" ht="15.75" hidden="1" customHeight="1">
      <c r="A60" s="50"/>
      <c r="B60" s="232" t="s">
        <v>56</v>
      </c>
      <c r="C60" s="220"/>
      <c r="D60" s="219"/>
      <c r="E60" s="221"/>
      <c r="F60" s="224"/>
      <c r="G60" s="224"/>
      <c r="H60" s="222" t="s">
        <v>177</v>
      </c>
      <c r="I60" s="20"/>
      <c r="J60" s="37"/>
      <c r="L60" s="28"/>
      <c r="M60" s="29"/>
      <c r="N60" s="30"/>
    </row>
    <row r="61" spans="1:14" ht="15.75" hidden="1" customHeight="1">
      <c r="A61" s="171"/>
      <c r="B61" s="22" t="s">
        <v>57</v>
      </c>
      <c r="C61" s="24" t="s">
        <v>144</v>
      </c>
      <c r="D61" s="22" t="s">
        <v>199</v>
      </c>
      <c r="E61" s="26">
        <v>15</v>
      </c>
      <c r="F61" s="212">
        <v>15</v>
      </c>
      <c r="G61" s="20">
        <v>222.4</v>
      </c>
      <c r="H61" s="225">
        <f t="shared" ref="H61:H76" si="6">SUM(F61*G61/1000)</f>
        <v>3.3359999999999999</v>
      </c>
      <c r="I61" s="20">
        <v>0</v>
      </c>
      <c r="J61" s="37"/>
      <c r="L61" s="28"/>
      <c r="M61" s="29"/>
      <c r="N61" s="30"/>
    </row>
    <row r="62" spans="1:14" ht="15.75" hidden="1" customHeight="1">
      <c r="A62" s="171"/>
      <c r="B62" s="22" t="s">
        <v>58</v>
      </c>
      <c r="C62" s="24" t="s">
        <v>144</v>
      </c>
      <c r="D62" s="22" t="s">
        <v>199</v>
      </c>
      <c r="E62" s="26">
        <v>5</v>
      </c>
      <c r="F62" s="212">
        <v>5</v>
      </c>
      <c r="G62" s="20">
        <v>76.25</v>
      </c>
      <c r="H62" s="225">
        <f t="shared" si="6"/>
        <v>0.38124999999999998</v>
      </c>
      <c r="I62" s="20">
        <v>0</v>
      </c>
      <c r="J62" s="37"/>
      <c r="L62" s="28"/>
      <c r="M62" s="29"/>
      <c r="N62" s="30"/>
    </row>
    <row r="63" spans="1:14" ht="15.75" hidden="1" customHeight="1">
      <c r="A63" s="171"/>
      <c r="B63" s="22" t="s">
        <v>59</v>
      </c>
      <c r="C63" s="24" t="s">
        <v>168</v>
      </c>
      <c r="D63" s="22" t="s">
        <v>66</v>
      </c>
      <c r="E63" s="211">
        <v>10059</v>
      </c>
      <c r="F63" s="20">
        <f>SUM(E63/100)</f>
        <v>100.59</v>
      </c>
      <c r="G63" s="20">
        <v>212.15</v>
      </c>
      <c r="H63" s="225">
        <f t="shared" si="6"/>
        <v>21.340168500000001</v>
      </c>
      <c r="I63" s="20">
        <v>0</v>
      </c>
      <c r="J63" s="37"/>
      <c r="L63" s="28"/>
      <c r="M63" s="29"/>
      <c r="N63" s="30"/>
    </row>
    <row r="64" spans="1:14" ht="15.75" hidden="1" customHeight="1">
      <c r="A64" s="171"/>
      <c r="B64" s="22" t="s">
        <v>60</v>
      </c>
      <c r="C64" s="24" t="s">
        <v>169</v>
      </c>
      <c r="D64" s="22"/>
      <c r="E64" s="211">
        <v>10059</v>
      </c>
      <c r="F64" s="20">
        <f>SUM(E64/1000)</f>
        <v>10.058999999999999</v>
      </c>
      <c r="G64" s="20">
        <v>165.21</v>
      </c>
      <c r="H64" s="225">
        <f t="shared" si="6"/>
        <v>1.6618473899999999</v>
      </c>
      <c r="I64" s="20">
        <v>0</v>
      </c>
      <c r="J64" s="37"/>
      <c r="L64" s="28"/>
      <c r="M64" s="29"/>
      <c r="N64" s="30"/>
    </row>
    <row r="65" spans="1:14" ht="15.75" hidden="1" customHeight="1">
      <c r="A65" s="171"/>
      <c r="B65" s="22" t="s">
        <v>61</v>
      </c>
      <c r="C65" s="24" t="s">
        <v>94</v>
      </c>
      <c r="D65" s="22" t="s">
        <v>66</v>
      </c>
      <c r="E65" s="211">
        <v>2200</v>
      </c>
      <c r="F65" s="20">
        <f>SUM(E65/100)</f>
        <v>22</v>
      </c>
      <c r="G65" s="20">
        <v>2074.63</v>
      </c>
      <c r="H65" s="225">
        <f t="shared" si="6"/>
        <v>45.641860000000001</v>
      </c>
      <c r="I65" s="20">
        <v>0</v>
      </c>
      <c r="J65" s="37"/>
      <c r="L65" s="28"/>
      <c r="M65" s="29"/>
      <c r="N65" s="30"/>
    </row>
    <row r="66" spans="1:14" ht="15.75" hidden="1" customHeight="1">
      <c r="A66" s="171"/>
      <c r="B66" s="226" t="s">
        <v>170</v>
      </c>
      <c r="C66" s="24" t="s">
        <v>37</v>
      </c>
      <c r="D66" s="22"/>
      <c r="E66" s="211">
        <v>9.4</v>
      </c>
      <c r="F66" s="20">
        <f>SUM(E66)</f>
        <v>9.4</v>
      </c>
      <c r="G66" s="20">
        <v>42.67</v>
      </c>
      <c r="H66" s="225">
        <f t="shared" si="6"/>
        <v>0.40109800000000001</v>
      </c>
      <c r="I66" s="20">
        <v>0</v>
      </c>
      <c r="J66" s="37"/>
      <c r="L66" s="28"/>
      <c r="M66" s="29"/>
      <c r="N66" s="30"/>
    </row>
    <row r="67" spans="1:14" ht="15.75" hidden="1" customHeight="1">
      <c r="A67" s="171"/>
      <c r="B67" s="226" t="s">
        <v>171</v>
      </c>
      <c r="C67" s="24" t="s">
        <v>37</v>
      </c>
      <c r="D67" s="22"/>
      <c r="E67" s="211">
        <v>9.4</v>
      </c>
      <c r="F67" s="20">
        <f>SUM(E67)</f>
        <v>9.4</v>
      </c>
      <c r="G67" s="20">
        <v>39.81</v>
      </c>
      <c r="H67" s="225">
        <f t="shared" si="6"/>
        <v>0.37421400000000005</v>
      </c>
      <c r="I67" s="20">
        <v>0</v>
      </c>
      <c r="J67" s="37"/>
      <c r="L67" s="28"/>
      <c r="M67" s="29"/>
      <c r="N67" s="30"/>
    </row>
    <row r="68" spans="1:14" ht="15.75" hidden="1" customHeight="1">
      <c r="A68" s="171"/>
      <c r="B68" s="22" t="s">
        <v>73</v>
      </c>
      <c r="C68" s="24" t="s">
        <v>74</v>
      </c>
      <c r="D68" s="22" t="s">
        <v>66</v>
      </c>
      <c r="E68" s="26">
        <v>5</v>
      </c>
      <c r="F68" s="212">
        <v>5</v>
      </c>
      <c r="G68" s="20">
        <v>49.88</v>
      </c>
      <c r="H68" s="225">
        <f t="shared" si="6"/>
        <v>0.24940000000000001</v>
      </c>
      <c r="I68" s="20">
        <v>0</v>
      </c>
      <c r="J68" s="37"/>
      <c r="L68" s="28"/>
      <c r="M68" s="29"/>
      <c r="N68" s="30"/>
    </row>
    <row r="69" spans="1:14" ht="15.75" hidden="1" customHeight="1">
      <c r="A69" s="171"/>
      <c r="B69" s="201" t="s">
        <v>88</v>
      </c>
      <c r="C69" s="24"/>
      <c r="D69" s="22"/>
      <c r="E69" s="26"/>
      <c r="F69" s="20"/>
      <c r="G69" s="20"/>
      <c r="H69" s="225" t="s">
        <v>177</v>
      </c>
      <c r="I69" s="20"/>
      <c r="J69" s="37"/>
      <c r="L69" s="28"/>
      <c r="M69" s="29"/>
      <c r="N69" s="30"/>
    </row>
    <row r="70" spans="1:14" ht="15.75" hidden="1" customHeight="1">
      <c r="A70" s="171"/>
      <c r="B70" s="22" t="s">
        <v>89</v>
      </c>
      <c r="C70" s="24" t="s">
        <v>91</v>
      </c>
      <c r="D70" s="22"/>
      <c r="E70" s="26">
        <v>3</v>
      </c>
      <c r="F70" s="20">
        <v>0.3</v>
      </c>
      <c r="G70" s="20">
        <v>501.62</v>
      </c>
      <c r="H70" s="225">
        <f t="shared" si="6"/>
        <v>0.15048599999999998</v>
      </c>
      <c r="I70" s="20">
        <v>0</v>
      </c>
      <c r="J70" s="37"/>
      <c r="L70" s="28"/>
      <c r="M70" s="29"/>
      <c r="N70" s="30"/>
    </row>
    <row r="71" spans="1:14" ht="15.75" hidden="1" customHeight="1">
      <c r="A71" s="50"/>
      <c r="B71" s="22" t="s">
        <v>90</v>
      </c>
      <c r="C71" s="24" t="s">
        <v>35</v>
      </c>
      <c r="D71" s="22"/>
      <c r="E71" s="26">
        <v>1</v>
      </c>
      <c r="F71" s="202">
        <v>1</v>
      </c>
      <c r="G71" s="20">
        <v>852.99</v>
      </c>
      <c r="H71" s="225">
        <f>F71*G71/1000</f>
        <v>0.85299000000000003</v>
      </c>
      <c r="I71" s="20">
        <v>0</v>
      </c>
      <c r="J71" s="37"/>
      <c r="L71" s="28"/>
      <c r="M71" s="29"/>
      <c r="N71" s="30"/>
    </row>
    <row r="72" spans="1:14" ht="15.75" hidden="1" customHeight="1">
      <c r="A72" s="206"/>
      <c r="B72" s="22" t="s">
        <v>172</v>
      </c>
      <c r="C72" s="24" t="s">
        <v>35</v>
      </c>
      <c r="D72" s="22"/>
      <c r="E72" s="26">
        <v>1</v>
      </c>
      <c r="F72" s="20">
        <v>1</v>
      </c>
      <c r="G72" s="20">
        <v>358.51</v>
      </c>
      <c r="H72" s="225">
        <f>G72*F72/1000</f>
        <v>0.35851</v>
      </c>
      <c r="I72" s="20">
        <v>0</v>
      </c>
      <c r="J72" s="37"/>
      <c r="L72" s="28"/>
      <c r="M72" s="29"/>
      <c r="N72" s="30"/>
    </row>
    <row r="73" spans="1:14" ht="15.75" hidden="1" customHeight="1">
      <c r="A73" s="171"/>
      <c r="B73" s="22" t="s">
        <v>173</v>
      </c>
      <c r="C73" s="24" t="s">
        <v>35</v>
      </c>
      <c r="D73" s="22"/>
      <c r="E73" s="26">
        <v>2</v>
      </c>
      <c r="F73" s="20">
        <v>2</v>
      </c>
      <c r="G73" s="20">
        <v>784.67</v>
      </c>
      <c r="H73" s="225">
        <f>G73*F73/1000</f>
        <v>1.56934</v>
      </c>
      <c r="I73" s="20">
        <v>0</v>
      </c>
      <c r="J73" s="37"/>
      <c r="L73" s="28"/>
      <c r="M73" s="29"/>
      <c r="N73" s="30"/>
    </row>
    <row r="74" spans="1:14" ht="15.75" hidden="1" customHeight="1">
      <c r="A74" s="171"/>
      <c r="B74" s="22" t="s">
        <v>174</v>
      </c>
      <c r="C74" s="24" t="s">
        <v>175</v>
      </c>
      <c r="D74" s="22"/>
      <c r="E74" s="26">
        <v>2</v>
      </c>
      <c r="F74" s="20">
        <v>2</v>
      </c>
      <c r="G74" s="20">
        <v>1000</v>
      </c>
      <c r="H74" s="225">
        <f>G74*F74/1000</f>
        <v>2</v>
      </c>
      <c r="I74" s="20">
        <v>0</v>
      </c>
      <c r="J74" s="37"/>
      <c r="L74" s="28"/>
      <c r="M74" s="29"/>
      <c r="N74" s="30"/>
    </row>
    <row r="75" spans="1:14" ht="15.75" hidden="1" customHeight="1">
      <c r="A75" s="171"/>
      <c r="B75" s="234" t="s">
        <v>92</v>
      </c>
      <c r="C75" s="24"/>
      <c r="D75" s="22"/>
      <c r="E75" s="26"/>
      <c r="F75" s="20"/>
      <c r="G75" s="20" t="s">
        <v>177</v>
      </c>
      <c r="H75" s="225" t="s">
        <v>177</v>
      </c>
      <c r="I75" s="20"/>
      <c r="J75" s="37"/>
      <c r="L75" s="28"/>
      <c r="M75" s="29"/>
      <c r="N75" s="30"/>
    </row>
    <row r="76" spans="1:14" ht="15.75" hidden="1" customHeight="1">
      <c r="A76" s="171"/>
      <c r="B76" s="84" t="s">
        <v>93</v>
      </c>
      <c r="C76" s="24" t="s">
        <v>94</v>
      </c>
      <c r="D76" s="22"/>
      <c r="E76" s="26"/>
      <c r="F76" s="20">
        <v>1</v>
      </c>
      <c r="G76" s="20">
        <v>2579.44</v>
      </c>
      <c r="H76" s="225">
        <f t="shared" si="6"/>
        <v>2.57944</v>
      </c>
      <c r="I76" s="20">
        <v>0</v>
      </c>
      <c r="J76" s="37"/>
      <c r="L76" s="28"/>
      <c r="M76" s="29"/>
      <c r="N76" s="30"/>
    </row>
    <row r="77" spans="1:14" ht="15.75" customHeight="1">
      <c r="A77" s="171"/>
      <c r="B77" s="201" t="s">
        <v>166</v>
      </c>
      <c r="C77" s="24"/>
      <c r="D77" s="22"/>
      <c r="E77" s="26"/>
      <c r="F77" s="20"/>
      <c r="G77" s="20"/>
      <c r="H77" s="225">
        <f>SUM(H57:H76)</f>
        <v>98.476136213999993</v>
      </c>
      <c r="I77" s="20"/>
      <c r="J77" s="37"/>
      <c r="L77" s="28"/>
      <c r="M77" s="29"/>
      <c r="N77" s="30"/>
    </row>
    <row r="78" spans="1:14" ht="15.75" customHeight="1">
      <c r="A78" s="171">
        <v>17</v>
      </c>
      <c r="B78" s="175" t="s">
        <v>167</v>
      </c>
      <c r="C78" s="24"/>
      <c r="D78" s="22"/>
      <c r="E78" s="227"/>
      <c r="F78" s="20">
        <v>1</v>
      </c>
      <c r="G78" s="20">
        <v>20954</v>
      </c>
      <c r="H78" s="225">
        <f>G78*F78/1000</f>
        <v>20.954000000000001</v>
      </c>
      <c r="I78" s="20">
        <f>G78</f>
        <v>20954</v>
      </c>
      <c r="J78" s="37"/>
      <c r="L78" s="28"/>
      <c r="M78" s="29"/>
      <c r="N78" s="30"/>
    </row>
    <row r="79" spans="1:14" ht="15.75" customHeight="1">
      <c r="A79" s="252" t="s">
        <v>240</v>
      </c>
      <c r="B79" s="262"/>
      <c r="C79" s="262"/>
      <c r="D79" s="262"/>
      <c r="E79" s="262"/>
      <c r="F79" s="262"/>
      <c r="G79" s="262"/>
      <c r="H79" s="262"/>
      <c r="I79" s="263"/>
      <c r="J79" s="37"/>
      <c r="L79" s="28"/>
      <c r="M79" s="29"/>
      <c r="N79" s="30"/>
    </row>
    <row r="80" spans="1:14" ht="15.75" customHeight="1">
      <c r="A80" s="171">
        <v>18</v>
      </c>
      <c r="B80" s="175" t="s">
        <v>216</v>
      </c>
      <c r="C80" s="24" t="s">
        <v>69</v>
      </c>
      <c r="D80" s="179" t="s">
        <v>70</v>
      </c>
      <c r="E80" s="20">
        <v>2566.6</v>
      </c>
      <c r="F80" s="20">
        <f>SUM(E80*12)</f>
        <v>30799.199999999997</v>
      </c>
      <c r="G80" s="20">
        <v>2.1</v>
      </c>
      <c r="H80" s="225">
        <f>SUM(F80*G80/1000)</f>
        <v>64.678319999999999</v>
      </c>
      <c r="I80" s="20">
        <f>F80/12*G80</f>
        <v>5389.86</v>
      </c>
      <c r="J80" s="37"/>
      <c r="L80" s="28"/>
      <c r="M80" s="29"/>
      <c r="N80" s="30"/>
    </row>
    <row r="81" spans="1:22" ht="31.5" customHeight="1">
      <c r="A81" s="171">
        <v>19</v>
      </c>
      <c r="B81" s="22" t="s">
        <v>95</v>
      </c>
      <c r="C81" s="24"/>
      <c r="D81" s="179" t="s">
        <v>70</v>
      </c>
      <c r="E81" s="211">
        <f>E80</f>
        <v>2566.6</v>
      </c>
      <c r="F81" s="20">
        <f>E81*12</f>
        <v>30799.199999999997</v>
      </c>
      <c r="G81" s="20">
        <v>1.63</v>
      </c>
      <c r="H81" s="225">
        <f>F81*G81/1000</f>
        <v>50.202695999999989</v>
      </c>
      <c r="I81" s="20">
        <f>F81/12*G81</f>
        <v>4183.558</v>
      </c>
      <c r="J81" s="37"/>
      <c r="L81" s="28"/>
      <c r="M81" s="29"/>
      <c r="N81" s="30"/>
    </row>
    <row r="82" spans="1:22" ht="15.75" customHeight="1">
      <c r="A82" s="171"/>
      <c r="B82" s="72" t="s">
        <v>100</v>
      </c>
      <c r="C82" s="24"/>
      <c r="D82" s="84"/>
      <c r="E82" s="20"/>
      <c r="F82" s="20"/>
      <c r="G82" s="20"/>
      <c r="H82" s="225">
        <f>H81</f>
        <v>50.202695999999989</v>
      </c>
      <c r="I82" s="235">
        <f>I15+I16+I17+I25+I26+I35+I36+I37+I39+I40+I41+I42+I50+I51+I52+I57+I78+I80+I81</f>
        <v>59348.163031516677</v>
      </c>
      <c r="J82" s="37"/>
      <c r="L82" s="28"/>
      <c r="M82" s="29"/>
      <c r="N82" s="30"/>
    </row>
    <row r="83" spans="1:22" ht="15.75" customHeight="1">
      <c r="A83" s="171"/>
      <c r="B83" s="147" t="s">
        <v>75</v>
      </c>
      <c r="C83" s="24"/>
      <c r="D83" s="84"/>
      <c r="E83" s="20"/>
      <c r="F83" s="20"/>
      <c r="G83" s="20"/>
      <c r="H83" s="225" t="e">
        <f>SUM(H82+#REF!+H77+#REF!+#REF!+#REF!+#REF!)</f>
        <v>#REF!</v>
      </c>
      <c r="I83" s="20"/>
      <c r="J83" s="37"/>
      <c r="L83" s="28"/>
      <c r="M83" s="29"/>
      <c r="N83" s="30"/>
    </row>
    <row r="84" spans="1:22" ht="31.5" customHeight="1">
      <c r="A84" s="171">
        <v>20</v>
      </c>
      <c r="B84" s="148" t="s">
        <v>219</v>
      </c>
      <c r="C84" s="191" t="s">
        <v>102</v>
      </c>
      <c r="D84" s="22"/>
      <c r="E84" s="26"/>
      <c r="F84" s="20">
        <v>2</v>
      </c>
      <c r="G84" s="20">
        <v>2057</v>
      </c>
      <c r="H84" s="225"/>
      <c r="I84" s="20">
        <f>G84*2</f>
        <v>4114</v>
      </c>
      <c r="J84" s="37"/>
      <c r="L84" s="28"/>
      <c r="M84" s="29"/>
      <c r="N84" s="30"/>
    </row>
    <row r="85" spans="1:22" ht="15.75" customHeight="1">
      <c r="A85" s="171">
        <v>21</v>
      </c>
      <c r="B85" s="148" t="s">
        <v>220</v>
      </c>
      <c r="C85" s="191" t="s">
        <v>221</v>
      </c>
      <c r="D85" s="22"/>
      <c r="E85" s="26"/>
      <c r="F85" s="20">
        <v>3</v>
      </c>
      <c r="G85" s="20">
        <v>195.95</v>
      </c>
      <c r="H85" s="225"/>
      <c r="I85" s="20">
        <f>G85*2</f>
        <v>391.9</v>
      </c>
      <c r="J85" s="37"/>
      <c r="L85" s="28"/>
      <c r="M85" s="29"/>
      <c r="N85" s="30"/>
    </row>
    <row r="86" spans="1:22" ht="15.75" customHeight="1">
      <c r="A86" s="50"/>
      <c r="B86" s="79" t="s">
        <v>63</v>
      </c>
      <c r="C86" s="75"/>
      <c r="D86" s="130"/>
      <c r="E86" s="75">
        <v>1</v>
      </c>
      <c r="F86" s="75"/>
      <c r="G86" s="59"/>
      <c r="H86" s="75"/>
      <c r="I86" s="59">
        <f>SUM(I84:I85)</f>
        <v>4505.8999999999996</v>
      </c>
      <c r="J86" s="37"/>
      <c r="L86" s="28"/>
      <c r="M86" s="29"/>
      <c r="N86" s="30"/>
    </row>
    <row r="87" spans="1:22" ht="15.75" customHeight="1">
      <c r="A87" s="50"/>
      <c r="B87" s="84" t="s">
        <v>96</v>
      </c>
      <c r="C87" s="23"/>
      <c r="D87" s="23"/>
      <c r="E87" s="76"/>
      <c r="F87" s="77"/>
      <c r="G87" s="25"/>
      <c r="H87" s="208"/>
      <c r="I87" s="26">
        <v>0</v>
      </c>
      <c r="J87" s="37"/>
      <c r="L87" s="28"/>
      <c r="M87" s="29"/>
      <c r="N87" s="30"/>
    </row>
    <row r="88" spans="1:22" ht="15.75" customHeight="1">
      <c r="A88" s="209"/>
      <c r="B88" s="80" t="s">
        <v>64</v>
      </c>
      <c r="C88" s="63"/>
      <c r="D88" s="63"/>
      <c r="E88" s="63"/>
      <c r="F88" s="63"/>
      <c r="G88" s="78"/>
      <c r="H88" s="64"/>
      <c r="I88" s="59">
        <f>I82+I86</f>
        <v>63854.063031516678</v>
      </c>
      <c r="J88" s="37"/>
      <c r="L88" s="28"/>
      <c r="M88" s="29"/>
      <c r="N88" s="30"/>
    </row>
    <row r="89" spans="1:22" ht="15" customHeight="1">
      <c r="A89" s="237" t="s">
        <v>247</v>
      </c>
      <c r="B89" s="237"/>
      <c r="C89" s="237"/>
      <c r="D89" s="237"/>
      <c r="E89" s="237"/>
      <c r="F89" s="237"/>
      <c r="G89" s="237"/>
      <c r="H89" s="237"/>
      <c r="I89" s="237"/>
      <c r="J89" s="37"/>
      <c r="L89" s="28"/>
      <c r="M89" s="29"/>
      <c r="N89" s="30"/>
    </row>
    <row r="90" spans="1:22" ht="15.75">
      <c r="A90" s="13"/>
      <c r="B90" s="259" t="s">
        <v>248</v>
      </c>
      <c r="C90" s="259"/>
      <c r="D90" s="259"/>
      <c r="E90" s="259"/>
      <c r="F90" s="259"/>
      <c r="G90" s="259"/>
      <c r="H90" s="197"/>
      <c r="I90" s="4"/>
      <c r="J90" s="37"/>
      <c r="L90" s="28"/>
    </row>
    <row r="91" spans="1:22" ht="15.75">
      <c r="A91" s="199"/>
      <c r="B91" s="239" t="s">
        <v>7</v>
      </c>
      <c r="C91" s="239"/>
      <c r="D91" s="239"/>
      <c r="E91" s="239"/>
      <c r="F91" s="239"/>
      <c r="G91" s="239"/>
      <c r="H91" s="41"/>
      <c r="I91" s="121"/>
    </row>
    <row r="92" spans="1:22" ht="15.75">
      <c r="A92" s="122"/>
      <c r="B92" s="122"/>
      <c r="C92" s="122"/>
      <c r="D92" s="122"/>
      <c r="E92" s="122"/>
      <c r="F92" s="122"/>
      <c r="G92" s="122"/>
      <c r="H92" s="122"/>
      <c r="I92" s="122"/>
    </row>
    <row r="93" spans="1:22" ht="15.75">
      <c r="A93" s="260" t="s">
        <v>8</v>
      </c>
      <c r="B93" s="260"/>
      <c r="C93" s="260"/>
      <c r="D93" s="260"/>
      <c r="E93" s="260"/>
      <c r="F93" s="260"/>
      <c r="G93" s="260"/>
      <c r="H93" s="260"/>
      <c r="I93" s="260"/>
    </row>
    <row r="94" spans="1:22" ht="15.75" customHeight="1">
      <c r="A94" s="260" t="s">
        <v>9</v>
      </c>
      <c r="B94" s="260"/>
      <c r="C94" s="260"/>
      <c r="D94" s="260"/>
      <c r="E94" s="260"/>
      <c r="F94" s="260"/>
      <c r="G94" s="260"/>
      <c r="H94" s="260"/>
      <c r="I94" s="26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2"/>
    </row>
    <row r="95" spans="1:22" ht="15.75" customHeight="1">
      <c r="A95" s="237" t="s">
        <v>10</v>
      </c>
      <c r="B95" s="237"/>
      <c r="C95" s="237"/>
      <c r="D95" s="237"/>
      <c r="E95" s="237"/>
      <c r="F95" s="237"/>
      <c r="G95" s="237"/>
      <c r="H95" s="237"/>
      <c r="I95" s="237"/>
      <c r="J95" s="42"/>
      <c r="K95" s="42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2" ht="15.75">
      <c r="A96" s="15"/>
      <c r="B96" s="119"/>
      <c r="C96" s="119"/>
      <c r="D96" s="119"/>
      <c r="E96" s="119"/>
      <c r="F96" s="119"/>
      <c r="G96" s="119"/>
      <c r="H96" s="119"/>
      <c r="I96" s="119"/>
      <c r="J96" s="6"/>
      <c r="K96" s="6"/>
      <c r="L96" s="6"/>
      <c r="M96" s="6"/>
      <c r="N96" s="6"/>
      <c r="O96" s="6"/>
      <c r="P96" s="6"/>
      <c r="Q96" s="6"/>
      <c r="R96" s="236"/>
      <c r="S96" s="236"/>
      <c r="T96" s="236"/>
      <c r="U96" s="236"/>
    </row>
    <row r="97" spans="1:21" ht="15.75">
      <c r="A97" s="261" t="s">
        <v>11</v>
      </c>
      <c r="B97" s="261"/>
      <c r="C97" s="261"/>
      <c r="D97" s="261"/>
      <c r="E97" s="261"/>
      <c r="F97" s="261"/>
      <c r="G97" s="261"/>
      <c r="H97" s="261"/>
      <c r="I97" s="261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 ht="15.75">
      <c r="A98" s="5"/>
      <c r="B98" s="119"/>
      <c r="C98" s="119"/>
      <c r="D98" s="119"/>
      <c r="E98" s="119"/>
      <c r="F98" s="119"/>
      <c r="G98" s="119"/>
      <c r="H98" s="119"/>
      <c r="I98" s="119"/>
    </row>
    <row r="99" spans="1:21" ht="15.75">
      <c r="A99" s="237" t="s">
        <v>12</v>
      </c>
      <c r="B99" s="237"/>
      <c r="C99" s="238" t="s">
        <v>133</v>
      </c>
      <c r="D99" s="238"/>
      <c r="E99" s="238"/>
      <c r="F99" s="203"/>
      <c r="I99" s="196"/>
    </row>
    <row r="100" spans="1:21" ht="15.75" customHeight="1">
      <c r="A100" s="199"/>
      <c r="B100" s="119"/>
      <c r="C100" s="239" t="s">
        <v>13</v>
      </c>
      <c r="D100" s="239"/>
      <c r="E100" s="239"/>
      <c r="F100" s="41"/>
      <c r="I100" s="195" t="s">
        <v>14</v>
      </c>
    </row>
    <row r="101" spans="1:21" ht="15.75">
      <c r="A101" s="42"/>
      <c r="B101" s="119"/>
      <c r="C101" s="16"/>
      <c r="D101" s="16"/>
      <c r="G101" s="16"/>
      <c r="H101" s="16"/>
    </row>
    <row r="102" spans="1:21" ht="15.75">
      <c r="A102" s="237" t="s">
        <v>15</v>
      </c>
      <c r="B102" s="237"/>
      <c r="C102" s="250"/>
      <c r="D102" s="250"/>
      <c r="E102" s="250"/>
      <c r="F102" s="204"/>
      <c r="I102" s="196"/>
    </row>
    <row r="103" spans="1:21">
      <c r="A103" s="194"/>
      <c r="C103" s="236" t="s">
        <v>13</v>
      </c>
      <c r="D103" s="236"/>
      <c r="E103" s="236"/>
      <c r="F103" s="194"/>
      <c r="I103" s="195" t="s">
        <v>14</v>
      </c>
    </row>
    <row r="104" spans="1:21" ht="15.75">
      <c r="A104" s="5" t="s">
        <v>16</v>
      </c>
    </row>
    <row r="105" spans="1:21">
      <c r="A105" s="251" t="s">
        <v>17</v>
      </c>
      <c r="B105" s="251"/>
      <c r="C105" s="251"/>
      <c r="D105" s="251"/>
      <c r="E105" s="251"/>
      <c r="F105" s="251"/>
      <c r="G105" s="251"/>
      <c r="H105" s="251"/>
      <c r="I105" s="251"/>
    </row>
    <row r="106" spans="1:21" ht="47.25" customHeight="1">
      <c r="A106" s="249" t="s">
        <v>18</v>
      </c>
      <c r="B106" s="249"/>
      <c r="C106" s="249"/>
      <c r="D106" s="249"/>
      <c r="E106" s="249"/>
      <c r="F106" s="249"/>
      <c r="G106" s="249"/>
      <c r="H106" s="249"/>
      <c r="I106" s="249"/>
    </row>
    <row r="107" spans="1:21" ht="31.5" customHeight="1">
      <c r="A107" s="249" t="s">
        <v>19</v>
      </c>
      <c r="B107" s="249"/>
      <c r="C107" s="249"/>
      <c r="D107" s="249"/>
      <c r="E107" s="249"/>
      <c r="F107" s="249"/>
      <c r="G107" s="249"/>
      <c r="H107" s="249"/>
      <c r="I107" s="249"/>
    </row>
    <row r="108" spans="1:21" ht="31.5" customHeight="1">
      <c r="A108" s="249" t="s">
        <v>24</v>
      </c>
      <c r="B108" s="249"/>
      <c r="C108" s="249"/>
      <c r="D108" s="249"/>
      <c r="E108" s="249"/>
      <c r="F108" s="249"/>
      <c r="G108" s="249"/>
      <c r="H108" s="249"/>
      <c r="I108" s="249"/>
    </row>
    <row r="109" spans="1:21" ht="15.75">
      <c r="A109" s="249" t="s">
        <v>23</v>
      </c>
      <c r="B109" s="249"/>
      <c r="C109" s="249"/>
      <c r="D109" s="249"/>
      <c r="E109" s="249"/>
      <c r="F109" s="249"/>
      <c r="G109" s="249"/>
      <c r="H109" s="249"/>
      <c r="I109" s="249"/>
    </row>
  </sheetData>
  <autoFilter ref="I14:I92"/>
  <mergeCells count="30">
    <mergeCell ref="A109:I109"/>
    <mergeCell ref="A97:I97"/>
    <mergeCell ref="A99:B99"/>
    <mergeCell ref="C99:E99"/>
    <mergeCell ref="C100:E100"/>
    <mergeCell ref="A102:B102"/>
    <mergeCell ref="C102:E102"/>
    <mergeCell ref="C103:E103"/>
    <mergeCell ref="A105:I105"/>
    <mergeCell ref="A106:I106"/>
    <mergeCell ref="A107:I107"/>
    <mergeCell ref="A108:I108"/>
    <mergeCell ref="R96:U96"/>
    <mergeCell ref="A27:I27"/>
    <mergeCell ref="A34:I34"/>
    <mergeCell ref="A43:I43"/>
    <mergeCell ref="A55:I55"/>
    <mergeCell ref="A79:I79"/>
    <mergeCell ref="A89:I89"/>
    <mergeCell ref="B90:G90"/>
    <mergeCell ref="B91:G91"/>
    <mergeCell ref="A93:I93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B1" s="57" t="s">
        <v>118</v>
      </c>
      <c r="I1" s="56"/>
    </row>
    <row r="2" spans="1:13" ht="15.75">
      <c r="B2" s="45" t="s">
        <v>79</v>
      </c>
      <c r="J2" s="1"/>
      <c r="K2" s="1"/>
      <c r="L2" s="1"/>
      <c r="M2" s="1"/>
    </row>
    <row r="3" spans="1:13" ht="15.75" customHeight="1">
      <c r="A3" s="240" t="s">
        <v>249</v>
      </c>
      <c r="B3" s="240"/>
      <c r="C3" s="240"/>
      <c r="D3" s="240"/>
      <c r="E3" s="240"/>
      <c r="F3" s="240"/>
      <c r="G3" s="240"/>
      <c r="H3" s="240"/>
      <c r="I3" s="240"/>
      <c r="J3" s="2"/>
      <c r="K3" s="2"/>
      <c r="L3" s="2"/>
      <c r="M3" s="2"/>
    </row>
    <row r="4" spans="1:13" ht="33.75" customHeight="1">
      <c r="A4" s="241" t="s">
        <v>153</v>
      </c>
      <c r="B4" s="241"/>
      <c r="C4" s="241"/>
      <c r="D4" s="241"/>
      <c r="E4" s="241"/>
      <c r="F4" s="241"/>
      <c r="G4" s="241"/>
      <c r="H4" s="241"/>
      <c r="I4" s="241"/>
      <c r="J4" s="3"/>
      <c r="K4" s="3"/>
      <c r="L4" s="3"/>
      <c r="M4" s="3"/>
    </row>
    <row r="5" spans="1:13" ht="15.75" customHeight="1">
      <c r="A5" s="246" t="s">
        <v>104</v>
      </c>
      <c r="B5" s="247"/>
      <c r="C5" s="247"/>
      <c r="D5" s="247"/>
      <c r="E5" s="247"/>
      <c r="F5" s="247"/>
      <c r="G5" s="247"/>
      <c r="H5" s="247"/>
      <c r="I5" s="247"/>
      <c r="J5" s="4"/>
      <c r="K5" s="4"/>
      <c r="L5" s="4"/>
    </row>
    <row r="6" spans="1:13" ht="15.75" customHeight="1">
      <c r="A6" s="3"/>
      <c r="B6" s="192"/>
      <c r="C6" s="192"/>
      <c r="D6" s="192"/>
      <c r="E6" s="192"/>
      <c r="F6" s="192"/>
      <c r="G6" s="192"/>
      <c r="H6" s="192"/>
      <c r="I6" s="58">
        <v>42490</v>
      </c>
    </row>
    <row r="7" spans="1:13" ht="15.75">
      <c r="B7" s="193"/>
      <c r="C7" s="193"/>
      <c r="D7" s="193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242" t="s">
        <v>274</v>
      </c>
      <c r="B8" s="242"/>
      <c r="C8" s="242"/>
      <c r="D8" s="242"/>
      <c r="E8" s="242"/>
      <c r="F8" s="242"/>
      <c r="G8" s="242"/>
      <c r="H8" s="242"/>
      <c r="I8" s="242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248" t="s">
        <v>155</v>
      </c>
      <c r="B10" s="248"/>
      <c r="C10" s="248"/>
      <c r="D10" s="248"/>
      <c r="E10" s="248"/>
      <c r="F10" s="248"/>
      <c r="G10" s="248"/>
      <c r="H10" s="248"/>
      <c r="I10" s="248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243" t="s">
        <v>4</v>
      </c>
      <c r="B14" s="244"/>
      <c r="C14" s="244"/>
      <c r="D14" s="244"/>
      <c r="E14" s="244"/>
      <c r="F14" s="244"/>
      <c r="G14" s="244"/>
      <c r="H14" s="244"/>
      <c r="I14" s="245"/>
    </row>
    <row r="15" spans="1:13" ht="31.5" customHeight="1">
      <c r="A15" s="50">
        <v>1</v>
      </c>
      <c r="B15" s="175" t="s">
        <v>120</v>
      </c>
      <c r="C15" s="210" t="s">
        <v>156</v>
      </c>
      <c r="D15" s="175" t="s">
        <v>191</v>
      </c>
      <c r="E15" s="211">
        <v>66.2</v>
      </c>
      <c r="F15" s="212">
        <f>SUM(E15*156/100)</f>
        <v>103.27200000000001</v>
      </c>
      <c r="G15" s="212">
        <v>175.38</v>
      </c>
      <c r="H15" s="213">
        <f t="shared" ref="H15:H24" si="0">SUM(F15*G15/1000)</f>
        <v>18.111843359999998</v>
      </c>
      <c r="I15" s="20">
        <f>F15/12*G15</f>
        <v>1509.3202799999999</v>
      </c>
      <c r="J15" s="10"/>
      <c r="K15" s="10"/>
      <c r="L15" s="10"/>
      <c r="M15" s="10"/>
    </row>
    <row r="16" spans="1:13" ht="31.5" customHeight="1">
      <c r="A16" s="50">
        <v>2</v>
      </c>
      <c r="B16" s="175" t="s">
        <v>121</v>
      </c>
      <c r="C16" s="210" t="s">
        <v>156</v>
      </c>
      <c r="D16" s="175" t="s">
        <v>192</v>
      </c>
      <c r="E16" s="211">
        <v>198.7</v>
      </c>
      <c r="F16" s="212">
        <f>SUM(E16*104/100)</f>
        <v>206.648</v>
      </c>
      <c r="G16" s="212">
        <v>175.38</v>
      </c>
      <c r="H16" s="213">
        <f t="shared" si="0"/>
        <v>36.241926239999998</v>
      </c>
      <c r="I16" s="20">
        <f>F16/12*G16</f>
        <v>3020.1605199999999</v>
      </c>
      <c r="J16" s="10"/>
      <c r="K16" s="10"/>
      <c r="L16" s="10"/>
      <c r="M16" s="10"/>
    </row>
    <row r="17" spans="1:13" ht="31.5" customHeight="1">
      <c r="A17" s="50">
        <v>3</v>
      </c>
      <c r="B17" s="175" t="s">
        <v>122</v>
      </c>
      <c r="C17" s="210" t="s">
        <v>156</v>
      </c>
      <c r="D17" s="175" t="s">
        <v>234</v>
      </c>
      <c r="E17" s="211">
        <f>SUM(E15+E16)</f>
        <v>264.89999999999998</v>
      </c>
      <c r="F17" s="212">
        <f>SUM(E17*24/100)</f>
        <v>63.575999999999993</v>
      </c>
      <c r="G17" s="212">
        <v>504.5</v>
      </c>
      <c r="H17" s="213">
        <f t="shared" si="0"/>
        <v>32.074092</v>
      </c>
      <c r="I17" s="20">
        <f>F17/12*G17</f>
        <v>2672.8409999999994</v>
      </c>
      <c r="J17" s="10"/>
      <c r="K17" s="10"/>
      <c r="L17" s="10"/>
      <c r="M17" s="10"/>
    </row>
    <row r="18" spans="1:13" ht="15.75" hidden="1" customHeight="1">
      <c r="A18" s="50"/>
      <c r="B18" s="175" t="s">
        <v>157</v>
      </c>
      <c r="C18" s="210" t="s">
        <v>146</v>
      </c>
      <c r="D18" s="175" t="s">
        <v>158</v>
      </c>
      <c r="E18" s="211">
        <v>40</v>
      </c>
      <c r="F18" s="212">
        <f>SUM(E18/10)</f>
        <v>4</v>
      </c>
      <c r="G18" s="212">
        <v>170.16</v>
      </c>
      <c r="H18" s="213">
        <f t="shared" si="0"/>
        <v>0.68064000000000002</v>
      </c>
      <c r="I18" s="20">
        <v>0</v>
      </c>
      <c r="J18" s="10"/>
      <c r="K18" s="10"/>
      <c r="L18" s="10"/>
      <c r="M18" s="10"/>
    </row>
    <row r="19" spans="1:13" ht="15.75" hidden="1" customHeight="1">
      <c r="A19" s="50"/>
      <c r="B19" s="175" t="s">
        <v>159</v>
      </c>
      <c r="C19" s="210" t="s">
        <v>156</v>
      </c>
      <c r="D19" s="175" t="s">
        <v>66</v>
      </c>
      <c r="E19" s="211">
        <v>10.5</v>
      </c>
      <c r="F19" s="212">
        <f t="shared" ref="F19:F24" si="1">SUM(E19/100)</f>
        <v>0.105</v>
      </c>
      <c r="G19" s="212">
        <v>217.88</v>
      </c>
      <c r="H19" s="213">
        <f t="shared" si="0"/>
        <v>2.2877399999999999E-2</v>
      </c>
      <c r="I19" s="20">
        <v>0</v>
      </c>
      <c r="J19" s="10"/>
      <c r="K19" s="10"/>
      <c r="L19" s="10"/>
      <c r="M19" s="10"/>
    </row>
    <row r="20" spans="1:13" ht="15.75" hidden="1" customHeight="1">
      <c r="A20" s="50"/>
      <c r="B20" s="175" t="s">
        <v>160</v>
      </c>
      <c r="C20" s="210" t="s">
        <v>156</v>
      </c>
      <c r="D20" s="175" t="s">
        <v>66</v>
      </c>
      <c r="E20" s="211">
        <v>2.7</v>
      </c>
      <c r="F20" s="212">
        <f t="shared" si="1"/>
        <v>2.7000000000000003E-2</v>
      </c>
      <c r="G20" s="212">
        <v>216.12</v>
      </c>
      <c r="H20" s="213">
        <f t="shared" si="0"/>
        <v>5.8352400000000002E-3</v>
      </c>
      <c r="I20" s="20">
        <v>0</v>
      </c>
      <c r="J20" s="10"/>
      <c r="K20" s="10"/>
      <c r="L20" s="10"/>
      <c r="M20" s="10"/>
    </row>
    <row r="21" spans="1:13" ht="15.75" hidden="1" customHeight="1">
      <c r="A21" s="50"/>
      <c r="B21" s="175" t="s">
        <v>161</v>
      </c>
      <c r="C21" s="210" t="s">
        <v>65</v>
      </c>
      <c r="D21" s="175" t="s">
        <v>158</v>
      </c>
      <c r="E21" s="211">
        <v>357</v>
      </c>
      <c r="F21" s="212">
        <f t="shared" si="1"/>
        <v>3.57</v>
      </c>
      <c r="G21" s="212">
        <v>269.26</v>
      </c>
      <c r="H21" s="213">
        <f t="shared" si="0"/>
        <v>0.96125819999999984</v>
      </c>
      <c r="I21" s="20">
        <v>0</v>
      </c>
      <c r="J21" s="10"/>
      <c r="K21" s="10"/>
      <c r="L21" s="10"/>
      <c r="M21" s="10"/>
    </row>
    <row r="22" spans="1:13" ht="15.75" hidden="1" customHeight="1">
      <c r="A22" s="50"/>
      <c r="B22" s="175" t="s">
        <v>162</v>
      </c>
      <c r="C22" s="210" t="s">
        <v>65</v>
      </c>
      <c r="D22" s="175" t="s">
        <v>158</v>
      </c>
      <c r="E22" s="214">
        <v>38.64</v>
      </c>
      <c r="F22" s="212">
        <f t="shared" si="1"/>
        <v>0.38640000000000002</v>
      </c>
      <c r="G22" s="212">
        <v>44.29</v>
      </c>
      <c r="H22" s="213">
        <f t="shared" si="0"/>
        <v>1.7113655999999998E-2</v>
      </c>
      <c r="I22" s="20">
        <v>0</v>
      </c>
      <c r="J22" s="10"/>
      <c r="K22" s="10"/>
      <c r="L22" s="10"/>
      <c r="M22" s="10"/>
    </row>
    <row r="23" spans="1:13" ht="15.75" hidden="1" customHeight="1">
      <c r="A23" s="50"/>
      <c r="B23" s="175" t="s">
        <v>163</v>
      </c>
      <c r="C23" s="210" t="s">
        <v>65</v>
      </c>
      <c r="D23" s="176" t="s">
        <v>158</v>
      </c>
      <c r="E23" s="26">
        <v>15</v>
      </c>
      <c r="F23" s="215">
        <f t="shared" si="1"/>
        <v>0.15</v>
      </c>
      <c r="G23" s="212">
        <v>389.72</v>
      </c>
      <c r="H23" s="213">
        <f t="shared" si="0"/>
        <v>5.8457999999999996E-2</v>
      </c>
      <c r="I23" s="20">
        <v>0</v>
      </c>
      <c r="J23" s="10"/>
      <c r="K23" s="10"/>
      <c r="L23" s="10"/>
      <c r="M23" s="10"/>
    </row>
    <row r="24" spans="1:13" ht="15.75" hidden="1" customHeight="1">
      <c r="A24" s="50"/>
      <c r="B24" s="175" t="s">
        <v>164</v>
      </c>
      <c r="C24" s="210" t="s">
        <v>65</v>
      </c>
      <c r="D24" s="175" t="s">
        <v>158</v>
      </c>
      <c r="E24" s="216">
        <v>6.38</v>
      </c>
      <c r="F24" s="212">
        <f t="shared" si="1"/>
        <v>6.3799999999999996E-2</v>
      </c>
      <c r="G24" s="212">
        <v>520.79999999999995</v>
      </c>
      <c r="H24" s="213">
        <f t="shared" si="0"/>
        <v>3.3227039999999992E-2</v>
      </c>
      <c r="I24" s="20">
        <v>0</v>
      </c>
      <c r="J24" s="10"/>
      <c r="K24" s="10"/>
      <c r="L24" s="10"/>
      <c r="M24" s="10"/>
    </row>
    <row r="25" spans="1:13" ht="15.75" customHeight="1">
      <c r="A25" s="207">
        <v>4</v>
      </c>
      <c r="B25" s="175" t="s">
        <v>81</v>
      </c>
      <c r="C25" s="210" t="s">
        <v>37</v>
      </c>
      <c r="D25" s="175" t="s">
        <v>198</v>
      </c>
      <c r="E25" s="211">
        <v>0.1</v>
      </c>
      <c r="F25" s="212">
        <f>SUM(E25*365)</f>
        <v>36.5</v>
      </c>
      <c r="G25" s="212">
        <v>147.03</v>
      </c>
      <c r="H25" s="213">
        <f>SUM(F25*G25/1000)</f>
        <v>5.3665950000000002</v>
      </c>
      <c r="I25" s="20">
        <f>F25/12*G25</f>
        <v>447.21625</v>
      </c>
      <c r="J25" s="36"/>
      <c r="K25" s="10"/>
      <c r="L25" s="10"/>
      <c r="M25" s="10"/>
    </row>
    <row r="26" spans="1:13" ht="15.75" customHeight="1">
      <c r="A26" s="207">
        <v>5</v>
      </c>
      <c r="B26" s="218" t="s">
        <v>26</v>
      </c>
      <c r="C26" s="210" t="s">
        <v>27</v>
      </c>
      <c r="D26" s="218" t="s">
        <v>177</v>
      </c>
      <c r="E26" s="211">
        <v>2566.6</v>
      </c>
      <c r="F26" s="212">
        <f>SUM(E26*12)</f>
        <v>30799.199999999997</v>
      </c>
      <c r="G26" s="212">
        <v>4.53</v>
      </c>
      <c r="H26" s="213">
        <f>SUM(F26*G26/1000)</f>
        <v>139.520376</v>
      </c>
      <c r="I26" s="20">
        <f>F26/12*G26</f>
        <v>11626.698</v>
      </c>
      <c r="J26" s="36"/>
      <c r="K26" s="10"/>
      <c r="L26" s="10"/>
      <c r="M26" s="10"/>
    </row>
    <row r="27" spans="1:13" ht="15.75" hidden="1" customHeight="1">
      <c r="A27" s="252" t="s">
        <v>235</v>
      </c>
      <c r="B27" s="253"/>
      <c r="C27" s="253"/>
      <c r="D27" s="253"/>
      <c r="E27" s="253"/>
      <c r="F27" s="253"/>
      <c r="G27" s="253"/>
      <c r="H27" s="253"/>
      <c r="I27" s="254"/>
      <c r="J27" s="36"/>
      <c r="K27" s="10"/>
      <c r="L27" s="10"/>
      <c r="M27" s="10"/>
    </row>
    <row r="28" spans="1:13" ht="31.5" hidden="1" customHeight="1">
      <c r="A28" s="205"/>
      <c r="B28" s="175" t="s">
        <v>193</v>
      </c>
      <c r="C28" s="210" t="s">
        <v>165</v>
      </c>
      <c r="D28" s="175" t="s">
        <v>194</v>
      </c>
      <c r="E28" s="212">
        <v>852.6</v>
      </c>
      <c r="F28" s="212">
        <f>SUM(E28*52/1000)</f>
        <v>44.335200000000007</v>
      </c>
      <c r="G28" s="212">
        <v>155.88999999999999</v>
      </c>
      <c r="H28" s="213">
        <f t="shared" ref="H28:H33" si="2">SUM(F28*G28/1000)</f>
        <v>6.9114143280000011</v>
      </c>
      <c r="I28" s="20">
        <v>0</v>
      </c>
      <c r="J28" s="36"/>
      <c r="K28" s="10"/>
      <c r="L28" s="10"/>
      <c r="M28" s="10"/>
    </row>
    <row r="29" spans="1:13" ht="31.5" hidden="1" customHeight="1">
      <c r="A29" s="50"/>
      <c r="B29" s="175" t="s">
        <v>195</v>
      </c>
      <c r="C29" s="210" t="s">
        <v>165</v>
      </c>
      <c r="D29" s="175" t="s">
        <v>196</v>
      </c>
      <c r="E29" s="212">
        <v>65.33</v>
      </c>
      <c r="F29" s="212">
        <f>SUM(E29*78/1000)</f>
        <v>5.0957400000000002</v>
      </c>
      <c r="G29" s="212">
        <v>258.63</v>
      </c>
      <c r="H29" s="213">
        <f t="shared" si="2"/>
        <v>1.3179112362000001</v>
      </c>
      <c r="I29" s="20">
        <v>0</v>
      </c>
      <c r="J29" s="36"/>
      <c r="K29" s="10"/>
      <c r="L29" s="10"/>
      <c r="M29" s="10"/>
    </row>
    <row r="30" spans="1:13" ht="15.75" hidden="1" customHeight="1">
      <c r="A30" s="207"/>
      <c r="B30" s="175" t="s">
        <v>32</v>
      </c>
      <c r="C30" s="210" t="s">
        <v>165</v>
      </c>
      <c r="D30" s="175" t="s">
        <v>66</v>
      </c>
      <c r="E30" s="212">
        <v>852.6</v>
      </c>
      <c r="F30" s="212">
        <f>SUM(E30/1000)</f>
        <v>0.85260000000000002</v>
      </c>
      <c r="G30" s="212">
        <v>3020.33</v>
      </c>
      <c r="H30" s="213">
        <f t="shared" si="2"/>
        <v>2.575133358</v>
      </c>
      <c r="I30" s="20">
        <v>0</v>
      </c>
      <c r="J30" s="36"/>
      <c r="K30" s="10"/>
      <c r="L30" s="10"/>
      <c r="M30" s="10"/>
    </row>
    <row r="31" spans="1:13" ht="15.75" hidden="1" customHeight="1">
      <c r="A31" s="207"/>
      <c r="B31" s="175" t="s">
        <v>197</v>
      </c>
      <c r="C31" s="210" t="s">
        <v>35</v>
      </c>
      <c r="D31" s="175" t="s">
        <v>80</v>
      </c>
      <c r="E31" s="217">
        <v>0.33333333333333331</v>
      </c>
      <c r="F31" s="212">
        <f>155/3</f>
        <v>51.666666666666664</v>
      </c>
      <c r="G31" s="212">
        <v>56.69</v>
      </c>
      <c r="H31" s="213">
        <f>SUM(G31*155/3/1000)</f>
        <v>2.9289833333333331</v>
      </c>
      <c r="I31" s="20">
        <v>0</v>
      </c>
      <c r="J31" s="36"/>
      <c r="K31" s="10"/>
      <c r="L31" s="10"/>
      <c r="M31" s="10"/>
    </row>
    <row r="32" spans="1:13" ht="15.75" hidden="1" customHeight="1">
      <c r="A32" s="207"/>
      <c r="B32" s="175" t="s">
        <v>82</v>
      </c>
      <c r="C32" s="210" t="s">
        <v>37</v>
      </c>
      <c r="D32" s="175" t="s">
        <v>83</v>
      </c>
      <c r="E32" s="211"/>
      <c r="F32" s="212">
        <v>3</v>
      </c>
      <c r="G32" s="212">
        <v>191.32</v>
      </c>
      <c r="H32" s="213">
        <f t="shared" si="2"/>
        <v>0.57396000000000003</v>
      </c>
      <c r="I32" s="20">
        <v>0</v>
      </c>
      <c r="J32" s="36"/>
      <c r="K32" s="10"/>
      <c r="L32" s="10"/>
      <c r="M32" s="10"/>
    </row>
    <row r="33" spans="1:14" ht="15.75" hidden="1" customHeight="1">
      <c r="A33" s="207"/>
      <c r="B33" s="175" t="s">
        <v>200</v>
      </c>
      <c r="C33" s="210" t="s">
        <v>36</v>
      </c>
      <c r="D33" s="175" t="s">
        <v>83</v>
      </c>
      <c r="E33" s="211"/>
      <c r="F33" s="212">
        <v>2</v>
      </c>
      <c r="G33" s="212">
        <v>1136.33</v>
      </c>
      <c r="H33" s="213">
        <f t="shared" si="2"/>
        <v>2.2726599999999997</v>
      </c>
      <c r="I33" s="20">
        <v>0</v>
      </c>
      <c r="J33" s="36"/>
      <c r="K33" s="10"/>
      <c r="L33" s="10"/>
      <c r="M33" s="10"/>
    </row>
    <row r="34" spans="1:14" ht="15.75" customHeight="1">
      <c r="A34" s="252" t="s">
        <v>236</v>
      </c>
      <c r="B34" s="253"/>
      <c r="C34" s="253"/>
      <c r="D34" s="253"/>
      <c r="E34" s="253"/>
      <c r="F34" s="253"/>
      <c r="G34" s="253"/>
      <c r="H34" s="253"/>
      <c r="I34" s="254"/>
      <c r="J34" s="36"/>
      <c r="K34" s="10"/>
      <c r="L34" s="10"/>
      <c r="M34" s="10"/>
    </row>
    <row r="35" spans="1:14" ht="15.75" customHeight="1">
      <c r="A35" s="50">
        <v>6</v>
      </c>
      <c r="B35" s="175" t="s">
        <v>30</v>
      </c>
      <c r="C35" s="210" t="s">
        <v>36</v>
      </c>
      <c r="D35" s="175"/>
      <c r="E35" s="211"/>
      <c r="F35" s="212">
        <v>8</v>
      </c>
      <c r="G35" s="212">
        <v>1527.22</v>
      </c>
      <c r="H35" s="213">
        <f t="shared" ref="H35:H42" si="3">SUM(F35*G35/1000)</f>
        <v>12.21776</v>
      </c>
      <c r="I35" s="20">
        <f>F35/6*G35</f>
        <v>2036.2933333333333</v>
      </c>
      <c r="J35" s="36"/>
      <c r="K35" s="10"/>
      <c r="L35" s="10"/>
      <c r="M35" s="10"/>
    </row>
    <row r="36" spans="1:14" ht="15.75" customHeight="1">
      <c r="A36" s="50">
        <v>7</v>
      </c>
      <c r="B36" s="175" t="s">
        <v>136</v>
      </c>
      <c r="C36" s="210" t="s">
        <v>33</v>
      </c>
      <c r="D36" s="175" t="s">
        <v>201</v>
      </c>
      <c r="E36" s="211">
        <v>269.5</v>
      </c>
      <c r="F36" s="212">
        <f>E36*12/1000</f>
        <v>3.234</v>
      </c>
      <c r="G36" s="212">
        <v>2102.71</v>
      </c>
      <c r="H36" s="213">
        <f>G36*F36/1000</f>
        <v>6.8001641399999997</v>
      </c>
      <c r="I36" s="20">
        <f>F36/6*G36</f>
        <v>1133.3606900000002</v>
      </c>
      <c r="J36" s="36"/>
      <c r="K36" s="10"/>
      <c r="L36" s="10"/>
      <c r="M36" s="10"/>
    </row>
    <row r="37" spans="1:14" ht="15.75" customHeight="1">
      <c r="A37" s="50">
        <v>8</v>
      </c>
      <c r="B37" s="175" t="s">
        <v>202</v>
      </c>
      <c r="C37" s="210" t="s">
        <v>33</v>
      </c>
      <c r="D37" s="175" t="s">
        <v>203</v>
      </c>
      <c r="E37" s="211">
        <v>60</v>
      </c>
      <c r="F37" s="212">
        <f>E37*30/1000</f>
        <v>1.8</v>
      </c>
      <c r="G37" s="212">
        <v>2102.71</v>
      </c>
      <c r="H37" s="213">
        <f>G37*F37/1000</f>
        <v>3.784878</v>
      </c>
      <c r="I37" s="20">
        <f>F37/6*G37</f>
        <v>630.81299999999999</v>
      </c>
      <c r="J37" s="36"/>
      <c r="K37" s="10"/>
      <c r="L37" s="10"/>
      <c r="M37" s="10"/>
    </row>
    <row r="38" spans="1:14" ht="15.75" hidden="1" customHeight="1">
      <c r="A38" s="50"/>
      <c r="B38" s="175" t="s">
        <v>204</v>
      </c>
      <c r="C38" s="210" t="s">
        <v>205</v>
      </c>
      <c r="D38" s="175" t="s">
        <v>83</v>
      </c>
      <c r="E38" s="211"/>
      <c r="F38" s="212">
        <v>100</v>
      </c>
      <c r="G38" s="212">
        <v>213.2</v>
      </c>
      <c r="H38" s="213">
        <f>G38*F38/1000</f>
        <v>21.32</v>
      </c>
      <c r="I38" s="20">
        <v>0</v>
      </c>
      <c r="J38" s="36"/>
      <c r="K38" s="10"/>
      <c r="L38" s="10"/>
      <c r="M38" s="10"/>
    </row>
    <row r="39" spans="1:14" ht="15.75" customHeight="1">
      <c r="A39" s="50">
        <v>9</v>
      </c>
      <c r="B39" s="175" t="s">
        <v>84</v>
      </c>
      <c r="C39" s="210" t="s">
        <v>33</v>
      </c>
      <c r="D39" s="175" t="s">
        <v>206</v>
      </c>
      <c r="E39" s="212">
        <v>65.33</v>
      </c>
      <c r="F39" s="212">
        <f>SUM(E39*155/1000)</f>
        <v>10.126149999999999</v>
      </c>
      <c r="G39" s="212">
        <v>350.75</v>
      </c>
      <c r="H39" s="213">
        <f t="shared" si="3"/>
        <v>3.5517471124999997</v>
      </c>
      <c r="I39" s="20">
        <f>F39/6*G39</f>
        <v>591.95785208333325</v>
      </c>
      <c r="J39" s="36"/>
      <c r="K39" s="10"/>
      <c r="L39" s="10"/>
      <c r="M39" s="10"/>
    </row>
    <row r="40" spans="1:14" ht="47.25" customHeight="1">
      <c r="A40" s="50">
        <v>10</v>
      </c>
      <c r="B40" s="175" t="s">
        <v>110</v>
      </c>
      <c r="C40" s="210" t="s">
        <v>165</v>
      </c>
      <c r="D40" s="175" t="s">
        <v>207</v>
      </c>
      <c r="E40" s="212">
        <v>65.33</v>
      </c>
      <c r="F40" s="212">
        <f>SUM(E40*24/1000)</f>
        <v>1.56792</v>
      </c>
      <c r="G40" s="212">
        <v>5803.28</v>
      </c>
      <c r="H40" s="213">
        <f t="shared" si="3"/>
        <v>9.0990787775999991</v>
      </c>
      <c r="I40" s="20">
        <f>F40/6*G40</f>
        <v>1516.5131296</v>
      </c>
      <c r="J40" s="36"/>
      <c r="K40" s="10"/>
      <c r="L40" s="10"/>
      <c r="M40" s="10"/>
    </row>
    <row r="41" spans="1:14" ht="15.75" customHeight="1">
      <c r="A41" s="50">
        <v>11</v>
      </c>
      <c r="B41" s="175" t="s">
        <v>208</v>
      </c>
      <c r="C41" s="210" t="s">
        <v>165</v>
      </c>
      <c r="D41" s="175" t="s">
        <v>85</v>
      </c>
      <c r="E41" s="212">
        <v>65.33</v>
      </c>
      <c r="F41" s="212">
        <f>SUM(E41*45/1000)</f>
        <v>2.9398499999999999</v>
      </c>
      <c r="G41" s="212">
        <v>428.7</v>
      </c>
      <c r="H41" s="213">
        <f t="shared" si="3"/>
        <v>1.2603136949999998</v>
      </c>
      <c r="I41" s="20">
        <f>F41/6*G41</f>
        <v>210.05228249999999</v>
      </c>
      <c r="J41" s="36"/>
      <c r="K41" s="10"/>
    </row>
    <row r="42" spans="1:14" ht="15.75" customHeight="1">
      <c r="A42" s="50">
        <v>12</v>
      </c>
      <c r="B42" s="175" t="s">
        <v>86</v>
      </c>
      <c r="C42" s="210" t="s">
        <v>37</v>
      </c>
      <c r="D42" s="175"/>
      <c r="E42" s="211"/>
      <c r="F42" s="212">
        <v>0.8</v>
      </c>
      <c r="G42" s="212">
        <v>798</v>
      </c>
      <c r="H42" s="213">
        <f t="shared" si="3"/>
        <v>0.63840000000000008</v>
      </c>
      <c r="I42" s="20">
        <f>F42/6*G42</f>
        <v>106.39999999999999</v>
      </c>
      <c r="J42" s="37"/>
    </row>
    <row r="43" spans="1:14" ht="15.75" customHeight="1">
      <c r="A43" s="252" t="s">
        <v>238</v>
      </c>
      <c r="B43" s="255"/>
      <c r="C43" s="255"/>
      <c r="D43" s="255"/>
      <c r="E43" s="255"/>
      <c r="F43" s="255"/>
      <c r="G43" s="255"/>
      <c r="H43" s="255"/>
      <c r="I43" s="256"/>
      <c r="J43" s="37"/>
    </row>
    <row r="44" spans="1:14" ht="15.75" hidden="1" customHeight="1">
      <c r="A44" s="50"/>
      <c r="B44" s="175" t="s">
        <v>209</v>
      </c>
      <c r="C44" s="210" t="s">
        <v>165</v>
      </c>
      <c r="D44" s="175" t="s">
        <v>52</v>
      </c>
      <c r="E44" s="211">
        <v>1114.75</v>
      </c>
      <c r="F44" s="212">
        <f>SUM(E44*2/1000)</f>
        <v>2.2294999999999998</v>
      </c>
      <c r="G44" s="20">
        <v>809.74</v>
      </c>
      <c r="H44" s="213">
        <f t="shared" ref="H44:H54" si="4">SUM(F44*G44/1000)</f>
        <v>1.80531533</v>
      </c>
      <c r="I44" s="20">
        <v>0</v>
      </c>
      <c r="J44" s="37"/>
    </row>
    <row r="45" spans="1:14" ht="15.75" hidden="1" customHeight="1">
      <c r="A45" s="206"/>
      <c r="B45" s="175" t="s">
        <v>41</v>
      </c>
      <c r="C45" s="210" t="s">
        <v>165</v>
      </c>
      <c r="D45" s="175" t="s">
        <v>52</v>
      </c>
      <c r="E45" s="211">
        <v>88</v>
      </c>
      <c r="F45" s="212">
        <f>E45*2/1000</f>
        <v>0.17599999999999999</v>
      </c>
      <c r="G45" s="20">
        <v>579.48</v>
      </c>
      <c r="H45" s="213">
        <f t="shared" si="4"/>
        <v>0.10198847999999999</v>
      </c>
      <c r="I45" s="20">
        <v>0</v>
      </c>
      <c r="J45" s="37"/>
    </row>
    <row r="46" spans="1:14" ht="15.75" hidden="1" customHeight="1">
      <c r="A46" s="205"/>
      <c r="B46" s="175" t="s">
        <v>42</v>
      </c>
      <c r="C46" s="210" t="s">
        <v>165</v>
      </c>
      <c r="D46" s="175" t="s">
        <v>52</v>
      </c>
      <c r="E46" s="211">
        <v>1250.6199999999999</v>
      </c>
      <c r="F46" s="212">
        <f>SUM(E46*2/1000)</f>
        <v>2.5012399999999997</v>
      </c>
      <c r="G46" s="20">
        <v>579.48</v>
      </c>
      <c r="H46" s="213">
        <f t="shared" si="4"/>
        <v>1.4494185551999998</v>
      </c>
      <c r="I46" s="20">
        <v>0</v>
      </c>
      <c r="J46" s="37"/>
    </row>
    <row r="47" spans="1:14" ht="15.75" hidden="1" customHeight="1">
      <c r="A47" s="50"/>
      <c r="B47" s="175" t="s">
        <v>43</v>
      </c>
      <c r="C47" s="210" t="s">
        <v>165</v>
      </c>
      <c r="D47" s="175" t="s">
        <v>52</v>
      </c>
      <c r="E47" s="211">
        <v>1295.68</v>
      </c>
      <c r="F47" s="212">
        <f>SUM(E47*2/1000)</f>
        <v>2.5913600000000003</v>
      </c>
      <c r="G47" s="20">
        <v>606.77</v>
      </c>
      <c r="H47" s="213">
        <f t="shared" si="4"/>
        <v>1.5723595072000001</v>
      </c>
      <c r="I47" s="20">
        <v>0</v>
      </c>
      <c r="J47" s="37"/>
    </row>
    <row r="48" spans="1:14" ht="15.75" hidden="1" customHeight="1">
      <c r="A48" s="50"/>
      <c r="B48" s="175" t="s">
        <v>39</v>
      </c>
      <c r="C48" s="210" t="s">
        <v>40</v>
      </c>
      <c r="D48" s="175" t="s">
        <v>52</v>
      </c>
      <c r="E48" s="211">
        <v>85.84</v>
      </c>
      <c r="F48" s="212">
        <f>E48*2/100</f>
        <v>1.7168000000000001</v>
      </c>
      <c r="G48" s="20">
        <v>72.81</v>
      </c>
      <c r="H48" s="213">
        <f>G48*F48/1000</f>
        <v>0.125000208</v>
      </c>
      <c r="I48" s="20">
        <v>0</v>
      </c>
      <c r="J48" s="37"/>
      <c r="L48" s="28"/>
      <c r="M48" s="29"/>
      <c r="N48" s="30"/>
    </row>
    <row r="49" spans="1:14" ht="31.5" hidden="1" customHeight="1">
      <c r="A49" s="50">
        <v>13</v>
      </c>
      <c r="B49" s="175" t="s">
        <v>72</v>
      </c>
      <c r="C49" s="210" t="s">
        <v>165</v>
      </c>
      <c r="D49" s="175" t="s">
        <v>237</v>
      </c>
      <c r="E49" s="211">
        <v>891.8</v>
      </c>
      <c r="F49" s="212">
        <f>SUM(E49*5/1000)</f>
        <v>4.4589999999999996</v>
      </c>
      <c r="G49" s="20">
        <v>1213.55</v>
      </c>
      <c r="H49" s="213">
        <f t="shared" si="4"/>
        <v>5.4112194499999999</v>
      </c>
      <c r="I49" s="20">
        <f>F49/5*G49</f>
        <v>1082.24389</v>
      </c>
      <c r="J49" s="37"/>
      <c r="L49" s="28"/>
      <c r="M49" s="29"/>
      <c r="N49" s="30"/>
    </row>
    <row r="50" spans="1:14" ht="31.5" hidden="1" customHeight="1">
      <c r="A50" s="171"/>
      <c r="B50" s="175" t="s">
        <v>210</v>
      </c>
      <c r="C50" s="210" t="s">
        <v>165</v>
      </c>
      <c r="D50" s="175" t="s">
        <v>52</v>
      </c>
      <c r="E50" s="211">
        <v>891.8</v>
      </c>
      <c r="F50" s="212">
        <f>SUM(E50*2/1000)</f>
        <v>1.7835999999999999</v>
      </c>
      <c r="G50" s="20">
        <v>1213.55</v>
      </c>
      <c r="H50" s="213">
        <f t="shared" si="4"/>
        <v>2.16448778</v>
      </c>
      <c r="I50" s="20">
        <v>0</v>
      </c>
      <c r="J50" s="37"/>
      <c r="L50" s="28"/>
      <c r="M50" s="29"/>
      <c r="N50" s="30"/>
    </row>
    <row r="51" spans="1:14" ht="31.5" hidden="1" customHeight="1">
      <c r="A51" s="171"/>
      <c r="B51" s="175" t="s">
        <v>211</v>
      </c>
      <c r="C51" s="210" t="s">
        <v>46</v>
      </c>
      <c r="D51" s="175" t="s">
        <v>52</v>
      </c>
      <c r="E51" s="211">
        <v>16</v>
      </c>
      <c r="F51" s="212">
        <f>SUM(E51*2/100)</f>
        <v>0.32</v>
      </c>
      <c r="G51" s="20">
        <v>2730.49</v>
      </c>
      <c r="H51" s="213">
        <f t="shared" si="4"/>
        <v>0.8737568</v>
      </c>
      <c r="I51" s="20">
        <v>0</v>
      </c>
      <c r="J51" s="37"/>
      <c r="L51" s="28"/>
      <c r="M51" s="29"/>
      <c r="N51" s="30"/>
    </row>
    <row r="52" spans="1:14" ht="15.75" hidden="1" customHeight="1">
      <c r="A52" s="171"/>
      <c r="B52" s="175" t="s">
        <v>47</v>
      </c>
      <c r="C52" s="210" t="s">
        <v>48</v>
      </c>
      <c r="D52" s="175" t="s">
        <v>52</v>
      </c>
      <c r="E52" s="211">
        <v>1</v>
      </c>
      <c r="F52" s="212">
        <v>0.02</v>
      </c>
      <c r="G52" s="20">
        <v>5652.13</v>
      </c>
      <c r="H52" s="213">
        <f t="shared" si="4"/>
        <v>0.11304260000000001</v>
      </c>
      <c r="I52" s="20">
        <v>0</v>
      </c>
      <c r="J52" s="37"/>
      <c r="L52" s="28"/>
      <c r="M52" s="29"/>
      <c r="N52" s="30"/>
    </row>
    <row r="53" spans="1:14" ht="15.75" customHeight="1">
      <c r="A53" s="171">
        <v>13</v>
      </c>
      <c r="B53" s="175" t="s">
        <v>212</v>
      </c>
      <c r="C53" s="210" t="s">
        <v>144</v>
      </c>
      <c r="D53" s="175" t="s">
        <v>87</v>
      </c>
      <c r="E53" s="211">
        <v>60</v>
      </c>
      <c r="F53" s="212">
        <f>E53*3</f>
        <v>180</v>
      </c>
      <c r="G53" s="20">
        <v>141.12</v>
      </c>
      <c r="H53" s="213">
        <f>F53*G53/1000</f>
        <v>25.401600000000002</v>
      </c>
      <c r="I53" s="20">
        <f>E53*G53</f>
        <v>8467.2000000000007</v>
      </c>
      <c r="J53" s="37"/>
      <c r="L53" s="28"/>
      <c r="M53" s="29"/>
      <c r="N53" s="30"/>
    </row>
    <row r="54" spans="1:14" ht="15.75" customHeight="1">
      <c r="A54" s="171">
        <v>14</v>
      </c>
      <c r="B54" s="175" t="s">
        <v>51</v>
      </c>
      <c r="C54" s="210" t="s">
        <v>144</v>
      </c>
      <c r="D54" s="175" t="s">
        <v>87</v>
      </c>
      <c r="E54" s="211">
        <v>120</v>
      </c>
      <c r="F54" s="212">
        <f>SUM(E54)*3</f>
        <v>360</v>
      </c>
      <c r="G54" s="20">
        <v>65.67</v>
      </c>
      <c r="H54" s="213">
        <f t="shared" si="4"/>
        <v>23.641200000000001</v>
      </c>
      <c r="I54" s="20">
        <f>E54*G54</f>
        <v>7880.4000000000005</v>
      </c>
      <c r="J54" s="37"/>
      <c r="L54" s="28"/>
      <c r="M54" s="29"/>
      <c r="N54" s="30"/>
    </row>
    <row r="55" spans="1:14" ht="15.75" customHeight="1">
      <c r="A55" s="252" t="s">
        <v>239</v>
      </c>
      <c r="B55" s="257"/>
      <c r="C55" s="257"/>
      <c r="D55" s="257"/>
      <c r="E55" s="257"/>
      <c r="F55" s="257"/>
      <c r="G55" s="257"/>
      <c r="H55" s="257"/>
      <c r="I55" s="258"/>
      <c r="J55" s="37"/>
      <c r="L55" s="28"/>
      <c r="M55" s="29"/>
      <c r="N55" s="30"/>
    </row>
    <row r="56" spans="1:14" ht="15.75" customHeight="1">
      <c r="A56" s="171"/>
      <c r="B56" s="233" t="s">
        <v>53</v>
      </c>
      <c r="C56" s="210"/>
      <c r="D56" s="175"/>
      <c r="E56" s="211"/>
      <c r="F56" s="212"/>
      <c r="G56" s="212"/>
      <c r="H56" s="213"/>
      <c r="I56" s="20"/>
      <c r="J56" s="37"/>
      <c r="L56" s="28"/>
      <c r="M56" s="29"/>
      <c r="N56" s="30"/>
    </row>
    <row r="57" spans="1:14" ht="31.5" customHeight="1">
      <c r="A57" s="171">
        <v>15</v>
      </c>
      <c r="B57" s="175" t="s">
        <v>213</v>
      </c>
      <c r="C57" s="210" t="s">
        <v>156</v>
      </c>
      <c r="D57" s="175" t="s">
        <v>214</v>
      </c>
      <c r="E57" s="211">
        <v>112.68</v>
      </c>
      <c r="F57" s="212">
        <f>SUM(E57*6/100)</f>
        <v>6.7608000000000006</v>
      </c>
      <c r="G57" s="20">
        <v>1547.28</v>
      </c>
      <c r="H57" s="213">
        <f>SUM(F57*G57/1000)</f>
        <v>10.460850624000001</v>
      </c>
      <c r="I57" s="20">
        <f>F57/6*G57</f>
        <v>1743.4751040000001</v>
      </c>
      <c r="J57" s="37"/>
      <c r="L57" s="28"/>
      <c r="M57" s="29"/>
      <c r="N57" s="30"/>
    </row>
    <row r="58" spans="1:14" ht="15.75" hidden="1" customHeight="1">
      <c r="A58" s="171"/>
      <c r="B58" s="232" t="s">
        <v>54</v>
      </c>
      <c r="C58" s="220"/>
      <c r="D58" s="219"/>
      <c r="E58" s="221"/>
      <c r="F58" s="222"/>
      <c r="G58" s="20"/>
      <c r="H58" s="223"/>
      <c r="I58" s="20"/>
      <c r="J58" s="37"/>
      <c r="L58" s="28"/>
      <c r="M58" s="29"/>
      <c r="N58" s="30"/>
    </row>
    <row r="59" spans="1:14" ht="15.75" hidden="1" customHeight="1">
      <c r="A59" s="206"/>
      <c r="B59" s="219" t="s">
        <v>215</v>
      </c>
      <c r="C59" s="220" t="s">
        <v>65</v>
      </c>
      <c r="D59" s="219" t="s">
        <v>66</v>
      </c>
      <c r="E59" s="221">
        <v>897</v>
      </c>
      <c r="F59" s="222">
        <v>8.9700000000000006</v>
      </c>
      <c r="G59" s="20">
        <v>793.61</v>
      </c>
      <c r="H59" s="223">
        <f>F59*G59/1000</f>
        <v>7.1186817000000007</v>
      </c>
      <c r="I59" s="20">
        <v>0</v>
      </c>
      <c r="J59" s="37"/>
      <c r="L59" s="28"/>
      <c r="M59" s="29"/>
      <c r="N59" s="30"/>
    </row>
    <row r="60" spans="1:14" ht="15.75" hidden="1" customHeight="1">
      <c r="A60" s="50"/>
      <c r="B60" s="232" t="s">
        <v>56</v>
      </c>
      <c r="C60" s="220"/>
      <c r="D60" s="219"/>
      <c r="E60" s="221"/>
      <c r="F60" s="224"/>
      <c r="G60" s="224"/>
      <c r="H60" s="222" t="s">
        <v>177</v>
      </c>
      <c r="I60" s="20"/>
      <c r="J60" s="37"/>
      <c r="L60" s="28"/>
      <c r="M60" s="29"/>
      <c r="N60" s="30"/>
    </row>
    <row r="61" spans="1:14" ht="15.75" hidden="1" customHeight="1">
      <c r="A61" s="171"/>
      <c r="B61" s="22" t="s">
        <v>57</v>
      </c>
      <c r="C61" s="24" t="s">
        <v>144</v>
      </c>
      <c r="D61" s="22" t="s">
        <v>199</v>
      </c>
      <c r="E61" s="26">
        <v>15</v>
      </c>
      <c r="F61" s="212">
        <v>15</v>
      </c>
      <c r="G61" s="20">
        <v>222.4</v>
      </c>
      <c r="H61" s="225">
        <f t="shared" ref="H61:H76" si="5">SUM(F61*G61/1000)</f>
        <v>3.3359999999999999</v>
      </c>
      <c r="I61" s="20">
        <v>0</v>
      </c>
      <c r="J61" s="37"/>
      <c r="L61" s="28"/>
      <c r="M61" s="29"/>
      <c r="N61" s="30"/>
    </row>
    <row r="62" spans="1:14" ht="15.75" hidden="1" customHeight="1">
      <c r="A62" s="171"/>
      <c r="B62" s="22" t="s">
        <v>58</v>
      </c>
      <c r="C62" s="24" t="s">
        <v>144</v>
      </c>
      <c r="D62" s="22" t="s">
        <v>199</v>
      </c>
      <c r="E62" s="26">
        <v>5</v>
      </c>
      <c r="F62" s="212">
        <v>5</v>
      </c>
      <c r="G62" s="20">
        <v>76.25</v>
      </c>
      <c r="H62" s="225">
        <f t="shared" si="5"/>
        <v>0.38124999999999998</v>
      </c>
      <c r="I62" s="20">
        <v>0</v>
      </c>
      <c r="J62" s="37"/>
      <c r="L62" s="28"/>
      <c r="M62" s="29"/>
      <c r="N62" s="30"/>
    </row>
    <row r="63" spans="1:14" ht="15.75" hidden="1" customHeight="1">
      <c r="A63" s="171"/>
      <c r="B63" s="22" t="s">
        <v>59</v>
      </c>
      <c r="C63" s="24" t="s">
        <v>168</v>
      </c>
      <c r="D63" s="22" t="s">
        <v>66</v>
      </c>
      <c r="E63" s="211">
        <v>10059</v>
      </c>
      <c r="F63" s="20">
        <f>SUM(E63/100)</f>
        <v>100.59</v>
      </c>
      <c r="G63" s="20">
        <v>212.15</v>
      </c>
      <c r="H63" s="225">
        <f t="shared" si="5"/>
        <v>21.340168500000001</v>
      </c>
      <c r="I63" s="20">
        <v>0</v>
      </c>
      <c r="J63" s="37"/>
      <c r="L63" s="28"/>
      <c r="M63" s="29"/>
      <c r="N63" s="30"/>
    </row>
    <row r="64" spans="1:14" ht="15.75" hidden="1" customHeight="1">
      <c r="A64" s="171"/>
      <c r="B64" s="22" t="s">
        <v>60</v>
      </c>
      <c r="C64" s="24" t="s">
        <v>169</v>
      </c>
      <c r="D64" s="22"/>
      <c r="E64" s="211">
        <v>10059</v>
      </c>
      <c r="F64" s="20">
        <f>SUM(E64/1000)</f>
        <v>10.058999999999999</v>
      </c>
      <c r="G64" s="20">
        <v>165.21</v>
      </c>
      <c r="H64" s="225">
        <f t="shared" si="5"/>
        <v>1.6618473899999999</v>
      </c>
      <c r="I64" s="20">
        <v>0</v>
      </c>
      <c r="J64" s="37"/>
      <c r="L64" s="28"/>
      <c r="M64" s="29"/>
      <c r="N64" s="30"/>
    </row>
    <row r="65" spans="1:14" ht="15.75" hidden="1" customHeight="1">
      <c r="A65" s="171"/>
      <c r="B65" s="22" t="s">
        <v>61</v>
      </c>
      <c r="C65" s="24" t="s">
        <v>94</v>
      </c>
      <c r="D65" s="22" t="s">
        <v>66</v>
      </c>
      <c r="E65" s="211">
        <v>2200</v>
      </c>
      <c r="F65" s="20">
        <f>SUM(E65/100)</f>
        <v>22</v>
      </c>
      <c r="G65" s="20">
        <v>2074.63</v>
      </c>
      <c r="H65" s="225">
        <f t="shared" si="5"/>
        <v>45.641860000000001</v>
      </c>
      <c r="I65" s="20">
        <v>0</v>
      </c>
      <c r="J65" s="37"/>
      <c r="L65" s="28"/>
      <c r="M65" s="29"/>
      <c r="N65" s="30"/>
    </row>
    <row r="66" spans="1:14" ht="15.75" hidden="1" customHeight="1">
      <c r="A66" s="171"/>
      <c r="B66" s="226" t="s">
        <v>170</v>
      </c>
      <c r="C66" s="24" t="s">
        <v>37</v>
      </c>
      <c r="D66" s="22"/>
      <c r="E66" s="211">
        <v>9.4</v>
      </c>
      <c r="F66" s="20">
        <f>SUM(E66)</f>
        <v>9.4</v>
      </c>
      <c r="G66" s="20">
        <v>42.67</v>
      </c>
      <c r="H66" s="225">
        <f t="shared" si="5"/>
        <v>0.40109800000000001</v>
      </c>
      <c r="I66" s="20">
        <v>0</v>
      </c>
      <c r="J66" s="37"/>
      <c r="L66" s="28"/>
      <c r="M66" s="29"/>
      <c r="N66" s="30"/>
    </row>
    <row r="67" spans="1:14" ht="15.75" hidden="1" customHeight="1">
      <c r="A67" s="171"/>
      <c r="B67" s="226" t="s">
        <v>171</v>
      </c>
      <c r="C67" s="24" t="s">
        <v>37</v>
      </c>
      <c r="D67" s="22"/>
      <c r="E67" s="211">
        <v>9.4</v>
      </c>
      <c r="F67" s="20">
        <f>SUM(E67)</f>
        <v>9.4</v>
      </c>
      <c r="G67" s="20">
        <v>39.81</v>
      </c>
      <c r="H67" s="225">
        <f t="shared" si="5"/>
        <v>0.37421400000000005</v>
      </c>
      <c r="I67" s="20">
        <v>0</v>
      </c>
      <c r="J67" s="37"/>
      <c r="L67" s="28"/>
      <c r="M67" s="29"/>
      <c r="N67" s="30"/>
    </row>
    <row r="68" spans="1:14" ht="15.75" hidden="1" customHeight="1">
      <c r="A68" s="171"/>
      <c r="B68" s="22" t="s">
        <v>73</v>
      </c>
      <c r="C68" s="24" t="s">
        <v>74</v>
      </c>
      <c r="D68" s="22" t="s">
        <v>66</v>
      </c>
      <c r="E68" s="26">
        <v>5</v>
      </c>
      <c r="F68" s="212">
        <v>5</v>
      </c>
      <c r="G68" s="20">
        <v>49.88</v>
      </c>
      <c r="H68" s="225">
        <f t="shared" si="5"/>
        <v>0.24940000000000001</v>
      </c>
      <c r="I68" s="20">
        <v>0</v>
      </c>
      <c r="J68" s="37"/>
      <c r="L68" s="28"/>
      <c r="M68" s="29"/>
      <c r="N68" s="30"/>
    </row>
    <row r="69" spans="1:14" ht="15.75" hidden="1" customHeight="1">
      <c r="A69" s="171"/>
      <c r="B69" s="201" t="s">
        <v>88</v>
      </c>
      <c r="C69" s="24"/>
      <c r="D69" s="22"/>
      <c r="E69" s="26"/>
      <c r="F69" s="20"/>
      <c r="G69" s="20"/>
      <c r="H69" s="225" t="s">
        <v>177</v>
      </c>
      <c r="I69" s="20"/>
      <c r="J69" s="37"/>
      <c r="L69" s="28"/>
      <c r="M69" s="29"/>
      <c r="N69" s="30"/>
    </row>
    <row r="70" spans="1:14" ht="15.75" hidden="1" customHeight="1">
      <c r="A70" s="171"/>
      <c r="B70" s="22" t="s">
        <v>89</v>
      </c>
      <c r="C70" s="24" t="s">
        <v>91</v>
      </c>
      <c r="D70" s="22"/>
      <c r="E70" s="26">
        <v>3</v>
      </c>
      <c r="F70" s="20">
        <v>0.3</v>
      </c>
      <c r="G70" s="20">
        <v>501.62</v>
      </c>
      <c r="H70" s="225">
        <f t="shared" si="5"/>
        <v>0.15048599999999998</v>
      </c>
      <c r="I70" s="20">
        <v>0</v>
      </c>
      <c r="J70" s="37"/>
      <c r="L70" s="28"/>
      <c r="M70" s="29"/>
      <c r="N70" s="30"/>
    </row>
    <row r="71" spans="1:14" ht="15.75" hidden="1" customHeight="1">
      <c r="A71" s="50"/>
      <c r="B71" s="22" t="s">
        <v>90</v>
      </c>
      <c r="C71" s="24" t="s">
        <v>35</v>
      </c>
      <c r="D71" s="22"/>
      <c r="E71" s="26">
        <v>1</v>
      </c>
      <c r="F71" s="202">
        <v>1</v>
      </c>
      <c r="G71" s="20">
        <v>852.99</v>
      </c>
      <c r="H71" s="225">
        <f>F71*G71/1000</f>
        <v>0.85299000000000003</v>
      </c>
      <c r="I71" s="20">
        <v>0</v>
      </c>
      <c r="J71" s="37"/>
      <c r="L71" s="28"/>
      <c r="M71" s="29"/>
      <c r="N71" s="30"/>
    </row>
    <row r="72" spans="1:14" ht="15.75" hidden="1" customHeight="1">
      <c r="A72" s="206"/>
      <c r="B72" s="22" t="s">
        <v>172</v>
      </c>
      <c r="C72" s="24" t="s">
        <v>35</v>
      </c>
      <c r="D72" s="22"/>
      <c r="E72" s="26">
        <v>1</v>
      </c>
      <c r="F72" s="20">
        <v>1</v>
      </c>
      <c r="G72" s="20">
        <v>358.51</v>
      </c>
      <c r="H72" s="225">
        <f>G72*F72/1000</f>
        <v>0.35851</v>
      </c>
      <c r="I72" s="20">
        <v>0</v>
      </c>
      <c r="J72" s="37"/>
      <c r="L72" s="28"/>
      <c r="M72" s="29"/>
      <c r="N72" s="30"/>
    </row>
    <row r="73" spans="1:14" ht="15.75" hidden="1" customHeight="1">
      <c r="A73" s="171"/>
      <c r="B73" s="22" t="s">
        <v>173</v>
      </c>
      <c r="C73" s="24" t="s">
        <v>35</v>
      </c>
      <c r="D73" s="22"/>
      <c r="E73" s="26">
        <v>2</v>
      </c>
      <c r="F73" s="20">
        <v>2</v>
      </c>
      <c r="G73" s="20">
        <v>784.67</v>
      </c>
      <c r="H73" s="225">
        <f>G73*F73/1000</f>
        <v>1.56934</v>
      </c>
      <c r="I73" s="20">
        <v>0</v>
      </c>
      <c r="J73" s="37"/>
      <c r="L73" s="28"/>
      <c r="M73" s="29"/>
      <c r="N73" s="30"/>
    </row>
    <row r="74" spans="1:14" ht="15.75" hidden="1" customHeight="1">
      <c r="A74" s="171"/>
      <c r="B74" s="22" t="s">
        <v>174</v>
      </c>
      <c r="C74" s="24" t="s">
        <v>175</v>
      </c>
      <c r="D74" s="22"/>
      <c r="E74" s="26">
        <v>2</v>
      </c>
      <c r="F74" s="20">
        <v>2</v>
      </c>
      <c r="G74" s="20">
        <v>1000</v>
      </c>
      <c r="H74" s="225">
        <f>G74*F74/1000</f>
        <v>2</v>
      </c>
      <c r="I74" s="20">
        <v>0</v>
      </c>
      <c r="J74" s="37"/>
      <c r="L74" s="28"/>
      <c r="M74" s="29"/>
      <c r="N74" s="30"/>
    </row>
    <row r="75" spans="1:14" ht="15.75" hidden="1" customHeight="1">
      <c r="A75" s="171"/>
      <c r="B75" s="234" t="s">
        <v>92</v>
      </c>
      <c r="C75" s="24"/>
      <c r="D75" s="22"/>
      <c r="E75" s="26"/>
      <c r="F75" s="20"/>
      <c r="G75" s="20" t="s">
        <v>177</v>
      </c>
      <c r="H75" s="225" t="s">
        <v>177</v>
      </c>
      <c r="I75" s="20"/>
      <c r="J75" s="37"/>
      <c r="L75" s="28"/>
      <c r="M75" s="29"/>
      <c r="N75" s="30"/>
    </row>
    <row r="76" spans="1:14" ht="15.75" hidden="1" customHeight="1">
      <c r="A76" s="171"/>
      <c r="B76" s="84" t="s">
        <v>93</v>
      </c>
      <c r="C76" s="24" t="s">
        <v>94</v>
      </c>
      <c r="D76" s="22"/>
      <c r="E76" s="26"/>
      <c r="F76" s="20">
        <v>1</v>
      </c>
      <c r="G76" s="20">
        <v>2579.44</v>
      </c>
      <c r="H76" s="225">
        <f t="shared" si="5"/>
        <v>2.57944</v>
      </c>
      <c r="I76" s="20">
        <v>0</v>
      </c>
      <c r="J76" s="37"/>
      <c r="L76" s="28"/>
      <c r="M76" s="29"/>
      <c r="N76" s="30"/>
    </row>
    <row r="77" spans="1:14" ht="15.75" hidden="1" customHeight="1">
      <c r="A77" s="171"/>
      <c r="B77" s="201" t="s">
        <v>166</v>
      </c>
      <c r="C77" s="24"/>
      <c r="D77" s="22"/>
      <c r="E77" s="26"/>
      <c r="F77" s="20"/>
      <c r="G77" s="20"/>
      <c r="H77" s="225">
        <f>SUM(H57:H76)</f>
        <v>98.476136213999993</v>
      </c>
      <c r="I77" s="20"/>
      <c r="J77" s="37"/>
      <c r="L77" s="28"/>
      <c r="M77" s="29"/>
      <c r="N77" s="30"/>
    </row>
    <row r="78" spans="1:14" ht="15.75" hidden="1" customHeight="1">
      <c r="A78" s="171"/>
      <c r="B78" s="175" t="s">
        <v>167</v>
      </c>
      <c r="C78" s="24"/>
      <c r="D78" s="22"/>
      <c r="E78" s="227"/>
      <c r="F78" s="20">
        <v>1</v>
      </c>
      <c r="G78" s="20">
        <v>20954</v>
      </c>
      <c r="H78" s="225">
        <f>G78*F78/1000</f>
        <v>20.954000000000001</v>
      </c>
      <c r="I78" s="20">
        <v>0</v>
      </c>
      <c r="J78" s="37"/>
      <c r="L78" s="28"/>
      <c r="M78" s="29"/>
      <c r="N78" s="30"/>
    </row>
    <row r="79" spans="1:14" ht="15.75" customHeight="1">
      <c r="A79" s="252" t="s">
        <v>240</v>
      </c>
      <c r="B79" s="262"/>
      <c r="C79" s="262"/>
      <c r="D79" s="262"/>
      <c r="E79" s="262"/>
      <c r="F79" s="262"/>
      <c r="G79" s="262"/>
      <c r="H79" s="262"/>
      <c r="I79" s="263"/>
      <c r="J79" s="37"/>
      <c r="L79" s="28"/>
      <c r="M79" s="29"/>
      <c r="N79" s="30"/>
    </row>
    <row r="80" spans="1:14" ht="15.75" customHeight="1">
      <c r="A80" s="171">
        <v>16</v>
      </c>
      <c r="B80" s="175" t="s">
        <v>216</v>
      </c>
      <c r="C80" s="24" t="s">
        <v>69</v>
      </c>
      <c r="D80" s="179" t="s">
        <v>70</v>
      </c>
      <c r="E80" s="20">
        <v>2566.6</v>
      </c>
      <c r="F80" s="20">
        <f>SUM(E80*12)</f>
        <v>30799.199999999997</v>
      </c>
      <c r="G80" s="20">
        <v>2.1</v>
      </c>
      <c r="H80" s="225">
        <f>SUM(F80*G80/1000)</f>
        <v>64.678319999999999</v>
      </c>
      <c r="I80" s="20">
        <f>F80/12*G80</f>
        <v>5389.86</v>
      </c>
      <c r="J80" s="37"/>
      <c r="L80" s="28"/>
      <c r="M80" s="29"/>
      <c r="N80" s="30"/>
    </row>
    <row r="81" spans="1:22" ht="31.5" customHeight="1">
      <c r="A81" s="171">
        <v>17</v>
      </c>
      <c r="B81" s="22" t="s">
        <v>95</v>
      </c>
      <c r="C81" s="24"/>
      <c r="D81" s="179" t="s">
        <v>70</v>
      </c>
      <c r="E81" s="211">
        <f>E80</f>
        <v>2566.6</v>
      </c>
      <c r="F81" s="20">
        <f>E81*12</f>
        <v>30799.199999999997</v>
      </c>
      <c r="G81" s="20">
        <v>1.63</v>
      </c>
      <c r="H81" s="225">
        <f>F81*G81/1000</f>
        <v>50.202695999999989</v>
      </c>
      <c r="I81" s="20">
        <f>F81/12*G81</f>
        <v>4183.558</v>
      </c>
      <c r="J81" s="37"/>
      <c r="L81" s="28"/>
      <c r="M81" s="29"/>
      <c r="N81" s="30"/>
    </row>
    <row r="82" spans="1:22" ht="15.75" customHeight="1">
      <c r="A82" s="171"/>
      <c r="B82" s="72" t="s">
        <v>100</v>
      </c>
      <c r="C82" s="24"/>
      <c r="D82" s="84"/>
      <c r="E82" s="20"/>
      <c r="F82" s="20"/>
      <c r="G82" s="20"/>
      <c r="H82" s="225">
        <f>H81</f>
        <v>50.202695999999989</v>
      </c>
      <c r="I82" s="235">
        <f>I15+I16+I17+I25+I26+I35+I36+I37+I39+I40+I41+I42+I53+I54+I57+I80+I81</f>
        <v>53166.119441516668</v>
      </c>
      <c r="J82" s="37"/>
      <c r="L82" s="28"/>
      <c r="M82" s="29"/>
      <c r="N82" s="30"/>
    </row>
    <row r="83" spans="1:22" ht="15.75" customHeight="1">
      <c r="A83" s="171"/>
      <c r="B83" s="147" t="s">
        <v>75</v>
      </c>
      <c r="C83" s="24"/>
      <c r="D83" s="84"/>
      <c r="E83" s="20"/>
      <c r="F83" s="20"/>
      <c r="G83" s="20"/>
      <c r="H83" s="225" t="e">
        <f>SUM(H82+#REF!+H77+#REF!+#REF!+#REF!+#REF!)</f>
        <v>#REF!</v>
      </c>
      <c r="I83" s="20"/>
      <c r="J83" s="37"/>
      <c r="L83" s="28"/>
      <c r="M83" s="29"/>
      <c r="N83" s="30"/>
    </row>
    <row r="84" spans="1:22" ht="31.5" customHeight="1">
      <c r="A84" s="171">
        <v>18</v>
      </c>
      <c r="B84" s="230" t="s">
        <v>222</v>
      </c>
      <c r="C84" s="50" t="s">
        <v>223</v>
      </c>
      <c r="D84" s="22"/>
      <c r="E84" s="26"/>
      <c r="F84" s="20">
        <v>1</v>
      </c>
      <c r="G84" s="20">
        <v>383.01</v>
      </c>
      <c r="H84" s="225">
        <f t="shared" ref="H84" si="6">G84*F84/1000</f>
        <v>0.38301000000000002</v>
      </c>
      <c r="I84" s="229">
        <f>G84</f>
        <v>383.01</v>
      </c>
      <c r="J84" s="37"/>
      <c r="L84" s="28"/>
      <c r="M84" s="29"/>
      <c r="N84" s="30"/>
    </row>
    <row r="85" spans="1:22" ht="15.75" customHeight="1">
      <c r="A85" s="50"/>
      <c r="B85" s="79" t="s">
        <v>63</v>
      </c>
      <c r="C85" s="75"/>
      <c r="D85" s="130"/>
      <c r="E85" s="75">
        <v>1</v>
      </c>
      <c r="F85" s="75"/>
      <c r="G85" s="59"/>
      <c r="H85" s="75"/>
      <c r="I85" s="59">
        <f>SUM(I84)</f>
        <v>383.01</v>
      </c>
      <c r="J85" s="37"/>
      <c r="L85" s="28"/>
      <c r="M85" s="29"/>
      <c r="N85" s="30"/>
    </row>
    <row r="86" spans="1:22" ht="15.75" customHeight="1">
      <c r="A86" s="50"/>
      <c r="B86" s="84" t="s">
        <v>96</v>
      </c>
      <c r="C86" s="23"/>
      <c r="D86" s="23"/>
      <c r="E86" s="76"/>
      <c r="F86" s="77"/>
      <c r="G86" s="25"/>
      <c r="H86" s="208"/>
      <c r="I86" s="26">
        <v>0</v>
      </c>
      <c r="J86" s="37"/>
      <c r="L86" s="28"/>
      <c r="M86" s="29"/>
      <c r="N86" s="30"/>
    </row>
    <row r="87" spans="1:22" ht="15.75" customHeight="1">
      <c r="A87" s="209"/>
      <c r="B87" s="80" t="s">
        <v>64</v>
      </c>
      <c r="C87" s="63"/>
      <c r="D87" s="63"/>
      <c r="E87" s="63"/>
      <c r="F87" s="63"/>
      <c r="G87" s="78"/>
      <c r="H87" s="64"/>
      <c r="I87" s="59">
        <f>I82+I85</f>
        <v>53549.12944151667</v>
      </c>
      <c r="J87" s="37"/>
      <c r="L87" s="28"/>
      <c r="M87" s="29"/>
      <c r="N87" s="30"/>
    </row>
    <row r="88" spans="1:22" ht="15" customHeight="1">
      <c r="A88" s="237" t="s">
        <v>250</v>
      </c>
      <c r="B88" s="237"/>
      <c r="C88" s="237"/>
      <c r="D88" s="237"/>
      <c r="E88" s="237"/>
      <c r="F88" s="237"/>
      <c r="G88" s="237"/>
      <c r="H88" s="237"/>
      <c r="I88" s="237"/>
      <c r="J88" s="37"/>
      <c r="L88" s="28"/>
      <c r="M88" s="29"/>
      <c r="N88" s="30"/>
    </row>
    <row r="89" spans="1:22" ht="15.75">
      <c r="A89" s="13"/>
      <c r="B89" s="259" t="s">
        <v>251</v>
      </c>
      <c r="C89" s="259"/>
      <c r="D89" s="259"/>
      <c r="E89" s="259"/>
      <c r="F89" s="259"/>
      <c r="G89" s="259"/>
      <c r="H89" s="197"/>
      <c r="I89" s="4"/>
      <c r="J89" s="37"/>
      <c r="L89" s="28"/>
    </row>
    <row r="90" spans="1:22" ht="15.75">
      <c r="A90" s="199"/>
      <c r="B90" s="239" t="s">
        <v>7</v>
      </c>
      <c r="C90" s="239"/>
      <c r="D90" s="239"/>
      <c r="E90" s="239"/>
      <c r="F90" s="239"/>
      <c r="G90" s="239"/>
      <c r="H90" s="41"/>
      <c r="I90" s="121"/>
    </row>
    <row r="91" spans="1:22" ht="15.75">
      <c r="A91" s="122"/>
      <c r="B91" s="122"/>
      <c r="C91" s="122"/>
      <c r="D91" s="122"/>
      <c r="E91" s="122"/>
      <c r="F91" s="122"/>
      <c r="G91" s="122"/>
      <c r="H91" s="122"/>
      <c r="I91" s="122"/>
    </row>
    <row r="92" spans="1:22" ht="15.75">
      <c r="A92" s="260" t="s">
        <v>8</v>
      </c>
      <c r="B92" s="260"/>
      <c r="C92" s="260"/>
      <c r="D92" s="260"/>
      <c r="E92" s="260"/>
      <c r="F92" s="260"/>
      <c r="G92" s="260"/>
      <c r="H92" s="260"/>
      <c r="I92" s="260"/>
    </row>
    <row r="93" spans="1:22" ht="15.75" customHeight="1">
      <c r="A93" s="260" t="s">
        <v>9</v>
      </c>
      <c r="B93" s="260"/>
      <c r="C93" s="260"/>
      <c r="D93" s="260"/>
      <c r="E93" s="260"/>
      <c r="F93" s="260"/>
      <c r="G93" s="260"/>
      <c r="H93" s="260"/>
      <c r="I93" s="260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12"/>
    </row>
    <row r="94" spans="1:22" ht="15.75" customHeight="1">
      <c r="A94" s="237" t="s">
        <v>10</v>
      </c>
      <c r="B94" s="237"/>
      <c r="C94" s="237"/>
      <c r="D94" s="237"/>
      <c r="E94" s="237"/>
      <c r="F94" s="237"/>
      <c r="G94" s="237"/>
      <c r="H94" s="237"/>
      <c r="I94" s="237"/>
      <c r="J94" s="42"/>
      <c r="K94" s="42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2" ht="15.75">
      <c r="A95" s="15"/>
      <c r="B95" s="119"/>
      <c r="C95" s="119"/>
      <c r="D95" s="119"/>
      <c r="E95" s="119"/>
      <c r="F95" s="119"/>
      <c r="G95" s="119"/>
      <c r="H95" s="119"/>
      <c r="I95" s="119"/>
      <c r="J95" s="6"/>
      <c r="K95" s="6"/>
      <c r="L95" s="6"/>
      <c r="M95" s="6"/>
      <c r="N95" s="6"/>
      <c r="O95" s="6"/>
      <c r="P95" s="6"/>
      <c r="Q95" s="6"/>
      <c r="R95" s="236"/>
      <c r="S95" s="236"/>
      <c r="T95" s="236"/>
      <c r="U95" s="236"/>
    </row>
    <row r="96" spans="1:22" ht="15.75">
      <c r="A96" s="261" t="s">
        <v>11</v>
      </c>
      <c r="B96" s="261"/>
      <c r="C96" s="261"/>
      <c r="D96" s="261"/>
      <c r="E96" s="261"/>
      <c r="F96" s="261"/>
      <c r="G96" s="261"/>
      <c r="H96" s="261"/>
      <c r="I96" s="261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</row>
    <row r="97" spans="1:9" ht="15.75">
      <c r="A97" s="5"/>
      <c r="B97" s="119"/>
      <c r="C97" s="119"/>
      <c r="D97" s="119"/>
      <c r="E97" s="119"/>
      <c r="F97" s="119"/>
      <c r="G97" s="119"/>
      <c r="H97" s="119"/>
      <c r="I97" s="119"/>
    </row>
    <row r="98" spans="1:9" ht="15.75">
      <c r="A98" s="237" t="s">
        <v>12</v>
      </c>
      <c r="B98" s="237"/>
      <c r="C98" s="238" t="s">
        <v>133</v>
      </c>
      <c r="D98" s="238"/>
      <c r="E98" s="238"/>
      <c r="F98" s="203"/>
      <c r="I98" s="196"/>
    </row>
    <row r="99" spans="1:9" ht="15.75" customHeight="1">
      <c r="A99" s="199"/>
      <c r="B99" s="119"/>
      <c r="C99" s="239" t="s">
        <v>13</v>
      </c>
      <c r="D99" s="239"/>
      <c r="E99" s="239"/>
      <c r="F99" s="41"/>
      <c r="I99" s="195" t="s">
        <v>14</v>
      </c>
    </row>
    <row r="100" spans="1:9" ht="15.75">
      <c r="A100" s="42"/>
      <c r="B100" s="119"/>
      <c r="C100" s="16"/>
      <c r="D100" s="16"/>
      <c r="G100" s="16"/>
      <c r="H100" s="16"/>
    </row>
    <row r="101" spans="1:9" ht="15.75">
      <c r="A101" s="237" t="s">
        <v>15</v>
      </c>
      <c r="B101" s="237"/>
      <c r="C101" s="250"/>
      <c r="D101" s="250"/>
      <c r="E101" s="250"/>
      <c r="F101" s="204"/>
      <c r="I101" s="196"/>
    </row>
    <row r="102" spans="1:9">
      <c r="A102" s="194"/>
      <c r="C102" s="236" t="s">
        <v>13</v>
      </c>
      <c r="D102" s="236"/>
      <c r="E102" s="236"/>
      <c r="F102" s="194"/>
      <c r="I102" s="195" t="s">
        <v>14</v>
      </c>
    </row>
    <row r="103" spans="1:9" ht="15.75">
      <c r="A103" s="5" t="s">
        <v>16</v>
      </c>
    </row>
    <row r="104" spans="1:9">
      <c r="A104" s="251" t="s">
        <v>17</v>
      </c>
      <c r="B104" s="251"/>
      <c r="C104" s="251"/>
      <c r="D104" s="251"/>
      <c r="E104" s="251"/>
      <c r="F104" s="251"/>
      <c r="G104" s="251"/>
      <c r="H104" s="251"/>
      <c r="I104" s="251"/>
    </row>
    <row r="105" spans="1:9" ht="47.25" customHeight="1">
      <c r="A105" s="249" t="s">
        <v>18</v>
      </c>
      <c r="B105" s="249"/>
      <c r="C105" s="249"/>
      <c r="D105" s="249"/>
      <c r="E105" s="249"/>
      <c r="F105" s="249"/>
      <c r="G105" s="249"/>
      <c r="H105" s="249"/>
      <c r="I105" s="249"/>
    </row>
    <row r="106" spans="1:9" ht="31.5" customHeight="1">
      <c r="A106" s="249" t="s">
        <v>19</v>
      </c>
      <c r="B106" s="249"/>
      <c r="C106" s="249"/>
      <c r="D106" s="249"/>
      <c r="E106" s="249"/>
      <c r="F106" s="249"/>
      <c r="G106" s="249"/>
      <c r="H106" s="249"/>
      <c r="I106" s="249"/>
    </row>
    <row r="107" spans="1:9" ht="31.5" customHeight="1">
      <c r="A107" s="249" t="s">
        <v>24</v>
      </c>
      <c r="B107" s="249"/>
      <c r="C107" s="249"/>
      <c r="D107" s="249"/>
      <c r="E107" s="249"/>
      <c r="F107" s="249"/>
      <c r="G107" s="249"/>
      <c r="H107" s="249"/>
      <c r="I107" s="249"/>
    </row>
    <row r="108" spans="1:9" ht="15.75">
      <c r="A108" s="249" t="s">
        <v>23</v>
      </c>
      <c r="B108" s="249"/>
      <c r="C108" s="249"/>
      <c r="D108" s="249"/>
      <c r="E108" s="249"/>
      <c r="F108" s="249"/>
      <c r="G108" s="249"/>
      <c r="H108" s="249"/>
      <c r="I108" s="249"/>
    </row>
  </sheetData>
  <autoFilter ref="I14:I91"/>
  <mergeCells count="30">
    <mergeCell ref="A108:I108"/>
    <mergeCell ref="A96:I96"/>
    <mergeCell ref="A98:B98"/>
    <mergeCell ref="C98:E98"/>
    <mergeCell ref="C99:E99"/>
    <mergeCell ref="A101:B101"/>
    <mergeCell ref="C101:E101"/>
    <mergeCell ref="C102:E102"/>
    <mergeCell ref="A104:I104"/>
    <mergeCell ref="A105:I105"/>
    <mergeCell ref="A106:I106"/>
    <mergeCell ref="A107:I107"/>
    <mergeCell ref="R95:U95"/>
    <mergeCell ref="A27:I27"/>
    <mergeCell ref="A34:I34"/>
    <mergeCell ref="A43:I43"/>
    <mergeCell ref="A55:I55"/>
    <mergeCell ref="A79:I79"/>
    <mergeCell ref="A88:I88"/>
    <mergeCell ref="B89:G89"/>
    <mergeCell ref="B90:G90"/>
    <mergeCell ref="A92:I92"/>
    <mergeCell ref="A93:I93"/>
    <mergeCell ref="A94:I94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9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B1" s="57" t="s">
        <v>118</v>
      </c>
      <c r="I1" s="56"/>
    </row>
    <row r="2" spans="1:13" ht="15.75">
      <c r="B2" s="45" t="s">
        <v>79</v>
      </c>
      <c r="J2" s="1"/>
      <c r="K2" s="1"/>
      <c r="L2" s="1"/>
      <c r="M2" s="1"/>
    </row>
    <row r="3" spans="1:13" ht="15.75" customHeight="1">
      <c r="A3" s="240" t="s">
        <v>252</v>
      </c>
      <c r="B3" s="240"/>
      <c r="C3" s="240"/>
      <c r="D3" s="240"/>
      <c r="E3" s="240"/>
      <c r="F3" s="240"/>
      <c r="G3" s="240"/>
      <c r="H3" s="240"/>
      <c r="I3" s="240"/>
      <c r="J3" s="2"/>
      <c r="K3" s="2"/>
      <c r="L3" s="2"/>
      <c r="M3" s="2"/>
    </row>
    <row r="4" spans="1:13" ht="33.75" customHeight="1">
      <c r="A4" s="241" t="s">
        <v>153</v>
      </c>
      <c r="B4" s="241"/>
      <c r="C4" s="241"/>
      <c r="D4" s="241"/>
      <c r="E4" s="241"/>
      <c r="F4" s="241"/>
      <c r="G4" s="241"/>
      <c r="H4" s="241"/>
      <c r="I4" s="241"/>
      <c r="J4" s="3"/>
      <c r="K4" s="3"/>
      <c r="L4" s="3"/>
      <c r="M4" s="3"/>
    </row>
    <row r="5" spans="1:13" ht="15.75" customHeight="1">
      <c r="A5" s="246" t="s">
        <v>106</v>
      </c>
      <c r="B5" s="247"/>
      <c r="C5" s="247"/>
      <c r="D5" s="247"/>
      <c r="E5" s="247"/>
      <c r="F5" s="247"/>
      <c r="G5" s="247"/>
      <c r="H5" s="247"/>
      <c r="I5" s="247"/>
      <c r="J5" s="4"/>
      <c r="K5" s="4"/>
      <c r="L5" s="4"/>
    </row>
    <row r="6" spans="1:13" ht="15.75" customHeight="1">
      <c r="A6" s="3"/>
      <c r="B6" s="192"/>
      <c r="C6" s="192"/>
      <c r="D6" s="192"/>
      <c r="E6" s="192"/>
      <c r="F6" s="192"/>
      <c r="G6" s="192"/>
      <c r="H6" s="192"/>
      <c r="I6" s="58">
        <v>42521</v>
      </c>
    </row>
    <row r="7" spans="1:13" ht="15.75">
      <c r="B7" s="193"/>
      <c r="C7" s="193"/>
      <c r="D7" s="193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242" t="s">
        <v>274</v>
      </c>
      <c r="B8" s="242"/>
      <c r="C8" s="242"/>
      <c r="D8" s="242"/>
      <c r="E8" s="242"/>
      <c r="F8" s="242"/>
      <c r="G8" s="242"/>
      <c r="H8" s="242"/>
      <c r="I8" s="242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248" t="s">
        <v>155</v>
      </c>
      <c r="B10" s="248"/>
      <c r="C10" s="248"/>
      <c r="D10" s="248"/>
      <c r="E10" s="248"/>
      <c r="F10" s="248"/>
      <c r="G10" s="248"/>
      <c r="H10" s="248"/>
      <c r="I10" s="248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243" t="s">
        <v>4</v>
      </c>
      <c r="B14" s="244"/>
      <c r="C14" s="244"/>
      <c r="D14" s="244"/>
      <c r="E14" s="244"/>
      <c r="F14" s="244"/>
      <c r="G14" s="244"/>
      <c r="H14" s="244"/>
      <c r="I14" s="245"/>
    </row>
    <row r="15" spans="1:13" ht="31.5" customHeight="1">
      <c r="A15" s="50">
        <v>1</v>
      </c>
      <c r="B15" s="175" t="s">
        <v>120</v>
      </c>
      <c r="C15" s="210" t="s">
        <v>156</v>
      </c>
      <c r="D15" s="175" t="s">
        <v>191</v>
      </c>
      <c r="E15" s="211">
        <v>66.2</v>
      </c>
      <c r="F15" s="212">
        <f>SUM(E15*156/100)</f>
        <v>103.27200000000001</v>
      </c>
      <c r="G15" s="212">
        <v>175.38</v>
      </c>
      <c r="H15" s="213">
        <f t="shared" ref="H15:H24" si="0">SUM(F15*G15/1000)</f>
        <v>18.111843359999998</v>
      </c>
      <c r="I15" s="20">
        <f>F15/12*G15</f>
        <v>1509.3202799999999</v>
      </c>
      <c r="J15" s="10"/>
      <c r="K15" s="10"/>
      <c r="L15" s="10"/>
      <c r="M15" s="10"/>
    </row>
    <row r="16" spans="1:13" ht="31.5" customHeight="1">
      <c r="A16" s="50">
        <v>2</v>
      </c>
      <c r="B16" s="175" t="s">
        <v>121</v>
      </c>
      <c r="C16" s="210" t="s">
        <v>156</v>
      </c>
      <c r="D16" s="175" t="s">
        <v>192</v>
      </c>
      <c r="E16" s="211">
        <v>198.7</v>
      </c>
      <c r="F16" s="212">
        <f>SUM(E16*104/100)</f>
        <v>206.648</v>
      </c>
      <c r="G16" s="212">
        <v>175.38</v>
      </c>
      <c r="H16" s="213">
        <f t="shared" si="0"/>
        <v>36.241926239999998</v>
      </c>
      <c r="I16" s="20">
        <f>F16/12*G16</f>
        <v>3020.1605199999999</v>
      </c>
      <c r="J16" s="10"/>
      <c r="K16" s="10"/>
      <c r="L16" s="10"/>
      <c r="M16" s="10"/>
    </row>
    <row r="17" spans="1:13" ht="31.5" customHeight="1">
      <c r="A17" s="50">
        <v>3</v>
      </c>
      <c r="B17" s="175" t="s">
        <v>122</v>
      </c>
      <c r="C17" s="210" t="s">
        <v>156</v>
      </c>
      <c r="D17" s="175" t="s">
        <v>234</v>
      </c>
      <c r="E17" s="211">
        <f>SUM(E15+E16)</f>
        <v>264.89999999999998</v>
      </c>
      <c r="F17" s="212">
        <f>SUM(E17*24/100)</f>
        <v>63.575999999999993</v>
      </c>
      <c r="G17" s="212">
        <v>504.5</v>
      </c>
      <c r="H17" s="213">
        <f t="shared" si="0"/>
        <v>32.074092</v>
      </c>
      <c r="I17" s="20">
        <f>F17/12*G17</f>
        <v>2672.8409999999994</v>
      </c>
      <c r="J17" s="10"/>
      <c r="K17" s="10"/>
      <c r="L17" s="10"/>
      <c r="M17" s="10"/>
    </row>
    <row r="18" spans="1:13" ht="15.75" customHeight="1">
      <c r="A18" s="50">
        <v>4</v>
      </c>
      <c r="B18" s="175" t="s">
        <v>157</v>
      </c>
      <c r="C18" s="210" t="s">
        <v>146</v>
      </c>
      <c r="D18" s="175" t="s">
        <v>158</v>
      </c>
      <c r="E18" s="211">
        <v>40</v>
      </c>
      <c r="F18" s="212">
        <f>SUM(E18/10)</f>
        <v>4</v>
      </c>
      <c r="G18" s="212">
        <v>170.16</v>
      </c>
      <c r="H18" s="213">
        <f t="shared" si="0"/>
        <v>0.68064000000000002</v>
      </c>
      <c r="I18" s="20">
        <f>F18/2*G18</f>
        <v>340.32</v>
      </c>
      <c r="J18" s="10"/>
      <c r="K18" s="10"/>
      <c r="L18" s="10"/>
      <c r="M18" s="10"/>
    </row>
    <row r="19" spans="1:13" ht="15.75" customHeight="1">
      <c r="A19" s="50">
        <v>5</v>
      </c>
      <c r="B19" s="175" t="s">
        <v>159</v>
      </c>
      <c r="C19" s="210" t="s">
        <v>156</v>
      </c>
      <c r="D19" s="175" t="s">
        <v>66</v>
      </c>
      <c r="E19" s="211">
        <v>10.5</v>
      </c>
      <c r="F19" s="212">
        <f t="shared" ref="F19:F24" si="1">SUM(E19/100)</f>
        <v>0.105</v>
      </c>
      <c r="G19" s="212">
        <v>217.88</v>
      </c>
      <c r="H19" s="213">
        <f t="shared" si="0"/>
        <v>2.2877399999999999E-2</v>
      </c>
      <c r="I19" s="20">
        <f>F19*G19</f>
        <v>22.877399999999998</v>
      </c>
      <c r="J19" s="10"/>
      <c r="K19" s="10"/>
      <c r="L19" s="10"/>
      <c r="M19" s="10"/>
    </row>
    <row r="20" spans="1:13" ht="15.75" customHeight="1">
      <c r="A20" s="50">
        <v>6</v>
      </c>
      <c r="B20" s="175" t="s">
        <v>160</v>
      </c>
      <c r="C20" s="210" t="s">
        <v>156</v>
      </c>
      <c r="D20" s="175" t="s">
        <v>66</v>
      </c>
      <c r="E20" s="211">
        <v>2.7</v>
      </c>
      <c r="F20" s="212">
        <f t="shared" si="1"/>
        <v>2.7000000000000003E-2</v>
      </c>
      <c r="G20" s="212">
        <v>216.12</v>
      </c>
      <c r="H20" s="213">
        <f t="shared" si="0"/>
        <v>5.8352400000000002E-3</v>
      </c>
      <c r="I20" s="20">
        <f t="shared" ref="I20:I24" si="2">F20*G20</f>
        <v>5.8352400000000006</v>
      </c>
      <c r="J20" s="10"/>
      <c r="K20" s="10"/>
      <c r="L20" s="10"/>
      <c r="M20" s="10"/>
    </row>
    <row r="21" spans="1:13" ht="15.75" customHeight="1">
      <c r="A21" s="50">
        <v>7</v>
      </c>
      <c r="B21" s="175" t="s">
        <v>161</v>
      </c>
      <c r="C21" s="210" t="s">
        <v>65</v>
      </c>
      <c r="D21" s="175" t="s">
        <v>158</v>
      </c>
      <c r="E21" s="211">
        <v>357</v>
      </c>
      <c r="F21" s="212">
        <f t="shared" si="1"/>
        <v>3.57</v>
      </c>
      <c r="G21" s="212">
        <v>269.26</v>
      </c>
      <c r="H21" s="213">
        <f t="shared" si="0"/>
        <v>0.96125819999999984</v>
      </c>
      <c r="I21" s="20">
        <f t="shared" si="2"/>
        <v>961.25819999999987</v>
      </c>
      <c r="J21" s="10"/>
      <c r="K21" s="10"/>
      <c r="L21" s="10"/>
      <c r="M21" s="10"/>
    </row>
    <row r="22" spans="1:13" ht="15.75" customHeight="1">
      <c r="A22" s="50">
        <v>8</v>
      </c>
      <c r="B22" s="175" t="s">
        <v>162</v>
      </c>
      <c r="C22" s="210" t="s">
        <v>65</v>
      </c>
      <c r="D22" s="175" t="s">
        <v>158</v>
      </c>
      <c r="E22" s="214">
        <v>38.64</v>
      </c>
      <c r="F22" s="212">
        <f t="shared" si="1"/>
        <v>0.38640000000000002</v>
      </c>
      <c r="G22" s="212">
        <v>44.29</v>
      </c>
      <c r="H22" s="213">
        <f t="shared" si="0"/>
        <v>1.7113655999999998E-2</v>
      </c>
      <c r="I22" s="20">
        <f t="shared" si="2"/>
        <v>17.113655999999999</v>
      </c>
      <c r="J22" s="10"/>
      <c r="K22" s="10"/>
      <c r="L22" s="10"/>
      <c r="M22" s="10"/>
    </row>
    <row r="23" spans="1:13" ht="15.75" customHeight="1">
      <c r="A23" s="50">
        <v>9</v>
      </c>
      <c r="B23" s="175" t="s">
        <v>163</v>
      </c>
      <c r="C23" s="210" t="s">
        <v>65</v>
      </c>
      <c r="D23" s="176" t="s">
        <v>158</v>
      </c>
      <c r="E23" s="26">
        <v>15</v>
      </c>
      <c r="F23" s="215">
        <f t="shared" si="1"/>
        <v>0.15</v>
      </c>
      <c r="G23" s="212">
        <v>389.72</v>
      </c>
      <c r="H23" s="213">
        <f t="shared" si="0"/>
        <v>5.8457999999999996E-2</v>
      </c>
      <c r="I23" s="20">
        <f t="shared" si="2"/>
        <v>58.457999999999998</v>
      </c>
      <c r="J23" s="10"/>
      <c r="K23" s="10"/>
      <c r="L23" s="10"/>
      <c r="M23" s="10"/>
    </row>
    <row r="24" spans="1:13" ht="15.75" customHeight="1">
      <c r="A24" s="50">
        <v>10</v>
      </c>
      <c r="B24" s="175" t="s">
        <v>164</v>
      </c>
      <c r="C24" s="210" t="s">
        <v>65</v>
      </c>
      <c r="D24" s="175" t="s">
        <v>158</v>
      </c>
      <c r="E24" s="216">
        <v>6.38</v>
      </c>
      <c r="F24" s="212">
        <f t="shared" si="1"/>
        <v>6.3799999999999996E-2</v>
      </c>
      <c r="G24" s="212">
        <v>520.79999999999995</v>
      </c>
      <c r="H24" s="213">
        <f t="shared" si="0"/>
        <v>3.3227039999999992E-2</v>
      </c>
      <c r="I24" s="20">
        <f t="shared" si="2"/>
        <v>33.227039999999995</v>
      </c>
      <c r="J24" s="10"/>
      <c r="K24" s="10"/>
      <c r="L24" s="10"/>
      <c r="M24" s="10"/>
    </row>
    <row r="25" spans="1:13" ht="15.75" customHeight="1">
      <c r="A25" s="207">
        <v>11</v>
      </c>
      <c r="B25" s="175" t="s">
        <v>81</v>
      </c>
      <c r="C25" s="210" t="s">
        <v>37</v>
      </c>
      <c r="D25" s="175" t="s">
        <v>198</v>
      </c>
      <c r="E25" s="211">
        <v>0.1</v>
      </c>
      <c r="F25" s="212">
        <f>SUM(E25*365)</f>
        <v>36.5</v>
      </c>
      <c r="G25" s="212">
        <v>147.03</v>
      </c>
      <c r="H25" s="213">
        <f>SUM(F25*G25/1000)</f>
        <v>5.3665950000000002</v>
      </c>
      <c r="I25" s="20">
        <f>F25/12*G25</f>
        <v>447.21625</v>
      </c>
      <c r="J25" s="36"/>
      <c r="K25" s="10"/>
      <c r="L25" s="10"/>
      <c r="M25" s="10"/>
    </row>
    <row r="26" spans="1:13" ht="15.75" customHeight="1">
      <c r="A26" s="207">
        <v>12</v>
      </c>
      <c r="B26" s="218" t="s">
        <v>26</v>
      </c>
      <c r="C26" s="210" t="s">
        <v>27</v>
      </c>
      <c r="D26" s="218" t="s">
        <v>177</v>
      </c>
      <c r="E26" s="211">
        <v>2566.6</v>
      </c>
      <c r="F26" s="212">
        <f>SUM(E26*12)</f>
        <v>30799.199999999997</v>
      </c>
      <c r="G26" s="212">
        <v>4.53</v>
      </c>
      <c r="H26" s="213">
        <f>SUM(F26*G26/1000)</f>
        <v>139.520376</v>
      </c>
      <c r="I26" s="20">
        <f>F26/12*G26</f>
        <v>11626.698</v>
      </c>
      <c r="J26" s="36"/>
      <c r="K26" s="10"/>
      <c r="L26" s="10"/>
      <c r="M26" s="10"/>
    </row>
    <row r="27" spans="1:13" ht="15.75" customHeight="1">
      <c r="A27" s="252" t="s">
        <v>235</v>
      </c>
      <c r="B27" s="253"/>
      <c r="C27" s="253"/>
      <c r="D27" s="253"/>
      <c r="E27" s="253"/>
      <c r="F27" s="253"/>
      <c r="G27" s="253"/>
      <c r="H27" s="253"/>
      <c r="I27" s="254"/>
      <c r="J27" s="36"/>
      <c r="K27" s="10"/>
      <c r="L27" s="10"/>
      <c r="M27" s="10"/>
    </row>
    <row r="28" spans="1:13" ht="31.5" customHeight="1">
      <c r="A28" s="171">
        <v>13</v>
      </c>
      <c r="B28" s="175" t="s">
        <v>193</v>
      </c>
      <c r="C28" s="210" t="s">
        <v>165</v>
      </c>
      <c r="D28" s="175" t="s">
        <v>194</v>
      </c>
      <c r="E28" s="212">
        <v>852.6</v>
      </c>
      <c r="F28" s="212">
        <f>SUM(E28*52/1000)</f>
        <v>44.335200000000007</v>
      </c>
      <c r="G28" s="212">
        <v>155.88999999999999</v>
      </c>
      <c r="H28" s="213">
        <f t="shared" ref="H28:H33" si="3">SUM(F28*G28/1000)</f>
        <v>6.9114143280000011</v>
      </c>
      <c r="I28" s="20">
        <f>F28/6*G28</f>
        <v>1151.9023880000002</v>
      </c>
      <c r="J28" s="36"/>
      <c r="K28" s="10"/>
      <c r="L28" s="10"/>
      <c r="M28" s="10"/>
    </row>
    <row r="29" spans="1:13" ht="31.5" customHeight="1">
      <c r="A29" s="50">
        <v>14</v>
      </c>
      <c r="B29" s="175" t="s">
        <v>195</v>
      </c>
      <c r="C29" s="210" t="s">
        <v>165</v>
      </c>
      <c r="D29" s="175" t="s">
        <v>196</v>
      </c>
      <c r="E29" s="212">
        <v>65.33</v>
      </c>
      <c r="F29" s="212">
        <f>SUM(E29*78/1000)</f>
        <v>5.0957400000000002</v>
      </c>
      <c r="G29" s="212">
        <v>258.63</v>
      </c>
      <c r="H29" s="213">
        <f t="shared" si="3"/>
        <v>1.3179112362000001</v>
      </c>
      <c r="I29" s="20">
        <f>F29/6*G29</f>
        <v>219.65187269999998</v>
      </c>
      <c r="J29" s="36"/>
      <c r="K29" s="10"/>
      <c r="L29" s="10"/>
      <c r="M29" s="10"/>
    </row>
    <row r="30" spans="1:13" ht="15.75" customHeight="1">
      <c r="A30" s="207">
        <v>15</v>
      </c>
      <c r="B30" s="175" t="s">
        <v>32</v>
      </c>
      <c r="C30" s="210" t="s">
        <v>165</v>
      </c>
      <c r="D30" s="175" t="s">
        <v>66</v>
      </c>
      <c r="E30" s="212">
        <v>852.6</v>
      </c>
      <c r="F30" s="212">
        <f>SUM(E30/1000)</f>
        <v>0.85260000000000002</v>
      </c>
      <c r="G30" s="212">
        <v>3020.33</v>
      </c>
      <c r="H30" s="213">
        <f t="shared" si="3"/>
        <v>2.575133358</v>
      </c>
      <c r="I30" s="20">
        <f>F30*G30</f>
        <v>2575.133358</v>
      </c>
      <c r="J30" s="36"/>
      <c r="K30" s="10"/>
      <c r="L30" s="10"/>
      <c r="M30" s="10"/>
    </row>
    <row r="31" spans="1:13" ht="15.75" customHeight="1">
      <c r="A31" s="207">
        <v>16</v>
      </c>
      <c r="B31" s="175" t="s">
        <v>197</v>
      </c>
      <c r="C31" s="210" t="s">
        <v>35</v>
      </c>
      <c r="D31" s="175" t="s">
        <v>80</v>
      </c>
      <c r="E31" s="217">
        <v>0.33333333333333331</v>
      </c>
      <c r="F31" s="212">
        <f>155/3</f>
        <v>51.666666666666664</v>
      </c>
      <c r="G31" s="212">
        <v>56.69</v>
      </c>
      <c r="H31" s="213">
        <f>SUM(G31*155/3/1000)</f>
        <v>2.9289833333333331</v>
      </c>
      <c r="I31" s="20">
        <f t="shared" ref="I31" si="4">F31/6*G31</f>
        <v>488.16388888888883</v>
      </c>
      <c r="J31" s="36"/>
      <c r="K31" s="10"/>
      <c r="L31" s="10"/>
      <c r="M31" s="10"/>
    </row>
    <row r="32" spans="1:13" ht="15.75" hidden="1" customHeight="1">
      <c r="A32" s="207"/>
      <c r="B32" s="175" t="s">
        <v>82</v>
      </c>
      <c r="C32" s="210" t="s">
        <v>37</v>
      </c>
      <c r="D32" s="175" t="s">
        <v>83</v>
      </c>
      <c r="E32" s="211"/>
      <c r="F32" s="212">
        <v>3</v>
      </c>
      <c r="G32" s="212">
        <v>191.32</v>
      </c>
      <c r="H32" s="213">
        <f t="shared" si="3"/>
        <v>0.57396000000000003</v>
      </c>
      <c r="I32" s="20">
        <v>0</v>
      </c>
      <c r="J32" s="36"/>
      <c r="K32" s="10"/>
      <c r="L32" s="10"/>
      <c r="M32" s="10"/>
    </row>
    <row r="33" spans="1:14" ht="15.75" hidden="1" customHeight="1">
      <c r="A33" s="207"/>
      <c r="B33" s="175" t="s">
        <v>200</v>
      </c>
      <c r="C33" s="210" t="s">
        <v>36</v>
      </c>
      <c r="D33" s="175" t="s">
        <v>83</v>
      </c>
      <c r="E33" s="211"/>
      <c r="F33" s="212">
        <v>2</v>
      </c>
      <c r="G33" s="212">
        <v>1136.33</v>
      </c>
      <c r="H33" s="213">
        <f t="shared" si="3"/>
        <v>2.2726599999999997</v>
      </c>
      <c r="I33" s="20">
        <v>0</v>
      </c>
      <c r="J33" s="36"/>
      <c r="K33" s="10"/>
      <c r="L33" s="10"/>
      <c r="M33" s="10"/>
    </row>
    <row r="34" spans="1:14" ht="15.75" hidden="1" customHeight="1">
      <c r="A34" s="252" t="s">
        <v>236</v>
      </c>
      <c r="B34" s="253"/>
      <c r="C34" s="253"/>
      <c r="D34" s="253"/>
      <c r="E34" s="253"/>
      <c r="F34" s="253"/>
      <c r="G34" s="253"/>
      <c r="H34" s="253"/>
      <c r="I34" s="254"/>
      <c r="J34" s="36"/>
      <c r="K34" s="10"/>
      <c r="L34" s="10"/>
      <c r="M34" s="10"/>
    </row>
    <row r="35" spans="1:14" ht="15.75" hidden="1" customHeight="1">
      <c r="A35" s="50">
        <v>6</v>
      </c>
      <c r="B35" s="175" t="s">
        <v>30</v>
      </c>
      <c r="C35" s="210" t="s">
        <v>36</v>
      </c>
      <c r="D35" s="175"/>
      <c r="E35" s="211"/>
      <c r="F35" s="212">
        <v>8</v>
      </c>
      <c r="G35" s="212">
        <v>1527.22</v>
      </c>
      <c r="H35" s="213">
        <f t="shared" ref="H35:H42" si="5">SUM(F35*G35/1000)</f>
        <v>12.21776</v>
      </c>
      <c r="I35" s="20">
        <f>F35/6*G35</f>
        <v>2036.2933333333333</v>
      </c>
      <c r="J35" s="36"/>
      <c r="K35" s="10"/>
      <c r="L35" s="10"/>
      <c r="M35" s="10"/>
    </row>
    <row r="36" spans="1:14" ht="15.75" hidden="1" customHeight="1">
      <c r="A36" s="50">
        <v>7</v>
      </c>
      <c r="B36" s="175" t="s">
        <v>136</v>
      </c>
      <c r="C36" s="210" t="s">
        <v>33</v>
      </c>
      <c r="D36" s="175" t="s">
        <v>201</v>
      </c>
      <c r="E36" s="211">
        <v>269.5</v>
      </c>
      <c r="F36" s="212">
        <f>E36*12/1000</f>
        <v>3.234</v>
      </c>
      <c r="G36" s="212">
        <v>2102.71</v>
      </c>
      <c r="H36" s="213">
        <f>G36*F36/1000</f>
        <v>6.8001641399999997</v>
      </c>
      <c r="I36" s="20">
        <f>F36/6*G36</f>
        <v>1133.3606900000002</v>
      </c>
      <c r="J36" s="36"/>
      <c r="K36" s="10"/>
      <c r="L36" s="10"/>
      <c r="M36" s="10"/>
    </row>
    <row r="37" spans="1:14" ht="15.75" hidden="1" customHeight="1">
      <c r="A37" s="50">
        <v>8</v>
      </c>
      <c r="B37" s="175" t="s">
        <v>202</v>
      </c>
      <c r="C37" s="210" t="s">
        <v>33</v>
      </c>
      <c r="D37" s="175" t="s">
        <v>203</v>
      </c>
      <c r="E37" s="211">
        <v>60</v>
      </c>
      <c r="F37" s="212">
        <f>E37*30/1000</f>
        <v>1.8</v>
      </c>
      <c r="G37" s="212">
        <v>2102.71</v>
      </c>
      <c r="H37" s="213">
        <f>G37*F37/1000</f>
        <v>3.784878</v>
      </c>
      <c r="I37" s="20">
        <f>F37/6*G37</f>
        <v>630.81299999999999</v>
      </c>
      <c r="J37" s="36"/>
      <c r="K37" s="10"/>
      <c r="L37" s="10"/>
      <c r="M37" s="10"/>
    </row>
    <row r="38" spans="1:14" ht="15.75" hidden="1" customHeight="1">
      <c r="A38" s="50"/>
      <c r="B38" s="175" t="s">
        <v>204</v>
      </c>
      <c r="C38" s="210" t="s">
        <v>205</v>
      </c>
      <c r="D38" s="175" t="s">
        <v>83</v>
      </c>
      <c r="E38" s="211"/>
      <c r="F38" s="212">
        <v>100</v>
      </c>
      <c r="G38" s="212">
        <v>213.2</v>
      </c>
      <c r="H38" s="213">
        <f>G38*F38/1000</f>
        <v>21.32</v>
      </c>
      <c r="I38" s="20">
        <v>0</v>
      </c>
      <c r="J38" s="36"/>
      <c r="K38" s="10"/>
      <c r="L38" s="10"/>
      <c r="M38" s="10"/>
    </row>
    <row r="39" spans="1:14" ht="15.75" hidden="1" customHeight="1">
      <c r="A39" s="50">
        <v>9</v>
      </c>
      <c r="B39" s="175" t="s">
        <v>84</v>
      </c>
      <c r="C39" s="210" t="s">
        <v>33</v>
      </c>
      <c r="D39" s="175" t="s">
        <v>206</v>
      </c>
      <c r="E39" s="212">
        <v>65.33</v>
      </c>
      <c r="F39" s="212">
        <f>SUM(E39*155/1000)</f>
        <v>10.126149999999999</v>
      </c>
      <c r="G39" s="212">
        <v>350.75</v>
      </c>
      <c r="H39" s="213">
        <f t="shared" si="5"/>
        <v>3.5517471124999997</v>
      </c>
      <c r="I39" s="20">
        <f>F39/6*G39</f>
        <v>591.95785208333325</v>
      </c>
      <c r="J39" s="36"/>
      <c r="K39" s="10"/>
      <c r="L39" s="10"/>
      <c r="M39" s="10"/>
    </row>
    <row r="40" spans="1:14" ht="47.25" hidden="1" customHeight="1">
      <c r="A40" s="50">
        <v>10</v>
      </c>
      <c r="B40" s="175" t="s">
        <v>110</v>
      </c>
      <c r="C40" s="210" t="s">
        <v>165</v>
      </c>
      <c r="D40" s="175" t="s">
        <v>207</v>
      </c>
      <c r="E40" s="212">
        <v>65.33</v>
      </c>
      <c r="F40" s="212">
        <f>SUM(E40*24/1000)</f>
        <v>1.56792</v>
      </c>
      <c r="G40" s="212">
        <v>5803.28</v>
      </c>
      <c r="H40" s="213">
        <f t="shared" si="5"/>
        <v>9.0990787775999991</v>
      </c>
      <c r="I40" s="20">
        <f>F40/6*G40</f>
        <v>1516.5131296</v>
      </c>
      <c r="J40" s="36"/>
      <c r="K40" s="10"/>
      <c r="L40" s="10"/>
      <c r="M40" s="10"/>
    </row>
    <row r="41" spans="1:14" ht="15.75" hidden="1" customHeight="1">
      <c r="A41" s="50">
        <v>11</v>
      </c>
      <c r="B41" s="175" t="s">
        <v>208</v>
      </c>
      <c r="C41" s="210" t="s">
        <v>165</v>
      </c>
      <c r="D41" s="175" t="s">
        <v>85</v>
      </c>
      <c r="E41" s="212">
        <v>65.33</v>
      </c>
      <c r="F41" s="212">
        <f>SUM(E41*45/1000)</f>
        <v>2.9398499999999999</v>
      </c>
      <c r="G41" s="212">
        <v>428.7</v>
      </c>
      <c r="H41" s="213">
        <f t="shared" si="5"/>
        <v>1.2603136949999998</v>
      </c>
      <c r="I41" s="20">
        <f>F41/6*G41</f>
        <v>210.05228249999999</v>
      </c>
      <c r="J41" s="36"/>
      <c r="K41" s="10"/>
    </row>
    <row r="42" spans="1:14" ht="15.75" hidden="1" customHeight="1">
      <c r="A42" s="50">
        <v>12</v>
      </c>
      <c r="B42" s="175" t="s">
        <v>86</v>
      </c>
      <c r="C42" s="210" t="s">
        <v>37</v>
      </c>
      <c r="D42" s="175"/>
      <c r="E42" s="211"/>
      <c r="F42" s="212">
        <v>0.8</v>
      </c>
      <c r="G42" s="212">
        <v>798</v>
      </c>
      <c r="H42" s="213">
        <f t="shared" si="5"/>
        <v>0.63840000000000008</v>
      </c>
      <c r="I42" s="20">
        <f>F42/6*G42</f>
        <v>106.39999999999999</v>
      </c>
      <c r="J42" s="37"/>
    </row>
    <row r="43" spans="1:14" ht="15.75" customHeight="1">
      <c r="A43" s="252" t="s">
        <v>238</v>
      </c>
      <c r="B43" s="255"/>
      <c r="C43" s="255"/>
      <c r="D43" s="255"/>
      <c r="E43" s="255"/>
      <c r="F43" s="255"/>
      <c r="G43" s="255"/>
      <c r="H43" s="255"/>
      <c r="I43" s="256"/>
      <c r="J43" s="37"/>
    </row>
    <row r="44" spans="1:14" ht="15.75" customHeight="1">
      <c r="A44" s="50">
        <v>17</v>
      </c>
      <c r="B44" s="175" t="s">
        <v>209</v>
      </c>
      <c r="C44" s="210" t="s">
        <v>165</v>
      </c>
      <c r="D44" s="175" t="s">
        <v>52</v>
      </c>
      <c r="E44" s="211">
        <v>1114.75</v>
      </c>
      <c r="F44" s="212">
        <f>SUM(E44*2/1000)</f>
        <v>2.2294999999999998</v>
      </c>
      <c r="G44" s="20">
        <v>809.74</v>
      </c>
      <c r="H44" s="213">
        <f t="shared" ref="H44:H54" si="6">SUM(F44*G44/1000)</f>
        <v>1.80531533</v>
      </c>
      <c r="I44" s="20">
        <f>F44/2*G44</f>
        <v>902.65766499999995</v>
      </c>
      <c r="J44" s="37"/>
    </row>
    <row r="45" spans="1:14" ht="15.75" customHeight="1">
      <c r="A45" s="50">
        <v>18</v>
      </c>
      <c r="B45" s="175" t="s">
        <v>41</v>
      </c>
      <c r="C45" s="210" t="s">
        <v>165</v>
      </c>
      <c r="D45" s="175" t="s">
        <v>52</v>
      </c>
      <c r="E45" s="211">
        <v>88</v>
      </c>
      <c r="F45" s="212">
        <f>E45*2/1000</f>
        <v>0.17599999999999999</v>
      </c>
      <c r="G45" s="20">
        <v>579.48</v>
      </c>
      <c r="H45" s="213">
        <f t="shared" si="6"/>
        <v>0.10198847999999999</v>
      </c>
      <c r="I45" s="20">
        <f t="shared" ref="I45:I48" si="7">F45/2*G45</f>
        <v>50.994239999999998</v>
      </c>
      <c r="J45" s="37"/>
    </row>
    <row r="46" spans="1:14" ht="15.75" customHeight="1">
      <c r="A46" s="171">
        <v>19</v>
      </c>
      <c r="B46" s="175" t="s">
        <v>42</v>
      </c>
      <c r="C46" s="210" t="s">
        <v>165</v>
      </c>
      <c r="D46" s="175" t="s">
        <v>52</v>
      </c>
      <c r="E46" s="211">
        <v>1250.6199999999999</v>
      </c>
      <c r="F46" s="212">
        <f>SUM(E46*2/1000)</f>
        <v>2.5012399999999997</v>
      </c>
      <c r="G46" s="20">
        <v>579.48</v>
      </c>
      <c r="H46" s="213">
        <f t="shared" si="6"/>
        <v>1.4494185551999998</v>
      </c>
      <c r="I46" s="20">
        <f t="shared" si="7"/>
        <v>724.70927759999995</v>
      </c>
      <c r="J46" s="37"/>
    </row>
    <row r="47" spans="1:14" ht="15.75" customHeight="1">
      <c r="A47" s="50">
        <v>20</v>
      </c>
      <c r="B47" s="175" t="s">
        <v>43</v>
      </c>
      <c r="C47" s="210" t="s">
        <v>165</v>
      </c>
      <c r="D47" s="175" t="s">
        <v>52</v>
      </c>
      <c r="E47" s="211">
        <v>1295.68</v>
      </c>
      <c r="F47" s="212">
        <f>SUM(E47*2/1000)</f>
        <v>2.5913600000000003</v>
      </c>
      <c r="G47" s="20">
        <v>606.77</v>
      </c>
      <c r="H47" s="213">
        <f t="shared" si="6"/>
        <v>1.5723595072000001</v>
      </c>
      <c r="I47" s="20">
        <f t="shared" si="7"/>
        <v>786.17975360000003</v>
      </c>
      <c r="J47" s="37"/>
    </row>
    <row r="48" spans="1:14" ht="15.75" customHeight="1">
      <c r="A48" s="50">
        <v>21</v>
      </c>
      <c r="B48" s="175" t="s">
        <v>39</v>
      </c>
      <c r="C48" s="210" t="s">
        <v>40</v>
      </c>
      <c r="D48" s="175" t="s">
        <v>52</v>
      </c>
      <c r="E48" s="211">
        <v>85.84</v>
      </c>
      <c r="F48" s="212">
        <f>E48*2/100</f>
        <v>1.7168000000000001</v>
      </c>
      <c r="G48" s="20">
        <v>72.81</v>
      </c>
      <c r="H48" s="213">
        <f>G48*F48/1000</f>
        <v>0.125000208</v>
      </c>
      <c r="I48" s="20">
        <f t="shared" si="7"/>
        <v>62.500104000000007</v>
      </c>
      <c r="J48" s="37"/>
      <c r="L48" s="28"/>
      <c r="M48" s="29"/>
      <c r="N48" s="30"/>
    </row>
    <row r="49" spans="1:14" ht="31.5" customHeight="1">
      <c r="A49" s="50">
        <v>22</v>
      </c>
      <c r="B49" s="175" t="s">
        <v>72</v>
      </c>
      <c r="C49" s="210" t="s">
        <v>165</v>
      </c>
      <c r="D49" s="175" t="s">
        <v>237</v>
      </c>
      <c r="E49" s="211">
        <v>891.8</v>
      </c>
      <c r="F49" s="212">
        <f>SUM(E49*5/1000)</f>
        <v>4.4589999999999996</v>
      </c>
      <c r="G49" s="20">
        <v>1213.55</v>
      </c>
      <c r="H49" s="213">
        <f t="shared" si="6"/>
        <v>5.4112194499999999</v>
      </c>
      <c r="I49" s="20">
        <f>F49/5*G49</f>
        <v>1082.24389</v>
      </c>
      <c r="J49" s="37"/>
      <c r="L49" s="28"/>
      <c r="M49" s="29"/>
      <c r="N49" s="30"/>
    </row>
    <row r="50" spans="1:14" ht="31.5" hidden="1" customHeight="1">
      <c r="A50" s="171"/>
      <c r="B50" s="175" t="s">
        <v>210</v>
      </c>
      <c r="C50" s="210" t="s">
        <v>165</v>
      </c>
      <c r="D50" s="175" t="s">
        <v>52</v>
      </c>
      <c r="E50" s="211">
        <v>891.8</v>
      </c>
      <c r="F50" s="212">
        <f>SUM(E50*2/1000)</f>
        <v>1.7835999999999999</v>
      </c>
      <c r="G50" s="20">
        <v>1213.55</v>
      </c>
      <c r="H50" s="213">
        <f t="shared" si="6"/>
        <v>2.16448778</v>
      </c>
      <c r="I50" s="20">
        <v>0</v>
      </c>
      <c r="J50" s="37"/>
      <c r="L50" s="28"/>
      <c r="M50" s="29"/>
      <c r="N50" s="30"/>
    </row>
    <row r="51" spans="1:14" ht="31.5" hidden="1" customHeight="1">
      <c r="A51" s="171"/>
      <c r="B51" s="175" t="s">
        <v>211</v>
      </c>
      <c r="C51" s="210" t="s">
        <v>46</v>
      </c>
      <c r="D51" s="175" t="s">
        <v>52</v>
      </c>
      <c r="E51" s="211">
        <v>16</v>
      </c>
      <c r="F51" s="212">
        <f>SUM(E51*2/100)</f>
        <v>0.32</v>
      </c>
      <c r="G51" s="20">
        <v>2730.49</v>
      </c>
      <c r="H51" s="213">
        <f t="shared" si="6"/>
        <v>0.8737568</v>
      </c>
      <c r="I51" s="20">
        <v>0</v>
      </c>
      <c r="J51" s="37"/>
      <c r="L51" s="28"/>
      <c r="M51" s="29"/>
      <c r="N51" s="30"/>
    </row>
    <row r="52" spans="1:14" ht="15.75" hidden="1" customHeight="1">
      <c r="A52" s="171"/>
      <c r="B52" s="175" t="s">
        <v>47</v>
      </c>
      <c r="C52" s="210" t="s">
        <v>48</v>
      </c>
      <c r="D52" s="175" t="s">
        <v>52</v>
      </c>
      <c r="E52" s="211">
        <v>1</v>
      </c>
      <c r="F52" s="212">
        <v>0.02</v>
      </c>
      <c r="G52" s="20">
        <v>5652.13</v>
      </c>
      <c r="H52" s="213">
        <f t="shared" si="6"/>
        <v>0.11304260000000001</v>
      </c>
      <c r="I52" s="20">
        <v>0</v>
      </c>
      <c r="J52" s="37"/>
      <c r="L52" s="28"/>
      <c r="M52" s="29"/>
      <c r="N52" s="30"/>
    </row>
    <row r="53" spans="1:14" ht="15.75" hidden="1" customHeight="1">
      <c r="A53" s="171">
        <v>14</v>
      </c>
      <c r="B53" s="175" t="s">
        <v>212</v>
      </c>
      <c r="C53" s="210" t="s">
        <v>144</v>
      </c>
      <c r="D53" s="175" t="s">
        <v>87</v>
      </c>
      <c r="E53" s="211">
        <v>60</v>
      </c>
      <c r="F53" s="212">
        <f>E53*3</f>
        <v>180</v>
      </c>
      <c r="G53" s="20">
        <v>141.12</v>
      </c>
      <c r="H53" s="213">
        <f>F53*G53/1000</f>
        <v>25.401600000000002</v>
      </c>
      <c r="I53" s="20">
        <f>E53*G53</f>
        <v>8467.2000000000007</v>
      </c>
      <c r="J53" s="37"/>
      <c r="L53" s="28"/>
      <c r="M53" s="29"/>
      <c r="N53" s="30"/>
    </row>
    <row r="54" spans="1:14" ht="15.75" hidden="1" customHeight="1">
      <c r="A54" s="171">
        <v>15</v>
      </c>
      <c r="B54" s="175" t="s">
        <v>51</v>
      </c>
      <c r="C54" s="210" t="s">
        <v>144</v>
      </c>
      <c r="D54" s="175" t="s">
        <v>87</v>
      </c>
      <c r="E54" s="211">
        <v>120</v>
      </c>
      <c r="F54" s="212">
        <f>SUM(E54)*3</f>
        <v>360</v>
      </c>
      <c r="G54" s="20">
        <v>65.67</v>
      </c>
      <c r="H54" s="213">
        <f t="shared" si="6"/>
        <v>23.641200000000001</v>
      </c>
      <c r="I54" s="20">
        <f>E54*G54</f>
        <v>7880.4000000000005</v>
      </c>
      <c r="J54" s="37"/>
      <c r="L54" s="28"/>
      <c r="M54" s="29"/>
      <c r="N54" s="30"/>
    </row>
    <row r="55" spans="1:14" ht="15.75" customHeight="1">
      <c r="A55" s="252" t="s">
        <v>239</v>
      </c>
      <c r="B55" s="257"/>
      <c r="C55" s="257"/>
      <c r="D55" s="257"/>
      <c r="E55" s="257"/>
      <c r="F55" s="257"/>
      <c r="G55" s="257"/>
      <c r="H55" s="257"/>
      <c r="I55" s="258"/>
      <c r="J55" s="37"/>
      <c r="L55" s="28"/>
      <c r="M55" s="29"/>
      <c r="N55" s="30"/>
    </row>
    <row r="56" spans="1:14" ht="15.75" hidden="1" customHeight="1">
      <c r="A56" s="171"/>
      <c r="B56" s="233" t="s">
        <v>53</v>
      </c>
      <c r="C56" s="210"/>
      <c r="D56" s="175"/>
      <c r="E56" s="211"/>
      <c r="F56" s="212"/>
      <c r="G56" s="212"/>
      <c r="H56" s="213"/>
      <c r="I56" s="20"/>
      <c r="J56" s="37"/>
      <c r="L56" s="28"/>
      <c r="M56" s="29"/>
      <c r="N56" s="30"/>
    </row>
    <row r="57" spans="1:14" ht="31.5" hidden="1" customHeight="1">
      <c r="A57" s="171">
        <v>16</v>
      </c>
      <c r="B57" s="175" t="s">
        <v>213</v>
      </c>
      <c r="C57" s="210" t="s">
        <v>156</v>
      </c>
      <c r="D57" s="175" t="s">
        <v>214</v>
      </c>
      <c r="E57" s="211">
        <v>112.68</v>
      </c>
      <c r="F57" s="212">
        <f>SUM(E57*6/100)</f>
        <v>6.7608000000000006</v>
      </c>
      <c r="G57" s="20">
        <v>1547.28</v>
      </c>
      <c r="H57" s="213">
        <f>SUM(F57*G57/1000)</f>
        <v>10.460850624000001</v>
      </c>
      <c r="I57" s="20">
        <f>F57/6*G57</f>
        <v>1743.4751040000001</v>
      </c>
      <c r="J57" s="37"/>
      <c r="L57" s="28"/>
      <c r="M57" s="29"/>
      <c r="N57" s="30"/>
    </row>
    <row r="58" spans="1:14" ht="15.75" hidden="1" customHeight="1">
      <c r="A58" s="171"/>
      <c r="B58" s="232" t="s">
        <v>54</v>
      </c>
      <c r="C58" s="220"/>
      <c r="D58" s="219"/>
      <c r="E58" s="221"/>
      <c r="F58" s="222"/>
      <c r="G58" s="20"/>
      <c r="H58" s="223"/>
      <c r="I58" s="20"/>
      <c r="J58" s="37"/>
      <c r="L58" s="28"/>
      <c r="M58" s="29"/>
      <c r="N58" s="30"/>
    </row>
    <row r="59" spans="1:14" ht="15.75" hidden="1" customHeight="1">
      <c r="A59" s="206"/>
      <c r="B59" s="219" t="s">
        <v>215</v>
      </c>
      <c r="C59" s="220" t="s">
        <v>65</v>
      </c>
      <c r="D59" s="219" t="s">
        <v>66</v>
      </c>
      <c r="E59" s="221">
        <v>897</v>
      </c>
      <c r="F59" s="222">
        <v>8.9700000000000006</v>
      </c>
      <c r="G59" s="20">
        <v>793.61</v>
      </c>
      <c r="H59" s="223">
        <f>F59*G59/1000</f>
        <v>7.1186817000000007</v>
      </c>
      <c r="I59" s="20">
        <v>0</v>
      </c>
      <c r="J59" s="37"/>
      <c r="L59" s="28"/>
      <c r="M59" s="29"/>
      <c r="N59" s="30"/>
    </row>
    <row r="60" spans="1:14" ht="15.75" customHeight="1">
      <c r="A60" s="50"/>
      <c r="B60" s="232" t="s">
        <v>56</v>
      </c>
      <c r="C60" s="220"/>
      <c r="D60" s="219"/>
      <c r="E60" s="221"/>
      <c r="F60" s="224"/>
      <c r="G60" s="224"/>
      <c r="H60" s="222" t="s">
        <v>177</v>
      </c>
      <c r="I60" s="20"/>
      <c r="J60" s="37"/>
      <c r="L60" s="28"/>
      <c r="M60" s="29"/>
      <c r="N60" s="30"/>
    </row>
    <row r="61" spans="1:14" ht="15.75" hidden="1" customHeight="1">
      <c r="A61" s="171"/>
      <c r="B61" s="22" t="s">
        <v>57</v>
      </c>
      <c r="C61" s="24" t="s">
        <v>144</v>
      </c>
      <c r="D61" s="22" t="s">
        <v>199</v>
      </c>
      <c r="E61" s="26">
        <v>15</v>
      </c>
      <c r="F61" s="212">
        <v>15</v>
      </c>
      <c r="G61" s="20">
        <v>222.4</v>
      </c>
      <c r="H61" s="225">
        <f t="shared" ref="H61:H76" si="8">SUM(F61*G61/1000)</f>
        <v>3.3359999999999999</v>
      </c>
      <c r="I61" s="20">
        <v>0</v>
      </c>
      <c r="J61" s="37"/>
      <c r="L61" s="28"/>
      <c r="M61" s="29"/>
      <c r="N61" s="30"/>
    </row>
    <row r="62" spans="1:14" ht="15.75" hidden="1" customHeight="1">
      <c r="A62" s="171"/>
      <c r="B62" s="22" t="s">
        <v>58</v>
      </c>
      <c r="C62" s="24" t="s">
        <v>144</v>
      </c>
      <c r="D62" s="22" t="s">
        <v>199</v>
      </c>
      <c r="E62" s="26">
        <v>5</v>
      </c>
      <c r="F62" s="212">
        <v>5</v>
      </c>
      <c r="G62" s="20">
        <v>76.25</v>
      </c>
      <c r="H62" s="225">
        <f t="shared" si="8"/>
        <v>0.38124999999999998</v>
      </c>
      <c r="I62" s="20">
        <v>0</v>
      </c>
      <c r="J62" s="37"/>
      <c r="L62" s="28"/>
      <c r="M62" s="29"/>
      <c r="N62" s="30"/>
    </row>
    <row r="63" spans="1:14" ht="15.75" customHeight="1">
      <c r="A63" s="171">
        <v>23</v>
      </c>
      <c r="B63" s="22" t="s">
        <v>59</v>
      </c>
      <c r="C63" s="24" t="s">
        <v>168</v>
      </c>
      <c r="D63" s="22" t="s">
        <v>66</v>
      </c>
      <c r="E63" s="211">
        <v>10059</v>
      </c>
      <c r="F63" s="20">
        <f>SUM(E63/100)</f>
        <v>100.59</v>
      </c>
      <c r="G63" s="20">
        <v>212.15</v>
      </c>
      <c r="H63" s="225">
        <f t="shared" si="8"/>
        <v>21.340168500000001</v>
      </c>
      <c r="I63" s="20">
        <f>F63*G63</f>
        <v>21340.1685</v>
      </c>
      <c r="J63" s="37"/>
      <c r="L63" s="28"/>
      <c r="M63" s="29"/>
      <c r="N63" s="30"/>
    </row>
    <row r="64" spans="1:14" ht="15.75" customHeight="1">
      <c r="A64" s="171">
        <v>24</v>
      </c>
      <c r="B64" s="22" t="s">
        <v>60</v>
      </c>
      <c r="C64" s="24" t="s">
        <v>169</v>
      </c>
      <c r="D64" s="22"/>
      <c r="E64" s="211">
        <v>10059</v>
      </c>
      <c r="F64" s="20">
        <f>SUM(E64/1000)</f>
        <v>10.058999999999999</v>
      </c>
      <c r="G64" s="20">
        <v>165.21</v>
      </c>
      <c r="H64" s="225">
        <f t="shared" si="8"/>
        <v>1.6618473899999999</v>
      </c>
      <c r="I64" s="20">
        <f t="shared" ref="I64:I67" si="9">F64*G64</f>
        <v>1661.8473899999999</v>
      </c>
      <c r="J64" s="37"/>
      <c r="L64" s="28"/>
      <c r="M64" s="29"/>
      <c r="N64" s="30"/>
    </row>
    <row r="65" spans="1:14" ht="15.75" customHeight="1">
      <c r="A65" s="171">
        <v>25</v>
      </c>
      <c r="B65" s="22" t="s">
        <v>61</v>
      </c>
      <c r="C65" s="24" t="s">
        <v>94</v>
      </c>
      <c r="D65" s="22" t="s">
        <v>66</v>
      </c>
      <c r="E65" s="211">
        <v>2200</v>
      </c>
      <c r="F65" s="20">
        <f>SUM(E65/100)</f>
        <v>22</v>
      </c>
      <c r="G65" s="20">
        <v>2074.63</v>
      </c>
      <c r="H65" s="225">
        <f t="shared" si="8"/>
        <v>45.641860000000001</v>
      </c>
      <c r="I65" s="20">
        <f t="shared" si="9"/>
        <v>45641.86</v>
      </c>
      <c r="J65" s="37"/>
      <c r="L65" s="28"/>
      <c r="M65" s="29"/>
      <c r="N65" s="30"/>
    </row>
    <row r="66" spans="1:14" ht="15.75" customHeight="1">
      <c r="A66" s="171">
        <v>26</v>
      </c>
      <c r="B66" s="226" t="s">
        <v>170</v>
      </c>
      <c r="C66" s="24" t="s">
        <v>37</v>
      </c>
      <c r="D66" s="22"/>
      <c r="E66" s="211">
        <v>9.4</v>
      </c>
      <c r="F66" s="20">
        <f>SUM(E66)</f>
        <v>9.4</v>
      </c>
      <c r="G66" s="20">
        <v>42.67</v>
      </c>
      <c r="H66" s="225">
        <f t="shared" si="8"/>
        <v>0.40109800000000001</v>
      </c>
      <c r="I66" s="20">
        <f t="shared" si="9"/>
        <v>401.09800000000001</v>
      </c>
      <c r="J66" s="37"/>
      <c r="L66" s="28"/>
      <c r="M66" s="29"/>
      <c r="N66" s="30"/>
    </row>
    <row r="67" spans="1:14" ht="15.75" customHeight="1">
      <c r="A67" s="171">
        <v>27</v>
      </c>
      <c r="B67" s="226" t="s">
        <v>171</v>
      </c>
      <c r="C67" s="24" t="s">
        <v>37</v>
      </c>
      <c r="D67" s="22"/>
      <c r="E67" s="211">
        <v>9.4</v>
      </c>
      <c r="F67" s="20">
        <f>SUM(E67)</f>
        <v>9.4</v>
      </c>
      <c r="G67" s="20">
        <v>39.81</v>
      </c>
      <c r="H67" s="225">
        <f t="shared" si="8"/>
        <v>0.37421400000000005</v>
      </c>
      <c r="I67" s="20">
        <f t="shared" si="9"/>
        <v>374.21400000000006</v>
      </c>
      <c r="J67" s="37"/>
      <c r="L67" s="28"/>
      <c r="M67" s="29"/>
      <c r="N67" s="30"/>
    </row>
    <row r="68" spans="1:14" ht="15.75" hidden="1" customHeight="1">
      <c r="A68" s="171"/>
      <c r="B68" s="22" t="s">
        <v>73</v>
      </c>
      <c r="C68" s="24" t="s">
        <v>74</v>
      </c>
      <c r="D68" s="22" t="s">
        <v>66</v>
      </c>
      <c r="E68" s="26">
        <v>5</v>
      </c>
      <c r="F68" s="212">
        <v>5</v>
      </c>
      <c r="G68" s="20">
        <v>49.88</v>
      </c>
      <c r="H68" s="225">
        <f t="shared" si="8"/>
        <v>0.24940000000000001</v>
      </c>
      <c r="I68" s="20">
        <v>0</v>
      </c>
      <c r="J68" s="37"/>
      <c r="L68" s="28"/>
      <c r="M68" s="29"/>
      <c r="N68" s="30"/>
    </row>
    <row r="69" spans="1:14" ht="15.75" hidden="1" customHeight="1">
      <c r="A69" s="171"/>
      <c r="B69" s="201" t="s">
        <v>88</v>
      </c>
      <c r="C69" s="24"/>
      <c r="D69" s="22"/>
      <c r="E69" s="26"/>
      <c r="F69" s="20"/>
      <c r="G69" s="20"/>
      <c r="H69" s="225" t="s">
        <v>177</v>
      </c>
      <c r="I69" s="20"/>
      <c r="J69" s="37"/>
      <c r="L69" s="28"/>
      <c r="M69" s="29"/>
      <c r="N69" s="30"/>
    </row>
    <row r="70" spans="1:14" ht="15.75" hidden="1" customHeight="1">
      <c r="A70" s="171"/>
      <c r="B70" s="22" t="s">
        <v>89</v>
      </c>
      <c r="C70" s="24" t="s">
        <v>91</v>
      </c>
      <c r="D70" s="22"/>
      <c r="E70" s="26">
        <v>3</v>
      </c>
      <c r="F70" s="20">
        <v>0.3</v>
      </c>
      <c r="G70" s="20">
        <v>501.62</v>
      </c>
      <c r="H70" s="225">
        <f t="shared" si="8"/>
        <v>0.15048599999999998</v>
      </c>
      <c r="I70" s="20">
        <v>0</v>
      </c>
      <c r="J70" s="37"/>
      <c r="L70" s="28"/>
      <c r="M70" s="29"/>
      <c r="N70" s="30"/>
    </row>
    <row r="71" spans="1:14" ht="15.75" hidden="1" customHeight="1">
      <c r="A71" s="50"/>
      <c r="B71" s="22" t="s">
        <v>90</v>
      </c>
      <c r="C71" s="24" t="s">
        <v>35</v>
      </c>
      <c r="D71" s="22"/>
      <c r="E71" s="26">
        <v>1</v>
      </c>
      <c r="F71" s="202">
        <v>1</v>
      </c>
      <c r="G71" s="20">
        <v>852.99</v>
      </c>
      <c r="H71" s="225">
        <f>F71*G71/1000</f>
        <v>0.85299000000000003</v>
      </c>
      <c r="I71" s="20">
        <v>0</v>
      </c>
      <c r="J71" s="37"/>
      <c r="L71" s="28"/>
      <c r="M71" s="29"/>
      <c r="N71" s="30"/>
    </row>
    <row r="72" spans="1:14" ht="15.75" hidden="1" customHeight="1">
      <c r="A72" s="206"/>
      <c r="B72" s="22" t="s">
        <v>172</v>
      </c>
      <c r="C72" s="24" t="s">
        <v>35</v>
      </c>
      <c r="D72" s="22"/>
      <c r="E72" s="26">
        <v>1</v>
      </c>
      <c r="F72" s="20">
        <v>1</v>
      </c>
      <c r="G72" s="20">
        <v>358.51</v>
      </c>
      <c r="H72" s="225">
        <f>G72*F72/1000</f>
        <v>0.35851</v>
      </c>
      <c r="I72" s="20">
        <v>0</v>
      </c>
      <c r="J72" s="37"/>
      <c r="L72" s="28"/>
      <c r="M72" s="29"/>
      <c r="N72" s="30"/>
    </row>
    <row r="73" spans="1:14" ht="15.75" hidden="1" customHeight="1">
      <c r="A73" s="171"/>
      <c r="B73" s="22" t="s">
        <v>173</v>
      </c>
      <c r="C73" s="24" t="s">
        <v>35</v>
      </c>
      <c r="D73" s="22"/>
      <c r="E73" s="26">
        <v>2</v>
      </c>
      <c r="F73" s="20">
        <v>2</v>
      </c>
      <c r="G73" s="20">
        <v>784.67</v>
      </c>
      <c r="H73" s="225">
        <f>G73*F73/1000</f>
        <v>1.56934</v>
      </c>
      <c r="I73" s="20">
        <v>0</v>
      </c>
      <c r="J73" s="37"/>
      <c r="L73" s="28"/>
      <c r="M73" s="29"/>
      <c r="N73" s="30"/>
    </row>
    <row r="74" spans="1:14" ht="15.75" hidden="1" customHeight="1">
      <c r="A74" s="171"/>
      <c r="B74" s="22" t="s">
        <v>174</v>
      </c>
      <c r="C74" s="24" t="s">
        <v>175</v>
      </c>
      <c r="D74" s="22"/>
      <c r="E74" s="26">
        <v>2</v>
      </c>
      <c r="F74" s="20">
        <v>2</v>
      </c>
      <c r="G74" s="20">
        <v>1000</v>
      </c>
      <c r="H74" s="225">
        <f>G74*F74/1000</f>
        <v>2</v>
      </c>
      <c r="I74" s="20">
        <v>0</v>
      </c>
      <c r="J74" s="37"/>
      <c r="L74" s="28"/>
      <c r="M74" s="29"/>
      <c r="N74" s="30"/>
    </row>
    <row r="75" spans="1:14" ht="15.75" hidden="1" customHeight="1">
      <c r="A75" s="171"/>
      <c r="B75" s="234" t="s">
        <v>92</v>
      </c>
      <c r="C75" s="24"/>
      <c r="D75" s="22"/>
      <c r="E75" s="26"/>
      <c r="F75" s="20"/>
      <c r="G75" s="20" t="s">
        <v>177</v>
      </c>
      <c r="H75" s="225" t="s">
        <v>177</v>
      </c>
      <c r="I75" s="20"/>
      <c r="J75" s="37"/>
      <c r="L75" s="28"/>
      <c r="M75" s="29"/>
      <c r="N75" s="30"/>
    </row>
    <row r="76" spans="1:14" ht="15.75" hidden="1" customHeight="1">
      <c r="A76" s="171"/>
      <c r="B76" s="84" t="s">
        <v>93</v>
      </c>
      <c r="C76" s="24" t="s">
        <v>94</v>
      </c>
      <c r="D76" s="22"/>
      <c r="E76" s="26"/>
      <c r="F76" s="20">
        <v>1</v>
      </c>
      <c r="G76" s="20">
        <v>2579.44</v>
      </c>
      <c r="H76" s="225">
        <f t="shared" si="8"/>
        <v>2.57944</v>
      </c>
      <c r="I76" s="20">
        <v>0</v>
      </c>
      <c r="J76" s="37"/>
      <c r="L76" s="28"/>
      <c r="M76" s="29"/>
      <c r="N76" s="30"/>
    </row>
    <row r="77" spans="1:14" ht="15.75" hidden="1" customHeight="1">
      <c r="A77" s="171"/>
      <c r="B77" s="201" t="s">
        <v>166</v>
      </c>
      <c r="C77" s="24"/>
      <c r="D77" s="22"/>
      <c r="E77" s="26"/>
      <c r="F77" s="20"/>
      <c r="G77" s="20"/>
      <c r="H77" s="225">
        <f>SUM(H57:H76)</f>
        <v>98.476136213999993</v>
      </c>
      <c r="I77" s="20"/>
      <c r="J77" s="37"/>
      <c r="L77" s="28"/>
      <c r="M77" s="29"/>
      <c r="N77" s="30"/>
    </row>
    <row r="78" spans="1:14" ht="15.75" hidden="1" customHeight="1">
      <c r="A78" s="171"/>
      <c r="B78" s="175" t="s">
        <v>167</v>
      </c>
      <c r="C78" s="24"/>
      <c r="D78" s="22"/>
      <c r="E78" s="227"/>
      <c r="F78" s="20">
        <v>1</v>
      </c>
      <c r="G78" s="20">
        <v>20954</v>
      </c>
      <c r="H78" s="225">
        <f>G78*F78/1000</f>
        <v>20.954000000000001</v>
      </c>
      <c r="I78" s="20">
        <v>0</v>
      </c>
      <c r="J78" s="37"/>
      <c r="L78" s="28"/>
      <c r="M78" s="29"/>
      <c r="N78" s="30"/>
    </row>
    <row r="79" spans="1:14" ht="15.75" customHeight="1">
      <c r="A79" s="252" t="s">
        <v>240</v>
      </c>
      <c r="B79" s="262"/>
      <c r="C79" s="262"/>
      <c r="D79" s="262"/>
      <c r="E79" s="262"/>
      <c r="F79" s="262"/>
      <c r="G79" s="262"/>
      <c r="H79" s="262"/>
      <c r="I79" s="263"/>
      <c r="J79" s="37"/>
      <c r="L79" s="28"/>
      <c r="M79" s="29"/>
      <c r="N79" s="30"/>
    </row>
    <row r="80" spans="1:14" ht="15.75" customHeight="1">
      <c r="A80" s="171">
        <v>28</v>
      </c>
      <c r="B80" s="175" t="s">
        <v>216</v>
      </c>
      <c r="C80" s="24" t="s">
        <v>69</v>
      </c>
      <c r="D80" s="179" t="s">
        <v>70</v>
      </c>
      <c r="E80" s="20">
        <v>2566.6</v>
      </c>
      <c r="F80" s="20">
        <f>SUM(E80*12)</f>
        <v>30799.199999999997</v>
      </c>
      <c r="G80" s="20">
        <v>2.1</v>
      </c>
      <c r="H80" s="225">
        <f>SUM(F80*G80/1000)</f>
        <v>64.678319999999999</v>
      </c>
      <c r="I80" s="20">
        <f>F80/12*G80</f>
        <v>5389.86</v>
      </c>
      <c r="J80" s="37"/>
      <c r="L80" s="28"/>
      <c r="M80" s="29"/>
      <c r="N80" s="30"/>
    </row>
    <row r="81" spans="1:14" ht="31.5" customHeight="1">
      <c r="A81" s="171">
        <v>29</v>
      </c>
      <c r="B81" s="22" t="s">
        <v>95</v>
      </c>
      <c r="C81" s="24"/>
      <c r="D81" s="179" t="s">
        <v>70</v>
      </c>
      <c r="E81" s="211">
        <f>E80</f>
        <v>2566.6</v>
      </c>
      <c r="F81" s="20">
        <f>E81*12</f>
        <v>30799.199999999997</v>
      </c>
      <c r="G81" s="20">
        <v>1.63</v>
      </c>
      <c r="H81" s="225">
        <f>F81*G81/1000</f>
        <v>50.202695999999989</v>
      </c>
      <c r="I81" s="20">
        <f>F81/12*G81</f>
        <v>4183.558</v>
      </c>
      <c r="J81" s="37"/>
      <c r="L81" s="28"/>
      <c r="M81" s="29"/>
      <c r="N81" s="30"/>
    </row>
    <row r="82" spans="1:14" ht="15.75" customHeight="1">
      <c r="A82" s="171"/>
      <c r="B82" s="72" t="s">
        <v>100</v>
      </c>
      <c r="C82" s="24"/>
      <c r="D82" s="84"/>
      <c r="E82" s="20"/>
      <c r="F82" s="20"/>
      <c r="G82" s="20"/>
      <c r="H82" s="225">
        <f>H81</f>
        <v>50.202695999999989</v>
      </c>
      <c r="I82" s="235">
        <f>I15+I16+I17+I18+I19+I20+I21+I22+I23+I24+I25+I26+I28+I29+I30+I31+I44+I45+I46+I47+I48+I49+I63+I64+I65+I66+I67+I80+I81</f>
        <v>107752.06791378889</v>
      </c>
      <c r="J82" s="37"/>
      <c r="L82" s="28"/>
      <c r="M82" s="29"/>
      <c r="N82" s="30"/>
    </row>
    <row r="83" spans="1:14" ht="15.75" customHeight="1">
      <c r="A83" s="171"/>
      <c r="B83" s="147" t="s">
        <v>75</v>
      </c>
      <c r="C83" s="24"/>
      <c r="D83" s="84"/>
      <c r="E83" s="20"/>
      <c r="F83" s="20"/>
      <c r="G83" s="20"/>
      <c r="H83" s="225" t="e">
        <f>SUM(H82+#REF!+H77+#REF!+#REF!+#REF!+#REF!)</f>
        <v>#REF!</v>
      </c>
      <c r="I83" s="20"/>
      <c r="J83" s="37"/>
      <c r="L83" s="28"/>
      <c r="M83" s="29"/>
      <c r="N83" s="30"/>
    </row>
    <row r="84" spans="1:14" ht="15.75" hidden="1" customHeight="1">
      <c r="A84" s="171"/>
      <c r="B84" s="148" t="s">
        <v>219</v>
      </c>
      <c r="C84" s="191" t="s">
        <v>102</v>
      </c>
      <c r="D84" s="22"/>
      <c r="E84" s="26"/>
      <c r="F84" s="20">
        <v>2</v>
      </c>
      <c r="G84" s="20">
        <v>2057</v>
      </c>
      <c r="H84" s="225">
        <f t="shared" ref="H84:H104" si="10">G84*F84/1000</f>
        <v>4.1139999999999999</v>
      </c>
      <c r="I84" s="229">
        <v>0</v>
      </c>
      <c r="J84" s="37"/>
      <c r="L84" s="28"/>
      <c r="M84" s="29"/>
      <c r="N84" s="30"/>
    </row>
    <row r="85" spans="1:14" ht="15.75" hidden="1" customHeight="1">
      <c r="A85" s="171"/>
      <c r="B85" s="148" t="s">
        <v>220</v>
      </c>
      <c r="C85" s="191" t="s">
        <v>221</v>
      </c>
      <c r="D85" s="22"/>
      <c r="E85" s="26"/>
      <c r="F85" s="20">
        <v>3</v>
      </c>
      <c r="G85" s="20">
        <v>195.95</v>
      </c>
      <c r="H85" s="225">
        <f t="shared" si="10"/>
        <v>0.58784999999999987</v>
      </c>
      <c r="I85" s="229">
        <v>0</v>
      </c>
      <c r="J85" s="37"/>
      <c r="L85" s="28"/>
      <c r="M85" s="29"/>
      <c r="N85" s="30"/>
    </row>
    <row r="86" spans="1:14" ht="15.75" hidden="1" customHeight="1">
      <c r="A86" s="171"/>
      <c r="B86" s="230" t="s">
        <v>222</v>
      </c>
      <c r="C86" s="50" t="s">
        <v>223</v>
      </c>
      <c r="D86" s="22"/>
      <c r="E86" s="26"/>
      <c r="F86" s="20">
        <v>1</v>
      </c>
      <c r="G86" s="20">
        <v>383.01</v>
      </c>
      <c r="H86" s="225">
        <f t="shared" si="10"/>
        <v>0.38301000000000002</v>
      </c>
      <c r="I86" s="229">
        <v>0</v>
      </c>
      <c r="J86" s="37"/>
      <c r="L86" s="28"/>
      <c r="M86" s="29"/>
      <c r="N86" s="30"/>
    </row>
    <row r="87" spans="1:14" ht="15.75" hidden="1" customHeight="1">
      <c r="A87" s="171"/>
      <c r="B87" s="189" t="s">
        <v>224</v>
      </c>
      <c r="C87" s="190" t="s">
        <v>143</v>
      </c>
      <c r="D87" s="22"/>
      <c r="E87" s="26"/>
      <c r="F87" s="20">
        <f>14/3</f>
        <v>4.666666666666667</v>
      </c>
      <c r="G87" s="20">
        <v>1063.47</v>
      </c>
      <c r="H87" s="225">
        <f t="shared" si="10"/>
        <v>4.9628600000000009</v>
      </c>
      <c r="I87" s="229">
        <v>0</v>
      </c>
      <c r="J87" s="37"/>
      <c r="L87" s="28"/>
      <c r="M87" s="29"/>
      <c r="N87" s="30"/>
    </row>
    <row r="88" spans="1:14" ht="15.75" hidden="1" customHeight="1">
      <c r="A88" s="171"/>
      <c r="B88" s="148" t="s">
        <v>225</v>
      </c>
      <c r="C88" s="228" t="s">
        <v>226</v>
      </c>
      <c r="D88" s="22"/>
      <c r="E88" s="26"/>
      <c r="F88" s="20">
        <v>1</v>
      </c>
      <c r="G88" s="20">
        <v>945.07</v>
      </c>
      <c r="H88" s="225">
        <f t="shared" si="10"/>
        <v>0.94507000000000008</v>
      </c>
      <c r="I88" s="229">
        <v>0</v>
      </c>
      <c r="J88" s="37"/>
      <c r="L88" s="28"/>
      <c r="M88" s="29"/>
      <c r="N88" s="30"/>
    </row>
    <row r="89" spans="1:14" ht="15.75" hidden="1" customHeight="1">
      <c r="A89" s="171"/>
      <c r="B89" s="148" t="s">
        <v>109</v>
      </c>
      <c r="C89" s="191" t="s">
        <v>46</v>
      </c>
      <c r="D89" s="22"/>
      <c r="E89" s="26"/>
      <c r="F89" s="20">
        <v>0.01</v>
      </c>
      <c r="G89" s="20">
        <v>3397.65</v>
      </c>
      <c r="H89" s="225">
        <f t="shared" si="10"/>
        <v>3.39765E-2</v>
      </c>
      <c r="I89" s="229">
        <v>0</v>
      </c>
      <c r="J89" s="37"/>
      <c r="L89" s="28"/>
      <c r="M89" s="29"/>
      <c r="N89" s="30"/>
    </row>
    <row r="90" spans="1:14" ht="15.75" hidden="1" customHeight="1">
      <c r="A90" s="171"/>
      <c r="B90" s="148" t="s">
        <v>227</v>
      </c>
      <c r="C90" s="191" t="s">
        <v>228</v>
      </c>
      <c r="D90" s="22"/>
      <c r="E90" s="26"/>
      <c r="F90" s="20">
        <v>0.01</v>
      </c>
      <c r="G90" s="20">
        <v>7033.13</v>
      </c>
      <c r="H90" s="225">
        <f t="shared" si="10"/>
        <v>7.0331299999999999E-2</v>
      </c>
      <c r="I90" s="229">
        <v>0</v>
      </c>
      <c r="J90" s="37"/>
      <c r="L90" s="28"/>
      <c r="M90" s="29"/>
      <c r="N90" s="30"/>
    </row>
    <row r="91" spans="1:14" ht="15.75" hidden="1" customHeight="1">
      <c r="A91" s="171"/>
      <c r="B91" s="148" t="s">
        <v>229</v>
      </c>
      <c r="C91" s="191" t="s">
        <v>102</v>
      </c>
      <c r="D91" s="22"/>
      <c r="E91" s="26"/>
      <c r="F91" s="20">
        <v>2</v>
      </c>
      <c r="G91" s="20">
        <v>1187</v>
      </c>
      <c r="H91" s="225">
        <f t="shared" si="10"/>
        <v>2.3740000000000001</v>
      </c>
      <c r="I91" s="229">
        <v>0</v>
      </c>
      <c r="J91" s="37"/>
      <c r="L91" s="28"/>
      <c r="M91" s="29"/>
      <c r="N91" s="30"/>
    </row>
    <row r="92" spans="1:14" ht="15.75" hidden="1" customHeight="1">
      <c r="A92" s="171"/>
      <c r="B92" s="148" t="s">
        <v>230</v>
      </c>
      <c r="C92" s="191" t="s">
        <v>144</v>
      </c>
      <c r="D92" s="22"/>
      <c r="E92" s="26"/>
      <c r="F92" s="20">
        <v>1</v>
      </c>
      <c r="G92" s="20">
        <v>149.63999999999999</v>
      </c>
      <c r="H92" s="225">
        <f t="shared" si="10"/>
        <v>0.14964</v>
      </c>
      <c r="I92" s="229">
        <v>0</v>
      </c>
      <c r="J92" s="37"/>
      <c r="L92" s="28"/>
      <c r="M92" s="29"/>
      <c r="N92" s="30"/>
    </row>
    <row r="93" spans="1:14" ht="15.75" hidden="1" customHeight="1">
      <c r="A93" s="171"/>
      <c r="B93" s="148" t="s">
        <v>99</v>
      </c>
      <c r="C93" s="191" t="s">
        <v>144</v>
      </c>
      <c r="D93" s="22"/>
      <c r="E93" s="26"/>
      <c r="F93" s="20">
        <v>2</v>
      </c>
      <c r="G93" s="20">
        <v>79.09</v>
      </c>
      <c r="H93" s="225">
        <f t="shared" si="10"/>
        <v>0.15818000000000002</v>
      </c>
      <c r="I93" s="229">
        <v>0</v>
      </c>
      <c r="J93" s="37"/>
      <c r="L93" s="28"/>
      <c r="M93" s="29"/>
      <c r="N93" s="30"/>
    </row>
    <row r="94" spans="1:14" ht="15.75" hidden="1" customHeight="1">
      <c r="A94" s="171"/>
      <c r="B94" s="148" t="s">
        <v>231</v>
      </c>
      <c r="C94" s="191" t="s">
        <v>149</v>
      </c>
      <c r="D94" s="22"/>
      <c r="E94" s="26"/>
      <c r="F94" s="20">
        <v>1</v>
      </c>
      <c r="G94" s="20">
        <v>51.39</v>
      </c>
      <c r="H94" s="225">
        <f t="shared" si="10"/>
        <v>5.1389999999999998E-2</v>
      </c>
      <c r="I94" s="229">
        <v>0</v>
      </c>
      <c r="J94" s="37"/>
      <c r="L94" s="28"/>
      <c r="M94" s="29"/>
      <c r="N94" s="30"/>
    </row>
    <row r="95" spans="1:14" ht="15.75" hidden="1" customHeight="1">
      <c r="A95" s="171"/>
      <c r="B95" s="148" t="s">
        <v>232</v>
      </c>
      <c r="C95" s="191" t="s">
        <v>69</v>
      </c>
      <c r="D95" s="22"/>
      <c r="E95" s="26"/>
      <c r="F95" s="20">
        <v>4</v>
      </c>
      <c r="G95" s="20">
        <v>802.14</v>
      </c>
      <c r="H95" s="225">
        <f t="shared" si="10"/>
        <v>3.2085599999999999</v>
      </c>
      <c r="I95" s="229">
        <v>0</v>
      </c>
      <c r="J95" s="37"/>
      <c r="L95" s="28"/>
      <c r="M95" s="29"/>
      <c r="N95" s="30"/>
    </row>
    <row r="96" spans="1:14" ht="15.75" hidden="1" customHeight="1">
      <c r="A96" s="171"/>
      <c r="B96" s="189" t="s">
        <v>183</v>
      </c>
      <c r="C96" s="190" t="s">
        <v>143</v>
      </c>
      <c r="D96" s="22"/>
      <c r="E96" s="26"/>
      <c r="F96" s="20">
        <f>21/3</f>
        <v>7</v>
      </c>
      <c r="G96" s="20">
        <v>1063.47</v>
      </c>
      <c r="H96" s="225">
        <f t="shared" si="10"/>
        <v>7.4442899999999996</v>
      </c>
      <c r="I96" s="229">
        <v>0</v>
      </c>
      <c r="J96" s="37"/>
      <c r="L96" s="28"/>
      <c r="M96" s="29"/>
      <c r="N96" s="30"/>
    </row>
    <row r="97" spans="1:14" ht="15.75" hidden="1" customHeight="1">
      <c r="A97" s="171"/>
      <c r="B97" s="148" t="s">
        <v>148</v>
      </c>
      <c r="C97" s="191" t="s">
        <v>149</v>
      </c>
      <c r="D97" s="22"/>
      <c r="E97" s="26"/>
      <c r="F97" s="20">
        <v>1</v>
      </c>
      <c r="G97" s="20">
        <v>286.55</v>
      </c>
      <c r="H97" s="225">
        <f t="shared" si="10"/>
        <v>0.28655000000000003</v>
      </c>
      <c r="I97" s="229">
        <v>0</v>
      </c>
      <c r="J97" s="37"/>
      <c r="L97" s="28"/>
      <c r="M97" s="29"/>
      <c r="N97" s="30"/>
    </row>
    <row r="98" spans="1:14" ht="15.75" hidden="1" customHeight="1">
      <c r="A98" s="171"/>
      <c r="B98" s="231" t="s">
        <v>113</v>
      </c>
      <c r="C98" s="191" t="s">
        <v>144</v>
      </c>
      <c r="D98" s="22"/>
      <c r="E98" s="26"/>
      <c r="F98" s="20">
        <v>1</v>
      </c>
      <c r="G98" s="20">
        <v>179.96</v>
      </c>
      <c r="H98" s="225">
        <f t="shared" si="10"/>
        <v>0.17996000000000001</v>
      </c>
      <c r="I98" s="229">
        <v>0</v>
      </c>
      <c r="J98" s="37"/>
      <c r="L98" s="28"/>
      <c r="M98" s="29"/>
      <c r="N98" s="30"/>
    </row>
    <row r="99" spans="1:14" ht="15.75" hidden="1" customHeight="1">
      <c r="A99" s="171"/>
      <c r="B99" s="231" t="s">
        <v>111</v>
      </c>
      <c r="C99" s="228" t="s">
        <v>91</v>
      </c>
      <c r="D99" s="22"/>
      <c r="E99" s="26"/>
      <c r="F99" s="20">
        <f>2/10</f>
        <v>0.2</v>
      </c>
      <c r="G99" s="20">
        <v>3800</v>
      </c>
      <c r="H99" s="225">
        <f t="shared" si="10"/>
        <v>0.76</v>
      </c>
      <c r="I99" s="229">
        <v>0</v>
      </c>
      <c r="J99" s="37"/>
      <c r="L99" s="28"/>
      <c r="M99" s="29"/>
      <c r="N99" s="30"/>
    </row>
    <row r="100" spans="1:14" ht="15.75" hidden="1" customHeight="1">
      <c r="A100" s="171"/>
      <c r="B100" s="148" t="s">
        <v>141</v>
      </c>
      <c r="C100" s="191" t="s">
        <v>145</v>
      </c>
      <c r="D100" s="22"/>
      <c r="E100" s="26"/>
      <c r="F100" s="20">
        <f>4.5/10</f>
        <v>0.45</v>
      </c>
      <c r="G100" s="20">
        <v>5641.28</v>
      </c>
      <c r="H100" s="225">
        <f t="shared" si="10"/>
        <v>2.5385759999999999</v>
      </c>
      <c r="I100" s="229">
        <v>0</v>
      </c>
      <c r="J100" s="37"/>
      <c r="L100" s="28"/>
      <c r="M100" s="29"/>
      <c r="N100" s="30"/>
    </row>
    <row r="101" spans="1:14" ht="15.75" hidden="1" customHeight="1">
      <c r="A101" s="171"/>
      <c r="B101" s="230" t="s">
        <v>142</v>
      </c>
      <c r="C101" s="50" t="s">
        <v>146</v>
      </c>
      <c r="D101" s="22"/>
      <c r="E101" s="26"/>
      <c r="F101" s="20">
        <f>0.5/10</f>
        <v>0.05</v>
      </c>
      <c r="G101" s="20">
        <v>39222.99</v>
      </c>
      <c r="H101" s="225">
        <f t="shared" si="10"/>
        <v>1.9611494999999999</v>
      </c>
      <c r="I101" s="229">
        <v>0</v>
      </c>
      <c r="J101" s="37"/>
      <c r="L101" s="28"/>
      <c r="M101" s="29"/>
      <c r="N101" s="30"/>
    </row>
    <row r="102" spans="1:14" ht="15.75" hidden="1" customHeight="1">
      <c r="A102" s="171"/>
      <c r="B102" s="148" t="s">
        <v>187</v>
      </c>
      <c r="C102" s="191" t="s">
        <v>233</v>
      </c>
      <c r="D102" s="22"/>
      <c r="E102" s="26"/>
      <c r="F102" s="20">
        <v>3</v>
      </c>
      <c r="G102" s="20">
        <v>3210.77</v>
      </c>
      <c r="H102" s="225">
        <f t="shared" si="10"/>
        <v>9.6323100000000004</v>
      </c>
      <c r="I102" s="229">
        <v>0</v>
      </c>
      <c r="J102" s="37"/>
      <c r="L102" s="28"/>
      <c r="M102" s="29"/>
      <c r="N102" s="30"/>
    </row>
    <row r="103" spans="1:14" ht="15.75" hidden="1" customHeight="1">
      <c r="A103" s="171"/>
      <c r="B103" s="148" t="s">
        <v>178</v>
      </c>
      <c r="C103" s="228" t="s">
        <v>102</v>
      </c>
      <c r="D103" s="22"/>
      <c r="E103" s="26"/>
      <c r="F103" s="20">
        <v>1</v>
      </c>
      <c r="G103" s="20">
        <v>18</v>
      </c>
      <c r="H103" s="225">
        <f t="shared" si="10"/>
        <v>1.7999999999999999E-2</v>
      </c>
      <c r="I103" s="229">
        <v>0</v>
      </c>
      <c r="J103" s="37"/>
      <c r="L103" s="28"/>
      <c r="M103" s="29"/>
      <c r="N103" s="30"/>
    </row>
    <row r="104" spans="1:14" ht="15.75" hidden="1" customHeight="1">
      <c r="A104" s="171"/>
      <c r="B104" s="148" t="s">
        <v>179</v>
      </c>
      <c r="C104" s="191" t="s">
        <v>144</v>
      </c>
      <c r="D104" s="22"/>
      <c r="E104" s="26"/>
      <c r="F104" s="20">
        <v>1</v>
      </c>
      <c r="G104" s="20">
        <v>183.7</v>
      </c>
      <c r="H104" s="225">
        <f t="shared" si="10"/>
        <v>0.1837</v>
      </c>
      <c r="I104" s="229">
        <v>0</v>
      </c>
      <c r="J104" s="37"/>
      <c r="L104" s="28"/>
      <c r="M104" s="29"/>
      <c r="N104" s="30"/>
    </row>
    <row r="105" spans="1:14" ht="15.75" hidden="1" customHeight="1">
      <c r="A105" s="171"/>
      <c r="B105" s="175" t="s">
        <v>51</v>
      </c>
      <c r="C105" s="210" t="s">
        <v>144</v>
      </c>
      <c r="D105" s="22"/>
      <c r="E105" s="26"/>
      <c r="F105" s="20">
        <v>1</v>
      </c>
      <c r="G105" s="20">
        <v>81.73</v>
      </c>
      <c r="H105" s="225">
        <f>G105*F105/1000</f>
        <v>8.1729999999999997E-2</v>
      </c>
      <c r="I105" s="229">
        <v>0</v>
      </c>
      <c r="J105" s="37"/>
      <c r="L105" s="28"/>
      <c r="M105" s="29"/>
      <c r="N105" s="30"/>
    </row>
    <row r="106" spans="1:14" ht="15.75" customHeight="1">
      <c r="A106" s="50"/>
      <c r="B106" s="79" t="s">
        <v>63</v>
      </c>
      <c r="C106" s="75"/>
      <c r="D106" s="130"/>
      <c r="E106" s="75">
        <v>1</v>
      </c>
      <c r="F106" s="75"/>
      <c r="G106" s="59"/>
      <c r="H106" s="75"/>
      <c r="I106" s="59">
        <f>SUM(I83)</f>
        <v>0</v>
      </c>
      <c r="J106" s="37"/>
      <c r="L106" s="28"/>
      <c r="M106" s="29"/>
      <c r="N106" s="30"/>
    </row>
    <row r="107" spans="1:14" ht="15.75" customHeight="1">
      <c r="A107" s="50"/>
      <c r="B107" s="84" t="s">
        <v>96</v>
      </c>
      <c r="C107" s="23"/>
      <c r="D107" s="23"/>
      <c r="E107" s="76"/>
      <c r="F107" s="77"/>
      <c r="G107" s="25"/>
      <c r="H107" s="208"/>
      <c r="I107" s="26">
        <v>0</v>
      </c>
      <c r="J107" s="37"/>
      <c r="L107" s="28"/>
      <c r="M107" s="29"/>
      <c r="N107" s="30"/>
    </row>
    <row r="108" spans="1:14" ht="15.75" customHeight="1">
      <c r="A108" s="209"/>
      <c r="B108" s="80" t="s">
        <v>64</v>
      </c>
      <c r="C108" s="63"/>
      <c r="D108" s="63"/>
      <c r="E108" s="63"/>
      <c r="F108" s="63"/>
      <c r="G108" s="78"/>
      <c r="H108" s="64"/>
      <c r="I108" s="59">
        <f>I82+I106</f>
        <v>107752.06791378889</v>
      </c>
      <c r="J108" s="37"/>
      <c r="L108" s="28"/>
      <c r="M108" s="29"/>
      <c r="N108" s="30"/>
    </row>
    <row r="109" spans="1:14" ht="15" customHeight="1">
      <c r="A109" s="237" t="s">
        <v>253</v>
      </c>
      <c r="B109" s="237"/>
      <c r="C109" s="237"/>
      <c r="D109" s="237"/>
      <c r="E109" s="237"/>
      <c r="F109" s="237"/>
      <c r="G109" s="237"/>
      <c r="H109" s="237"/>
      <c r="I109" s="237"/>
      <c r="J109" s="37"/>
      <c r="L109" s="28"/>
      <c r="M109" s="29"/>
      <c r="N109" s="30"/>
    </row>
    <row r="110" spans="1:14" ht="15.75">
      <c r="A110" s="13"/>
      <c r="B110" s="259" t="s">
        <v>254</v>
      </c>
      <c r="C110" s="259"/>
      <c r="D110" s="259"/>
      <c r="E110" s="259"/>
      <c r="F110" s="259"/>
      <c r="G110" s="259"/>
      <c r="H110" s="197"/>
      <c r="I110" s="4"/>
      <c r="J110" s="37"/>
      <c r="L110" s="28"/>
    </row>
    <row r="111" spans="1:14" ht="15.75">
      <c r="A111" s="199"/>
      <c r="B111" s="239" t="s">
        <v>7</v>
      </c>
      <c r="C111" s="239"/>
      <c r="D111" s="239"/>
      <c r="E111" s="239"/>
      <c r="F111" s="239"/>
      <c r="G111" s="239"/>
      <c r="H111" s="41"/>
      <c r="I111" s="121"/>
    </row>
    <row r="112" spans="1:14" ht="15.75">
      <c r="A112" s="122"/>
      <c r="B112" s="122"/>
      <c r="C112" s="122"/>
      <c r="D112" s="122"/>
      <c r="E112" s="122"/>
      <c r="F112" s="122"/>
      <c r="G112" s="122"/>
      <c r="H112" s="122"/>
      <c r="I112" s="122"/>
    </row>
    <row r="113" spans="1:22" ht="15.75">
      <c r="A113" s="260" t="s">
        <v>8</v>
      </c>
      <c r="B113" s="260"/>
      <c r="C113" s="260"/>
      <c r="D113" s="260"/>
      <c r="E113" s="260"/>
      <c r="F113" s="260"/>
      <c r="G113" s="260"/>
      <c r="H113" s="260"/>
      <c r="I113" s="260"/>
    </row>
    <row r="114" spans="1:22" ht="15.75" customHeight="1">
      <c r="A114" s="260" t="s">
        <v>9</v>
      </c>
      <c r="B114" s="260"/>
      <c r="C114" s="260"/>
      <c r="D114" s="260"/>
      <c r="E114" s="260"/>
      <c r="F114" s="260"/>
      <c r="G114" s="260"/>
      <c r="H114" s="260"/>
      <c r="I114" s="260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12"/>
    </row>
    <row r="115" spans="1:22" ht="15.75" customHeight="1">
      <c r="A115" s="237" t="s">
        <v>10</v>
      </c>
      <c r="B115" s="237"/>
      <c r="C115" s="237"/>
      <c r="D115" s="237"/>
      <c r="E115" s="237"/>
      <c r="F115" s="237"/>
      <c r="G115" s="237"/>
      <c r="H115" s="237"/>
      <c r="I115" s="237"/>
      <c r="J115" s="42"/>
      <c r="K115" s="42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2" ht="15.75">
      <c r="A116" s="15"/>
      <c r="B116" s="119"/>
      <c r="C116" s="119"/>
      <c r="D116" s="119"/>
      <c r="E116" s="119"/>
      <c r="F116" s="119"/>
      <c r="G116" s="119"/>
      <c r="H116" s="119"/>
      <c r="I116" s="119"/>
      <c r="J116" s="6"/>
      <c r="K116" s="6"/>
      <c r="L116" s="6"/>
      <c r="M116" s="6"/>
      <c r="N116" s="6"/>
      <c r="O116" s="6"/>
      <c r="P116" s="6"/>
      <c r="Q116" s="6"/>
      <c r="R116" s="236"/>
      <c r="S116" s="236"/>
      <c r="T116" s="236"/>
      <c r="U116" s="236"/>
    </row>
    <row r="117" spans="1:22" ht="15.75">
      <c r="A117" s="261" t="s">
        <v>11</v>
      </c>
      <c r="B117" s="261"/>
      <c r="C117" s="261"/>
      <c r="D117" s="261"/>
      <c r="E117" s="261"/>
      <c r="F117" s="261"/>
      <c r="G117" s="261"/>
      <c r="H117" s="261"/>
      <c r="I117" s="261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2" ht="15.75">
      <c r="A118" s="5"/>
      <c r="B118" s="119"/>
      <c r="C118" s="119"/>
      <c r="D118" s="119"/>
      <c r="E118" s="119"/>
      <c r="F118" s="119"/>
      <c r="G118" s="119"/>
      <c r="H118" s="119"/>
      <c r="I118" s="119"/>
    </row>
    <row r="119" spans="1:22" ht="15.75">
      <c r="A119" s="237" t="s">
        <v>12</v>
      </c>
      <c r="B119" s="237"/>
      <c r="C119" s="238" t="s">
        <v>133</v>
      </c>
      <c r="D119" s="238"/>
      <c r="E119" s="238"/>
      <c r="F119" s="203"/>
      <c r="I119" s="196"/>
    </row>
    <row r="120" spans="1:22" ht="15.75" customHeight="1">
      <c r="A120" s="199"/>
      <c r="B120" s="119"/>
      <c r="C120" s="239" t="s">
        <v>13</v>
      </c>
      <c r="D120" s="239"/>
      <c r="E120" s="239"/>
      <c r="F120" s="41"/>
      <c r="I120" s="195" t="s">
        <v>14</v>
      </c>
    </row>
    <row r="121" spans="1:22" ht="15.75">
      <c r="A121" s="42"/>
      <c r="B121" s="119"/>
      <c r="C121" s="16"/>
      <c r="D121" s="16"/>
      <c r="G121" s="16"/>
      <c r="H121" s="16"/>
    </row>
    <row r="122" spans="1:22" ht="15.75">
      <c r="A122" s="237" t="s">
        <v>15</v>
      </c>
      <c r="B122" s="237"/>
      <c r="C122" s="250"/>
      <c r="D122" s="250"/>
      <c r="E122" s="250"/>
      <c r="F122" s="204"/>
      <c r="I122" s="196"/>
    </row>
    <row r="123" spans="1:22">
      <c r="A123" s="194"/>
      <c r="C123" s="236" t="s">
        <v>13</v>
      </c>
      <c r="D123" s="236"/>
      <c r="E123" s="236"/>
      <c r="F123" s="194"/>
      <c r="I123" s="195" t="s">
        <v>14</v>
      </c>
    </row>
    <row r="124" spans="1:22" ht="15.75">
      <c r="A124" s="5" t="s">
        <v>16</v>
      </c>
    </row>
    <row r="125" spans="1:22">
      <c r="A125" s="251" t="s">
        <v>17</v>
      </c>
      <c r="B125" s="251"/>
      <c r="C125" s="251"/>
      <c r="D125" s="251"/>
      <c r="E125" s="251"/>
      <c r="F125" s="251"/>
      <c r="G125" s="251"/>
      <c r="H125" s="251"/>
      <c r="I125" s="251"/>
    </row>
    <row r="126" spans="1:22" ht="47.25" customHeight="1">
      <c r="A126" s="249" t="s">
        <v>18</v>
      </c>
      <c r="B126" s="249"/>
      <c r="C126" s="249"/>
      <c r="D126" s="249"/>
      <c r="E126" s="249"/>
      <c r="F126" s="249"/>
      <c r="G126" s="249"/>
      <c r="H126" s="249"/>
      <c r="I126" s="249"/>
    </row>
    <row r="127" spans="1:22" ht="31.5" customHeight="1">
      <c r="A127" s="249" t="s">
        <v>19</v>
      </c>
      <c r="B127" s="249"/>
      <c r="C127" s="249"/>
      <c r="D127" s="249"/>
      <c r="E127" s="249"/>
      <c r="F127" s="249"/>
      <c r="G127" s="249"/>
      <c r="H127" s="249"/>
      <c r="I127" s="249"/>
    </row>
    <row r="128" spans="1:22" ht="31.5" customHeight="1">
      <c r="A128" s="249" t="s">
        <v>24</v>
      </c>
      <c r="B128" s="249"/>
      <c r="C128" s="249"/>
      <c r="D128" s="249"/>
      <c r="E128" s="249"/>
      <c r="F128" s="249"/>
      <c r="G128" s="249"/>
      <c r="H128" s="249"/>
      <c r="I128" s="249"/>
    </row>
    <row r="129" spans="1:9" ht="15.75">
      <c r="A129" s="249" t="s">
        <v>23</v>
      </c>
      <c r="B129" s="249"/>
      <c r="C129" s="249"/>
      <c r="D129" s="249"/>
      <c r="E129" s="249"/>
      <c r="F129" s="249"/>
      <c r="G129" s="249"/>
      <c r="H129" s="249"/>
      <c r="I129" s="249"/>
    </row>
  </sheetData>
  <autoFilter ref="I14:I112"/>
  <mergeCells count="30">
    <mergeCell ref="A129:I129"/>
    <mergeCell ref="A117:I117"/>
    <mergeCell ref="A119:B119"/>
    <mergeCell ref="C119:E119"/>
    <mergeCell ref="C120:E120"/>
    <mergeCell ref="A122:B122"/>
    <mergeCell ref="C122:E122"/>
    <mergeCell ref="C123:E123"/>
    <mergeCell ref="A125:I125"/>
    <mergeCell ref="A126:I126"/>
    <mergeCell ref="A127:I127"/>
    <mergeCell ref="A128:I128"/>
    <mergeCell ref="R116:U116"/>
    <mergeCell ref="A27:I27"/>
    <mergeCell ref="A34:I34"/>
    <mergeCell ref="A43:I43"/>
    <mergeCell ref="A55:I55"/>
    <mergeCell ref="A79:I79"/>
    <mergeCell ref="A109:I109"/>
    <mergeCell ref="B110:G110"/>
    <mergeCell ref="B111:G111"/>
    <mergeCell ref="A113:I113"/>
    <mergeCell ref="A114:I114"/>
    <mergeCell ref="A115:I11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9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B1" s="57" t="s">
        <v>118</v>
      </c>
      <c r="I1" s="56"/>
    </row>
    <row r="2" spans="1:13" ht="15.75">
      <c r="B2" s="45" t="s">
        <v>79</v>
      </c>
      <c r="J2" s="1"/>
      <c r="K2" s="1"/>
      <c r="L2" s="1"/>
      <c r="M2" s="1"/>
    </row>
    <row r="3" spans="1:13" ht="15.75" customHeight="1">
      <c r="A3" s="240" t="s">
        <v>255</v>
      </c>
      <c r="B3" s="240"/>
      <c r="C3" s="240"/>
      <c r="D3" s="240"/>
      <c r="E3" s="240"/>
      <c r="F3" s="240"/>
      <c r="G3" s="240"/>
      <c r="H3" s="240"/>
      <c r="I3" s="240"/>
      <c r="J3" s="2"/>
      <c r="K3" s="2"/>
      <c r="L3" s="2"/>
      <c r="M3" s="2"/>
    </row>
    <row r="4" spans="1:13" ht="33.75" customHeight="1">
      <c r="A4" s="241" t="s">
        <v>153</v>
      </c>
      <c r="B4" s="241"/>
      <c r="C4" s="241"/>
      <c r="D4" s="241"/>
      <c r="E4" s="241"/>
      <c r="F4" s="241"/>
      <c r="G4" s="241"/>
      <c r="H4" s="241"/>
      <c r="I4" s="241"/>
      <c r="J4" s="3"/>
      <c r="K4" s="3"/>
      <c r="L4" s="3"/>
      <c r="M4" s="3"/>
    </row>
    <row r="5" spans="1:13" ht="15.75" customHeight="1">
      <c r="A5" s="246" t="s">
        <v>71</v>
      </c>
      <c r="B5" s="247"/>
      <c r="C5" s="247"/>
      <c r="D5" s="247"/>
      <c r="E5" s="247"/>
      <c r="F5" s="247"/>
      <c r="G5" s="247"/>
      <c r="H5" s="247"/>
      <c r="I5" s="247"/>
      <c r="J5" s="4"/>
      <c r="K5" s="4"/>
      <c r="L5" s="4"/>
    </row>
    <row r="6" spans="1:13" ht="15.75" customHeight="1">
      <c r="A6" s="3"/>
      <c r="B6" s="192"/>
      <c r="C6" s="192"/>
      <c r="D6" s="192"/>
      <c r="E6" s="192"/>
      <c r="F6" s="192"/>
      <c r="G6" s="192"/>
      <c r="H6" s="192"/>
      <c r="I6" s="58">
        <v>42551</v>
      </c>
    </row>
    <row r="7" spans="1:13" ht="15.75">
      <c r="B7" s="193"/>
      <c r="C7" s="193"/>
      <c r="D7" s="193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242" t="s">
        <v>274</v>
      </c>
      <c r="B8" s="242"/>
      <c r="C8" s="242"/>
      <c r="D8" s="242"/>
      <c r="E8" s="242"/>
      <c r="F8" s="242"/>
      <c r="G8" s="242"/>
      <c r="H8" s="242"/>
      <c r="I8" s="242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248" t="s">
        <v>155</v>
      </c>
      <c r="B10" s="248"/>
      <c r="C10" s="248"/>
      <c r="D10" s="248"/>
      <c r="E10" s="248"/>
      <c r="F10" s="248"/>
      <c r="G10" s="248"/>
      <c r="H10" s="248"/>
      <c r="I10" s="248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243" t="s">
        <v>4</v>
      </c>
      <c r="B14" s="244"/>
      <c r="C14" s="244"/>
      <c r="D14" s="244"/>
      <c r="E14" s="244"/>
      <c r="F14" s="244"/>
      <c r="G14" s="244"/>
      <c r="H14" s="244"/>
      <c r="I14" s="245"/>
    </row>
    <row r="15" spans="1:13" ht="31.5" customHeight="1">
      <c r="A15" s="50">
        <v>1</v>
      </c>
      <c r="B15" s="175" t="s">
        <v>120</v>
      </c>
      <c r="C15" s="210" t="s">
        <v>156</v>
      </c>
      <c r="D15" s="175" t="s">
        <v>191</v>
      </c>
      <c r="E15" s="211">
        <v>66.2</v>
      </c>
      <c r="F15" s="212">
        <f>SUM(E15*156/100)</f>
        <v>103.27200000000001</v>
      </c>
      <c r="G15" s="212">
        <v>175.38</v>
      </c>
      <c r="H15" s="213">
        <f t="shared" ref="H15:H24" si="0">SUM(F15*G15/1000)</f>
        <v>18.111843359999998</v>
      </c>
      <c r="I15" s="20">
        <f>F15/12*G15</f>
        <v>1509.3202799999999</v>
      </c>
      <c r="J15" s="10"/>
      <c r="K15" s="10"/>
      <c r="L15" s="10"/>
      <c r="M15" s="10"/>
    </row>
    <row r="16" spans="1:13" ht="31.5" customHeight="1">
      <c r="A16" s="50">
        <v>2</v>
      </c>
      <c r="B16" s="175" t="s">
        <v>121</v>
      </c>
      <c r="C16" s="210" t="s">
        <v>156</v>
      </c>
      <c r="D16" s="175" t="s">
        <v>192</v>
      </c>
      <c r="E16" s="211">
        <v>198.7</v>
      </c>
      <c r="F16" s="212">
        <f>SUM(E16*104/100)</f>
        <v>206.648</v>
      </c>
      <c r="G16" s="212">
        <v>175.38</v>
      </c>
      <c r="H16" s="213">
        <f t="shared" si="0"/>
        <v>36.241926239999998</v>
      </c>
      <c r="I16" s="20">
        <f>F16/12*G16</f>
        <v>3020.1605199999999</v>
      </c>
      <c r="J16" s="10"/>
      <c r="K16" s="10"/>
      <c r="L16" s="10"/>
      <c r="M16" s="10"/>
    </row>
    <row r="17" spans="1:13" ht="31.5" customHeight="1">
      <c r="A17" s="50">
        <v>3</v>
      </c>
      <c r="B17" s="175" t="s">
        <v>122</v>
      </c>
      <c r="C17" s="210" t="s">
        <v>156</v>
      </c>
      <c r="D17" s="175" t="s">
        <v>234</v>
      </c>
      <c r="E17" s="211">
        <f>SUM(E15+E16)</f>
        <v>264.89999999999998</v>
      </c>
      <c r="F17" s="212">
        <f>SUM(E17*24/100)</f>
        <v>63.575999999999993</v>
      </c>
      <c r="G17" s="212">
        <v>504.5</v>
      </c>
      <c r="H17" s="213">
        <f t="shared" si="0"/>
        <v>32.074092</v>
      </c>
      <c r="I17" s="20">
        <f>F17/12*G17</f>
        <v>2672.8409999999994</v>
      </c>
      <c r="J17" s="10"/>
      <c r="K17" s="10"/>
      <c r="L17" s="10"/>
      <c r="M17" s="10"/>
    </row>
    <row r="18" spans="1:13" ht="15.75" hidden="1" customHeight="1">
      <c r="A18" s="50"/>
      <c r="B18" s="175" t="s">
        <v>157</v>
      </c>
      <c r="C18" s="210" t="s">
        <v>146</v>
      </c>
      <c r="D18" s="175" t="s">
        <v>158</v>
      </c>
      <c r="E18" s="211">
        <v>40</v>
      </c>
      <c r="F18" s="212">
        <f>SUM(E18/10)</f>
        <v>4</v>
      </c>
      <c r="G18" s="212">
        <v>170.16</v>
      </c>
      <c r="H18" s="213">
        <f t="shared" si="0"/>
        <v>0.68064000000000002</v>
      </c>
      <c r="I18" s="20">
        <v>0</v>
      </c>
      <c r="J18" s="10"/>
      <c r="K18" s="10"/>
      <c r="L18" s="10"/>
      <c r="M18" s="10"/>
    </row>
    <row r="19" spans="1:13" ht="15.75" hidden="1" customHeight="1">
      <c r="A19" s="50"/>
      <c r="B19" s="175" t="s">
        <v>159</v>
      </c>
      <c r="C19" s="210" t="s">
        <v>156</v>
      </c>
      <c r="D19" s="175" t="s">
        <v>66</v>
      </c>
      <c r="E19" s="211">
        <v>10.5</v>
      </c>
      <c r="F19" s="212">
        <f t="shared" ref="F19:F24" si="1">SUM(E19/100)</f>
        <v>0.105</v>
      </c>
      <c r="G19" s="212">
        <v>217.88</v>
      </c>
      <c r="H19" s="213">
        <f t="shared" si="0"/>
        <v>2.2877399999999999E-2</v>
      </c>
      <c r="I19" s="20">
        <v>0</v>
      </c>
      <c r="J19" s="10"/>
      <c r="K19" s="10"/>
      <c r="L19" s="10"/>
      <c r="M19" s="10"/>
    </row>
    <row r="20" spans="1:13" ht="15.75" hidden="1" customHeight="1">
      <c r="A20" s="50"/>
      <c r="B20" s="175" t="s">
        <v>160</v>
      </c>
      <c r="C20" s="210" t="s">
        <v>156</v>
      </c>
      <c r="D20" s="175" t="s">
        <v>66</v>
      </c>
      <c r="E20" s="211">
        <v>2.7</v>
      </c>
      <c r="F20" s="212">
        <f t="shared" si="1"/>
        <v>2.7000000000000003E-2</v>
      </c>
      <c r="G20" s="212">
        <v>216.12</v>
      </c>
      <c r="H20" s="213">
        <f t="shared" si="0"/>
        <v>5.8352400000000002E-3</v>
      </c>
      <c r="I20" s="20">
        <v>0</v>
      </c>
      <c r="J20" s="10"/>
      <c r="K20" s="10"/>
      <c r="L20" s="10"/>
      <c r="M20" s="10"/>
    </row>
    <row r="21" spans="1:13" ht="15.75" hidden="1" customHeight="1">
      <c r="A21" s="50"/>
      <c r="B21" s="175" t="s">
        <v>161</v>
      </c>
      <c r="C21" s="210" t="s">
        <v>65</v>
      </c>
      <c r="D21" s="175" t="s">
        <v>158</v>
      </c>
      <c r="E21" s="211">
        <v>357</v>
      </c>
      <c r="F21" s="212">
        <f t="shared" si="1"/>
        <v>3.57</v>
      </c>
      <c r="G21" s="212">
        <v>269.26</v>
      </c>
      <c r="H21" s="213">
        <f t="shared" si="0"/>
        <v>0.96125819999999984</v>
      </c>
      <c r="I21" s="20">
        <v>0</v>
      </c>
      <c r="J21" s="10"/>
      <c r="K21" s="10"/>
      <c r="L21" s="10"/>
      <c r="M21" s="10"/>
    </row>
    <row r="22" spans="1:13" ht="15.75" hidden="1" customHeight="1">
      <c r="A22" s="50"/>
      <c r="B22" s="175" t="s">
        <v>162</v>
      </c>
      <c r="C22" s="210" t="s">
        <v>65</v>
      </c>
      <c r="D22" s="175" t="s">
        <v>158</v>
      </c>
      <c r="E22" s="214">
        <v>38.64</v>
      </c>
      <c r="F22" s="212">
        <f t="shared" si="1"/>
        <v>0.38640000000000002</v>
      </c>
      <c r="G22" s="212">
        <v>44.29</v>
      </c>
      <c r="H22" s="213">
        <f t="shared" si="0"/>
        <v>1.7113655999999998E-2</v>
      </c>
      <c r="I22" s="20">
        <v>0</v>
      </c>
      <c r="J22" s="10"/>
      <c r="K22" s="10"/>
      <c r="L22" s="10"/>
      <c r="M22" s="10"/>
    </row>
    <row r="23" spans="1:13" ht="15.75" hidden="1" customHeight="1">
      <c r="A23" s="50"/>
      <c r="B23" s="175" t="s">
        <v>163</v>
      </c>
      <c r="C23" s="210" t="s">
        <v>65</v>
      </c>
      <c r="D23" s="176" t="s">
        <v>158</v>
      </c>
      <c r="E23" s="26">
        <v>15</v>
      </c>
      <c r="F23" s="215">
        <f t="shared" si="1"/>
        <v>0.15</v>
      </c>
      <c r="G23" s="212">
        <v>389.72</v>
      </c>
      <c r="H23" s="213">
        <f t="shared" si="0"/>
        <v>5.8457999999999996E-2</v>
      </c>
      <c r="I23" s="20">
        <v>0</v>
      </c>
      <c r="J23" s="10"/>
      <c r="K23" s="10"/>
      <c r="L23" s="10"/>
      <c r="M23" s="10"/>
    </row>
    <row r="24" spans="1:13" ht="15.75" hidden="1" customHeight="1">
      <c r="A24" s="50"/>
      <c r="B24" s="175" t="s">
        <v>164</v>
      </c>
      <c r="C24" s="210" t="s">
        <v>65</v>
      </c>
      <c r="D24" s="175" t="s">
        <v>158</v>
      </c>
      <c r="E24" s="216">
        <v>6.38</v>
      </c>
      <c r="F24" s="212">
        <f t="shared" si="1"/>
        <v>6.3799999999999996E-2</v>
      </c>
      <c r="G24" s="212">
        <v>520.79999999999995</v>
      </c>
      <c r="H24" s="213">
        <f t="shared" si="0"/>
        <v>3.3227039999999992E-2</v>
      </c>
      <c r="I24" s="20">
        <v>0</v>
      </c>
      <c r="J24" s="10"/>
      <c r="K24" s="10"/>
      <c r="L24" s="10"/>
      <c r="M24" s="10"/>
    </row>
    <row r="25" spans="1:13" ht="15.75" customHeight="1">
      <c r="A25" s="207">
        <v>4</v>
      </c>
      <c r="B25" s="175" t="s">
        <v>81</v>
      </c>
      <c r="C25" s="210" t="s">
        <v>37</v>
      </c>
      <c r="D25" s="175" t="s">
        <v>198</v>
      </c>
      <c r="E25" s="211">
        <v>0.1</v>
      </c>
      <c r="F25" s="212">
        <f>SUM(E25*365)</f>
        <v>36.5</v>
      </c>
      <c r="G25" s="212">
        <v>147.03</v>
      </c>
      <c r="H25" s="213">
        <f>SUM(F25*G25/1000)</f>
        <v>5.3665950000000002</v>
      </c>
      <c r="I25" s="20">
        <f>F25/12*G25</f>
        <v>447.21625</v>
      </c>
      <c r="J25" s="36"/>
      <c r="K25" s="10"/>
      <c r="L25" s="10"/>
      <c r="M25" s="10"/>
    </row>
    <row r="26" spans="1:13" ht="15.75" customHeight="1">
      <c r="A26" s="207">
        <v>5</v>
      </c>
      <c r="B26" s="218" t="s">
        <v>26</v>
      </c>
      <c r="C26" s="210" t="s">
        <v>27</v>
      </c>
      <c r="D26" s="218" t="s">
        <v>177</v>
      </c>
      <c r="E26" s="211">
        <v>2566.6</v>
      </c>
      <c r="F26" s="212">
        <f>SUM(E26*12)</f>
        <v>30799.199999999997</v>
      </c>
      <c r="G26" s="212">
        <v>4.53</v>
      </c>
      <c r="H26" s="213">
        <f>SUM(F26*G26/1000)</f>
        <v>139.520376</v>
      </c>
      <c r="I26" s="20">
        <f>F26/12*G26</f>
        <v>11626.698</v>
      </c>
      <c r="J26" s="36"/>
      <c r="K26" s="10"/>
      <c r="L26" s="10"/>
      <c r="M26" s="10"/>
    </row>
    <row r="27" spans="1:13" ht="15.75" customHeight="1">
      <c r="A27" s="252" t="s">
        <v>235</v>
      </c>
      <c r="B27" s="253"/>
      <c r="C27" s="253"/>
      <c r="D27" s="253"/>
      <c r="E27" s="253"/>
      <c r="F27" s="253"/>
      <c r="G27" s="253"/>
      <c r="H27" s="253"/>
      <c r="I27" s="254"/>
      <c r="J27" s="36"/>
      <c r="K27" s="10"/>
      <c r="L27" s="10"/>
      <c r="M27" s="10"/>
    </row>
    <row r="28" spans="1:13" ht="31.5" customHeight="1">
      <c r="A28" s="205">
        <v>6</v>
      </c>
      <c r="B28" s="175" t="s">
        <v>193</v>
      </c>
      <c r="C28" s="210" t="s">
        <v>165</v>
      </c>
      <c r="D28" s="175" t="s">
        <v>194</v>
      </c>
      <c r="E28" s="212">
        <v>852.6</v>
      </c>
      <c r="F28" s="212">
        <f>SUM(E28*52/1000)</f>
        <v>44.335200000000007</v>
      </c>
      <c r="G28" s="212">
        <v>155.88999999999999</v>
      </c>
      <c r="H28" s="213">
        <f t="shared" ref="H28:H33" si="2">SUM(F28*G28/1000)</f>
        <v>6.9114143280000011</v>
      </c>
      <c r="I28" s="20">
        <f>F28/6*G28</f>
        <v>1151.9023880000002</v>
      </c>
      <c r="J28" s="36"/>
      <c r="K28" s="10"/>
      <c r="L28" s="10"/>
      <c r="M28" s="10"/>
    </row>
    <row r="29" spans="1:13" ht="31.5" customHeight="1">
      <c r="A29" s="50">
        <v>7</v>
      </c>
      <c r="B29" s="175" t="s">
        <v>195</v>
      </c>
      <c r="C29" s="210" t="s">
        <v>165</v>
      </c>
      <c r="D29" s="175" t="s">
        <v>196</v>
      </c>
      <c r="E29" s="212">
        <v>65.33</v>
      </c>
      <c r="F29" s="212">
        <f>SUM(E29*78/1000)</f>
        <v>5.0957400000000002</v>
      </c>
      <c r="G29" s="212">
        <v>258.63</v>
      </c>
      <c r="H29" s="213">
        <f t="shared" si="2"/>
        <v>1.3179112362000001</v>
      </c>
      <c r="I29" s="20">
        <f t="shared" ref="I29:I31" si="3">F29/6*G29</f>
        <v>219.65187269999998</v>
      </c>
      <c r="J29" s="36"/>
      <c r="K29" s="10"/>
      <c r="L29" s="10"/>
      <c r="M29" s="10"/>
    </row>
    <row r="30" spans="1:13" ht="15.75" hidden="1" customHeight="1">
      <c r="A30" s="207"/>
      <c r="B30" s="175" t="s">
        <v>32</v>
      </c>
      <c r="C30" s="210" t="s">
        <v>165</v>
      </c>
      <c r="D30" s="175" t="s">
        <v>66</v>
      </c>
      <c r="E30" s="212">
        <v>852.6</v>
      </c>
      <c r="F30" s="212">
        <f>SUM(E30/1000)</f>
        <v>0.85260000000000002</v>
      </c>
      <c r="G30" s="212">
        <v>3020.33</v>
      </c>
      <c r="H30" s="213">
        <f t="shared" si="2"/>
        <v>2.575133358</v>
      </c>
      <c r="I30" s="20">
        <f t="shared" si="3"/>
        <v>429.18889300000001</v>
      </c>
      <c r="J30" s="36"/>
      <c r="K30" s="10"/>
      <c r="L30" s="10"/>
      <c r="M30" s="10"/>
    </row>
    <row r="31" spans="1:13" ht="15.75" customHeight="1">
      <c r="A31" s="207">
        <v>8</v>
      </c>
      <c r="B31" s="175" t="s">
        <v>197</v>
      </c>
      <c r="C31" s="210" t="s">
        <v>35</v>
      </c>
      <c r="D31" s="175" t="s">
        <v>80</v>
      </c>
      <c r="E31" s="217">
        <v>0.33333333333333331</v>
      </c>
      <c r="F31" s="212">
        <f>155/3</f>
        <v>51.666666666666664</v>
      </c>
      <c r="G31" s="212">
        <v>56.69</v>
      </c>
      <c r="H31" s="213">
        <f>SUM(G31*155/3/1000)</f>
        <v>2.9289833333333331</v>
      </c>
      <c r="I31" s="20">
        <f t="shared" si="3"/>
        <v>488.16388888888883</v>
      </c>
      <c r="J31" s="36"/>
      <c r="K31" s="10"/>
      <c r="L31" s="10"/>
      <c r="M31" s="10"/>
    </row>
    <row r="32" spans="1:13" ht="15.75" hidden="1" customHeight="1">
      <c r="A32" s="207"/>
      <c r="B32" s="175" t="s">
        <v>82</v>
      </c>
      <c r="C32" s="210" t="s">
        <v>37</v>
      </c>
      <c r="D32" s="175" t="s">
        <v>83</v>
      </c>
      <c r="E32" s="211"/>
      <c r="F32" s="212">
        <v>3</v>
      </c>
      <c r="G32" s="212">
        <v>191.32</v>
      </c>
      <c r="H32" s="213">
        <f t="shared" si="2"/>
        <v>0.57396000000000003</v>
      </c>
      <c r="I32" s="20">
        <v>0</v>
      </c>
      <c r="J32" s="36"/>
      <c r="K32" s="10"/>
      <c r="L32" s="10"/>
      <c r="M32" s="10"/>
    </row>
    <row r="33" spans="1:14" ht="15.75" hidden="1" customHeight="1">
      <c r="A33" s="207"/>
      <c r="B33" s="175" t="s">
        <v>200</v>
      </c>
      <c r="C33" s="210" t="s">
        <v>36</v>
      </c>
      <c r="D33" s="175" t="s">
        <v>83</v>
      </c>
      <c r="E33" s="211"/>
      <c r="F33" s="212">
        <v>2</v>
      </c>
      <c r="G33" s="212">
        <v>1136.33</v>
      </c>
      <c r="H33" s="213">
        <f t="shared" si="2"/>
        <v>2.2726599999999997</v>
      </c>
      <c r="I33" s="20">
        <v>0</v>
      </c>
      <c r="J33" s="36"/>
      <c r="K33" s="10"/>
      <c r="L33" s="10"/>
      <c r="M33" s="10"/>
    </row>
    <row r="34" spans="1:14" ht="15.75" hidden="1" customHeight="1">
      <c r="A34" s="252" t="s">
        <v>236</v>
      </c>
      <c r="B34" s="253"/>
      <c r="C34" s="253"/>
      <c r="D34" s="253"/>
      <c r="E34" s="253"/>
      <c r="F34" s="253"/>
      <c r="G34" s="253"/>
      <c r="H34" s="253"/>
      <c r="I34" s="254"/>
      <c r="J34" s="36"/>
      <c r="K34" s="10"/>
      <c r="L34" s="10"/>
      <c r="M34" s="10"/>
    </row>
    <row r="35" spans="1:14" ht="15.75" hidden="1" customHeight="1">
      <c r="A35" s="50">
        <v>6</v>
      </c>
      <c r="B35" s="175" t="s">
        <v>30</v>
      </c>
      <c r="C35" s="210" t="s">
        <v>36</v>
      </c>
      <c r="D35" s="175"/>
      <c r="E35" s="211"/>
      <c r="F35" s="212">
        <v>8</v>
      </c>
      <c r="G35" s="212">
        <v>1527.22</v>
      </c>
      <c r="H35" s="213">
        <f t="shared" ref="H35:H42" si="4">SUM(F35*G35/1000)</f>
        <v>12.21776</v>
      </c>
      <c r="I35" s="20">
        <f>F35/6*G35</f>
        <v>2036.2933333333333</v>
      </c>
      <c r="J35" s="36"/>
      <c r="K35" s="10"/>
      <c r="L35" s="10"/>
      <c r="M35" s="10"/>
    </row>
    <row r="36" spans="1:14" ht="15.75" hidden="1" customHeight="1">
      <c r="A36" s="50">
        <v>7</v>
      </c>
      <c r="B36" s="175" t="s">
        <v>136</v>
      </c>
      <c r="C36" s="210" t="s">
        <v>33</v>
      </c>
      <c r="D36" s="175" t="s">
        <v>201</v>
      </c>
      <c r="E36" s="211">
        <v>269.5</v>
      </c>
      <c r="F36" s="212">
        <f>E36*12/1000</f>
        <v>3.234</v>
      </c>
      <c r="G36" s="212">
        <v>2102.71</v>
      </c>
      <c r="H36" s="213">
        <f>G36*F36/1000</f>
        <v>6.8001641399999997</v>
      </c>
      <c r="I36" s="20">
        <f>F36/6*G36</f>
        <v>1133.3606900000002</v>
      </c>
      <c r="J36" s="36"/>
      <c r="K36" s="10"/>
      <c r="L36" s="10"/>
      <c r="M36" s="10"/>
    </row>
    <row r="37" spans="1:14" ht="15.75" hidden="1" customHeight="1">
      <c r="A37" s="50">
        <v>8</v>
      </c>
      <c r="B37" s="175" t="s">
        <v>202</v>
      </c>
      <c r="C37" s="210" t="s">
        <v>33</v>
      </c>
      <c r="D37" s="175" t="s">
        <v>203</v>
      </c>
      <c r="E37" s="211">
        <v>60</v>
      </c>
      <c r="F37" s="212">
        <f>E37*30/1000</f>
        <v>1.8</v>
      </c>
      <c r="G37" s="212">
        <v>2102.71</v>
      </c>
      <c r="H37" s="213">
        <f>G37*F37/1000</f>
        <v>3.784878</v>
      </c>
      <c r="I37" s="20">
        <f>F37/6*G37</f>
        <v>630.81299999999999</v>
      </c>
      <c r="J37" s="36"/>
      <c r="K37" s="10"/>
      <c r="L37" s="10"/>
      <c r="M37" s="10"/>
    </row>
    <row r="38" spans="1:14" ht="15.75" hidden="1" customHeight="1">
      <c r="A38" s="50"/>
      <c r="B38" s="175" t="s">
        <v>204</v>
      </c>
      <c r="C38" s="210" t="s">
        <v>205</v>
      </c>
      <c r="D38" s="175" t="s">
        <v>83</v>
      </c>
      <c r="E38" s="211"/>
      <c r="F38" s="212">
        <v>100</v>
      </c>
      <c r="G38" s="212">
        <v>213.2</v>
      </c>
      <c r="H38" s="213">
        <f>G38*F38/1000</f>
        <v>21.32</v>
      </c>
      <c r="I38" s="20">
        <v>0</v>
      </c>
      <c r="J38" s="36"/>
      <c r="K38" s="10"/>
      <c r="L38" s="10"/>
      <c r="M38" s="10"/>
    </row>
    <row r="39" spans="1:14" ht="15.75" hidden="1" customHeight="1">
      <c r="A39" s="50">
        <v>9</v>
      </c>
      <c r="B39" s="175" t="s">
        <v>84</v>
      </c>
      <c r="C39" s="210" t="s">
        <v>33</v>
      </c>
      <c r="D39" s="175" t="s">
        <v>206</v>
      </c>
      <c r="E39" s="212">
        <v>65.33</v>
      </c>
      <c r="F39" s="212">
        <f>SUM(E39*155/1000)</f>
        <v>10.126149999999999</v>
      </c>
      <c r="G39" s="212">
        <v>350.75</v>
      </c>
      <c r="H39" s="213">
        <f t="shared" si="4"/>
        <v>3.5517471124999997</v>
      </c>
      <c r="I39" s="20">
        <f>F39/6*G39</f>
        <v>591.95785208333325</v>
      </c>
      <c r="J39" s="36"/>
      <c r="K39" s="10"/>
      <c r="L39" s="10"/>
      <c r="M39" s="10"/>
    </row>
    <row r="40" spans="1:14" ht="47.25" hidden="1" customHeight="1">
      <c r="A40" s="50">
        <v>10</v>
      </c>
      <c r="B40" s="175" t="s">
        <v>110</v>
      </c>
      <c r="C40" s="210" t="s">
        <v>165</v>
      </c>
      <c r="D40" s="175" t="s">
        <v>207</v>
      </c>
      <c r="E40" s="212">
        <v>65.33</v>
      </c>
      <c r="F40" s="212">
        <f>SUM(E40*24/1000)</f>
        <v>1.56792</v>
      </c>
      <c r="G40" s="212">
        <v>5803.28</v>
      </c>
      <c r="H40" s="213">
        <f t="shared" si="4"/>
        <v>9.0990787775999991</v>
      </c>
      <c r="I40" s="20">
        <f>F40/6*G40</f>
        <v>1516.5131296</v>
      </c>
      <c r="J40" s="36"/>
      <c r="K40" s="10"/>
      <c r="L40" s="10"/>
      <c r="M40" s="10"/>
    </row>
    <row r="41" spans="1:14" ht="15.75" hidden="1" customHeight="1">
      <c r="A41" s="50">
        <v>11</v>
      </c>
      <c r="B41" s="175" t="s">
        <v>208</v>
      </c>
      <c r="C41" s="210" t="s">
        <v>165</v>
      </c>
      <c r="D41" s="175" t="s">
        <v>85</v>
      </c>
      <c r="E41" s="212">
        <v>65.33</v>
      </c>
      <c r="F41" s="212">
        <f>SUM(E41*45/1000)</f>
        <v>2.9398499999999999</v>
      </c>
      <c r="G41" s="212">
        <v>428.7</v>
      </c>
      <c r="H41" s="213">
        <f t="shared" si="4"/>
        <v>1.2603136949999998</v>
      </c>
      <c r="I41" s="20">
        <f>F41/6*G41</f>
        <v>210.05228249999999</v>
      </c>
      <c r="J41" s="36"/>
      <c r="K41" s="10"/>
    </row>
    <row r="42" spans="1:14" ht="15.75" hidden="1" customHeight="1">
      <c r="A42" s="50">
        <v>12</v>
      </c>
      <c r="B42" s="175" t="s">
        <v>86</v>
      </c>
      <c r="C42" s="210" t="s">
        <v>37</v>
      </c>
      <c r="D42" s="175"/>
      <c r="E42" s="211"/>
      <c r="F42" s="212">
        <v>0.8</v>
      </c>
      <c r="G42" s="212">
        <v>798</v>
      </c>
      <c r="H42" s="213">
        <f t="shared" si="4"/>
        <v>0.63840000000000008</v>
      </c>
      <c r="I42" s="20">
        <f>F42/6*G42</f>
        <v>106.39999999999999</v>
      </c>
      <c r="J42" s="37"/>
    </row>
    <row r="43" spans="1:14" ht="15.75" hidden="1" customHeight="1">
      <c r="A43" s="252" t="s">
        <v>238</v>
      </c>
      <c r="B43" s="255"/>
      <c r="C43" s="255"/>
      <c r="D43" s="255"/>
      <c r="E43" s="255"/>
      <c r="F43" s="255"/>
      <c r="G43" s="255"/>
      <c r="H43" s="255"/>
      <c r="I43" s="256"/>
      <c r="J43" s="37"/>
    </row>
    <row r="44" spans="1:14" ht="15.75" hidden="1" customHeight="1">
      <c r="A44" s="50"/>
      <c r="B44" s="175" t="s">
        <v>209</v>
      </c>
      <c r="C44" s="210" t="s">
        <v>165</v>
      </c>
      <c r="D44" s="175" t="s">
        <v>52</v>
      </c>
      <c r="E44" s="211">
        <v>1114.75</v>
      </c>
      <c r="F44" s="212">
        <f>SUM(E44*2/1000)</f>
        <v>2.2294999999999998</v>
      </c>
      <c r="G44" s="20">
        <v>809.74</v>
      </c>
      <c r="H44" s="213">
        <f t="shared" ref="H44:H54" si="5">SUM(F44*G44/1000)</f>
        <v>1.80531533</v>
      </c>
      <c r="I44" s="20">
        <v>0</v>
      </c>
      <c r="J44" s="37"/>
    </row>
    <row r="45" spans="1:14" ht="15.75" hidden="1" customHeight="1">
      <c r="A45" s="206"/>
      <c r="B45" s="175" t="s">
        <v>41</v>
      </c>
      <c r="C45" s="210" t="s">
        <v>165</v>
      </c>
      <c r="D45" s="175" t="s">
        <v>52</v>
      </c>
      <c r="E45" s="211">
        <v>88</v>
      </c>
      <c r="F45" s="212">
        <f>E45*2/1000</f>
        <v>0.17599999999999999</v>
      </c>
      <c r="G45" s="20">
        <v>579.48</v>
      </c>
      <c r="H45" s="213">
        <f t="shared" si="5"/>
        <v>0.10198847999999999</v>
      </c>
      <c r="I45" s="20">
        <v>0</v>
      </c>
      <c r="J45" s="37"/>
    </row>
    <row r="46" spans="1:14" ht="15.75" hidden="1" customHeight="1">
      <c r="A46" s="205"/>
      <c r="B46" s="175" t="s">
        <v>42</v>
      </c>
      <c r="C46" s="210" t="s">
        <v>165</v>
      </c>
      <c r="D46" s="175" t="s">
        <v>52</v>
      </c>
      <c r="E46" s="211">
        <v>1250.6199999999999</v>
      </c>
      <c r="F46" s="212">
        <f>SUM(E46*2/1000)</f>
        <v>2.5012399999999997</v>
      </c>
      <c r="G46" s="20">
        <v>579.48</v>
      </c>
      <c r="H46" s="213">
        <f t="shared" si="5"/>
        <v>1.4494185551999998</v>
      </c>
      <c r="I46" s="20">
        <v>0</v>
      </c>
      <c r="J46" s="37"/>
    </row>
    <row r="47" spans="1:14" ht="15.75" hidden="1" customHeight="1">
      <c r="A47" s="50"/>
      <c r="B47" s="175" t="s">
        <v>43</v>
      </c>
      <c r="C47" s="210" t="s">
        <v>165</v>
      </c>
      <c r="D47" s="175" t="s">
        <v>52</v>
      </c>
      <c r="E47" s="211">
        <v>1295.68</v>
      </c>
      <c r="F47" s="212">
        <f>SUM(E47*2/1000)</f>
        <v>2.5913600000000003</v>
      </c>
      <c r="G47" s="20">
        <v>606.77</v>
      </c>
      <c r="H47" s="213">
        <f t="shared" si="5"/>
        <v>1.5723595072000001</v>
      </c>
      <c r="I47" s="20">
        <v>0</v>
      </c>
      <c r="J47" s="37"/>
    </row>
    <row r="48" spans="1:14" ht="15.75" hidden="1" customHeight="1">
      <c r="A48" s="50"/>
      <c r="B48" s="175" t="s">
        <v>39</v>
      </c>
      <c r="C48" s="210" t="s">
        <v>40</v>
      </c>
      <c r="D48" s="175" t="s">
        <v>52</v>
      </c>
      <c r="E48" s="211">
        <v>85.84</v>
      </c>
      <c r="F48" s="212">
        <f>E48*2/100</f>
        <v>1.7168000000000001</v>
      </c>
      <c r="G48" s="20">
        <v>72.81</v>
      </c>
      <c r="H48" s="213">
        <f>G48*F48/1000</f>
        <v>0.125000208</v>
      </c>
      <c r="I48" s="20">
        <v>0</v>
      </c>
      <c r="J48" s="37"/>
      <c r="L48" s="28"/>
      <c r="M48" s="29"/>
      <c r="N48" s="30"/>
    </row>
    <row r="49" spans="1:14" ht="31.5" hidden="1" customHeight="1">
      <c r="A49" s="50">
        <v>13</v>
      </c>
      <c r="B49" s="175" t="s">
        <v>72</v>
      </c>
      <c r="C49" s="210" t="s">
        <v>165</v>
      </c>
      <c r="D49" s="175" t="s">
        <v>237</v>
      </c>
      <c r="E49" s="211">
        <v>891.8</v>
      </c>
      <c r="F49" s="212">
        <f>SUM(E49*5/1000)</f>
        <v>4.4589999999999996</v>
      </c>
      <c r="G49" s="20">
        <v>1213.55</v>
      </c>
      <c r="H49" s="213">
        <f t="shared" si="5"/>
        <v>5.4112194499999999</v>
      </c>
      <c r="I49" s="20">
        <f>F49/5*G49</f>
        <v>1082.24389</v>
      </c>
      <c r="J49" s="37"/>
      <c r="L49" s="28"/>
      <c r="M49" s="29"/>
      <c r="N49" s="30"/>
    </row>
    <row r="50" spans="1:14" ht="31.5" hidden="1" customHeight="1">
      <c r="A50" s="171"/>
      <c r="B50" s="175" t="s">
        <v>210</v>
      </c>
      <c r="C50" s="210" t="s">
        <v>165</v>
      </c>
      <c r="D50" s="175" t="s">
        <v>52</v>
      </c>
      <c r="E50" s="211">
        <v>891.8</v>
      </c>
      <c r="F50" s="212">
        <f>SUM(E50*2/1000)</f>
        <v>1.7835999999999999</v>
      </c>
      <c r="G50" s="20">
        <v>1213.55</v>
      </c>
      <c r="H50" s="213">
        <f t="shared" si="5"/>
        <v>2.16448778</v>
      </c>
      <c r="I50" s="20">
        <v>0</v>
      </c>
      <c r="J50" s="37"/>
      <c r="L50" s="28"/>
      <c r="M50" s="29"/>
      <c r="N50" s="30"/>
    </row>
    <row r="51" spans="1:14" ht="31.5" hidden="1" customHeight="1">
      <c r="A51" s="171"/>
      <c r="B51" s="175" t="s">
        <v>211</v>
      </c>
      <c r="C51" s="210" t="s">
        <v>46</v>
      </c>
      <c r="D51" s="175" t="s">
        <v>52</v>
      </c>
      <c r="E51" s="211">
        <v>16</v>
      </c>
      <c r="F51" s="212">
        <f>SUM(E51*2/100)</f>
        <v>0.32</v>
      </c>
      <c r="G51" s="20">
        <v>2730.49</v>
      </c>
      <c r="H51" s="213">
        <f t="shared" si="5"/>
        <v>0.8737568</v>
      </c>
      <c r="I51" s="20">
        <v>0</v>
      </c>
      <c r="J51" s="37"/>
      <c r="L51" s="28"/>
      <c r="M51" s="29"/>
      <c r="N51" s="30"/>
    </row>
    <row r="52" spans="1:14" ht="15.75" hidden="1" customHeight="1">
      <c r="A52" s="171"/>
      <c r="B52" s="175" t="s">
        <v>47</v>
      </c>
      <c r="C52" s="210" t="s">
        <v>48</v>
      </c>
      <c r="D52" s="175" t="s">
        <v>52</v>
      </c>
      <c r="E52" s="211">
        <v>1</v>
      </c>
      <c r="F52" s="212">
        <v>0.02</v>
      </c>
      <c r="G52" s="20">
        <v>5652.13</v>
      </c>
      <c r="H52" s="213">
        <f t="shared" si="5"/>
        <v>0.11304260000000001</v>
      </c>
      <c r="I52" s="20">
        <v>0</v>
      </c>
      <c r="J52" s="37"/>
      <c r="L52" s="28"/>
      <c r="M52" s="29"/>
      <c r="N52" s="30"/>
    </row>
    <row r="53" spans="1:14" ht="15.75" hidden="1" customHeight="1">
      <c r="A53" s="171">
        <v>14</v>
      </c>
      <c r="B53" s="175" t="s">
        <v>212</v>
      </c>
      <c r="C53" s="210" t="s">
        <v>144</v>
      </c>
      <c r="D53" s="175" t="s">
        <v>87</v>
      </c>
      <c r="E53" s="211">
        <v>60</v>
      </c>
      <c r="F53" s="212">
        <f>E53*3</f>
        <v>180</v>
      </c>
      <c r="G53" s="20">
        <v>141.12</v>
      </c>
      <c r="H53" s="213">
        <f>F53*G53/1000</f>
        <v>25.401600000000002</v>
      </c>
      <c r="I53" s="20">
        <f>E53*G53</f>
        <v>8467.2000000000007</v>
      </c>
      <c r="J53" s="37"/>
      <c r="L53" s="28"/>
      <c r="M53" s="29"/>
      <c r="N53" s="30"/>
    </row>
    <row r="54" spans="1:14" ht="15.75" hidden="1" customHeight="1">
      <c r="A54" s="171">
        <v>15</v>
      </c>
      <c r="B54" s="175" t="s">
        <v>51</v>
      </c>
      <c r="C54" s="210" t="s">
        <v>144</v>
      </c>
      <c r="D54" s="175" t="s">
        <v>87</v>
      </c>
      <c r="E54" s="211">
        <v>120</v>
      </c>
      <c r="F54" s="212">
        <f>SUM(E54)*3</f>
        <v>360</v>
      </c>
      <c r="G54" s="20">
        <v>65.67</v>
      </c>
      <c r="H54" s="213">
        <f t="shared" si="5"/>
        <v>23.641200000000001</v>
      </c>
      <c r="I54" s="20">
        <f>E54*G54</f>
        <v>7880.4000000000005</v>
      </c>
      <c r="J54" s="37"/>
      <c r="L54" s="28"/>
      <c r="M54" s="29"/>
      <c r="N54" s="30"/>
    </row>
    <row r="55" spans="1:14" ht="15.75" hidden="1" customHeight="1">
      <c r="A55" s="252" t="s">
        <v>239</v>
      </c>
      <c r="B55" s="257"/>
      <c r="C55" s="257"/>
      <c r="D55" s="257"/>
      <c r="E55" s="257"/>
      <c r="F55" s="257"/>
      <c r="G55" s="257"/>
      <c r="H55" s="257"/>
      <c r="I55" s="258"/>
      <c r="J55" s="37"/>
      <c r="L55" s="28"/>
      <c r="M55" s="29"/>
      <c r="N55" s="30"/>
    </row>
    <row r="56" spans="1:14" ht="15.75" hidden="1" customHeight="1">
      <c r="A56" s="171"/>
      <c r="B56" s="233" t="s">
        <v>53</v>
      </c>
      <c r="C56" s="210"/>
      <c r="D56" s="175"/>
      <c r="E56" s="211"/>
      <c r="F56" s="212"/>
      <c r="G56" s="212"/>
      <c r="H56" s="213"/>
      <c r="I56" s="20"/>
      <c r="J56" s="37"/>
      <c r="L56" s="28"/>
      <c r="M56" s="29"/>
      <c r="N56" s="30"/>
    </row>
    <row r="57" spans="1:14" ht="31.5" hidden="1" customHeight="1">
      <c r="A57" s="171">
        <v>16</v>
      </c>
      <c r="B57" s="175" t="s">
        <v>213</v>
      </c>
      <c r="C57" s="210" t="s">
        <v>156</v>
      </c>
      <c r="D57" s="175" t="s">
        <v>214</v>
      </c>
      <c r="E57" s="211">
        <v>112.68</v>
      </c>
      <c r="F57" s="212">
        <f>SUM(E57*6/100)</f>
        <v>6.7608000000000006</v>
      </c>
      <c r="G57" s="20">
        <v>1547.28</v>
      </c>
      <c r="H57" s="213">
        <f>SUM(F57*G57/1000)</f>
        <v>10.460850624000001</v>
      </c>
      <c r="I57" s="20">
        <f>F57/6*G57</f>
        <v>1743.4751040000001</v>
      </c>
      <c r="J57" s="37"/>
      <c r="L57" s="28"/>
      <c r="M57" s="29"/>
      <c r="N57" s="30"/>
    </row>
    <row r="58" spans="1:14" ht="15.75" hidden="1" customHeight="1">
      <c r="A58" s="171"/>
      <c r="B58" s="232" t="s">
        <v>54</v>
      </c>
      <c r="C58" s="220"/>
      <c r="D58" s="219"/>
      <c r="E58" s="221"/>
      <c r="F58" s="222"/>
      <c r="G58" s="20"/>
      <c r="H58" s="223"/>
      <c r="I58" s="20"/>
      <c r="J58" s="37"/>
      <c r="L58" s="28"/>
      <c r="M58" s="29"/>
      <c r="N58" s="30"/>
    </row>
    <row r="59" spans="1:14" ht="15.75" hidden="1" customHeight="1">
      <c r="A59" s="206"/>
      <c r="B59" s="219" t="s">
        <v>215</v>
      </c>
      <c r="C59" s="220" t="s">
        <v>65</v>
      </c>
      <c r="D59" s="219" t="s">
        <v>66</v>
      </c>
      <c r="E59" s="221">
        <v>897</v>
      </c>
      <c r="F59" s="222">
        <v>8.9700000000000006</v>
      </c>
      <c r="G59" s="20">
        <v>793.61</v>
      </c>
      <c r="H59" s="223">
        <f>F59*G59/1000</f>
        <v>7.1186817000000007</v>
      </c>
      <c r="I59" s="20">
        <v>0</v>
      </c>
      <c r="J59" s="37"/>
      <c r="L59" s="28"/>
      <c r="M59" s="29"/>
      <c r="N59" s="30"/>
    </row>
    <row r="60" spans="1:14" ht="15.75" hidden="1" customHeight="1">
      <c r="A60" s="50"/>
      <c r="B60" s="232" t="s">
        <v>56</v>
      </c>
      <c r="C60" s="220"/>
      <c r="D60" s="219"/>
      <c r="E60" s="221"/>
      <c r="F60" s="224"/>
      <c r="G60" s="224"/>
      <c r="H60" s="222" t="s">
        <v>177</v>
      </c>
      <c r="I60" s="20"/>
      <c r="J60" s="37"/>
      <c r="L60" s="28"/>
      <c r="M60" s="29"/>
      <c r="N60" s="30"/>
    </row>
    <row r="61" spans="1:14" ht="15.75" hidden="1" customHeight="1">
      <c r="A61" s="171"/>
      <c r="B61" s="22" t="s">
        <v>57</v>
      </c>
      <c r="C61" s="24" t="s">
        <v>144</v>
      </c>
      <c r="D61" s="22" t="s">
        <v>199</v>
      </c>
      <c r="E61" s="26">
        <v>15</v>
      </c>
      <c r="F61" s="212">
        <v>15</v>
      </c>
      <c r="G61" s="20">
        <v>222.4</v>
      </c>
      <c r="H61" s="225">
        <f t="shared" ref="H61:H76" si="6">SUM(F61*G61/1000)</f>
        <v>3.3359999999999999</v>
      </c>
      <c r="I61" s="20">
        <v>0</v>
      </c>
      <c r="J61" s="37"/>
      <c r="L61" s="28"/>
      <c r="M61" s="29"/>
      <c r="N61" s="30"/>
    </row>
    <row r="62" spans="1:14" ht="15.75" hidden="1" customHeight="1">
      <c r="A62" s="171"/>
      <c r="B62" s="22" t="s">
        <v>58</v>
      </c>
      <c r="C62" s="24" t="s">
        <v>144</v>
      </c>
      <c r="D62" s="22" t="s">
        <v>199</v>
      </c>
      <c r="E62" s="26">
        <v>5</v>
      </c>
      <c r="F62" s="212">
        <v>5</v>
      </c>
      <c r="G62" s="20">
        <v>76.25</v>
      </c>
      <c r="H62" s="225">
        <f t="shared" si="6"/>
        <v>0.38124999999999998</v>
      </c>
      <c r="I62" s="20">
        <v>0</v>
      </c>
      <c r="J62" s="37"/>
      <c r="L62" s="28"/>
      <c r="M62" s="29"/>
      <c r="N62" s="30"/>
    </row>
    <row r="63" spans="1:14" ht="15.75" hidden="1" customHeight="1">
      <c r="A63" s="171"/>
      <c r="B63" s="22" t="s">
        <v>59</v>
      </c>
      <c r="C63" s="24" t="s">
        <v>168</v>
      </c>
      <c r="D63" s="22" t="s">
        <v>66</v>
      </c>
      <c r="E63" s="211">
        <v>10059</v>
      </c>
      <c r="F63" s="20">
        <f>SUM(E63/100)</f>
        <v>100.59</v>
      </c>
      <c r="G63" s="20">
        <v>212.15</v>
      </c>
      <c r="H63" s="225">
        <f t="shared" si="6"/>
        <v>21.340168500000001</v>
      </c>
      <c r="I63" s="20">
        <v>0</v>
      </c>
      <c r="J63" s="37"/>
      <c r="L63" s="28"/>
      <c r="M63" s="29"/>
      <c r="N63" s="30"/>
    </row>
    <row r="64" spans="1:14" ht="15.75" hidden="1" customHeight="1">
      <c r="A64" s="171"/>
      <c r="B64" s="22" t="s">
        <v>60</v>
      </c>
      <c r="C64" s="24" t="s">
        <v>169</v>
      </c>
      <c r="D64" s="22"/>
      <c r="E64" s="211">
        <v>10059</v>
      </c>
      <c r="F64" s="20">
        <f>SUM(E64/1000)</f>
        <v>10.058999999999999</v>
      </c>
      <c r="G64" s="20">
        <v>165.21</v>
      </c>
      <c r="H64" s="225">
        <f t="shared" si="6"/>
        <v>1.6618473899999999</v>
      </c>
      <c r="I64" s="20">
        <v>0</v>
      </c>
      <c r="J64" s="37"/>
      <c r="L64" s="28"/>
      <c r="M64" s="29"/>
      <c r="N64" s="30"/>
    </row>
    <row r="65" spans="1:14" ht="15.75" hidden="1" customHeight="1">
      <c r="A65" s="171"/>
      <c r="B65" s="22" t="s">
        <v>61</v>
      </c>
      <c r="C65" s="24" t="s">
        <v>94</v>
      </c>
      <c r="D65" s="22" t="s">
        <v>66</v>
      </c>
      <c r="E65" s="211">
        <v>2200</v>
      </c>
      <c r="F65" s="20">
        <f>SUM(E65/100)</f>
        <v>22</v>
      </c>
      <c r="G65" s="20">
        <v>2074.63</v>
      </c>
      <c r="H65" s="225">
        <f t="shared" si="6"/>
        <v>45.641860000000001</v>
      </c>
      <c r="I65" s="20">
        <v>0</v>
      </c>
      <c r="J65" s="37"/>
      <c r="L65" s="28"/>
      <c r="M65" s="29"/>
      <c r="N65" s="30"/>
    </row>
    <row r="66" spans="1:14" ht="15.75" hidden="1" customHeight="1">
      <c r="A66" s="171"/>
      <c r="B66" s="226" t="s">
        <v>170</v>
      </c>
      <c r="C66" s="24" t="s">
        <v>37</v>
      </c>
      <c r="D66" s="22"/>
      <c r="E66" s="211">
        <v>9.4</v>
      </c>
      <c r="F66" s="20">
        <f>SUM(E66)</f>
        <v>9.4</v>
      </c>
      <c r="G66" s="20">
        <v>42.67</v>
      </c>
      <c r="H66" s="225">
        <f t="shared" si="6"/>
        <v>0.40109800000000001</v>
      </c>
      <c r="I66" s="20">
        <v>0</v>
      </c>
      <c r="J66" s="37"/>
      <c r="L66" s="28"/>
      <c r="M66" s="29"/>
      <c r="N66" s="30"/>
    </row>
    <row r="67" spans="1:14" ht="15.75" hidden="1" customHeight="1">
      <c r="A67" s="171"/>
      <c r="B67" s="226" t="s">
        <v>171</v>
      </c>
      <c r="C67" s="24" t="s">
        <v>37</v>
      </c>
      <c r="D67" s="22"/>
      <c r="E67" s="211">
        <v>9.4</v>
      </c>
      <c r="F67" s="20">
        <f>SUM(E67)</f>
        <v>9.4</v>
      </c>
      <c r="G67" s="20">
        <v>39.81</v>
      </c>
      <c r="H67" s="225">
        <f t="shared" si="6"/>
        <v>0.37421400000000005</v>
      </c>
      <c r="I67" s="20">
        <v>0</v>
      </c>
      <c r="J67" s="37"/>
      <c r="L67" s="28"/>
      <c r="M67" s="29"/>
      <c r="N67" s="30"/>
    </row>
    <row r="68" spans="1:14" ht="15.75" hidden="1" customHeight="1">
      <c r="A68" s="171"/>
      <c r="B68" s="22" t="s">
        <v>73</v>
      </c>
      <c r="C68" s="24" t="s">
        <v>74</v>
      </c>
      <c r="D68" s="22" t="s">
        <v>66</v>
      </c>
      <c r="E68" s="26">
        <v>5</v>
      </c>
      <c r="F68" s="212">
        <v>5</v>
      </c>
      <c r="G68" s="20">
        <v>49.88</v>
      </c>
      <c r="H68" s="225">
        <f t="shared" si="6"/>
        <v>0.24940000000000001</v>
      </c>
      <c r="I68" s="20">
        <v>0</v>
      </c>
      <c r="J68" s="37"/>
      <c r="L68" s="28"/>
      <c r="M68" s="29"/>
      <c r="N68" s="30"/>
    </row>
    <row r="69" spans="1:14" ht="15.75" hidden="1" customHeight="1">
      <c r="A69" s="171"/>
      <c r="B69" s="201" t="s">
        <v>88</v>
      </c>
      <c r="C69" s="24"/>
      <c r="D69" s="22"/>
      <c r="E69" s="26"/>
      <c r="F69" s="20"/>
      <c r="G69" s="20"/>
      <c r="H69" s="225" t="s">
        <v>177</v>
      </c>
      <c r="I69" s="20"/>
      <c r="J69" s="37"/>
      <c r="L69" s="28"/>
      <c r="M69" s="29"/>
      <c r="N69" s="30"/>
    </row>
    <row r="70" spans="1:14" ht="15.75" hidden="1" customHeight="1">
      <c r="A70" s="171"/>
      <c r="B70" s="22" t="s">
        <v>89</v>
      </c>
      <c r="C70" s="24" t="s">
        <v>91</v>
      </c>
      <c r="D70" s="22"/>
      <c r="E70" s="26">
        <v>3</v>
      </c>
      <c r="F70" s="20">
        <v>0.3</v>
      </c>
      <c r="G70" s="20">
        <v>501.62</v>
      </c>
      <c r="H70" s="225">
        <f t="shared" si="6"/>
        <v>0.15048599999999998</v>
      </c>
      <c r="I70" s="20">
        <v>0</v>
      </c>
      <c r="J70" s="37"/>
      <c r="L70" s="28"/>
      <c r="M70" s="29"/>
      <c r="N70" s="30"/>
    </row>
    <row r="71" spans="1:14" ht="15.75" hidden="1" customHeight="1">
      <c r="A71" s="50"/>
      <c r="B71" s="22" t="s">
        <v>90</v>
      </c>
      <c r="C71" s="24" t="s">
        <v>35</v>
      </c>
      <c r="D71" s="22"/>
      <c r="E71" s="26">
        <v>1</v>
      </c>
      <c r="F71" s="202">
        <v>1</v>
      </c>
      <c r="G71" s="20">
        <v>852.99</v>
      </c>
      <c r="H71" s="225">
        <f>F71*G71/1000</f>
        <v>0.85299000000000003</v>
      </c>
      <c r="I71" s="20">
        <v>0</v>
      </c>
      <c r="J71" s="37"/>
      <c r="L71" s="28"/>
      <c r="M71" s="29"/>
      <c r="N71" s="30"/>
    </row>
    <row r="72" spans="1:14" ht="15.75" hidden="1" customHeight="1">
      <c r="A72" s="206"/>
      <c r="B72" s="22" t="s">
        <v>172</v>
      </c>
      <c r="C72" s="24" t="s">
        <v>35</v>
      </c>
      <c r="D72" s="22"/>
      <c r="E72" s="26">
        <v>1</v>
      </c>
      <c r="F72" s="20">
        <v>1</v>
      </c>
      <c r="G72" s="20">
        <v>358.51</v>
      </c>
      <c r="H72" s="225">
        <f>G72*F72/1000</f>
        <v>0.35851</v>
      </c>
      <c r="I72" s="20">
        <v>0</v>
      </c>
      <c r="J72" s="37"/>
      <c r="L72" s="28"/>
      <c r="M72" s="29"/>
      <c r="N72" s="30"/>
    </row>
    <row r="73" spans="1:14" ht="15.75" hidden="1" customHeight="1">
      <c r="A73" s="171"/>
      <c r="B73" s="22" t="s">
        <v>173</v>
      </c>
      <c r="C73" s="24" t="s">
        <v>35</v>
      </c>
      <c r="D73" s="22"/>
      <c r="E73" s="26">
        <v>2</v>
      </c>
      <c r="F73" s="20">
        <v>2</v>
      </c>
      <c r="G73" s="20">
        <v>784.67</v>
      </c>
      <c r="H73" s="225">
        <f>G73*F73/1000</f>
        <v>1.56934</v>
      </c>
      <c r="I73" s="20">
        <v>0</v>
      </c>
      <c r="J73" s="37"/>
      <c r="L73" s="28"/>
      <c r="M73" s="29"/>
      <c r="N73" s="30"/>
    </row>
    <row r="74" spans="1:14" ht="15.75" hidden="1" customHeight="1">
      <c r="A74" s="171"/>
      <c r="B74" s="22" t="s">
        <v>174</v>
      </c>
      <c r="C74" s="24" t="s">
        <v>175</v>
      </c>
      <c r="D74" s="22"/>
      <c r="E74" s="26">
        <v>2</v>
      </c>
      <c r="F74" s="20">
        <v>2</v>
      </c>
      <c r="G74" s="20">
        <v>1000</v>
      </c>
      <c r="H74" s="225">
        <f>G74*F74/1000</f>
        <v>2</v>
      </c>
      <c r="I74" s="20">
        <v>0</v>
      </c>
      <c r="J74" s="37"/>
      <c r="L74" s="28"/>
      <c r="M74" s="29"/>
      <c r="N74" s="30"/>
    </row>
    <row r="75" spans="1:14" ht="15.75" hidden="1" customHeight="1">
      <c r="A75" s="171"/>
      <c r="B75" s="234" t="s">
        <v>92</v>
      </c>
      <c r="C75" s="24"/>
      <c r="D75" s="22"/>
      <c r="E75" s="26"/>
      <c r="F75" s="20"/>
      <c r="G75" s="20" t="s">
        <v>177</v>
      </c>
      <c r="H75" s="225" t="s">
        <v>177</v>
      </c>
      <c r="I75" s="20"/>
      <c r="J75" s="37"/>
      <c r="L75" s="28"/>
      <c r="M75" s="29"/>
      <c r="N75" s="30"/>
    </row>
    <row r="76" spans="1:14" ht="15.75" hidden="1" customHeight="1">
      <c r="A76" s="171"/>
      <c r="B76" s="84" t="s">
        <v>93</v>
      </c>
      <c r="C76" s="24" t="s">
        <v>94</v>
      </c>
      <c r="D76" s="22"/>
      <c r="E76" s="26"/>
      <c r="F76" s="20">
        <v>1</v>
      </c>
      <c r="G76" s="20">
        <v>2579.44</v>
      </c>
      <c r="H76" s="225">
        <f t="shared" si="6"/>
        <v>2.57944</v>
      </c>
      <c r="I76" s="20">
        <v>0</v>
      </c>
      <c r="J76" s="37"/>
      <c r="L76" s="28"/>
      <c r="M76" s="29"/>
      <c r="N76" s="30"/>
    </row>
    <row r="77" spans="1:14" ht="15.75" hidden="1" customHeight="1">
      <c r="A77" s="171"/>
      <c r="B77" s="201" t="s">
        <v>166</v>
      </c>
      <c r="C77" s="24"/>
      <c r="D77" s="22"/>
      <c r="E77" s="26"/>
      <c r="F77" s="20"/>
      <c r="G77" s="20"/>
      <c r="H77" s="225">
        <f>SUM(H57:H76)</f>
        <v>98.476136213999993</v>
      </c>
      <c r="I77" s="20"/>
      <c r="J77" s="37"/>
      <c r="L77" s="28"/>
      <c r="M77" s="29"/>
      <c r="N77" s="30"/>
    </row>
    <row r="78" spans="1:14" ht="15.75" hidden="1" customHeight="1">
      <c r="A78" s="171"/>
      <c r="B78" s="175" t="s">
        <v>167</v>
      </c>
      <c r="C78" s="24"/>
      <c r="D78" s="22"/>
      <c r="E78" s="227"/>
      <c r="F78" s="20">
        <v>1</v>
      </c>
      <c r="G78" s="20">
        <v>20954</v>
      </c>
      <c r="H78" s="225">
        <f>G78*F78/1000</f>
        <v>20.954000000000001</v>
      </c>
      <c r="I78" s="20">
        <v>0</v>
      </c>
      <c r="J78" s="37"/>
      <c r="L78" s="28"/>
      <c r="M78" s="29"/>
      <c r="N78" s="30"/>
    </row>
    <row r="79" spans="1:14" ht="15.75" customHeight="1">
      <c r="A79" s="252" t="s">
        <v>256</v>
      </c>
      <c r="B79" s="262"/>
      <c r="C79" s="262"/>
      <c r="D79" s="262"/>
      <c r="E79" s="262"/>
      <c r="F79" s="262"/>
      <c r="G79" s="262"/>
      <c r="H79" s="262"/>
      <c r="I79" s="263"/>
      <c r="J79" s="37"/>
      <c r="L79" s="28"/>
      <c r="M79" s="29"/>
      <c r="N79" s="30"/>
    </row>
    <row r="80" spans="1:14" ht="15.75" customHeight="1">
      <c r="A80" s="171">
        <v>9</v>
      </c>
      <c r="B80" s="175" t="s">
        <v>216</v>
      </c>
      <c r="C80" s="24" t="s">
        <v>69</v>
      </c>
      <c r="D80" s="179" t="s">
        <v>70</v>
      </c>
      <c r="E80" s="20">
        <v>2566.6</v>
      </c>
      <c r="F80" s="20">
        <f>SUM(E80*12)</f>
        <v>30799.199999999997</v>
      </c>
      <c r="G80" s="20">
        <v>2.1</v>
      </c>
      <c r="H80" s="225">
        <f>SUM(F80*G80/1000)</f>
        <v>64.678319999999999</v>
      </c>
      <c r="I80" s="20">
        <f>F80/12*G80</f>
        <v>5389.86</v>
      </c>
      <c r="J80" s="37"/>
      <c r="L80" s="28"/>
      <c r="M80" s="29"/>
      <c r="N80" s="30"/>
    </row>
    <row r="81" spans="1:14" ht="31.5" customHeight="1">
      <c r="A81" s="171">
        <v>10</v>
      </c>
      <c r="B81" s="22" t="s">
        <v>95</v>
      </c>
      <c r="C81" s="24"/>
      <c r="D81" s="179" t="s">
        <v>70</v>
      </c>
      <c r="E81" s="211">
        <f>E80</f>
        <v>2566.6</v>
      </c>
      <c r="F81" s="20">
        <f>E81*12</f>
        <v>30799.199999999997</v>
      </c>
      <c r="G81" s="20">
        <v>1.63</v>
      </c>
      <c r="H81" s="225">
        <f>F81*G81/1000</f>
        <v>50.202695999999989</v>
      </c>
      <c r="I81" s="20">
        <f>F81/12*G81</f>
        <v>4183.558</v>
      </c>
      <c r="J81" s="37"/>
      <c r="L81" s="28"/>
      <c r="M81" s="29"/>
      <c r="N81" s="30"/>
    </row>
    <row r="82" spans="1:14" ht="15.75" customHeight="1">
      <c r="A82" s="171"/>
      <c r="B82" s="72" t="s">
        <v>100</v>
      </c>
      <c r="C82" s="24"/>
      <c r="D82" s="84"/>
      <c r="E82" s="20"/>
      <c r="F82" s="20"/>
      <c r="G82" s="20"/>
      <c r="H82" s="225">
        <f>H81</f>
        <v>50.202695999999989</v>
      </c>
      <c r="I82" s="235">
        <f>I15+I16+I17+I25+I26+I28+I29+I31+I80+I81</f>
        <v>30709.372199588888</v>
      </c>
      <c r="J82" s="37"/>
      <c r="L82" s="28"/>
      <c r="M82" s="29"/>
      <c r="N82" s="30"/>
    </row>
    <row r="83" spans="1:14" ht="15.75" customHeight="1">
      <c r="A83" s="171"/>
      <c r="B83" s="147" t="s">
        <v>75</v>
      </c>
      <c r="C83" s="24"/>
      <c r="D83" s="84"/>
      <c r="E83" s="20"/>
      <c r="F83" s="20"/>
      <c r="G83" s="20"/>
      <c r="H83" s="225" t="e">
        <f>SUM(H82+#REF!+H77+#REF!+#REF!+#REF!+#REF!)</f>
        <v>#REF!</v>
      </c>
      <c r="I83" s="20"/>
      <c r="J83" s="37"/>
      <c r="L83" s="28"/>
      <c r="M83" s="29"/>
      <c r="N83" s="30"/>
    </row>
    <row r="84" spans="1:14" ht="15.75" hidden="1" customHeight="1">
      <c r="A84" s="171"/>
      <c r="B84" s="148" t="s">
        <v>219</v>
      </c>
      <c r="C84" s="191" t="s">
        <v>102</v>
      </c>
      <c r="D84" s="22"/>
      <c r="E84" s="26"/>
      <c r="F84" s="20">
        <v>2</v>
      </c>
      <c r="G84" s="20">
        <v>2057</v>
      </c>
      <c r="H84" s="225">
        <f t="shared" ref="H84:H104" si="7">G84*F84/1000</f>
        <v>4.1139999999999999</v>
      </c>
      <c r="I84" s="229">
        <v>0</v>
      </c>
      <c r="J84" s="37"/>
      <c r="L84" s="28"/>
      <c r="M84" s="29"/>
      <c r="N84" s="30"/>
    </row>
    <row r="85" spans="1:14" ht="15.75" hidden="1" customHeight="1">
      <c r="A85" s="171"/>
      <c r="B85" s="148" t="s">
        <v>220</v>
      </c>
      <c r="C85" s="191" t="s">
        <v>221</v>
      </c>
      <c r="D85" s="22"/>
      <c r="E85" s="26"/>
      <c r="F85" s="20">
        <v>3</v>
      </c>
      <c r="G85" s="20">
        <v>195.95</v>
      </c>
      <c r="H85" s="225">
        <f t="shared" si="7"/>
        <v>0.58784999999999987</v>
      </c>
      <c r="I85" s="229">
        <v>0</v>
      </c>
      <c r="J85" s="37"/>
      <c r="L85" s="28"/>
      <c r="M85" s="29"/>
      <c r="N85" s="30"/>
    </row>
    <row r="86" spans="1:14" ht="15.75" hidden="1" customHeight="1">
      <c r="A86" s="171"/>
      <c r="B86" s="230" t="s">
        <v>222</v>
      </c>
      <c r="C86" s="50" t="s">
        <v>223</v>
      </c>
      <c r="D86" s="22"/>
      <c r="E86" s="26"/>
      <c r="F86" s="20">
        <v>1</v>
      </c>
      <c r="G86" s="20">
        <v>383.01</v>
      </c>
      <c r="H86" s="225">
        <f t="shared" si="7"/>
        <v>0.38301000000000002</v>
      </c>
      <c r="I86" s="229">
        <v>0</v>
      </c>
      <c r="J86" s="37"/>
      <c r="L86" s="28"/>
      <c r="M86" s="29"/>
      <c r="N86" s="30"/>
    </row>
    <row r="87" spans="1:14" ht="15.75" hidden="1" customHeight="1">
      <c r="A87" s="171"/>
      <c r="B87" s="189" t="s">
        <v>224</v>
      </c>
      <c r="C87" s="190" t="s">
        <v>143</v>
      </c>
      <c r="D87" s="22"/>
      <c r="E87" s="26"/>
      <c r="F87" s="20">
        <f>14/3</f>
        <v>4.666666666666667</v>
      </c>
      <c r="G87" s="20">
        <v>1063.47</v>
      </c>
      <c r="H87" s="225">
        <f t="shared" si="7"/>
        <v>4.9628600000000009</v>
      </c>
      <c r="I87" s="229">
        <v>0</v>
      </c>
      <c r="J87" s="37"/>
      <c r="L87" s="28"/>
      <c r="M87" s="29"/>
      <c r="N87" s="30"/>
    </row>
    <row r="88" spans="1:14" ht="15.75" hidden="1" customHeight="1">
      <c r="A88" s="171"/>
      <c r="B88" s="148" t="s">
        <v>225</v>
      </c>
      <c r="C88" s="228" t="s">
        <v>226</v>
      </c>
      <c r="D88" s="22"/>
      <c r="E88" s="26"/>
      <c r="F88" s="20">
        <v>1</v>
      </c>
      <c r="G88" s="20">
        <v>945.07</v>
      </c>
      <c r="H88" s="225">
        <f t="shared" si="7"/>
        <v>0.94507000000000008</v>
      </c>
      <c r="I88" s="229">
        <v>0</v>
      </c>
      <c r="J88" s="37"/>
      <c r="L88" s="28"/>
      <c r="M88" s="29"/>
      <c r="N88" s="30"/>
    </row>
    <row r="89" spans="1:14" ht="15.75" hidden="1" customHeight="1">
      <c r="A89" s="171"/>
      <c r="B89" s="148" t="s">
        <v>109</v>
      </c>
      <c r="C89" s="191" t="s">
        <v>46</v>
      </c>
      <c r="D89" s="22"/>
      <c r="E89" s="26"/>
      <c r="F89" s="20">
        <v>0.01</v>
      </c>
      <c r="G89" s="20">
        <v>3397.65</v>
      </c>
      <c r="H89" s="225">
        <f t="shared" si="7"/>
        <v>3.39765E-2</v>
      </c>
      <c r="I89" s="229">
        <v>0</v>
      </c>
      <c r="J89" s="37"/>
      <c r="L89" s="28"/>
      <c r="M89" s="29"/>
      <c r="N89" s="30"/>
    </row>
    <row r="90" spans="1:14" ht="15.75" hidden="1" customHeight="1">
      <c r="A90" s="171"/>
      <c r="B90" s="148" t="s">
        <v>227</v>
      </c>
      <c r="C90" s="191" t="s">
        <v>228</v>
      </c>
      <c r="D90" s="22"/>
      <c r="E90" s="26"/>
      <c r="F90" s="20">
        <v>0.01</v>
      </c>
      <c r="G90" s="20">
        <v>7033.13</v>
      </c>
      <c r="H90" s="225">
        <f t="shared" si="7"/>
        <v>7.0331299999999999E-2</v>
      </c>
      <c r="I90" s="229">
        <v>0</v>
      </c>
      <c r="J90" s="37"/>
      <c r="L90" s="28"/>
      <c r="M90" s="29"/>
      <c r="N90" s="30"/>
    </row>
    <row r="91" spans="1:14" ht="15.75" hidden="1" customHeight="1">
      <c r="A91" s="171"/>
      <c r="B91" s="148" t="s">
        <v>229</v>
      </c>
      <c r="C91" s="191" t="s">
        <v>102</v>
      </c>
      <c r="D91" s="22"/>
      <c r="E91" s="26"/>
      <c r="F91" s="20">
        <v>2</v>
      </c>
      <c r="G91" s="20">
        <v>1187</v>
      </c>
      <c r="H91" s="225">
        <f t="shared" si="7"/>
        <v>2.3740000000000001</v>
      </c>
      <c r="I91" s="229">
        <v>0</v>
      </c>
      <c r="J91" s="37"/>
      <c r="L91" s="28"/>
      <c r="M91" s="29"/>
      <c r="N91" s="30"/>
    </row>
    <row r="92" spans="1:14" ht="15.75" hidden="1" customHeight="1">
      <c r="A92" s="171"/>
      <c r="B92" s="148" t="s">
        <v>230</v>
      </c>
      <c r="C92" s="191" t="s">
        <v>144</v>
      </c>
      <c r="D92" s="22"/>
      <c r="E92" s="26"/>
      <c r="F92" s="20">
        <v>1</v>
      </c>
      <c r="G92" s="20">
        <v>149.63999999999999</v>
      </c>
      <c r="H92" s="225">
        <f t="shared" si="7"/>
        <v>0.14964</v>
      </c>
      <c r="I92" s="229">
        <v>0</v>
      </c>
      <c r="J92" s="37"/>
      <c r="L92" s="28"/>
      <c r="M92" s="29"/>
      <c r="N92" s="30"/>
    </row>
    <row r="93" spans="1:14" ht="15.75" hidden="1" customHeight="1">
      <c r="A93" s="171"/>
      <c r="B93" s="148" t="s">
        <v>99</v>
      </c>
      <c r="C93" s="191" t="s">
        <v>144</v>
      </c>
      <c r="D93" s="22"/>
      <c r="E93" s="26"/>
      <c r="F93" s="20">
        <v>2</v>
      </c>
      <c r="G93" s="20">
        <v>79.09</v>
      </c>
      <c r="H93" s="225">
        <f t="shared" si="7"/>
        <v>0.15818000000000002</v>
      </c>
      <c r="I93" s="229">
        <v>0</v>
      </c>
      <c r="J93" s="37"/>
      <c r="L93" s="28"/>
      <c r="M93" s="29"/>
      <c r="N93" s="30"/>
    </row>
    <row r="94" spans="1:14" ht="15.75" hidden="1" customHeight="1">
      <c r="A94" s="171"/>
      <c r="B94" s="148" t="s">
        <v>231</v>
      </c>
      <c r="C94" s="191" t="s">
        <v>149</v>
      </c>
      <c r="D94" s="22"/>
      <c r="E94" s="26"/>
      <c r="F94" s="20">
        <v>1</v>
      </c>
      <c r="G94" s="20">
        <v>51.39</v>
      </c>
      <c r="H94" s="225">
        <f t="shared" si="7"/>
        <v>5.1389999999999998E-2</v>
      </c>
      <c r="I94" s="229">
        <v>0</v>
      </c>
      <c r="J94" s="37"/>
      <c r="L94" s="28"/>
      <c r="M94" s="29"/>
      <c r="N94" s="30"/>
    </row>
    <row r="95" spans="1:14" ht="15.75" hidden="1" customHeight="1">
      <c r="A95" s="171"/>
      <c r="B95" s="148" t="s">
        <v>232</v>
      </c>
      <c r="C95" s="191" t="s">
        <v>69</v>
      </c>
      <c r="D95" s="22"/>
      <c r="E95" s="26"/>
      <c r="F95" s="20">
        <v>4</v>
      </c>
      <c r="G95" s="20">
        <v>802.14</v>
      </c>
      <c r="H95" s="225">
        <f t="shared" si="7"/>
        <v>3.2085599999999999</v>
      </c>
      <c r="I95" s="229">
        <v>0</v>
      </c>
      <c r="J95" s="37"/>
      <c r="L95" s="28"/>
      <c r="M95" s="29"/>
      <c r="N95" s="30"/>
    </row>
    <row r="96" spans="1:14" ht="15.75" hidden="1" customHeight="1">
      <c r="A96" s="171"/>
      <c r="B96" s="189" t="s">
        <v>183</v>
      </c>
      <c r="C96" s="190" t="s">
        <v>143</v>
      </c>
      <c r="D96" s="22"/>
      <c r="E96" s="26"/>
      <c r="F96" s="20">
        <f>21/3</f>
        <v>7</v>
      </c>
      <c r="G96" s="20">
        <v>1063.47</v>
      </c>
      <c r="H96" s="225">
        <f t="shared" si="7"/>
        <v>7.4442899999999996</v>
      </c>
      <c r="I96" s="229">
        <v>0</v>
      </c>
      <c r="J96" s="37"/>
      <c r="L96" s="28"/>
      <c r="M96" s="29"/>
      <c r="N96" s="30"/>
    </row>
    <row r="97" spans="1:14" ht="15.75" hidden="1" customHeight="1">
      <c r="A97" s="171"/>
      <c r="B97" s="148" t="s">
        <v>148</v>
      </c>
      <c r="C97" s="191" t="s">
        <v>149</v>
      </c>
      <c r="D97" s="22"/>
      <c r="E97" s="26"/>
      <c r="F97" s="20">
        <v>1</v>
      </c>
      <c r="G97" s="20">
        <v>286.55</v>
      </c>
      <c r="H97" s="225">
        <f t="shared" si="7"/>
        <v>0.28655000000000003</v>
      </c>
      <c r="I97" s="229">
        <v>0</v>
      </c>
      <c r="J97" s="37"/>
      <c r="L97" s="28"/>
      <c r="M97" s="29"/>
      <c r="N97" s="30"/>
    </row>
    <row r="98" spans="1:14" ht="15.75" hidden="1" customHeight="1">
      <c r="A98" s="171"/>
      <c r="B98" s="231" t="s">
        <v>113</v>
      </c>
      <c r="C98" s="191" t="s">
        <v>144</v>
      </c>
      <c r="D98" s="22"/>
      <c r="E98" s="26"/>
      <c r="F98" s="20">
        <v>1</v>
      </c>
      <c r="G98" s="20">
        <v>179.96</v>
      </c>
      <c r="H98" s="225">
        <f t="shared" si="7"/>
        <v>0.17996000000000001</v>
      </c>
      <c r="I98" s="229">
        <v>0</v>
      </c>
      <c r="J98" s="37"/>
      <c r="L98" s="28"/>
      <c r="M98" s="29"/>
      <c r="N98" s="30"/>
    </row>
    <row r="99" spans="1:14" ht="15.75" hidden="1" customHeight="1">
      <c r="A99" s="171"/>
      <c r="B99" s="231" t="s">
        <v>111</v>
      </c>
      <c r="C99" s="228" t="s">
        <v>91</v>
      </c>
      <c r="D99" s="22"/>
      <c r="E99" s="26"/>
      <c r="F99" s="20">
        <f>2/10</f>
        <v>0.2</v>
      </c>
      <c r="G99" s="20">
        <v>3800</v>
      </c>
      <c r="H99" s="225">
        <f t="shared" si="7"/>
        <v>0.76</v>
      </c>
      <c r="I99" s="229">
        <v>0</v>
      </c>
      <c r="J99" s="37"/>
      <c r="L99" s="28"/>
      <c r="M99" s="29"/>
      <c r="N99" s="30"/>
    </row>
    <row r="100" spans="1:14" ht="15.75" hidden="1" customHeight="1">
      <c r="A100" s="171"/>
      <c r="B100" s="148" t="s">
        <v>141</v>
      </c>
      <c r="C100" s="191" t="s">
        <v>145</v>
      </c>
      <c r="D100" s="22"/>
      <c r="E100" s="26"/>
      <c r="F100" s="20">
        <f>4.5/10</f>
        <v>0.45</v>
      </c>
      <c r="G100" s="20">
        <v>5641.28</v>
      </c>
      <c r="H100" s="225">
        <f t="shared" si="7"/>
        <v>2.5385759999999999</v>
      </c>
      <c r="I100" s="229">
        <v>0</v>
      </c>
      <c r="J100" s="37"/>
      <c r="L100" s="28"/>
      <c r="M100" s="29"/>
      <c r="N100" s="30"/>
    </row>
    <row r="101" spans="1:14" ht="15.75" hidden="1" customHeight="1">
      <c r="A101" s="171"/>
      <c r="B101" s="230" t="s">
        <v>142</v>
      </c>
      <c r="C101" s="50" t="s">
        <v>146</v>
      </c>
      <c r="D101" s="22"/>
      <c r="E101" s="26"/>
      <c r="F101" s="20">
        <f>0.5/10</f>
        <v>0.05</v>
      </c>
      <c r="G101" s="20">
        <v>39222.99</v>
      </c>
      <c r="H101" s="225">
        <f t="shared" si="7"/>
        <v>1.9611494999999999</v>
      </c>
      <c r="I101" s="229">
        <v>0</v>
      </c>
      <c r="J101" s="37"/>
      <c r="L101" s="28"/>
      <c r="M101" s="29"/>
      <c r="N101" s="30"/>
    </row>
    <row r="102" spans="1:14" ht="15.75" hidden="1" customHeight="1">
      <c r="A102" s="171"/>
      <c r="B102" s="148" t="s">
        <v>187</v>
      </c>
      <c r="C102" s="191" t="s">
        <v>233</v>
      </c>
      <c r="D102" s="22"/>
      <c r="E102" s="26"/>
      <c r="F102" s="20">
        <v>3</v>
      </c>
      <c r="G102" s="20">
        <v>3210.77</v>
      </c>
      <c r="H102" s="225">
        <f t="shared" si="7"/>
        <v>9.6323100000000004</v>
      </c>
      <c r="I102" s="229">
        <v>0</v>
      </c>
      <c r="J102" s="37"/>
      <c r="L102" s="28"/>
      <c r="M102" s="29"/>
      <c r="N102" s="30"/>
    </row>
    <row r="103" spans="1:14" ht="15.75" hidden="1" customHeight="1">
      <c r="A103" s="171"/>
      <c r="B103" s="148" t="s">
        <v>178</v>
      </c>
      <c r="C103" s="228" t="s">
        <v>102</v>
      </c>
      <c r="D103" s="22"/>
      <c r="E103" s="26"/>
      <c r="F103" s="20">
        <v>1</v>
      </c>
      <c r="G103" s="20">
        <v>18</v>
      </c>
      <c r="H103" s="225">
        <f t="shared" si="7"/>
        <v>1.7999999999999999E-2</v>
      </c>
      <c r="I103" s="229">
        <v>0</v>
      </c>
      <c r="J103" s="37"/>
      <c r="L103" s="28"/>
      <c r="M103" s="29"/>
      <c r="N103" s="30"/>
    </row>
    <row r="104" spans="1:14" ht="15.75" hidden="1" customHeight="1">
      <c r="A104" s="171"/>
      <c r="B104" s="148" t="s">
        <v>179</v>
      </c>
      <c r="C104" s="191" t="s">
        <v>144</v>
      </c>
      <c r="D104" s="22"/>
      <c r="E104" s="26"/>
      <c r="F104" s="20">
        <v>1</v>
      </c>
      <c r="G104" s="20">
        <v>183.7</v>
      </c>
      <c r="H104" s="225">
        <f t="shared" si="7"/>
        <v>0.1837</v>
      </c>
      <c r="I104" s="229">
        <v>0</v>
      </c>
      <c r="J104" s="37"/>
      <c r="L104" s="28"/>
      <c r="M104" s="29"/>
      <c r="N104" s="30"/>
    </row>
    <row r="105" spans="1:14" ht="15.75" hidden="1" customHeight="1">
      <c r="A105" s="171"/>
      <c r="B105" s="175" t="s">
        <v>51</v>
      </c>
      <c r="C105" s="210" t="s">
        <v>144</v>
      </c>
      <c r="D105" s="22"/>
      <c r="E105" s="26"/>
      <c r="F105" s="20">
        <v>1</v>
      </c>
      <c r="G105" s="20">
        <v>81.73</v>
      </c>
      <c r="H105" s="225">
        <f>G105*F105/1000</f>
        <v>8.1729999999999997E-2</v>
      </c>
      <c r="I105" s="229">
        <v>0</v>
      </c>
      <c r="J105" s="37"/>
      <c r="L105" s="28"/>
      <c r="M105" s="29"/>
      <c r="N105" s="30"/>
    </row>
    <row r="106" spans="1:14" ht="15.75" customHeight="1">
      <c r="A106" s="50"/>
      <c r="B106" s="79" t="s">
        <v>63</v>
      </c>
      <c r="C106" s="75"/>
      <c r="D106" s="130"/>
      <c r="E106" s="75">
        <v>1</v>
      </c>
      <c r="F106" s="75"/>
      <c r="G106" s="59"/>
      <c r="H106" s="75"/>
      <c r="I106" s="59">
        <f>SUM(I83)</f>
        <v>0</v>
      </c>
      <c r="J106" s="37"/>
      <c r="L106" s="28"/>
      <c r="M106" s="29"/>
      <c r="N106" s="30"/>
    </row>
    <row r="107" spans="1:14" ht="15.75" customHeight="1">
      <c r="A107" s="50"/>
      <c r="B107" s="84" t="s">
        <v>96</v>
      </c>
      <c r="C107" s="23"/>
      <c r="D107" s="23"/>
      <c r="E107" s="76"/>
      <c r="F107" s="77"/>
      <c r="G107" s="25"/>
      <c r="H107" s="208"/>
      <c r="I107" s="26">
        <v>0</v>
      </c>
      <c r="J107" s="37"/>
      <c r="L107" s="28"/>
      <c r="M107" s="29"/>
      <c r="N107" s="30"/>
    </row>
    <row r="108" spans="1:14" ht="15.75" customHeight="1">
      <c r="A108" s="209"/>
      <c r="B108" s="80" t="s">
        <v>64</v>
      </c>
      <c r="C108" s="63"/>
      <c r="D108" s="63"/>
      <c r="E108" s="63"/>
      <c r="F108" s="63"/>
      <c r="G108" s="78"/>
      <c r="H108" s="64"/>
      <c r="I108" s="59">
        <f>I82+I106</f>
        <v>30709.372199588888</v>
      </c>
      <c r="J108" s="37"/>
      <c r="L108" s="28"/>
      <c r="M108" s="29"/>
      <c r="N108" s="30"/>
    </row>
    <row r="109" spans="1:14" ht="15" customHeight="1">
      <c r="A109" s="237" t="s">
        <v>257</v>
      </c>
      <c r="B109" s="237"/>
      <c r="C109" s="237"/>
      <c r="D109" s="237"/>
      <c r="E109" s="237"/>
      <c r="F109" s="237"/>
      <c r="G109" s="237"/>
      <c r="H109" s="237"/>
      <c r="I109" s="237"/>
      <c r="J109" s="37"/>
      <c r="L109" s="28"/>
      <c r="M109" s="29"/>
      <c r="N109" s="30"/>
    </row>
    <row r="110" spans="1:14" ht="15.75">
      <c r="A110" s="13"/>
      <c r="B110" s="259" t="s">
        <v>258</v>
      </c>
      <c r="C110" s="259"/>
      <c r="D110" s="259"/>
      <c r="E110" s="259"/>
      <c r="F110" s="259"/>
      <c r="G110" s="259"/>
      <c r="H110" s="197"/>
      <c r="I110" s="4"/>
      <c r="J110" s="37"/>
      <c r="L110" s="28"/>
    </row>
    <row r="111" spans="1:14" ht="15.75">
      <c r="A111" s="199"/>
      <c r="B111" s="239" t="s">
        <v>7</v>
      </c>
      <c r="C111" s="239"/>
      <c r="D111" s="239"/>
      <c r="E111" s="239"/>
      <c r="F111" s="239"/>
      <c r="G111" s="239"/>
      <c r="H111" s="41"/>
      <c r="I111" s="121"/>
    </row>
    <row r="112" spans="1:14" ht="15.75">
      <c r="A112" s="122"/>
      <c r="B112" s="122"/>
      <c r="C112" s="122"/>
      <c r="D112" s="122"/>
      <c r="E112" s="122"/>
      <c r="F112" s="122"/>
      <c r="G112" s="122"/>
      <c r="H112" s="122"/>
      <c r="I112" s="122"/>
    </row>
    <row r="113" spans="1:22" ht="15.75">
      <c r="A113" s="260" t="s">
        <v>8</v>
      </c>
      <c r="B113" s="260"/>
      <c r="C113" s="260"/>
      <c r="D113" s="260"/>
      <c r="E113" s="260"/>
      <c r="F113" s="260"/>
      <c r="G113" s="260"/>
      <c r="H113" s="260"/>
      <c r="I113" s="260"/>
    </row>
    <row r="114" spans="1:22" ht="15.75" customHeight="1">
      <c r="A114" s="260" t="s">
        <v>9</v>
      </c>
      <c r="B114" s="260"/>
      <c r="C114" s="260"/>
      <c r="D114" s="260"/>
      <c r="E114" s="260"/>
      <c r="F114" s="260"/>
      <c r="G114" s="260"/>
      <c r="H114" s="260"/>
      <c r="I114" s="260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12"/>
    </row>
    <row r="115" spans="1:22" ht="15.75" customHeight="1">
      <c r="A115" s="237" t="s">
        <v>10</v>
      </c>
      <c r="B115" s="237"/>
      <c r="C115" s="237"/>
      <c r="D115" s="237"/>
      <c r="E115" s="237"/>
      <c r="F115" s="237"/>
      <c r="G115" s="237"/>
      <c r="H115" s="237"/>
      <c r="I115" s="237"/>
      <c r="J115" s="42"/>
      <c r="K115" s="42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2" ht="15.75">
      <c r="A116" s="15"/>
      <c r="B116" s="119"/>
      <c r="C116" s="119"/>
      <c r="D116" s="119"/>
      <c r="E116" s="119"/>
      <c r="F116" s="119"/>
      <c r="G116" s="119"/>
      <c r="H116" s="119"/>
      <c r="I116" s="119"/>
      <c r="J116" s="6"/>
      <c r="K116" s="6"/>
      <c r="L116" s="6"/>
      <c r="M116" s="6"/>
      <c r="N116" s="6"/>
      <c r="O116" s="6"/>
      <c r="P116" s="6"/>
      <c r="Q116" s="6"/>
      <c r="R116" s="236"/>
      <c r="S116" s="236"/>
      <c r="T116" s="236"/>
      <c r="U116" s="236"/>
    </row>
    <row r="117" spans="1:22" ht="15.75">
      <c r="A117" s="261" t="s">
        <v>11</v>
      </c>
      <c r="B117" s="261"/>
      <c r="C117" s="261"/>
      <c r="D117" s="261"/>
      <c r="E117" s="261"/>
      <c r="F117" s="261"/>
      <c r="G117" s="261"/>
      <c r="H117" s="261"/>
      <c r="I117" s="261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:22" ht="15.75">
      <c r="A118" s="5"/>
      <c r="B118" s="119"/>
      <c r="C118" s="119"/>
      <c r="D118" s="119"/>
      <c r="E118" s="119"/>
      <c r="F118" s="119"/>
      <c r="G118" s="119"/>
      <c r="H118" s="119"/>
      <c r="I118" s="119"/>
    </row>
    <row r="119" spans="1:22" ht="15.75">
      <c r="A119" s="237" t="s">
        <v>12</v>
      </c>
      <c r="B119" s="237"/>
      <c r="C119" s="238" t="s">
        <v>133</v>
      </c>
      <c r="D119" s="238"/>
      <c r="E119" s="238"/>
      <c r="F119" s="203"/>
      <c r="I119" s="196"/>
    </row>
    <row r="120" spans="1:22" ht="15.75" customHeight="1">
      <c r="A120" s="199"/>
      <c r="B120" s="119"/>
      <c r="C120" s="239" t="s">
        <v>13</v>
      </c>
      <c r="D120" s="239"/>
      <c r="E120" s="239"/>
      <c r="F120" s="41"/>
      <c r="I120" s="195" t="s">
        <v>14</v>
      </c>
    </row>
    <row r="121" spans="1:22" ht="15.75">
      <c r="A121" s="42"/>
      <c r="B121" s="119"/>
      <c r="C121" s="16"/>
      <c r="D121" s="16"/>
      <c r="G121" s="16"/>
      <c r="H121" s="16"/>
    </row>
    <row r="122" spans="1:22" ht="15.75">
      <c r="A122" s="237" t="s">
        <v>15</v>
      </c>
      <c r="B122" s="237"/>
      <c r="C122" s="250"/>
      <c r="D122" s="250"/>
      <c r="E122" s="250"/>
      <c r="F122" s="204"/>
      <c r="I122" s="196"/>
    </row>
    <row r="123" spans="1:22">
      <c r="A123" s="194"/>
      <c r="C123" s="236" t="s">
        <v>13</v>
      </c>
      <c r="D123" s="236"/>
      <c r="E123" s="236"/>
      <c r="F123" s="194"/>
      <c r="I123" s="195" t="s">
        <v>14</v>
      </c>
    </row>
    <row r="124" spans="1:22" ht="15.75">
      <c r="A124" s="5" t="s">
        <v>16</v>
      </c>
    </row>
    <row r="125" spans="1:22">
      <c r="A125" s="251" t="s">
        <v>17</v>
      </c>
      <c r="B125" s="251"/>
      <c r="C125" s="251"/>
      <c r="D125" s="251"/>
      <c r="E125" s="251"/>
      <c r="F125" s="251"/>
      <c r="G125" s="251"/>
      <c r="H125" s="251"/>
      <c r="I125" s="251"/>
    </row>
    <row r="126" spans="1:22" ht="47.25" customHeight="1">
      <c r="A126" s="249" t="s">
        <v>18</v>
      </c>
      <c r="B126" s="249"/>
      <c r="C126" s="249"/>
      <c r="D126" s="249"/>
      <c r="E126" s="249"/>
      <c r="F126" s="249"/>
      <c r="G126" s="249"/>
      <c r="H126" s="249"/>
      <c r="I126" s="249"/>
    </row>
    <row r="127" spans="1:22" ht="31.5" customHeight="1">
      <c r="A127" s="249" t="s">
        <v>19</v>
      </c>
      <c r="B127" s="249"/>
      <c r="C127" s="249"/>
      <c r="D127" s="249"/>
      <c r="E127" s="249"/>
      <c r="F127" s="249"/>
      <c r="G127" s="249"/>
      <c r="H127" s="249"/>
      <c r="I127" s="249"/>
    </row>
    <row r="128" spans="1:22" ht="31.5" customHeight="1">
      <c r="A128" s="249" t="s">
        <v>24</v>
      </c>
      <c r="B128" s="249"/>
      <c r="C128" s="249"/>
      <c r="D128" s="249"/>
      <c r="E128" s="249"/>
      <c r="F128" s="249"/>
      <c r="G128" s="249"/>
      <c r="H128" s="249"/>
      <c r="I128" s="249"/>
    </row>
    <row r="129" spans="1:9" ht="15.75">
      <c r="A129" s="249" t="s">
        <v>23</v>
      </c>
      <c r="B129" s="249"/>
      <c r="C129" s="249"/>
      <c r="D129" s="249"/>
      <c r="E129" s="249"/>
      <c r="F129" s="249"/>
      <c r="G129" s="249"/>
      <c r="H129" s="249"/>
      <c r="I129" s="249"/>
    </row>
  </sheetData>
  <autoFilter ref="I14:I112"/>
  <mergeCells count="30">
    <mergeCell ref="A129:I129"/>
    <mergeCell ref="A117:I117"/>
    <mergeCell ref="A119:B119"/>
    <mergeCell ref="C119:E119"/>
    <mergeCell ref="C120:E120"/>
    <mergeCell ref="A122:B122"/>
    <mergeCell ref="C122:E122"/>
    <mergeCell ref="C123:E123"/>
    <mergeCell ref="A125:I125"/>
    <mergeCell ref="A126:I126"/>
    <mergeCell ref="A127:I127"/>
    <mergeCell ref="A128:I128"/>
    <mergeCell ref="R116:U116"/>
    <mergeCell ref="A27:I27"/>
    <mergeCell ref="A34:I34"/>
    <mergeCell ref="A43:I43"/>
    <mergeCell ref="A55:I55"/>
    <mergeCell ref="A79:I79"/>
    <mergeCell ref="A109:I109"/>
    <mergeCell ref="B110:G110"/>
    <mergeCell ref="B111:G111"/>
    <mergeCell ref="A113:I113"/>
    <mergeCell ref="A114:I114"/>
    <mergeCell ref="A115:I11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B1" s="57" t="s">
        <v>118</v>
      </c>
      <c r="I1" s="56"/>
    </row>
    <row r="2" spans="1:13" ht="15.75">
      <c r="B2" s="45" t="s">
        <v>79</v>
      </c>
      <c r="J2" s="1"/>
      <c r="K2" s="1"/>
      <c r="L2" s="1"/>
      <c r="M2" s="1"/>
    </row>
    <row r="3" spans="1:13" ht="15.75" customHeight="1">
      <c r="A3" s="240" t="s">
        <v>259</v>
      </c>
      <c r="B3" s="240"/>
      <c r="C3" s="240"/>
      <c r="D3" s="240"/>
      <c r="E3" s="240"/>
      <c r="F3" s="240"/>
      <c r="G3" s="240"/>
      <c r="H3" s="240"/>
      <c r="I3" s="240"/>
      <c r="J3" s="2"/>
      <c r="K3" s="2"/>
      <c r="L3" s="2"/>
      <c r="M3" s="2"/>
    </row>
    <row r="4" spans="1:13" ht="33.75" customHeight="1">
      <c r="A4" s="241" t="s">
        <v>153</v>
      </c>
      <c r="B4" s="241"/>
      <c r="C4" s="241"/>
      <c r="D4" s="241"/>
      <c r="E4" s="241"/>
      <c r="F4" s="241"/>
      <c r="G4" s="241"/>
      <c r="H4" s="241"/>
      <c r="I4" s="241"/>
      <c r="J4" s="3"/>
      <c r="K4" s="3"/>
      <c r="L4" s="3"/>
      <c r="M4" s="3"/>
    </row>
    <row r="5" spans="1:13" ht="15.75" customHeight="1">
      <c r="A5" s="246" t="s">
        <v>107</v>
      </c>
      <c r="B5" s="247"/>
      <c r="C5" s="247"/>
      <c r="D5" s="247"/>
      <c r="E5" s="247"/>
      <c r="F5" s="247"/>
      <c r="G5" s="247"/>
      <c r="H5" s="247"/>
      <c r="I5" s="247"/>
      <c r="J5" s="4"/>
      <c r="K5" s="4"/>
      <c r="L5" s="4"/>
    </row>
    <row r="6" spans="1:13" ht="15.75" customHeight="1">
      <c r="A6" s="3"/>
      <c r="B6" s="192"/>
      <c r="C6" s="192"/>
      <c r="D6" s="192"/>
      <c r="E6" s="192"/>
      <c r="F6" s="192"/>
      <c r="G6" s="192"/>
      <c r="H6" s="192"/>
      <c r="I6" s="58">
        <v>42582</v>
      </c>
    </row>
    <row r="7" spans="1:13" ht="15.75">
      <c r="B7" s="193"/>
      <c r="C7" s="193"/>
      <c r="D7" s="193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242" t="s">
        <v>274</v>
      </c>
      <c r="B8" s="242"/>
      <c r="C8" s="242"/>
      <c r="D8" s="242"/>
      <c r="E8" s="242"/>
      <c r="F8" s="242"/>
      <c r="G8" s="242"/>
      <c r="H8" s="242"/>
      <c r="I8" s="242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248" t="s">
        <v>155</v>
      </c>
      <c r="B10" s="248"/>
      <c r="C10" s="248"/>
      <c r="D10" s="248"/>
      <c r="E10" s="248"/>
      <c r="F10" s="248"/>
      <c r="G10" s="248"/>
      <c r="H10" s="248"/>
      <c r="I10" s="248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243" t="s">
        <v>4</v>
      </c>
      <c r="B14" s="244"/>
      <c r="C14" s="244"/>
      <c r="D14" s="244"/>
      <c r="E14" s="244"/>
      <c r="F14" s="244"/>
      <c r="G14" s="244"/>
      <c r="H14" s="244"/>
      <c r="I14" s="245"/>
    </row>
    <row r="15" spans="1:13" ht="31.5" customHeight="1">
      <c r="A15" s="50">
        <v>1</v>
      </c>
      <c r="B15" s="175" t="s">
        <v>120</v>
      </c>
      <c r="C15" s="210" t="s">
        <v>156</v>
      </c>
      <c r="D15" s="175" t="s">
        <v>191</v>
      </c>
      <c r="E15" s="211">
        <v>66.2</v>
      </c>
      <c r="F15" s="212">
        <f>SUM(E15*156/100)</f>
        <v>103.27200000000001</v>
      </c>
      <c r="G15" s="212">
        <v>175.38</v>
      </c>
      <c r="H15" s="213">
        <f t="shared" ref="H15:H24" si="0">SUM(F15*G15/1000)</f>
        <v>18.111843359999998</v>
      </c>
      <c r="I15" s="20">
        <f>F15/12*G15</f>
        <v>1509.3202799999999</v>
      </c>
      <c r="J15" s="10"/>
      <c r="K15" s="10"/>
      <c r="L15" s="10"/>
      <c r="M15" s="10"/>
    </row>
    <row r="16" spans="1:13" ht="31.5" customHeight="1">
      <c r="A16" s="50">
        <v>2</v>
      </c>
      <c r="B16" s="175" t="s">
        <v>121</v>
      </c>
      <c r="C16" s="210" t="s">
        <v>156</v>
      </c>
      <c r="D16" s="175" t="s">
        <v>192</v>
      </c>
      <c r="E16" s="211">
        <v>198.7</v>
      </c>
      <c r="F16" s="212">
        <f>SUM(E16*104/100)</f>
        <v>206.648</v>
      </c>
      <c r="G16" s="212">
        <v>175.38</v>
      </c>
      <c r="H16" s="213">
        <f t="shared" si="0"/>
        <v>36.241926239999998</v>
      </c>
      <c r="I16" s="20">
        <f>F16/12*G16</f>
        <v>3020.1605199999999</v>
      </c>
      <c r="J16" s="10"/>
      <c r="K16" s="10"/>
      <c r="L16" s="10"/>
      <c r="M16" s="10"/>
    </row>
    <row r="17" spans="1:13" ht="31.5" customHeight="1">
      <c r="A17" s="50">
        <v>3</v>
      </c>
      <c r="B17" s="175" t="s">
        <v>122</v>
      </c>
      <c r="C17" s="210" t="s">
        <v>156</v>
      </c>
      <c r="D17" s="175" t="s">
        <v>234</v>
      </c>
      <c r="E17" s="211">
        <f>SUM(E15+E16)</f>
        <v>264.89999999999998</v>
      </c>
      <c r="F17" s="212">
        <f>SUM(E17*24/100)</f>
        <v>63.575999999999993</v>
      </c>
      <c r="G17" s="212">
        <v>504.5</v>
      </c>
      <c r="H17" s="213">
        <f t="shared" si="0"/>
        <v>32.074092</v>
      </c>
      <c r="I17" s="20">
        <f>F17/12*G17</f>
        <v>2672.8409999999994</v>
      </c>
      <c r="J17" s="10"/>
      <c r="K17" s="10"/>
      <c r="L17" s="10"/>
      <c r="M17" s="10"/>
    </row>
    <row r="18" spans="1:13" ht="15.75" hidden="1" customHeight="1">
      <c r="A18" s="50"/>
      <c r="B18" s="175" t="s">
        <v>157</v>
      </c>
      <c r="C18" s="210" t="s">
        <v>146</v>
      </c>
      <c r="D18" s="175" t="s">
        <v>158</v>
      </c>
      <c r="E18" s="211">
        <v>40</v>
      </c>
      <c r="F18" s="212">
        <f>SUM(E18/10)</f>
        <v>4</v>
      </c>
      <c r="G18" s="212">
        <v>170.16</v>
      </c>
      <c r="H18" s="213">
        <f t="shared" si="0"/>
        <v>0.68064000000000002</v>
      </c>
      <c r="I18" s="20">
        <v>0</v>
      </c>
      <c r="J18" s="10"/>
      <c r="K18" s="10"/>
      <c r="L18" s="10"/>
      <c r="M18" s="10"/>
    </row>
    <row r="19" spans="1:13" ht="15.75" hidden="1" customHeight="1">
      <c r="A19" s="50"/>
      <c r="B19" s="175" t="s">
        <v>159</v>
      </c>
      <c r="C19" s="210" t="s">
        <v>156</v>
      </c>
      <c r="D19" s="175" t="s">
        <v>66</v>
      </c>
      <c r="E19" s="211">
        <v>10.5</v>
      </c>
      <c r="F19" s="212">
        <f t="shared" ref="F19:F24" si="1">SUM(E19/100)</f>
        <v>0.105</v>
      </c>
      <c r="G19" s="212">
        <v>217.88</v>
      </c>
      <c r="H19" s="213">
        <f t="shared" si="0"/>
        <v>2.2877399999999999E-2</v>
      </c>
      <c r="I19" s="20">
        <v>0</v>
      </c>
      <c r="J19" s="10"/>
      <c r="K19" s="10"/>
      <c r="L19" s="10"/>
      <c r="M19" s="10"/>
    </row>
    <row r="20" spans="1:13" ht="15.75" hidden="1" customHeight="1">
      <c r="A20" s="50"/>
      <c r="B20" s="175" t="s">
        <v>160</v>
      </c>
      <c r="C20" s="210" t="s">
        <v>156</v>
      </c>
      <c r="D20" s="175" t="s">
        <v>66</v>
      </c>
      <c r="E20" s="211">
        <v>2.7</v>
      </c>
      <c r="F20" s="212">
        <f t="shared" si="1"/>
        <v>2.7000000000000003E-2</v>
      </c>
      <c r="G20" s="212">
        <v>216.12</v>
      </c>
      <c r="H20" s="213">
        <f t="shared" si="0"/>
        <v>5.8352400000000002E-3</v>
      </c>
      <c r="I20" s="20">
        <v>0</v>
      </c>
      <c r="J20" s="10"/>
      <c r="K20" s="10"/>
      <c r="L20" s="10"/>
      <c r="M20" s="10"/>
    </row>
    <row r="21" spans="1:13" ht="15.75" hidden="1" customHeight="1">
      <c r="A21" s="50"/>
      <c r="B21" s="175" t="s">
        <v>161</v>
      </c>
      <c r="C21" s="210" t="s">
        <v>65</v>
      </c>
      <c r="D21" s="175" t="s">
        <v>158</v>
      </c>
      <c r="E21" s="211">
        <v>357</v>
      </c>
      <c r="F21" s="212">
        <f t="shared" si="1"/>
        <v>3.57</v>
      </c>
      <c r="G21" s="212">
        <v>269.26</v>
      </c>
      <c r="H21" s="213">
        <f t="shared" si="0"/>
        <v>0.96125819999999984</v>
      </c>
      <c r="I21" s="20">
        <v>0</v>
      </c>
      <c r="J21" s="10"/>
      <c r="K21" s="10"/>
      <c r="L21" s="10"/>
      <c r="M21" s="10"/>
    </row>
    <row r="22" spans="1:13" ht="15.75" hidden="1" customHeight="1">
      <c r="A22" s="50"/>
      <c r="B22" s="175" t="s">
        <v>162</v>
      </c>
      <c r="C22" s="210" t="s">
        <v>65</v>
      </c>
      <c r="D22" s="175" t="s">
        <v>158</v>
      </c>
      <c r="E22" s="214">
        <v>38.64</v>
      </c>
      <c r="F22" s="212">
        <f t="shared" si="1"/>
        <v>0.38640000000000002</v>
      </c>
      <c r="G22" s="212">
        <v>44.29</v>
      </c>
      <c r="H22" s="213">
        <f t="shared" si="0"/>
        <v>1.7113655999999998E-2</v>
      </c>
      <c r="I22" s="20">
        <v>0</v>
      </c>
      <c r="J22" s="10"/>
      <c r="K22" s="10"/>
      <c r="L22" s="10"/>
      <c r="M22" s="10"/>
    </row>
    <row r="23" spans="1:13" ht="15.75" hidden="1" customHeight="1">
      <c r="A23" s="50"/>
      <c r="B23" s="175" t="s">
        <v>163</v>
      </c>
      <c r="C23" s="210" t="s">
        <v>65</v>
      </c>
      <c r="D23" s="176" t="s">
        <v>158</v>
      </c>
      <c r="E23" s="26">
        <v>15</v>
      </c>
      <c r="F23" s="215">
        <f t="shared" si="1"/>
        <v>0.15</v>
      </c>
      <c r="G23" s="212">
        <v>389.72</v>
      </c>
      <c r="H23" s="213">
        <f t="shared" si="0"/>
        <v>5.8457999999999996E-2</v>
      </c>
      <c r="I23" s="20">
        <v>0</v>
      </c>
      <c r="J23" s="10"/>
      <c r="K23" s="10"/>
      <c r="L23" s="10"/>
      <c r="M23" s="10"/>
    </row>
    <row r="24" spans="1:13" ht="15.75" hidden="1" customHeight="1">
      <c r="A24" s="50"/>
      <c r="B24" s="175" t="s">
        <v>164</v>
      </c>
      <c r="C24" s="210" t="s">
        <v>65</v>
      </c>
      <c r="D24" s="175" t="s">
        <v>158</v>
      </c>
      <c r="E24" s="216">
        <v>6.38</v>
      </c>
      <c r="F24" s="212">
        <f t="shared" si="1"/>
        <v>6.3799999999999996E-2</v>
      </c>
      <c r="G24" s="212">
        <v>520.79999999999995</v>
      </c>
      <c r="H24" s="213">
        <f t="shared" si="0"/>
        <v>3.3227039999999992E-2</v>
      </c>
      <c r="I24" s="20">
        <v>0</v>
      </c>
      <c r="J24" s="10"/>
      <c r="K24" s="10"/>
      <c r="L24" s="10"/>
      <c r="M24" s="10"/>
    </row>
    <row r="25" spans="1:13" ht="15.75" customHeight="1">
      <c r="A25" s="207">
        <v>4</v>
      </c>
      <c r="B25" s="175" t="s">
        <v>81</v>
      </c>
      <c r="C25" s="210" t="s">
        <v>37</v>
      </c>
      <c r="D25" s="175" t="s">
        <v>198</v>
      </c>
      <c r="E25" s="211">
        <v>0.1</v>
      </c>
      <c r="F25" s="212">
        <f>SUM(E25*365)</f>
        <v>36.5</v>
      </c>
      <c r="G25" s="212">
        <v>147.03</v>
      </c>
      <c r="H25" s="213">
        <f>SUM(F25*G25/1000)</f>
        <v>5.3665950000000002</v>
      </c>
      <c r="I25" s="20">
        <f>F25/12*G25</f>
        <v>447.21625</v>
      </c>
      <c r="J25" s="36"/>
      <c r="K25" s="10"/>
      <c r="L25" s="10"/>
      <c r="M25" s="10"/>
    </row>
    <row r="26" spans="1:13" ht="15.75" customHeight="1">
      <c r="A26" s="207">
        <v>5</v>
      </c>
      <c r="B26" s="218" t="s">
        <v>26</v>
      </c>
      <c r="C26" s="210" t="s">
        <v>27</v>
      </c>
      <c r="D26" s="218" t="s">
        <v>177</v>
      </c>
      <c r="E26" s="211">
        <v>2566.6</v>
      </c>
      <c r="F26" s="212">
        <f>SUM(E26*12)</f>
        <v>30799.199999999997</v>
      </c>
      <c r="G26" s="212">
        <v>4.53</v>
      </c>
      <c r="H26" s="213">
        <f>SUM(F26*G26/1000)</f>
        <v>139.520376</v>
      </c>
      <c r="I26" s="20">
        <f>F26/12*G26</f>
        <v>11626.698</v>
      </c>
      <c r="J26" s="36"/>
      <c r="K26" s="10"/>
      <c r="L26" s="10"/>
      <c r="M26" s="10"/>
    </row>
    <row r="27" spans="1:13" ht="15.75" customHeight="1">
      <c r="A27" s="252" t="s">
        <v>235</v>
      </c>
      <c r="B27" s="253"/>
      <c r="C27" s="253"/>
      <c r="D27" s="253"/>
      <c r="E27" s="253"/>
      <c r="F27" s="253"/>
      <c r="G27" s="253"/>
      <c r="H27" s="253"/>
      <c r="I27" s="254"/>
      <c r="J27" s="36"/>
      <c r="K27" s="10"/>
      <c r="L27" s="10"/>
      <c r="M27" s="10"/>
    </row>
    <row r="28" spans="1:13" ht="31.5" customHeight="1">
      <c r="A28" s="205">
        <v>6</v>
      </c>
      <c r="B28" s="175" t="s">
        <v>193</v>
      </c>
      <c r="C28" s="210" t="s">
        <v>165</v>
      </c>
      <c r="D28" s="175" t="s">
        <v>194</v>
      </c>
      <c r="E28" s="212">
        <v>852.6</v>
      </c>
      <c r="F28" s="212">
        <f>SUM(E28*52/1000)</f>
        <v>44.335200000000007</v>
      </c>
      <c r="G28" s="212">
        <v>155.88999999999999</v>
      </c>
      <c r="H28" s="213">
        <f t="shared" ref="H28:H33" si="2">SUM(F28*G28/1000)</f>
        <v>6.9114143280000011</v>
      </c>
      <c r="I28" s="20">
        <f>F28/6*G28</f>
        <v>1151.9023880000002</v>
      </c>
      <c r="J28" s="36"/>
      <c r="K28" s="10"/>
      <c r="L28" s="10"/>
      <c r="M28" s="10"/>
    </row>
    <row r="29" spans="1:13" ht="31.5" customHeight="1">
      <c r="A29" s="50">
        <v>7</v>
      </c>
      <c r="B29" s="175" t="s">
        <v>195</v>
      </c>
      <c r="C29" s="210" t="s">
        <v>165</v>
      </c>
      <c r="D29" s="175" t="s">
        <v>196</v>
      </c>
      <c r="E29" s="212">
        <v>65.33</v>
      </c>
      <c r="F29" s="212">
        <f>SUM(E29*78/1000)</f>
        <v>5.0957400000000002</v>
      </c>
      <c r="G29" s="212">
        <v>258.63</v>
      </c>
      <c r="H29" s="213">
        <f t="shared" si="2"/>
        <v>1.3179112362000001</v>
      </c>
      <c r="I29" s="20">
        <f t="shared" ref="I29:I31" si="3">F29/6*G29</f>
        <v>219.65187269999998</v>
      </c>
      <c r="J29" s="36"/>
      <c r="K29" s="10"/>
      <c r="L29" s="10"/>
      <c r="M29" s="10"/>
    </row>
    <row r="30" spans="1:13" ht="15.75" hidden="1" customHeight="1">
      <c r="A30" s="207"/>
      <c r="B30" s="175" t="s">
        <v>32</v>
      </c>
      <c r="C30" s="210" t="s">
        <v>165</v>
      </c>
      <c r="D30" s="175" t="s">
        <v>66</v>
      </c>
      <c r="E30" s="212">
        <v>852.6</v>
      </c>
      <c r="F30" s="212">
        <f>SUM(E30/1000)</f>
        <v>0.85260000000000002</v>
      </c>
      <c r="G30" s="212">
        <v>3020.33</v>
      </c>
      <c r="H30" s="213">
        <f t="shared" si="2"/>
        <v>2.575133358</v>
      </c>
      <c r="I30" s="20">
        <f t="shared" si="3"/>
        <v>429.18889300000001</v>
      </c>
      <c r="J30" s="36"/>
      <c r="K30" s="10"/>
      <c r="L30" s="10"/>
      <c r="M30" s="10"/>
    </row>
    <row r="31" spans="1:13" ht="15.75" customHeight="1">
      <c r="A31" s="207">
        <v>8</v>
      </c>
      <c r="B31" s="175" t="s">
        <v>197</v>
      </c>
      <c r="C31" s="210" t="s">
        <v>35</v>
      </c>
      <c r="D31" s="175" t="s">
        <v>80</v>
      </c>
      <c r="E31" s="217">
        <v>0.33333333333333331</v>
      </c>
      <c r="F31" s="212">
        <f>155/3</f>
        <v>51.666666666666664</v>
      </c>
      <c r="G31" s="212">
        <v>56.69</v>
      </c>
      <c r="H31" s="213">
        <f>SUM(G31*155/3/1000)</f>
        <v>2.9289833333333331</v>
      </c>
      <c r="I31" s="20">
        <f t="shared" si="3"/>
        <v>488.16388888888883</v>
      </c>
      <c r="J31" s="36"/>
      <c r="K31" s="10"/>
      <c r="L31" s="10"/>
      <c r="M31" s="10"/>
    </row>
    <row r="32" spans="1:13" ht="15.75" hidden="1" customHeight="1">
      <c r="A32" s="207"/>
      <c r="B32" s="175" t="s">
        <v>82</v>
      </c>
      <c r="C32" s="210" t="s">
        <v>37</v>
      </c>
      <c r="D32" s="175" t="s">
        <v>83</v>
      </c>
      <c r="E32" s="211"/>
      <c r="F32" s="212">
        <v>3</v>
      </c>
      <c r="G32" s="212">
        <v>191.32</v>
      </c>
      <c r="H32" s="213">
        <f t="shared" si="2"/>
        <v>0.57396000000000003</v>
      </c>
      <c r="I32" s="20">
        <v>0</v>
      </c>
      <c r="J32" s="36"/>
      <c r="K32" s="10"/>
      <c r="L32" s="10"/>
      <c r="M32" s="10"/>
    </row>
    <row r="33" spans="1:14" ht="15.75" hidden="1" customHeight="1">
      <c r="A33" s="207"/>
      <c r="B33" s="175" t="s">
        <v>200</v>
      </c>
      <c r="C33" s="210" t="s">
        <v>36</v>
      </c>
      <c r="D33" s="175" t="s">
        <v>83</v>
      </c>
      <c r="E33" s="211"/>
      <c r="F33" s="212">
        <v>2</v>
      </c>
      <c r="G33" s="212">
        <v>1136.33</v>
      </c>
      <c r="H33" s="213">
        <f t="shared" si="2"/>
        <v>2.2726599999999997</v>
      </c>
      <c r="I33" s="20">
        <v>0</v>
      </c>
      <c r="J33" s="36"/>
      <c r="K33" s="10"/>
      <c r="L33" s="10"/>
      <c r="M33" s="10"/>
    </row>
    <row r="34" spans="1:14" ht="15.75" hidden="1" customHeight="1">
      <c r="A34" s="252" t="s">
        <v>236</v>
      </c>
      <c r="B34" s="253"/>
      <c r="C34" s="253"/>
      <c r="D34" s="253"/>
      <c r="E34" s="253"/>
      <c r="F34" s="253"/>
      <c r="G34" s="253"/>
      <c r="H34" s="253"/>
      <c r="I34" s="254"/>
      <c r="J34" s="36"/>
      <c r="K34" s="10"/>
      <c r="L34" s="10"/>
      <c r="M34" s="10"/>
    </row>
    <row r="35" spans="1:14" ht="15.75" hidden="1" customHeight="1">
      <c r="A35" s="50">
        <v>6</v>
      </c>
      <c r="B35" s="175" t="s">
        <v>30</v>
      </c>
      <c r="C35" s="210" t="s">
        <v>36</v>
      </c>
      <c r="D35" s="175"/>
      <c r="E35" s="211"/>
      <c r="F35" s="212">
        <v>8</v>
      </c>
      <c r="G35" s="212">
        <v>1527.22</v>
      </c>
      <c r="H35" s="213">
        <f t="shared" ref="H35:H42" si="4">SUM(F35*G35/1000)</f>
        <v>12.21776</v>
      </c>
      <c r="I35" s="20">
        <f>F35/6*G35</f>
        <v>2036.2933333333333</v>
      </c>
      <c r="J35" s="36"/>
      <c r="K35" s="10"/>
      <c r="L35" s="10"/>
      <c r="M35" s="10"/>
    </row>
    <row r="36" spans="1:14" ht="15.75" hidden="1" customHeight="1">
      <c r="A36" s="50">
        <v>7</v>
      </c>
      <c r="B36" s="175" t="s">
        <v>136</v>
      </c>
      <c r="C36" s="210" t="s">
        <v>33</v>
      </c>
      <c r="D36" s="175" t="s">
        <v>201</v>
      </c>
      <c r="E36" s="211">
        <v>269.5</v>
      </c>
      <c r="F36" s="212">
        <f>E36*12/1000</f>
        <v>3.234</v>
      </c>
      <c r="G36" s="212">
        <v>2102.71</v>
      </c>
      <c r="H36" s="213">
        <f>G36*F36/1000</f>
        <v>6.8001641399999997</v>
      </c>
      <c r="I36" s="20">
        <f>F36/6*G36</f>
        <v>1133.3606900000002</v>
      </c>
      <c r="J36" s="36"/>
      <c r="K36" s="10"/>
      <c r="L36" s="10"/>
      <c r="M36" s="10"/>
    </row>
    <row r="37" spans="1:14" ht="15.75" hidden="1" customHeight="1">
      <c r="A37" s="50">
        <v>8</v>
      </c>
      <c r="B37" s="175" t="s">
        <v>202</v>
      </c>
      <c r="C37" s="210" t="s">
        <v>33</v>
      </c>
      <c r="D37" s="175" t="s">
        <v>203</v>
      </c>
      <c r="E37" s="211">
        <v>60</v>
      </c>
      <c r="F37" s="212">
        <f>E37*30/1000</f>
        <v>1.8</v>
      </c>
      <c r="G37" s="212">
        <v>2102.71</v>
      </c>
      <c r="H37" s="213">
        <f>G37*F37/1000</f>
        <v>3.784878</v>
      </c>
      <c r="I37" s="20">
        <f>F37/6*G37</f>
        <v>630.81299999999999</v>
      </c>
      <c r="J37" s="36"/>
      <c r="K37" s="10"/>
      <c r="L37" s="10"/>
      <c r="M37" s="10"/>
    </row>
    <row r="38" spans="1:14" ht="15.75" hidden="1" customHeight="1">
      <c r="A38" s="50"/>
      <c r="B38" s="175" t="s">
        <v>204</v>
      </c>
      <c r="C38" s="210" t="s">
        <v>205</v>
      </c>
      <c r="D38" s="175" t="s">
        <v>83</v>
      </c>
      <c r="E38" s="211"/>
      <c r="F38" s="212">
        <v>100</v>
      </c>
      <c r="G38" s="212">
        <v>213.2</v>
      </c>
      <c r="H38" s="213">
        <f>G38*F38/1000</f>
        <v>21.32</v>
      </c>
      <c r="I38" s="20">
        <v>0</v>
      </c>
      <c r="J38" s="36"/>
      <c r="K38" s="10"/>
      <c r="L38" s="10"/>
      <c r="M38" s="10"/>
    </row>
    <row r="39" spans="1:14" ht="15.75" hidden="1" customHeight="1">
      <c r="A39" s="50">
        <v>9</v>
      </c>
      <c r="B39" s="175" t="s">
        <v>84</v>
      </c>
      <c r="C39" s="210" t="s">
        <v>33</v>
      </c>
      <c r="D39" s="175" t="s">
        <v>206</v>
      </c>
      <c r="E39" s="212">
        <v>65.33</v>
      </c>
      <c r="F39" s="212">
        <f>SUM(E39*155/1000)</f>
        <v>10.126149999999999</v>
      </c>
      <c r="G39" s="212">
        <v>350.75</v>
      </c>
      <c r="H39" s="213">
        <f t="shared" si="4"/>
        <v>3.5517471124999997</v>
      </c>
      <c r="I39" s="20">
        <f>F39/6*G39</f>
        <v>591.95785208333325</v>
      </c>
      <c r="J39" s="36"/>
      <c r="K39" s="10"/>
      <c r="L39" s="10"/>
      <c r="M39" s="10"/>
    </row>
    <row r="40" spans="1:14" ht="47.25" hidden="1" customHeight="1">
      <c r="A40" s="50">
        <v>10</v>
      </c>
      <c r="B40" s="175" t="s">
        <v>110</v>
      </c>
      <c r="C40" s="210" t="s">
        <v>165</v>
      </c>
      <c r="D40" s="175" t="s">
        <v>207</v>
      </c>
      <c r="E40" s="212">
        <v>65.33</v>
      </c>
      <c r="F40" s="212">
        <f>SUM(E40*24/1000)</f>
        <v>1.56792</v>
      </c>
      <c r="G40" s="212">
        <v>5803.28</v>
      </c>
      <c r="H40" s="213">
        <f t="shared" si="4"/>
        <v>9.0990787775999991</v>
      </c>
      <c r="I40" s="20">
        <f>F40/6*G40</f>
        <v>1516.5131296</v>
      </c>
      <c r="J40" s="36"/>
      <c r="K40" s="10"/>
      <c r="L40" s="10"/>
      <c r="M40" s="10"/>
    </row>
    <row r="41" spans="1:14" ht="15.75" hidden="1" customHeight="1">
      <c r="A41" s="50">
        <v>11</v>
      </c>
      <c r="B41" s="175" t="s">
        <v>208</v>
      </c>
      <c r="C41" s="210" t="s">
        <v>165</v>
      </c>
      <c r="D41" s="175" t="s">
        <v>85</v>
      </c>
      <c r="E41" s="212">
        <v>65.33</v>
      </c>
      <c r="F41" s="212">
        <f>SUM(E41*45/1000)</f>
        <v>2.9398499999999999</v>
      </c>
      <c r="G41" s="212">
        <v>428.7</v>
      </c>
      <c r="H41" s="213">
        <f t="shared" si="4"/>
        <v>1.2603136949999998</v>
      </c>
      <c r="I41" s="20">
        <f>F41/6*G41</f>
        <v>210.05228249999999</v>
      </c>
      <c r="J41" s="36"/>
      <c r="K41" s="10"/>
    </row>
    <row r="42" spans="1:14" ht="15.75" hidden="1" customHeight="1">
      <c r="A42" s="50">
        <v>12</v>
      </c>
      <c r="B42" s="175" t="s">
        <v>86</v>
      </c>
      <c r="C42" s="210" t="s">
        <v>37</v>
      </c>
      <c r="D42" s="175"/>
      <c r="E42" s="211"/>
      <c r="F42" s="212">
        <v>0.8</v>
      </c>
      <c r="G42" s="212">
        <v>798</v>
      </c>
      <c r="H42" s="213">
        <f t="shared" si="4"/>
        <v>0.63840000000000008</v>
      </c>
      <c r="I42" s="20">
        <f>F42/6*G42</f>
        <v>106.39999999999999</v>
      </c>
      <c r="J42" s="37"/>
    </row>
    <row r="43" spans="1:14" ht="15.75" hidden="1" customHeight="1">
      <c r="A43" s="252" t="s">
        <v>238</v>
      </c>
      <c r="B43" s="255"/>
      <c r="C43" s="255"/>
      <c r="D43" s="255"/>
      <c r="E43" s="255"/>
      <c r="F43" s="255"/>
      <c r="G43" s="255"/>
      <c r="H43" s="255"/>
      <c r="I43" s="256"/>
      <c r="J43" s="37"/>
    </row>
    <row r="44" spans="1:14" ht="15.75" hidden="1" customHeight="1">
      <c r="A44" s="50"/>
      <c r="B44" s="175" t="s">
        <v>209</v>
      </c>
      <c r="C44" s="210" t="s">
        <v>165</v>
      </c>
      <c r="D44" s="175" t="s">
        <v>52</v>
      </c>
      <c r="E44" s="211">
        <v>1114.75</v>
      </c>
      <c r="F44" s="212">
        <f>SUM(E44*2/1000)</f>
        <v>2.2294999999999998</v>
      </c>
      <c r="G44" s="20">
        <v>809.74</v>
      </c>
      <c r="H44" s="213">
        <f t="shared" ref="H44:H54" si="5">SUM(F44*G44/1000)</f>
        <v>1.80531533</v>
      </c>
      <c r="I44" s="20">
        <v>0</v>
      </c>
      <c r="J44" s="37"/>
    </row>
    <row r="45" spans="1:14" ht="15.75" hidden="1" customHeight="1">
      <c r="A45" s="206"/>
      <c r="B45" s="175" t="s">
        <v>41</v>
      </c>
      <c r="C45" s="210" t="s">
        <v>165</v>
      </c>
      <c r="D45" s="175" t="s">
        <v>52</v>
      </c>
      <c r="E45" s="211">
        <v>88</v>
      </c>
      <c r="F45" s="212">
        <f>E45*2/1000</f>
        <v>0.17599999999999999</v>
      </c>
      <c r="G45" s="20">
        <v>579.48</v>
      </c>
      <c r="H45" s="213">
        <f t="shared" si="5"/>
        <v>0.10198847999999999</v>
      </c>
      <c r="I45" s="20">
        <v>0</v>
      </c>
      <c r="J45" s="37"/>
    </row>
    <row r="46" spans="1:14" ht="15.75" hidden="1" customHeight="1">
      <c r="A46" s="205"/>
      <c r="B46" s="175" t="s">
        <v>42</v>
      </c>
      <c r="C46" s="210" t="s">
        <v>165</v>
      </c>
      <c r="D46" s="175" t="s">
        <v>52</v>
      </c>
      <c r="E46" s="211">
        <v>1250.6199999999999</v>
      </c>
      <c r="F46" s="212">
        <f>SUM(E46*2/1000)</f>
        <v>2.5012399999999997</v>
      </c>
      <c r="G46" s="20">
        <v>579.48</v>
      </c>
      <c r="H46" s="213">
        <f t="shared" si="5"/>
        <v>1.4494185551999998</v>
      </c>
      <c r="I46" s="20">
        <v>0</v>
      </c>
      <c r="J46" s="37"/>
    </row>
    <row r="47" spans="1:14" ht="15.75" hidden="1" customHeight="1">
      <c r="A47" s="50"/>
      <c r="B47" s="175" t="s">
        <v>43</v>
      </c>
      <c r="C47" s="210" t="s">
        <v>165</v>
      </c>
      <c r="D47" s="175" t="s">
        <v>52</v>
      </c>
      <c r="E47" s="211">
        <v>1295.68</v>
      </c>
      <c r="F47" s="212">
        <f>SUM(E47*2/1000)</f>
        <v>2.5913600000000003</v>
      </c>
      <c r="G47" s="20">
        <v>606.77</v>
      </c>
      <c r="H47" s="213">
        <f t="shared" si="5"/>
        <v>1.5723595072000001</v>
      </c>
      <c r="I47" s="20">
        <v>0</v>
      </c>
      <c r="J47" s="37"/>
    </row>
    <row r="48" spans="1:14" ht="15.75" hidden="1" customHeight="1">
      <c r="A48" s="50"/>
      <c r="B48" s="175" t="s">
        <v>39</v>
      </c>
      <c r="C48" s="210" t="s">
        <v>40</v>
      </c>
      <c r="D48" s="175" t="s">
        <v>52</v>
      </c>
      <c r="E48" s="211">
        <v>85.84</v>
      </c>
      <c r="F48" s="212">
        <f>E48*2/100</f>
        <v>1.7168000000000001</v>
      </c>
      <c r="G48" s="20">
        <v>72.81</v>
      </c>
      <c r="H48" s="213">
        <f>G48*F48/1000</f>
        <v>0.125000208</v>
      </c>
      <c r="I48" s="20">
        <v>0</v>
      </c>
      <c r="J48" s="37"/>
      <c r="L48" s="28"/>
      <c r="M48" s="29"/>
      <c r="N48" s="30"/>
    </row>
    <row r="49" spans="1:14" ht="31.5" hidden="1" customHeight="1">
      <c r="A49" s="50">
        <v>13</v>
      </c>
      <c r="B49" s="175" t="s">
        <v>72</v>
      </c>
      <c r="C49" s="210" t="s">
        <v>165</v>
      </c>
      <c r="D49" s="175" t="s">
        <v>237</v>
      </c>
      <c r="E49" s="211">
        <v>891.8</v>
      </c>
      <c r="F49" s="212">
        <f>SUM(E49*5/1000)</f>
        <v>4.4589999999999996</v>
      </c>
      <c r="G49" s="20">
        <v>1213.55</v>
      </c>
      <c r="H49" s="213">
        <f t="shared" si="5"/>
        <v>5.4112194499999999</v>
      </c>
      <c r="I49" s="20">
        <f>F49/5*G49</f>
        <v>1082.24389</v>
      </c>
      <c r="J49" s="37"/>
      <c r="L49" s="28"/>
      <c r="M49" s="29"/>
      <c r="N49" s="30"/>
    </row>
    <row r="50" spans="1:14" ht="31.5" hidden="1" customHeight="1">
      <c r="A50" s="171"/>
      <c r="B50" s="175" t="s">
        <v>210</v>
      </c>
      <c r="C50" s="210" t="s">
        <v>165</v>
      </c>
      <c r="D50" s="175" t="s">
        <v>52</v>
      </c>
      <c r="E50" s="211">
        <v>891.8</v>
      </c>
      <c r="F50" s="212">
        <f>SUM(E50*2/1000)</f>
        <v>1.7835999999999999</v>
      </c>
      <c r="G50" s="20">
        <v>1213.55</v>
      </c>
      <c r="H50" s="213">
        <f t="shared" si="5"/>
        <v>2.16448778</v>
      </c>
      <c r="I50" s="20">
        <v>0</v>
      </c>
      <c r="J50" s="37"/>
      <c r="L50" s="28"/>
      <c r="M50" s="29"/>
      <c r="N50" s="30"/>
    </row>
    <row r="51" spans="1:14" ht="31.5" hidden="1" customHeight="1">
      <c r="A51" s="171"/>
      <c r="B51" s="175" t="s">
        <v>211</v>
      </c>
      <c r="C51" s="210" t="s">
        <v>46</v>
      </c>
      <c r="D51" s="175" t="s">
        <v>52</v>
      </c>
      <c r="E51" s="211">
        <v>16</v>
      </c>
      <c r="F51" s="212">
        <f>SUM(E51*2/100)</f>
        <v>0.32</v>
      </c>
      <c r="G51" s="20">
        <v>2730.49</v>
      </c>
      <c r="H51" s="213">
        <f t="shared" si="5"/>
        <v>0.8737568</v>
      </c>
      <c r="I51" s="20">
        <v>0</v>
      </c>
      <c r="J51" s="37"/>
      <c r="L51" s="28"/>
      <c r="M51" s="29"/>
      <c r="N51" s="30"/>
    </row>
    <row r="52" spans="1:14" ht="15.75" hidden="1" customHeight="1">
      <c r="A52" s="171"/>
      <c r="B52" s="175" t="s">
        <v>47</v>
      </c>
      <c r="C52" s="210" t="s">
        <v>48</v>
      </c>
      <c r="D52" s="175" t="s">
        <v>52</v>
      </c>
      <c r="E52" s="211">
        <v>1</v>
      </c>
      <c r="F52" s="212">
        <v>0.02</v>
      </c>
      <c r="G52" s="20">
        <v>5652.13</v>
      </c>
      <c r="H52" s="213">
        <f t="shared" si="5"/>
        <v>0.11304260000000001</v>
      </c>
      <c r="I52" s="20">
        <v>0</v>
      </c>
      <c r="J52" s="37"/>
      <c r="L52" s="28"/>
      <c r="M52" s="29"/>
      <c r="N52" s="30"/>
    </row>
    <row r="53" spans="1:14" ht="15.75" hidden="1" customHeight="1">
      <c r="A53" s="171">
        <v>14</v>
      </c>
      <c r="B53" s="175" t="s">
        <v>212</v>
      </c>
      <c r="C53" s="210" t="s">
        <v>144</v>
      </c>
      <c r="D53" s="175" t="s">
        <v>87</v>
      </c>
      <c r="E53" s="211">
        <v>60</v>
      </c>
      <c r="F53" s="212">
        <f>E53*3</f>
        <v>180</v>
      </c>
      <c r="G53" s="20">
        <v>141.12</v>
      </c>
      <c r="H53" s="213">
        <f>F53*G53/1000</f>
        <v>25.401600000000002</v>
      </c>
      <c r="I53" s="20">
        <f>E53*G53</f>
        <v>8467.2000000000007</v>
      </c>
      <c r="J53" s="37"/>
      <c r="L53" s="28"/>
      <c r="M53" s="29"/>
      <c r="N53" s="30"/>
    </row>
    <row r="54" spans="1:14" ht="15.75" hidden="1" customHeight="1">
      <c r="A54" s="171">
        <v>15</v>
      </c>
      <c r="B54" s="175" t="s">
        <v>51</v>
      </c>
      <c r="C54" s="210" t="s">
        <v>144</v>
      </c>
      <c r="D54" s="175" t="s">
        <v>87</v>
      </c>
      <c r="E54" s="211">
        <v>120</v>
      </c>
      <c r="F54" s="212">
        <f>SUM(E54)*3</f>
        <v>360</v>
      </c>
      <c r="G54" s="20">
        <v>65.67</v>
      </c>
      <c r="H54" s="213">
        <f t="shared" si="5"/>
        <v>23.641200000000001</v>
      </c>
      <c r="I54" s="20">
        <f>E54*G54</f>
        <v>7880.4000000000005</v>
      </c>
      <c r="J54" s="37"/>
      <c r="L54" s="28"/>
      <c r="M54" s="29"/>
      <c r="N54" s="30"/>
    </row>
    <row r="55" spans="1:14" ht="15.75" hidden="1" customHeight="1">
      <c r="A55" s="252" t="s">
        <v>239</v>
      </c>
      <c r="B55" s="257"/>
      <c r="C55" s="257"/>
      <c r="D55" s="257"/>
      <c r="E55" s="257"/>
      <c r="F55" s="257"/>
      <c r="G55" s="257"/>
      <c r="H55" s="257"/>
      <c r="I55" s="258"/>
      <c r="J55" s="37"/>
      <c r="L55" s="28"/>
      <c r="M55" s="29"/>
      <c r="N55" s="30"/>
    </row>
    <row r="56" spans="1:14" ht="15.75" hidden="1" customHeight="1">
      <c r="A56" s="171"/>
      <c r="B56" s="233" t="s">
        <v>53</v>
      </c>
      <c r="C56" s="210"/>
      <c r="D56" s="175"/>
      <c r="E56" s="211"/>
      <c r="F56" s="212"/>
      <c r="G56" s="212"/>
      <c r="H56" s="213"/>
      <c r="I56" s="20"/>
      <c r="J56" s="37"/>
      <c r="L56" s="28"/>
      <c r="M56" s="29"/>
      <c r="N56" s="30"/>
    </row>
    <row r="57" spans="1:14" ht="31.5" hidden="1" customHeight="1">
      <c r="A57" s="171">
        <v>16</v>
      </c>
      <c r="B57" s="175" t="s">
        <v>213</v>
      </c>
      <c r="C57" s="210" t="s">
        <v>156</v>
      </c>
      <c r="D57" s="175" t="s">
        <v>214</v>
      </c>
      <c r="E57" s="211">
        <v>112.68</v>
      </c>
      <c r="F57" s="212">
        <f>SUM(E57*6/100)</f>
        <v>6.7608000000000006</v>
      </c>
      <c r="G57" s="20">
        <v>1547.28</v>
      </c>
      <c r="H57" s="213">
        <f>SUM(F57*G57/1000)</f>
        <v>10.460850624000001</v>
      </c>
      <c r="I57" s="20">
        <f>F57/6*G57</f>
        <v>1743.4751040000001</v>
      </c>
      <c r="J57" s="37"/>
      <c r="L57" s="28"/>
      <c r="M57" s="29"/>
      <c r="N57" s="30"/>
    </row>
    <row r="58" spans="1:14" ht="15.75" hidden="1" customHeight="1">
      <c r="A58" s="171"/>
      <c r="B58" s="232" t="s">
        <v>54</v>
      </c>
      <c r="C58" s="220"/>
      <c r="D58" s="219"/>
      <c r="E58" s="221"/>
      <c r="F58" s="222"/>
      <c r="G58" s="20"/>
      <c r="H58" s="223"/>
      <c r="I58" s="20"/>
      <c r="J58" s="37"/>
      <c r="L58" s="28"/>
      <c r="M58" s="29"/>
      <c r="N58" s="30"/>
    </row>
    <row r="59" spans="1:14" ht="15.75" hidden="1" customHeight="1">
      <c r="A59" s="206"/>
      <c r="B59" s="219" t="s">
        <v>215</v>
      </c>
      <c r="C59" s="220" t="s">
        <v>65</v>
      </c>
      <c r="D59" s="219" t="s">
        <v>66</v>
      </c>
      <c r="E59" s="221">
        <v>897</v>
      </c>
      <c r="F59" s="222">
        <v>8.9700000000000006</v>
      </c>
      <c r="G59" s="20">
        <v>793.61</v>
      </c>
      <c r="H59" s="223">
        <f>F59*G59/1000</f>
        <v>7.1186817000000007</v>
      </c>
      <c r="I59" s="20">
        <v>0</v>
      </c>
      <c r="J59" s="37"/>
      <c r="L59" s="28"/>
      <c r="M59" s="29"/>
      <c r="N59" s="30"/>
    </row>
    <row r="60" spans="1:14" ht="15.75" hidden="1" customHeight="1">
      <c r="A60" s="50"/>
      <c r="B60" s="232" t="s">
        <v>56</v>
      </c>
      <c r="C60" s="220"/>
      <c r="D60" s="219"/>
      <c r="E60" s="221"/>
      <c r="F60" s="224"/>
      <c r="G60" s="224"/>
      <c r="H60" s="222" t="s">
        <v>177</v>
      </c>
      <c r="I60" s="20"/>
      <c r="J60" s="37"/>
      <c r="L60" s="28"/>
      <c r="M60" s="29"/>
      <c r="N60" s="30"/>
    </row>
    <row r="61" spans="1:14" ht="15.75" hidden="1" customHeight="1">
      <c r="A61" s="171"/>
      <c r="B61" s="22" t="s">
        <v>57</v>
      </c>
      <c r="C61" s="24" t="s">
        <v>144</v>
      </c>
      <c r="D61" s="22" t="s">
        <v>199</v>
      </c>
      <c r="E61" s="26">
        <v>15</v>
      </c>
      <c r="F61" s="212">
        <v>15</v>
      </c>
      <c r="G61" s="20">
        <v>222.4</v>
      </c>
      <c r="H61" s="225">
        <f t="shared" ref="H61:H76" si="6">SUM(F61*G61/1000)</f>
        <v>3.3359999999999999</v>
      </c>
      <c r="I61" s="20">
        <v>0</v>
      </c>
      <c r="J61" s="37"/>
      <c r="L61" s="28"/>
      <c r="M61" s="29"/>
      <c r="N61" s="30"/>
    </row>
    <row r="62" spans="1:14" ht="15.75" hidden="1" customHeight="1">
      <c r="A62" s="171"/>
      <c r="B62" s="22" t="s">
        <v>58</v>
      </c>
      <c r="C62" s="24" t="s">
        <v>144</v>
      </c>
      <c r="D62" s="22" t="s">
        <v>199</v>
      </c>
      <c r="E62" s="26">
        <v>5</v>
      </c>
      <c r="F62" s="212">
        <v>5</v>
      </c>
      <c r="G62" s="20">
        <v>76.25</v>
      </c>
      <c r="H62" s="225">
        <f t="shared" si="6"/>
        <v>0.38124999999999998</v>
      </c>
      <c r="I62" s="20">
        <v>0</v>
      </c>
      <c r="J62" s="37"/>
      <c r="L62" s="28"/>
      <c r="M62" s="29"/>
      <c r="N62" s="30"/>
    </row>
    <row r="63" spans="1:14" ht="15.75" hidden="1" customHeight="1">
      <c r="A63" s="171"/>
      <c r="B63" s="22" t="s">
        <v>59</v>
      </c>
      <c r="C63" s="24" t="s">
        <v>168</v>
      </c>
      <c r="D63" s="22" t="s">
        <v>66</v>
      </c>
      <c r="E63" s="211">
        <v>10059</v>
      </c>
      <c r="F63" s="20">
        <f>SUM(E63/100)</f>
        <v>100.59</v>
      </c>
      <c r="G63" s="20">
        <v>212.15</v>
      </c>
      <c r="H63" s="225">
        <f t="shared" si="6"/>
        <v>21.340168500000001</v>
      </c>
      <c r="I63" s="20">
        <v>0</v>
      </c>
      <c r="J63" s="37"/>
      <c r="L63" s="28"/>
      <c r="M63" s="29"/>
      <c r="N63" s="30"/>
    </row>
    <row r="64" spans="1:14" ht="15.75" hidden="1" customHeight="1">
      <c r="A64" s="171"/>
      <c r="B64" s="22" t="s">
        <v>60</v>
      </c>
      <c r="C64" s="24" t="s">
        <v>169</v>
      </c>
      <c r="D64" s="22"/>
      <c r="E64" s="211">
        <v>10059</v>
      </c>
      <c r="F64" s="20">
        <f>SUM(E64/1000)</f>
        <v>10.058999999999999</v>
      </c>
      <c r="G64" s="20">
        <v>165.21</v>
      </c>
      <c r="H64" s="225">
        <f t="shared" si="6"/>
        <v>1.6618473899999999</v>
      </c>
      <c r="I64" s="20">
        <v>0</v>
      </c>
      <c r="J64" s="37"/>
      <c r="L64" s="28"/>
      <c r="M64" s="29"/>
      <c r="N64" s="30"/>
    </row>
    <row r="65" spans="1:14" ht="15.75" hidden="1" customHeight="1">
      <c r="A65" s="171"/>
      <c r="B65" s="22" t="s">
        <v>61</v>
      </c>
      <c r="C65" s="24" t="s">
        <v>94</v>
      </c>
      <c r="D65" s="22" t="s">
        <v>66</v>
      </c>
      <c r="E65" s="211">
        <v>2200</v>
      </c>
      <c r="F65" s="20">
        <f>SUM(E65/100)</f>
        <v>22</v>
      </c>
      <c r="G65" s="20">
        <v>2074.63</v>
      </c>
      <c r="H65" s="225">
        <f t="shared" si="6"/>
        <v>45.641860000000001</v>
      </c>
      <c r="I65" s="20">
        <v>0</v>
      </c>
      <c r="J65" s="37"/>
      <c r="L65" s="28"/>
      <c r="M65" s="29"/>
      <c r="N65" s="30"/>
    </row>
    <row r="66" spans="1:14" ht="15.75" hidden="1" customHeight="1">
      <c r="A66" s="171"/>
      <c r="B66" s="226" t="s">
        <v>170</v>
      </c>
      <c r="C66" s="24" t="s">
        <v>37</v>
      </c>
      <c r="D66" s="22"/>
      <c r="E66" s="211">
        <v>9.4</v>
      </c>
      <c r="F66" s="20">
        <f>SUM(E66)</f>
        <v>9.4</v>
      </c>
      <c r="G66" s="20">
        <v>42.67</v>
      </c>
      <c r="H66" s="225">
        <f t="shared" si="6"/>
        <v>0.40109800000000001</v>
      </c>
      <c r="I66" s="20">
        <v>0</v>
      </c>
      <c r="J66" s="37"/>
      <c r="L66" s="28"/>
      <c r="M66" s="29"/>
      <c r="N66" s="30"/>
    </row>
    <row r="67" spans="1:14" ht="15.75" hidden="1" customHeight="1">
      <c r="A67" s="171"/>
      <c r="B67" s="226" t="s">
        <v>171</v>
      </c>
      <c r="C67" s="24" t="s">
        <v>37</v>
      </c>
      <c r="D67" s="22"/>
      <c r="E67" s="211">
        <v>9.4</v>
      </c>
      <c r="F67" s="20">
        <f>SUM(E67)</f>
        <v>9.4</v>
      </c>
      <c r="G67" s="20">
        <v>39.81</v>
      </c>
      <c r="H67" s="225">
        <f t="shared" si="6"/>
        <v>0.37421400000000005</v>
      </c>
      <c r="I67" s="20">
        <v>0</v>
      </c>
      <c r="J67" s="37"/>
      <c r="L67" s="28"/>
      <c r="M67" s="29"/>
      <c r="N67" s="30"/>
    </row>
    <row r="68" spans="1:14" ht="15.75" hidden="1" customHeight="1">
      <c r="A68" s="171"/>
      <c r="B68" s="22" t="s">
        <v>73</v>
      </c>
      <c r="C68" s="24" t="s">
        <v>74</v>
      </c>
      <c r="D68" s="22" t="s">
        <v>66</v>
      </c>
      <c r="E68" s="26">
        <v>5</v>
      </c>
      <c r="F68" s="212">
        <v>5</v>
      </c>
      <c r="G68" s="20">
        <v>49.88</v>
      </c>
      <c r="H68" s="225">
        <f t="shared" si="6"/>
        <v>0.24940000000000001</v>
      </c>
      <c r="I68" s="20">
        <v>0</v>
      </c>
      <c r="J68" s="37"/>
      <c r="L68" s="28"/>
      <c r="M68" s="29"/>
      <c r="N68" s="30"/>
    </row>
    <row r="69" spans="1:14" ht="15.75" hidden="1" customHeight="1">
      <c r="A69" s="171"/>
      <c r="B69" s="201" t="s">
        <v>88</v>
      </c>
      <c r="C69" s="24"/>
      <c r="D69" s="22"/>
      <c r="E69" s="26"/>
      <c r="F69" s="20"/>
      <c r="G69" s="20"/>
      <c r="H69" s="225" t="s">
        <v>177</v>
      </c>
      <c r="I69" s="20"/>
      <c r="J69" s="37"/>
      <c r="L69" s="28"/>
      <c r="M69" s="29"/>
      <c r="N69" s="30"/>
    </row>
    <row r="70" spans="1:14" ht="15.75" hidden="1" customHeight="1">
      <c r="A70" s="171"/>
      <c r="B70" s="22" t="s">
        <v>89</v>
      </c>
      <c r="C70" s="24" t="s">
        <v>91</v>
      </c>
      <c r="D70" s="22"/>
      <c r="E70" s="26">
        <v>3</v>
      </c>
      <c r="F70" s="20">
        <v>0.3</v>
      </c>
      <c r="G70" s="20">
        <v>501.62</v>
      </c>
      <c r="H70" s="225">
        <f t="shared" si="6"/>
        <v>0.15048599999999998</v>
      </c>
      <c r="I70" s="20">
        <v>0</v>
      </c>
      <c r="J70" s="37"/>
      <c r="L70" s="28"/>
      <c r="M70" s="29"/>
      <c r="N70" s="30"/>
    </row>
    <row r="71" spans="1:14" ht="15.75" hidden="1" customHeight="1">
      <c r="A71" s="50"/>
      <c r="B71" s="22" t="s">
        <v>90</v>
      </c>
      <c r="C71" s="24" t="s">
        <v>35</v>
      </c>
      <c r="D71" s="22"/>
      <c r="E71" s="26">
        <v>1</v>
      </c>
      <c r="F71" s="202">
        <v>1</v>
      </c>
      <c r="G71" s="20">
        <v>852.99</v>
      </c>
      <c r="H71" s="225">
        <f>F71*G71/1000</f>
        <v>0.85299000000000003</v>
      </c>
      <c r="I71" s="20">
        <v>0</v>
      </c>
      <c r="J71" s="37"/>
      <c r="L71" s="28"/>
      <c r="M71" s="29"/>
      <c r="N71" s="30"/>
    </row>
    <row r="72" spans="1:14" ht="15.75" hidden="1" customHeight="1">
      <c r="A72" s="206"/>
      <c r="B72" s="22" t="s">
        <v>172</v>
      </c>
      <c r="C72" s="24" t="s">
        <v>35</v>
      </c>
      <c r="D72" s="22"/>
      <c r="E72" s="26">
        <v>1</v>
      </c>
      <c r="F72" s="20">
        <v>1</v>
      </c>
      <c r="G72" s="20">
        <v>358.51</v>
      </c>
      <c r="H72" s="225">
        <f>G72*F72/1000</f>
        <v>0.35851</v>
      </c>
      <c r="I72" s="20">
        <v>0</v>
      </c>
      <c r="J72" s="37"/>
      <c r="L72" s="28"/>
      <c r="M72" s="29"/>
      <c r="N72" s="30"/>
    </row>
    <row r="73" spans="1:14" ht="15.75" hidden="1" customHeight="1">
      <c r="A73" s="171"/>
      <c r="B73" s="22" t="s">
        <v>173</v>
      </c>
      <c r="C73" s="24" t="s">
        <v>35</v>
      </c>
      <c r="D73" s="22"/>
      <c r="E73" s="26">
        <v>2</v>
      </c>
      <c r="F73" s="20">
        <v>2</v>
      </c>
      <c r="G73" s="20">
        <v>784.67</v>
      </c>
      <c r="H73" s="225">
        <f>G73*F73/1000</f>
        <v>1.56934</v>
      </c>
      <c r="I73" s="20">
        <v>0</v>
      </c>
      <c r="J73" s="37"/>
      <c r="L73" s="28"/>
      <c r="M73" s="29"/>
      <c r="N73" s="30"/>
    </row>
    <row r="74" spans="1:14" ht="15.75" hidden="1" customHeight="1">
      <c r="A74" s="171"/>
      <c r="B74" s="22" t="s">
        <v>174</v>
      </c>
      <c r="C74" s="24" t="s">
        <v>175</v>
      </c>
      <c r="D74" s="22"/>
      <c r="E74" s="26">
        <v>2</v>
      </c>
      <c r="F74" s="20">
        <v>2</v>
      </c>
      <c r="G74" s="20">
        <v>1000</v>
      </c>
      <c r="H74" s="225">
        <f>G74*F74/1000</f>
        <v>2</v>
      </c>
      <c r="I74" s="20">
        <v>0</v>
      </c>
      <c r="J74" s="37"/>
      <c r="L74" s="28"/>
      <c r="M74" s="29"/>
      <c r="N74" s="30"/>
    </row>
    <row r="75" spans="1:14" ht="15.75" hidden="1" customHeight="1">
      <c r="A75" s="171"/>
      <c r="B75" s="234" t="s">
        <v>92</v>
      </c>
      <c r="C75" s="24"/>
      <c r="D75" s="22"/>
      <c r="E75" s="26"/>
      <c r="F75" s="20"/>
      <c r="G75" s="20" t="s">
        <v>177</v>
      </c>
      <c r="H75" s="225" t="s">
        <v>177</v>
      </c>
      <c r="I75" s="20"/>
      <c r="J75" s="37"/>
      <c r="L75" s="28"/>
      <c r="M75" s="29"/>
      <c r="N75" s="30"/>
    </row>
    <row r="76" spans="1:14" ht="15.75" hidden="1" customHeight="1">
      <c r="A76" s="171"/>
      <c r="B76" s="84" t="s">
        <v>93</v>
      </c>
      <c r="C76" s="24" t="s">
        <v>94</v>
      </c>
      <c r="D76" s="22"/>
      <c r="E76" s="26"/>
      <c r="F76" s="20">
        <v>1</v>
      </c>
      <c r="G76" s="20">
        <v>2579.44</v>
      </c>
      <c r="H76" s="225">
        <f t="shared" si="6"/>
        <v>2.57944</v>
      </c>
      <c r="I76" s="20">
        <v>0</v>
      </c>
      <c r="J76" s="37"/>
      <c r="L76" s="28"/>
      <c r="M76" s="29"/>
      <c r="N76" s="30"/>
    </row>
    <row r="77" spans="1:14" ht="15.75" hidden="1" customHeight="1">
      <c r="A77" s="171"/>
      <c r="B77" s="201" t="s">
        <v>166</v>
      </c>
      <c r="C77" s="24"/>
      <c r="D77" s="22"/>
      <c r="E77" s="26"/>
      <c r="F77" s="20"/>
      <c r="G77" s="20"/>
      <c r="H77" s="225">
        <f>SUM(H57:H76)</f>
        <v>98.476136213999993</v>
      </c>
      <c r="I77" s="20"/>
      <c r="J77" s="37"/>
      <c r="L77" s="28"/>
      <c r="M77" s="29"/>
      <c r="N77" s="30"/>
    </row>
    <row r="78" spans="1:14" ht="15.75" hidden="1" customHeight="1">
      <c r="A78" s="171"/>
      <c r="B78" s="175" t="s">
        <v>167</v>
      </c>
      <c r="C78" s="24"/>
      <c r="D78" s="22"/>
      <c r="E78" s="227"/>
      <c r="F78" s="20">
        <v>1</v>
      </c>
      <c r="G78" s="20">
        <v>20954</v>
      </c>
      <c r="H78" s="225">
        <f>G78*F78/1000</f>
        <v>20.954000000000001</v>
      </c>
      <c r="I78" s="20">
        <v>0</v>
      </c>
      <c r="J78" s="37"/>
      <c r="L78" s="28"/>
      <c r="M78" s="29"/>
      <c r="N78" s="30"/>
    </row>
    <row r="79" spans="1:14" ht="15.75" customHeight="1">
      <c r="A79" s="252" t="s">
        <v>256</v>
      </c>
      <c r="B79" s="262"/>
      <c r="C79" s="262"/>
      <c r="D79" s="262"/>
      <c r="E79" s="262"/>
      <c r="F79" s="262"/>
      <c r="G79" s="262"/>
      <c r="H79" s="262"/>
      <c r="I79" s="263"/>
      <c r="J79" s="37"/>
      <c r="L79" s="28"/>
      <c r="M79" s="29"/>
      <c r="N79" s="30"/>
    </row>
    <row r="80" spans="1:14" ht="15.75" customHeight="1">
      <c r="A80" s="171">
        <v>9</v>
      </c>
      <c r="B80" s="175" t="s">
        <v>216</v>
      </c>
      <c r="C80" s="24" t="s">
        <v>69</v>
      </c>
      <c r="D80" s="179" t="s">
        <v>70</v>
      </c>
      <c r="E80" s="20">
        <v>2566.6</v>
      </c>
      <c r="F80" s="20">
        <f>SUM(E80*12)</f>
        <v>30799.199999999997</v>
      </c>
      <c r="G80" s="20">
        <v>2.1</v>
      </c>
      <c r="H80" s="225">
        <f>SUM(F80*G80/1000)</f>
        <v>64.678319999999999</v>
      </c>
      <c r="I80" s="20">
        <f>F80/12*G80</f>
        <v>5389.86</v>
      </c>
      <c r="J80" s="37"/>
      <c r="L80" s="28"/>
      <c r="M80" s="29"/>
      <c r="N80" s="30"/>
    </row>
    <row r="81" spans="1:22" ht="31.5" customHeight="1">
      <c r="A81" s="171">
        <v>10</v>
      </c>
      <c r="B81" s="22" t="s">
        <v>95</v>
      </c>
      <c r="C81" s="24"/>
      <c r="D81" s="179" t="s">
        <v>70</v>
      </c>
      <c r="E81" s="211">
        <f>E80</f>
        <v>2566.6</v>
      </c>
      <c r="F81" s="20">
        <f>E81*12</f>
        <v>30799.199999999997</v>
      </c>
      <c r="G81" s="20">
        <v>1.63</v>
      </c>
      <c r="H81" s="225">
        <f>F81*G81/1000</f>
        <v>50.202695999999989</v>
      </c>
      <c r="I81" s="20">
        <f>F81/12*G81</f>
        <v>4183.558</v>
      </c>
      <c r="J81" s="37"/>
      <c r="L81" s="28"/>
      <c r="M81" s="29"/>
      <c r="N81" s="30"/>
    </row>
    <row r="82" spans="1:22" ht="15.75" customHeight="1">
      <c r="A82" s="171"/>
      <c r="B82" s="72" t="s">
        <v>100</v>
      </c>
      <c r="C82" s="24"/>
      <c r="D82" s="84"/>
      <c r="E82" s="20"/>
      <c r="F82" s="20"/>
      <c r="G82" s="20"/>
      <c r="H82" s="225">
        <f>H81</f>
        <v>50.202695999999989</v>
      </c>
      <c r="I82" s="235">
        <f>I15+I16+I17+I25+I26+I28+I29+I31+I80+I81</f>
        <v>30709.372199588888</v>
      </c>
      <c r="J82" s="37"/>
      <c r="L82" s="28"/>
      <c r="M82" s="29"/>
      <c r="N82" s="30"/>
    </row>
    <row r="83" spans="1:22" ht="15.75" customHeight="1">
      <c r="A83" s="171"/>
      <c r="B83" s="147" t="s">
        <v>75</v>
      </c>
      <c r="C83" s="24"/>
      <c r="D83" s="84"/>
      <c r="E83" s="20"/>
      <c r="F83" s="20"/>
      <c r="G83" s="20"/>
      <c r="H83" s="225" t="e">
        <f>SUM(H82+#REF!+H77+#REF!+#REF!+#REF!+#REF!)</f>
        <v>#REF!</v>
      </c>
      <c r="I83" s="20"/>
      <c r="J83" s="37"/>
      <c r="L83" s="28"/>
      <c r="M83" s="29"/>
      <c r="N83" s="30"/>
    </row>
    <row r="84" spans="1:22" ht="15.75" customHeight="1">
      <c r="A84" s="171">
        <v>11</v>
      </c>
      <c r="B84" s="189" t="s">
        <v>224</v>
      </c>
      <c r="C84" s="190" t="s">
        <v>143</v>
      </c>
      <c r="D84" s="22"/>
      <c r="E84" s="26"/>
      <c r="F84" s="20">
        <f>14/3</f>
        <v>4.666666666666667</v>
      </c>
      <c r="G84" s="20">
        <v>1063.47</v>
      </c>
      <c r="H84" s="225">
        <f t="shared" ref="H84:H87" si="7">G84*F84/1000</f>
        <v>4.9628600000000009</v>
      </c>
      <c r="I84" s="229">
        <f>G84*(11/3)</f>
        <v>3899.39</v>
      </c>
      <c r="J84" s="37"/>
      <c r="L84" s="28"/>
      <c r="M84" s="29"/>
      <c r="N84" s="30"/>
    </row>
    <row r="85" spans="1:22" ht="15.75" customHeight="1">
      <c r="A85" s="171">
        <v>12</v>
      </c>
      <c r="B85" s="148" t="s">
        <v>225</v>
      </c>
      <c r="C85" s="228" t="s">
        <v>226</v>
      </c>
      <c r="D85" s="22"/>
      <c r="E85" s="26"/>
      <c r="F85" s="20">
        <v>1</v>
      </c>
      <c r="G85" s="20">
        <v>945.07</v>
      </c>
      <c r="H85" s="225">
        <f t="shared" si="7"/>
        <v>0.94507000000000008</v>
      </c>
      <c r="I85" s="229">
        <f>G85</f>
        <v>945.07</v>
      </c>
      <c r="J85" s="37"/>
      <c r="L85" s="28"/>
      <c r="M85" s="29"/>
      <c r="N85" s="30"/>
    </row>
    <row r="86" spans="1:22" ht="31.5" customHeight="1">
      <c r="A86" s="171">
        <v>13</v>
      </c>
      <c r="B86" s="148" t="s">
        <v>109</v>
      </c>
      <c r="C86" s="191" t="s">
        <v>46</v>
      </c>
      <c r="D86" s="22"/>
      <c r="E86" s="26"/>
      <c r="F86" s="20">
        <v>0.01</v>
      </c>
      <c r="G86" s="20">
        <v>3397.65</v>
      </c>
      <c r="H86" s="225">
        <f t="shared" si="7"/>
        <v>3.39765E-2</v>
      </c>
      <c r="I86" s="229">
        <f>G86*0.01</f>
        <v>33.976500000000001</v>
      </c>
      <c r="J86" s="37"/>
      <c r="L86" s="28"/>
      <c r="M86" s="29"/>
      <c r="N86" s="30"/>
    </row>
    <row r="87" spans="1:22" ht="15.75" customHeight="1">
      <c r="A87" s="171">
        <v>14</v>
      </c>
      <c r="B87" s="148" t="s">
        <v>227</v>
      </c>
      <c r="C87" s="191" t="s">
        <v>228</v>
      </c>
      <c r="D87" s="22"/>
      <c r="E87" s="26"/>
      <c r="F87" s="20">
        <v>0.01</v>
      </c>
      <c r="G87" s="20">
        <v>7033.13</v>
      </c>
      <c r="H87" s="225">
        <f t="shared" si="7"/>
        <v>7.0331299999999999E-2</v>
      </c>
      <c r="I87" s="229">
        <f>G87*0.01</f>
        <v>70.331299999999999</v>
      </c>
      <c r="J87" s="37"/>
      <c r="L87" s="28"/>
      <c r="M87" s="29"/>
      <c r="N87" s="30"/>
    </row>
    <row r="88" spans="1:22" ht="15.75" customHeight="1">
      <c r="A88" s="50"/>
      <c r="B88" s="79" t="s">
        <v>63</v>
      </c>
      <c r="C88" s="75"/>
      <c r="D88" s="130"/>
      <c r="E88" s="75">
        <v>1</v>
      </c>
      <c r="F88" s="75"/>
      <c r="G88" s="59"/>
      <c r="H88" s="75"/>
      <c r="I88" s="59">
        <f>SUM(I84:I87)</f>
        <v>4948.7677999999996</v>
      </c>
      <c r="J88" s="37"/>
      <c r="L88" s="28"/>
      <c r="M88" s="29"/>
      <c r="N88" s="30"/>
    </row>
    <row r="89" spans="1:22" ht="15.75" customHeight="1">
      <c r="A89" s="50"/>
      <c r="B89" s="84" t="s">
        <v>96</v>
      </c>
      <c r="C89" s="23"/>
      <c r="D89" s="23"/>
      <c r="E89" s="76"/>
      <c r="F89" s="77"/>
      <c r="G89" s="25"/>
      <c r="H89" s="208"/>
      <c r="I89" s="26">
        <v>0</v>
      </c>
      <c r="J89" s="37"/>
      <c r="L89" s="28"/>
      <c r="M89" s="29"/>
      <c r="N89" s="30"/>
    </row>
    <row r="90" spans="1:22" ht="15.75" customHeight="1">
      <c r="A90" s="209"/>
      <c r="B90" s="80" t="s">
        <v>64</v>
      </c>
      <c r="C90" s="63"/>
      <c r="D90" s="63"/>
      <c r="E90" s="63"/>
      <c r="F90" s="63"/>
      <c r="G90" s="78"/>
      <c r="H90" s="64"/>
      <c r="I90" s="59">
        <f>I82+I88</f>
        <v>35658.139999588886</v>
      </c>
      <c r="J90" s="37"/>
      <c r="L90" s="28"/>
      <c r="M90" s="29"/>
      <c r="N90" s="30"/>
    </row>
    <row r="91" spans="1:22" ht="15" customHeight="1">
      <c r="A91" s="237" t="s">
        <v>260</v>
      </c>
      <c r="B91" s="237"/>
      <c r="C91" s="237"/>
      <c r="D91" s="237"/>
      <c r="E91" s="237"/>
      <c r="F91" s="237"/>
      <c r="G91" s="237"/>
      <c r="H91" s="237"/>
      <c r="I91" s="237"/>
      <c r="J91" s="37"/>
      <c r="L91" s="28"/>
      <c r="M91" s="29"/>
      <c r="N91" s="30"/>
    </row>
    <row r="92" spans="1:22" ht="15.75">
      <c r="A92" s="13"/>
      <c r="B92" s="259" t="s">
        <v>261</v>
      </c>
      <c r="C92" s="259"/>
      <c r="D92" s="259"/>
      <c r="E92" s="259"/>
      <c r="F92" s="259"/>
      <c r="G92" s="259"/>
      <c r="H92" s="197"/>
      <c r="I92" s="4"/>
      <c r="J92" s="37"/>
      <c r="L92" s="28"/>
    </row>
    <row r="93" spans="1:22" ht="15.75">
      <c r="A93" s="199"/>
      <c r="B93" s="239" t="s">
        <v>7</v>
      </c>
      <c r="C93" s="239"/>
      <c r="D93" s="239"/>
      <c r="E93" s="239"/>
      <c r="F93" s="239"/>
      <c r="G93" s="239"/>
      <c r="H93" s="41"/>
      <c r="I93" s="121"/>
    </row>
    <row r="94" spans="1:22" ht="15.75">
      <c r="A94" s="122"/>
      <c r="B94" s="122"/>
      <c r="C94" s="122"/>
      <c r="D94" s="122"/>
      <c r="E94" s="122"/>
      <c r="F94" s="122"/>
      <c r="G94" s="122"/>
      <c r="H94" s="122"/>
      <c r="I94" s="122"/>
    </row>
    <row r="95" spans="1:22" ht="15.75">
      <c r="A95" s="260" t="s">
        <v>8</v>
      </c>
      <c r="B95" s="260"/>
      <c r="C95" s="260"/>
      <c r="D95" s="260"/>
      <c r="E95" s="260"/>
      <c r="F95" s="260"/>
      <c r="G95" s="260"/>
      <c r="H95" s="260"/>
      <c r="I95" s="260"/>
    </row>
    <row r="96" spans="1:22" ht="15.75" customHeight="1">
      <c r="A96" s="260" t="s">
        <v>9</v>
      </c>
      <c r="B96" s="260"/>
      <c r="C96" s="260"/>
      <c r="D96" s="260"/>
      <c r="E96" s="260"/>
      <c r="F96" s="260"/>
      <c r="G96" s="260"/>
      <c r="H96" s="260"/>
      <c r="I96" s="260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12"/>
    </row>
    <row r="97" spans="1:21" ht="15.75" customHeight="1">
      <c r="A97" s="237" t="s">
        <v>10</v>
      </c>
      <c r="B97" s="237"/>
      <c r="C97" s="237"/>
      <c r="D97" s="237"/>
      <c r="E97" s="237"/>
      <c r="F97" s="237"/>
      <c r="G97" s="237"/>
      <c r="H97" s="237"/>
      <c r="I97" s="237"/>
      <c r="J97" s="42"/>
      <c r="K97" s="42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>
      <c r="A98" s="15"/>
      <c r="B98" s="119"/>
      <c r="C98" s="119"/>
      <c r="D98" s="119"/>
      <c r="E98" s="119"/>
      <c r="F98" s="119"/>
      <c r="G98" s="119"/>
      <c r="H98" s="119"/>
      <c r="I98" s="119"/>
      <c r="J98" s="6"/>
      <c r="K98" s="6"/>
      <c r="L98" s="6"/>
      <c r="M98" s="6"/>
      <c r="N98" s="6"/>
      <c r="O98" s="6"/>
      <c r="P98" s="6"/>
      <c r="Q98" s="6"/>
      <c r="R98" s="236"/>
      <c r="S98" s="236"/>
      <c r="T98" s="236"/>
      <c r="U98" s="236"/>
    </row>
    <row r="99" spans="1:21" ht="15.75">
      <c r="A99" s="261" t="s">
        <v>11</v>
      </c>
      <c r="B99" s="261"/>
      <c r="C99" s="261"/>
      <c r="D99" s="261"/>
      <c r="E99" s="261"/>
      <c r="F99" s="261"/>
      <c r="G99" s="261"/>
      <c r="H99" s="261"/>
      <c r="I99" s="261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  <row r="100" spans="1:21" ht="15.75">
      <c r="A100" s="5"/>
      <c r="B100" s="119"/>
      <c r="C100" s="119"/>
      <c r="D100" s="119"/>
      <c r="E100" s="119"/>
      <c r="F100" s="119"/>
      <c r="G100" s="119"/>
      <c r="H100" s="119"/>
      <c r="I100" s="119"/>
    </row>
    <row r="101" spans="1:21" ht="15.75">
      <c r="A101" s="237" t="s">
        <v>12</v>
      </c>
      <c r="B101" s="237"/>
      <c r="C101" s="238" t="s">
        <v>133</v>
      </c>
      <c r="D101" s="238"/>
      <c r="E101" s="238"/>
      <c r="F101" s="203"/>
      <c r="I101" s="196"/>
    </row>
    <row r="102" spans="1:21" ht="15.75" customHeight="1">
      <c r="A102" s="199"/>
      <c r="B102" s="119"/>
      <c r="C102" s="239" t="s">
        <v>13</v>
      </c>
      <c r="D102" s="239"/>
      <c r="E102" s="239"/>
      <c r="F102" s="41"/>
      <c r="I102" s="195" t="s">
        <v>14</v>
      </c>
    </row>
    <row r="103" spans="1:21" ht="15.75">
      <c r="A103" s="42"/>
      <c r="B103" s="119"/>
      <c r="C103" s="16"/>
      <c r="D103" s="16"/>
      <c r="G103" s="16"/>
      <c r="H103" s="16"/>
    </row>
    <row r="104" spans="1:21" ht="15.75">
      <c r="A104" s="237" t="s">
        <v>15</v>
      </c>
      <c r="B104" s="237"/>
      <c r="C104" s="250"/>
      <c r="D104" s="250"/>
      <c r="E104" s="250"/>
      <c r="F104" s="204"/>
      <c r="I104" s="196"/>
    </row>
    <row r="105" spans="1:21">
      <c r="A105" s="194"/>
      <c r="C105" s="236" t="s">
        <v>13</v>
      </c>
      <c r="D105" s="236"/>
      <c r="E105" s="236"/>
      <c r="F105" s="194"/>
      <c r="I105" s="195" t="s">
        <v>14</v>
      </c>
    </row>
    <row r="106" spans="1:21" ht="15.75">
      <c r="A106" s="5" t="s">
        <v>16</v>
      </c>
    </row>
    <row r="107" spans="1:21">
      <c r="A107" s="251" t="s">
        <v>17</v>
      </c>
      <c r="B107" s="251"/>
      <c r="C107" s="251"/>
      <c r="D107" s="251"/>
      <c r="E107" s="251"/>
      <c r="F107" s="251"/>
      <c r="G107" s="251"/>
      <c r="H107" s="251"/>
      <c r="I107" s="251"/>
    </row>
    <row r="108" spans="1:21" ht="47.25" customHeight="1">
      <c r="A108" s="249" t="s">
        <v>18</v>
      </c>
      <c r="B108" s="249"/>
      <c r="C108" s="249"/>
      <c r="D108" s="249"/>
      <c r="E108" s="249"/>
      <c r="F108" s="249"/>
      <c r="G108" s="249"/>
      <c r="H108" s="249"/>
      <c r="I108" s="249"/>
    </row>
    <row r="109" spans="1:21" ht="31.5" customHeight="1">
      <c r="A109" s="249" t="s">
        <v>19</v>
      </c>
      <c r="B109" s="249"/>
      <c r="C109" s="249"/>
      <c r="D109" s="249"/>
      <c r="E109" s="249"/>
      <c r="F109" s="249"/>
      <c r="G109" s="249"/>
      <c r="H109" s="249"/>
      <c r="I109" s="249"/>
    </row>
    <row r="110" spans="1:21" ht="31.5" customHeight="1">
      <c r="A110" s="249" t="s">
        <v>24</v>
      </c>
      <c r="B110" s="249"/>
      <c r="C110" s="249"/>
      <c r="D110" s="249"/>
      <c r="E110" s="249"/>
      <c r="F110" s="249"/>
      <c r="G110" s="249"/>
      <c r="H110" s="249"/>
      <c r="I110" s="249"/>
    </row>
    <row r="111" spans="1:21" ht="15.75">
      <c r="A111" s="249" t="s">
        <v>23</v>
      </c>
      <c r="B111" s="249"/>
      <c r="C111" s="249"/>
      <c r="D111" s="249"/>
      <c r="E111" s="249"/>
      <c r="F111" s="249"/>
      <c r="G111" s="249"/>
      <c r="H111" s="249"/>
      <c r="I111" s="249"/>
    </row>
  </sheetData>
  <autoFilter ref="I14:I94"/>
  <mergeCells count="30">
    <mergeCell ref="A111:I111"/>
    <mergeCell ref="A99:I99"/>
    <mergeCell ref="A101:B101"/>
    <mergeCell ref="C101:E101"/>
    <mergeCell ref="C102:E102"/>
    <mergeCell ref="A104:B104"/>
    <mergeCell ref="C104:E104"/>
    <mergeCell ref="C105:E105"/>
    <mergeCell ref="A107:I107"/>
    <mergeCell ref="A108:I108"/>
    <mergeCell ref="A109:I109"/>
    <mergeCell ref="A110:I110"/>
    <mergeCell ref="R98:U98"/>
    <mergeCell ref="A27:I27"/>
    <mergeCell ref="A34:I34"/>
    <mergeCell ref="A43:I43"/>
    <mergeCell ref="A55:I55"/>
    <mergeCell ref="A79:I79"/>
    <mergeCell ref="A91:I91"/>
    <mergeCell ref="B92:G92"/>
    <mergeCell ref="B93:G93"/>
    <mergeCell ref="A95:I95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B1" s="57" t="s">
        <v>118</v>
      </c>
      <c r="I1" s="56"/>
    </row>
    <row r="2" spans="1:13" ht="15.75">
      <c r="B2" s="45" t="s">
        <v>79</v>
      </c>
      <c r="J2" s="1"/>
      <c r="K2" s="1"/>
      <c r="L2" s="1"/>
      <c r="M2" s="1"/>
    </row>
    <row r="3" spans="1:13" ht="15.75" customHeight="1">
      <c r="A3" s="240" t="s">
        <v>262</v>
      </c>
      <c r="B3" s="240"/>
      <c r="C3" s="240"/>
      <c r="D3" s="240"/>
      <c r="E3" s="240"/>
      <c r="F3" s="240"/>
      <c r="G3" s="240"/>
      <c r="H3" s="240"/>
      <c r="I3" s="240"/>
      <c r="J3" s="2"/>
      <c r="K3" s="2"/>
      <c r="L3" s="2"/>
      <c r="M3" s="2"/>
    </row>
    <row r="4" spans="1:13" ht="33.75" customHeight="1">
      <c r="A4" s="241" t="s">
        <v>153</v>
      </c>
      <c r="B4" s="241"/>
      <c r="C4" s="241"/>
      <c r="D4" s="241"/>
      <c r="E4" s="241"/>
      <c r="F4" s="241"/>
      <c r="G4" s="241"/>
      <c r="H4" s="241"/>
      <c r="I4" s="241"/>
      <c r="J4" s="3"/>
      <c r="K4" s="3"/>
      <c r="L4" s="3"/>
      <c r="M4" s="3"/>
    </row>
    <row r="5" spans="1:13" ht="15.75" customHeight="1">
      <c r="A5" s="246" t="s">
        <v>77</v>
      </c>
      <c r="B5" s="247"/>
      <c r="C5" s="247"/>
      <c r="D5" s="247"/>
      <c r="E5" s="247"/>
      <c r="F5" s="247"/>
      <c r="G5" s="247"/>
      <c r="H5" s="247"/>
      <c r="I5" s="247"/>
      <c r="J5" s="4"/>
      <c r="K5" s="4"/>
      <c r="L5" s="4"/>
    </row>
    <row r="6" spans="1:13" ht="15.75" customHeight="1">
      <c r="A6" s="3"/>
      <c r="B6" s="192"/>
      <c r="C6" s="192"/>
      <c r="D6" s="192"/>
      <c r="E6" s="192"/>
      <c r="F6" s="192"/>
      <c r="G6" s="192"/>
      <c r="H6" s="192"/>
      <c r="I6" s="58">
        <v>42613</v>
      </c>
    </row>
    <row r="7" spans="1:13" ht="15.75">
      <c r="B7" s="193"/>
      <c r="C7" s="193"/>
      <c r="D7" s="193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242" t="s">
        <v>274</v>
      </c>
      <c r="B8" s="242"/>
      <c r="C8" s="242"/>
      <c r="D8" s="242"/>
      <c r="E8" s="242"/>
      <c r="F8" s="242"/>
      <c r="G8" s="242"/>
      <c r="H8" s="242"/>
      <c r="I8" s="242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248" t="s">
        <v>155</v>
      </c>
      <c r="B10" s="248"/>
      <c r="C10" s="248"/>
      <c r="D10" s="248"/>
      <c r="E10" s="248"/>
      <c r="F10" s="248"/>
      <c r="G10" s="248"/>
      <c r="H10" s="248"/>
      <c r="I10" s="248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243" t="s">
        <v>4</v>
      </c>
      <c r="B14" s="244"/>
      <c r="C14" s="244"/>
      <c r="D14" s="244"/>
      <c r="E14" s="244"/>
      <c r="F14" s="244"/>
      <c r="G14" s="244"/>
      <c r="H14" s="244"/>
      <c r="I14" s="245"/>
    </row>
    <row r="15" spans="1:13" ht="31.5" customHeight="1">
      <c r="A15" s="50">
        <v>1</v>
      </c>
      <c r="B15" s="175" t="s">
        <v>120</v>
      </c>
      <c r="C15" s="210" t="s">
        <v>156</v>
      </c>
      <c r="D15" s="175" t="s">
        <v>191</v>
      </c>
      <c r="E15" s="211">
        <v>66.2</v>
      </c>
      <c r="F15" s="212">
        <f>SUM(E15*156/100)</f>
        <v>103.27200000000001</v>
      </c>
      <c r="G15" s="212">
        <v>175.38</v>
      </c>
      <c r="H15" s="213">
        <f t="shared" ref="H15:H24" si="0">SUM(F15*G15/1000)</f>
        <v>18.111843359999998</v>
      </c>
      <c r="I15" s="20">
        <f>F15/12*G15</f>
        <v>1509.3202799999999</v>
      </c>
      <c r="J15" s="10"/>
      <c r="K15" s="10"/>
      <c r="L15" s="10"/>
      <c r="M15" s="10"/>
    </row>
    <row r="16" spans="1:13" ht="31.5" customHeight="1">
      <c r="A16" s="50">
        <v>2</v>
      </c>
      <c r="B16" s="175" t="s">
        <v>121</v>
      </c>
      <c r="C16" s="210" t="s">
        <v>156</v>
      </c>
      <c r="D16" s="175" t="s">
        <v>192</v>
      </c>
      <c r="E16" s="211">
        <v>198.7</v>
      </c>
      <c r="F16" s="212">
        <f>SUM(E16*104/100)</f>
        <v>206.648</v>
      </c>
      <c r="G16" s="212">
        <v>175.38</v>
      </c>
      <c r="H16" s="213">
        <f t="shared" si="0"/>
        <v>36.241926239999998</v>
      </c>
      <c r="I16" s="20">
        <f>F16/12*G16</f>
        <v>3020.1605199999999</v>
      </c>
      <c r="J16" s="10"/>
      <c r="K16" s="10"/>
      <c r="L16" s="10"/>
      <c r="M16" s="10"/>
    </row>
    <row r="17" spans="1:13" ht="31.5" customHeight="1">
      <c r="A17" s="50">
        <v>3</v>
      </c>
      <c r="B17" s="175" t="s">
        <v>122</v>
      </c>
      <c r="C17" s="210" t="s">
        <v>156</v>
      </c>
      <c r="D17" s="175" t="s">
        <v>234</v>
      </c>
      <c r="E17" s="211">
        <f>SUM(E15+E16)</f>
        <v>264.89999999999998</v>
      </c>
      <c r="F17" s="212">
        <f>SUM(E17*24/100)</f>
        <v>63.575999999999993</v>
      </c>
      <c r="G17" s="212">
        <v>504.5</v>
      </c>
      <c r="H17" s="213">
        <f t="shared" si="0"/>
        <v>32.074092</v>
      </c>
      <c r="I17" s="20">
        <f>F17/12*G17</f>
        <v>2672.8409999999994</v>
      </c>
      <c r="J17" s="10"/>
      <c r="K17" s="10"/>
      <c r="L17" s="10"/>
      <c r="M17" s="10"/>
    </row>
    <row r="18" spans="1:13" ht="15.75" hidden="1" customHeight="1">
      <c r="A18" s="50"/>
      <c r="B18" s="175" t="s">
        <v>157</v>
      </c>
      <c r="C18" s="210" t="s">
        <v>146</v>
      </c>
      <c r="D18" s="175" t="s">
        <v>158</v>
      </c>
      <c r="E18" s="211">
        <v>40</v>
      </c>
      <c r="F18" s="212">
        <f>SUM(E18/10)</f>
        <v>4</v>
      </c>
      <c r="G18" s="212">
        <v>170.16</v>
      </c>
      <c r="H18" s="213">
        <f t="shared" si="0"/>
        <v>0.68064000000000002</v>
      </c>
      <c r="I18" s="20">
        <v>0</v>
      </c>
      <c r="J18" s="10"/>
      <c r="K18" s="10"/>
      <c r="L18" s="10"/>
      <c r="M18" s="10"/>
    </row>
    <row r="19" spans="1:13" ht="15.75" hidden="1" customHeight="1">
      <c r="A19" s="50"/>
      <c r="B19" s="175" t="s">
        <v>159</v>
      </c>
      <c r="C19" s="210" t="s">
        <v>156</v>
      </c>
      <c r="D19" s="175" t="s">
        <v>66</v>
      </c>
      <c r="E19" s="211">
        <v>10.5</v>
      </c>
      <c r="F19" s="212">
        <f t="shared" ref="F19:F24" si="1">SUM(E19/100)</f>
        <v>0.105</v>
      </c>
      <c r="G19" s="212">
        <v>217.88</v>
      </c>
      <c r="H19" s="213">
        <f t="shared" si="0"/>
        <v>2.2877399999999999E-2</v>
      </c>
      <c r="I19" s="20">
        <v>0</v>
      </c>
      <c r="J19" s="10"/>
      <c r="K19" s="10"/>
      <c r="L19" s="10"/>
      <c r="M19" s="10"/>
    </row>
    <row r="20" spans="1:13" ht="15.75" hidden="1" customHeight="1">
      <c r="A20" s="50"/>
      <c r="B20" s="175" t="s">
        <v>160</v>
      </c>
      <c r="C20" s="210" t="s">
        <v>156</v>
      </c>
      <c r="D20" s="175" t="s">
        <v>66</v>
      </c>
      <c r="E20" s="211">
        <v>2.7</v>
      </c>
      <c r="F20" s="212">
        <f t="shared" si="1"/>
        <v>2.7000000000000003E-2</v>
      </c>
      <c r="G20" s="212">
        <v>216.12</v>
      </c>
      <c r="H20" s="213">
        <f t="shared" si="0"/>
        <v>5.8352400000000002E-3</v>
      </c>
      <c r="I20" s="20">
        <v>0</v>
      </c>
      <c r="J20" s="10"/>
      <c r="K20" s="10"/>
      <c r="L20" s="10"/>
      <c r="M20" s="10"/>
    </row>
    <row r="21" spans="1:13" ht="15.75" hidden="1" customHeight="1">
      <c r="A21" s="50"/>
      <c r="B21" s="175" t="s">
        <v>161</v>
      </c>
      <c r="C21" s="210" t="s">
        <v>65</v>
      </c>
      <c r="D21" s="175" t="s">
        <v>158</v>
      </c>
      <c r="E21" s="211">
        <v>357</v>
      </c>
      <c r="F21" s="212">
        <f t="shared" si="1"/>
        <v>3.57</v>
      </c>
      <c r="G21" s="212">
        <v>269.26</v>
      </c>
      <c r="H21" s="213">
        <f t="shared" si="0"/>
        <v>0.96125819999999984</v>
      </c>
      <c r="I21" s="20">
        <v>0</v>
      </c>
      <c r="J21" s="10"/>
      <c r="K21" s="10"/>
      <c r="L21" s="10"/>
      <c r="M21" s="10"/>
    </row>
    <row r="22" spans="1:13" ht="15.75" hidden="1" customHeight="1">
      <c r="A22" s="50"/>
      <c r="B22" s="175" t="s">
        <v>162</v>
      </c>
      <c r="C22" s="210" t="s">
        <v>65</v>
      </c>
      <c r="D22" s="175" t="s">
        <v>158</v>
      </c>
      <c r="E22" s="214">
        <v>38.64</v>
      </c>
      <c r="F22" s="212">
        <f t="shared" si="1"/>
        <v>0.38640000000000002</v>
      </c>
      <c r="G22" s="212">
        <v>44.29</v>
      </c>
      <c r="H22" s="213">
        <f t="shared" si="0"/>
        <v>1.7113655999999998E-2</v>
      </c>
      <c r="I22" s="20">
        <v>0</v>
      </c>
      <c r="J22" s="10"/>
      <c r="K22" s="10"/>
      <c r="L22" s="10"/>
      <c r="M22" s="10"/>
    </row>
    <row r="23" spans="1:13" ht="15.75" hidden="1" customHeight="1">
      <c r="A23" s="50"/>
      <c r="B23" s="175" t="s">
        <v>163</v>
      </c>
      <c r="C23" s="210" t="s">
        <v>65</v>
      </c>
      <c r="D23" s="176" t="s">
        <v>158</v>
      </c>
      <c r="E23" s="26">
        <v>15</v>
      </c>
      <c r="F23" s="215">
        <f t="shared" si="1"/>
        <v>0.15</v>
      </c>
      <c r="G23" s="212">
        <v>389.72</v>
      </c>
      <c r="H23" s="213">
        <f t="shared" si="0"/>
        <v>5.8457999999999996E-2</v>
      </c>
      <c r="I23" s="20">
        <v>0</v>
      </c>
      <c r="J23" s="10"/>
      <c r="K23" s="10"/>
      <c r="L23" s="10"/>
      <c r="M23" s="10"/>
    </row>
    <row r="24" spans="1:13" ht="15.75" hidden="1" customHeight="1">
      <c r="A24" s="50"/>
      <c r="B24" s="175" t="s">
        <v>164</v>
      </c>
      <c r="C24" s="210" t="s">
        <v>65</v>
      </c>
      <c r="D24" s="175" t="s">
        <v>158</v>
      </c>
      <c r="E24" s="216">
        <v>6.38</v>
      </c>
      <c r="F24" s="212">
        <f t="shared" si="1"/>
        <v>6.3799999999999996E-2</v>
      </c>
      <c r="G24" s="212">
        <v>520.79999999999995</v>
      </c>
      <c r="H24" s="213">
        <f t="shared" si="0"/>
        <v>3.3227039999999992E-2</v>
      </c>
      <c r="I24" s="20">
        <v>0</v>
      </c>
      <c r="J24" s="10"/>
      <c r="K24" s="10"/>
      <c r="L24" s="10"/>
      <c r="M24" s="10"/>
    </row>
    <row r="25" spans="1:13" ht="15.75" customHeight="1">
      <c r="A25" s="207">
        <v>4</v>
      </c>
      <c r="B25" s="175" t="s">
        <v>81</v>
      </c>
      <c r="C25" s="210" t="s">
        <v>37</v>
      </c>
      <c r="D25" s="175" t="s">
        <v>198</v>
      </c>
      <c r="E25" s="211">
        <v>0.1</v>
      </c>
      <c r="F25" s="212">
        <f>SUM(E25*365)</f>
        <v>36.5</v>
      </c>
      <c r="G25" s="212">
        <v>147.03</v>
      </c>
      <c r="H25" s="213">
        <f>SUM(F25*G25/1000)</f>
        <v>5.3665950000000002</v>
      </c>
      <c r="I25" s="20">
        <f>F25/12*G25</f>
        <v>447.21625</v>
      </c>
      <c r="J25" s="36"/>
      <c r="K25" s="10"/>
      <c r="L25" s="10"/>
      <c r="M25" s="10"/>
    </row>
    <row r="26" spans="1:13" ht="15.75" customHeight="1">
      <c r="A26" s="207">
        <v>5</v>
      </c>
      <c r="B26" s="218" t="s">
        <v>26</v>
      </c>
      <c r="C26" s="210" t="s">
        <v>27</v>
      </c>
      <c r="D26" s="218" t="s">
        <v>177</v>
      </c>
      <c r="E26" s="211">
        <v>2566.6</v>
      </c>
      <c r="F26" s="212">
        <f>SUM(E26*12)</f>
        <v>30799.199999999997</v>
      </c>
      <c r="G26" s="212">
        <v>4.53</v>
      </c>
      <c r="H26" s="213">
        <f>SUM(F26*G26/1000)</f>
        <v>139.520376</v>
      </c>
      <c r="I26" s="20">
        <f>F26/12*G26</f>
        <v>11626.698</v>
      </c>
      <c r="J26" s="36"/>
      <c r="K26" s="10"/>
      <c r="L26" s="10"/>
      <c r="M26" s="10"/>
    </row>
    <row r="27" spans="1:13" ht="15.75" customHeight="1">
      <c r="A27" s="252" t="s">
        <v>235</v>
      </c>
      <c r="B27" s="253"/>
      <c r="C27" s="253"/>
      <c r="D27" s="253"/>
      <c r="E27" s="253"/>
      <c r="F27" s="253"/>
      <c r="G27" s="253"/>
      <c r="H27" s="253"/>
      <c r="I27" s="254"/>
      <c r="J27" s="36"/>
      <c r="K27" s="10"/>
      <c r="L27" s="10"/>
      <c r="M27" s="10"/>
    </row>
    <row r="28" spans="1:13" ht="31.5" customHeight="1">
      <c r="A28" s="205">
        <v>6</v>
      </c>
      <c r="B28" s="175" t="s">
        <v>193</v>
      </c>
      <c r="C28" s="210" t="s">
        <v>165</v>
      </c>
      <c r="D28" s="175" t="s">
        <v>194</v>
      </c>
      <c r="E28" s="212">
        <v>852.6</v>
      </c>
      <c r="F28" s="212">
        <f>SUM(E28*52/1000)</f>
        <v>44.335200000000007</v>
      </c>
      <c r="G28" s="212">
        <v>155.88999999999999</v>
      </c>
      <c r="H28" s="213">
        <f t="shared" ref="H28:H33" si="2">SUM(F28*G28/1000)</f>
        <v>6.9114143280000011</v>
      </c>
      <c r="I28" s="20">
        <f>F28/6*G28</f>
        <v>1151.9023880000002</v>
      </c>
      <c r="J28" s="36"/>
      <c r="K28" s="10"/>
      <c r="L28" s="10"/>
      <c r="M28" s="10"/>
    </row>
    <row r="29" spans="1:13" ht="31.5" customHeight="1">
      <c r="A29" s="50">
        <v>7</v>
      </c>
      <c r="B29" s="175" t="s">
        <v>195</v>
      </c>
      <c r="C29" s="210" t="s">
        <v>165</v>
      </c>
      <c r="D29" s="175" t="s">
        <v>196</v>
      </c>
      <c r="E29" s="212">
        <v>65.33</v>
      </c>
      <c r="F29" s="212">
        <f>SUM(E29*78/1000)</f>
        <v>5.0957400000000002</v>
      </c>
      <c r="G29" s="212">
        <v>258.63</v>
      </c>
      <c r="H29" s="213">
        <f t="shared" si="2"/>
        <v>1.3179112362000001</v>
      </c>
      <c r="I29" s="20">
        <f t="shared" ref="I29:I31" si="3">F29/6*G29</f>
        <v>219.65187269999998</v>
      </c>
      <c r="J29" s="36"/>
      <c r="K29" s="10"/>
      <c r="L29" s="10"/>
      <c r="M29" s="10"/>
    </row>
    <row r="30" spans="1:13" ht="15.75" hidden="1" customHeight="1">
      <c r="A30" s="207"/>
      <c r="B30" s="175" t="s">
        <v>32</v>
      </c>
      <c r="C30" s="210" t="s">
        <v>165</v>
      </c>
      <c r="D30" s="175" t="s">
        <v>66</v>
      </c>
      <c r="E30" s="212">
        <v>852.6</v>
      </c>
      <c r="F30" s="212">
        <f>SUM(E30/1000)</f>
        <v>0.85260000000000002</v>
      </c>
      <c r="G30" s="212">
        <v>3020.33</v>
      </c>
      <c r="H30" s="213">
        <f t="shared" si="2"/>
        <v>2.575133358</v>
      </c>
      <c r="I30" s="20">
        <f t="shared" si="3"/>
        <v>429.18889300000001</v>
      </c>
      <c r="J30" s="36"/>
      <c r="K30" s="10"/>
      <c r="L30" s="10"/>
      <c r="M30" s="10"/>
    </row>
    <row r="31" spans="1:13" ht="15.75" customHeight="1">
      <c r="A31" s="207">
        <v>8</v>
      </c>
      <c r="B31" s="175" t="s">
        <v>197</v>
      </c>
      <c r="C31" s="210" t="s">
        <v>35</v>
      </c>
      <c r="D31" s="175" t="s">
        <v>80</v>
      </c>
      <c r="E31" s="217">
        <v>0.33333333333333331</v>
      </c>
      <c r="F31" s="212">
        <f>155/3</f>
        <v>51.666666666666664</v>
      </c>
      <c r="G31" s="212">
        <v>56.69</v>
      </c>
      <c r="H31" s="213">
        <f>SUM(G31*155/3/1000)</f>
        <v>2.9289833333333331</v>
      </c>
      <c r="I31" s="20">
        <f t="shared" si="3"/>
        <v>488.16388888888883</v>
      </c>
      <c r="J31" s="36"/>
      <c r="K31" s="10"/>
      <c r="L31" s="10"/>
      <c r="M31" s="10"/>
    </row>
    <row r="32" spans="1:13" ht="15.75" hidden="1" customHeight="1">
      <c r="A32" s="207"/>
      <c r="B32" s="175" t="s">
        <v>82</v>
      </c>
      <c r="C32" s="210" t="s">
        <v>37</v>
      </c>
      <c r="D32" s="175" t="s">
        <v>83</v>
      </c>
      <c r="E32" s="211"/>
      <c r="F32" s="212">
        <v>3</v>
      </c>
      <c r="G32" s="212">
        <v>191.32</v>
      </c>
      <c r="H32" s="213">
        <f t="shared" si="2"/>
        <v>0.57396000000000003</v>
      </c>
      <c r="I32" s="20">
        <v>0</v>
      </c>
      <c r="J32" s="36"/>
      <c r="K32" s="10"/>
      <c r="L32" s="10"/>
      <c r="M32" s="10"/>
    </row>
    <row r="33" spans="1:14" ht="15.75" hidden="1" customHeight="1">
      <c r="A33" s="207"/>
      <c r="B33" s="175" t="s">
        <v>200</v>
      </c>
      <c r="C33" s="210" t="s">
        <v>36</v>
      </c>
      <c r="D33" s="175" t="s">
        <v>83</v>
      </c>
      <c r="E33" s="211"/>
      <c r="F33" s="212">
        <v>2</v>
      </c>
      <c r="G33" s="212">
        <v>1136.33</v>
      </c>
      <c r="H33" s="213">
        <f t="shared" si="2"/>
        <v>2.2726599999999997</v>
      </c>
      <c r="I33" s="20">
        <v>0</v>
      </c>
      <c r="J33" s="36"/>
      <c r="K33" s="10"/>
      <c r="L33" s="10"/>
      <c r="M33" s="10"/>
    </row>
    <row r="34" spans="1:14" ht="15.75" hidden="1" customHeight="1">
      <c r="A34" s="252" t="s">
        <v>236</v>
      </c>
      <c r="B34" s="253"/>
      <c r="C34" s="253"/>
      <c r="D34" s="253"/>
      <c r="E34" s="253"/>
      <c r="F34" s="253"/>
      <c r="G34" s="253"/>
      <c r="H34" s="253"/>
      <c r="I34" s="254"/>
      <c r="J34" s="36"/>
      <c r="K34" s="10"/>
      <c r="L34" s="10"/>
      <c r="M34" s="10"/>
    </row>
    <row r="35" spans="1:14" ht="15.75" hidden="1" customHeight="1">
      <c r="A35" s="50">
        <v>6</v>
      </c>
      <c r="B35" s="175" t="s">
        <v>30</v>
      </c>
      <c r="C35" s="210" t="s">
        <v>36</v>
      </c>
      <c r="D35" s="175"/>
      <c r="E35" s="211"/>
      <c r="F35" s="212">
        <v>8</v>
      </c>
      <c r="G35" s="212">
        <v>1527.22</v>
      </c>
      <c r="H35" s="213">
        <f t="shared" ref="H35:H42" si="4">SUM(F35*G35/1000)</f>
        <v>12.21776</v>
      </c>
      <c r="I35" s="20">
        <f>F35/6*G35</f>
        <v>2036.2933333333333</v>
      </c>
      <c r="J35" s="36"/>
      <c r="K35" s="10"/>
      <c r="L35" s="10"/>
      <c r="M35" s="10"/>
    </row>
    <row r="36" spans="1:14" ht="15.75" hidden="1" customHeight="1">
      <c r="A36" s="50">
        <v>7</v>
      </c>
      <c r="B36" s="175" t="s">
        <v>136</v>
      </c>
      <c r="C36" s="210" t="s">
        <v>33</v>
      </c>
      <c r="D36" s="175" t="s">
        <v>201</v>
      </c>
      <c r="E36" s="211">
        <v>269.5</v>
      </c>
      <c r="F36" s="212">
        <f>E36*12/1000</f>
        <v>3.234</v>
      </c>
      <c r="G36" s="212">
        <v>2102.71</v>
      </c>
      <c r="H36" s="213">
        <f>G36*F36/1000</f>
        <v>6.8001641399999997</v>
      </c>
      <c r="I36" s="20">
        <f>F36/6*G36</f>
        <v>1133.3606900000002</v>
      </c>
      <c r="J36" s="36"/>
      <c r="K36" s="10"/>
      <c r="L36" s="10"/>
      <c r="M36" s="10"/>
    </row>
    <row r="37" spans="1:14" ht="15.75" hidden="1" customHeight="1">
      <c r="A37" s="50">
        <v>8</v>
      </c>
      <c r="B37" s="175" t="s">
        <v>202</v>
      </c>
      <c r="C37" s="210" t="s">
        <v>33</v>
      </c>
      <c r="D37" s="175" t="s">
        <v>203</v>
      </c>
      <c r="E37" s="211">
        <v>60</v>
      </c>
      <c r="F37" s="212">
        <f>E37*30/1000</f>
        <v>1.8</v>
      </c>
      <c r="G37" s="212">
        <v>2102.71</v>
      </c>
      <c r="H37" s="213">
        <f>G37*F37/1000</f>
        <v>3.784878</v>
      </c>
      <c r="I37" s="20">
        <f>F37/6*G37</f>
        <v>630.81299999999999</v>
      </c>
      <c r="J37" s="36"/>
      <c r="K37" s="10"/>
      <c r="L37" s="10"/>
      <c r="M37" s="10"/>
    </row>
    <row r="38" spans="1:14" ht="15.75" hidden="1" customHeight="1">
      <c r="A38" s="50"/>
      <c r="B38" s="175" t="s">
        <v>204</v>
      </c>
      <c r="C38" s="210" t="s">
        <v>205</v>
      </c>
      <c r="D38" s="175" t="s">
        <v>83</v>
      </c>
      <c r="E38" s="211"/>
      <c r="F38" s="212">
        <v>100</v>
      </c>
      <c r="G38" s="212">
        <v>213.2</v>
      </c>
      <c r="H38" s="213">
        <f>G38*F38/1000</f>
        <v>21.32</v>
      </c>
      <c r="I38" s="20">
        <v>0</v>
      </c>
      <c r="J38" s="36"/>
      <c r="K38" s="10"/>
      <c r="L38" s="10"/>
      <c r="M38" s="10"/>
    </row>
    <row r="39" spans="1:14" ht="15.75" hidden="1" customHeight="1">
      <c r="A39" s="50">
        <v>9</v>
      </c>
      <c r="B39" s="175" t="s">
        <v>84</v>
      </c>
      <c r="C39" s="210" t="s">
        <v>33</v>
      </c>
      <c r="D39" s="175" t="s">
        <v>206</v>
      </c>
      <c r="E39" s="212">
        <v>65.33</v>
      </c>
      <c r="F39" s="212">
        <f>SUM(E39*155/1000)</f>
        <v>10.126149999999999</v>
      </c>
      <c r="G39" s="212">
        <v>350.75</v>
      </c>
      <c r="H39" s="213">
        <f t="shared" si="4"/>
        <v>3.5517471124999997</v>
      </c>
      <c r="I39" s="20">
        <f>F39/6*G39</f>
        <v>591.95785208333325</v>
      </c>
      <c r="J39" s="36"/>
      <c r="K39" s="10"/>
      <c r="L39" s="10"/>
      <c r="M39" s="10"/>
    </row>
    <row r="40" spans="1:14" ht="47.25" hidden="1" customHeight="1">
      <c r="A40" s="50">
        <v>10</v>
      </c>
      <c r="B40" s="175" t="s">
        <v>110</v>
      </c>
      <c r="C40" s="210" t="s">
        <v>165</v>
      </c>
      <c r="D40" s="175" t="s">
        <v>207</v>
      </c>
      <c r="E40" s="212">
        <v>65.33</v>
      </c>
      <c r="F40" s="212">
        <f>SUM(E40*24/1000)</f>
        <v>1.56792</v>
      </c>
      <c r="G40" s="212">
        <v>5803.28</v>
      </c>
      <c r="H40" s="213">
        <f t="shared" si="4"/>
        <v>9.0990787775999991</v>
      </c>
      <c r="I40" s="20">
        <f>F40/6*G40</f>
        <v>1516.5131296</v>
      </c>
      <c r="J40" s="36"/>
      <c r="K40" s="10"/>
      <c r="L40" s="10"/>
      <c r="M40" s="10"/>
    </row>
    <row r="41" spans="1:14" ht="15.75" hidden="1" customHeight="1">
      <c r="A41" s="50">
        <v>11</v>
      </c>
      <c r="B41" s="175" t="s">
        <v>208</v>
      </c>
      <c r="C41" s="210" t="s">
        <v>165</v>
      </c>
      <c r="D41" s="175" t="s">
        <v>85</v>
      </c>
      <c r="E41" s="212">
        <v>65.33</v>
      </c>
      <c r="F41" s="212">
        <f>SUM(E41*45/1000)</f>
        <v>2.9398499999999999</v>
      </c>
      <c r="G41" s="212">
        <v>428.7</v>
      </c>
      <c r="H41" s="213">
        <f t="shared" si="4"/>
        <v>1.2603136949999998</v>
      </c>
      <c r="I41" s="20">
        <f>F41/6*G41</f>
        <v>210.05228249999999</v>
      </c>
      <c r="J41" s="36"/>
      <c r="K41" s="10"/>
    </row>
    <row r="42" spans="1:14" ht="15.75" hidden="1" customHeight="1">
      <c r="A42" s="50">
        <v>12</v>
      </c>
      <c r="B42" s="175" t="s">
        <v>86</v>
      </c>
      <c r="C42" s="210" t="s">
        <v>37</v>
      </c>
      <c r="D42" s="175"/>
      <c r="E42" s="211"/>
      <c r="F42" s="212">
        <v>0.8</v>
      </c>
      <c r="G42" s="212">
        <v>798</v>
      </c>
      <c r="H42" s="213">
        <f t="shared" si="4"/>
        <v>0.63840000000000008</v>
      </c>
      <c r="I42" s="20">
        <f>F42/6*G42</f>
        <v>106.39999999999999</v>
      </c>
      <c r="J42" s="37"/>
    </row>
    <row r="43" spans="1:14" ht="15.75" customHeight="1">
      <c r="A43" s="252" t="s">
        <v>238</v>
      </c>
      <c r="B43" s="255"/>
      <c r="C43" s="255"/>
      <c r="D43" s="255"/>
      <c r="E43" s="255"/>
      <c r="F43" s="255"/>
      <c r="G43" s="255"/>
      <c r="H43" s="255"/>
      <c r="I43" s="256"/>
      <c r="J43" s="37"/>
    </row>
    <row r="44" spans="1:14" ht="15.75" hidden="1" customHeight="1">
      <c r="A44" s="50"/>
      <c r="B44" s="175" t="s">
        <v>209</v>
      </c>
      <c r="C44" s="210" t="s">
        <v>165</v>
      </c>
      <c r="D44" s="175" t="s">
        <v>52</v>
      </c>
      <c r="E44" s="211">
        <v>1114.75</v>
      </c>
      <c r="F44" s="212">
        <f>SUM(E44*2/1000)</f>
        <v>2.2294999999999998</v>
      </c>
      <c r="G44" s="20">
        <v>809.74</v>
      </c>
      <c r="H44" s="213">
        <f t="shared" ref="H44:H54" si="5">SUM(F44*G44/1000)</f>
        <v>1.80531533</v>
      </c>
      <c r="I44" s="20">
        <v>0</v>
      </c>
      <c r="J44" s="37"/>
    </row>
    <row r="45" spans="1:14" ht="15.75" hidden="1" customHeight="1">
      <c r="A45" s="206"/>
      <c r="B45" s="175" t="s">
        <v>41</v>
      </c>
      <c r="C45" s="210" t="s">
        <v>165</v>
      </c>
      <c r="D45" s="175" t="s">
        <v>52</v>
      </c>
      <c r="E45" s="211">
        <v>88</v>
      </c>
      <c r="F45" s="212">
        <f>E45*2/1000</f>
        <v>0.17599999999999999</v>
      </c>
      <c r="G45" s="20">
        <v>579.48</v>
      </c>
      <c r="H45" s="213">
        <f t="shared" si="5"/>
        <v>0.10198847999999999</v>
      </c>
      <c r="I45" s="20">
        <v>0</v>
      </c>
      <c r="J45" s="37"/>
    </row>
    <row r="46" spans="1:14" ht="15.75" hidden="1" customHeight="1">
      <c r="A46" s="205"/>
      <c r="B46" s="175" t="s">
        <v>42</v>
      </c>
      <c r="C46" s="210" t="s">
        <v>165</v>
      </c>
      <c r="D46" s="175" t="s">
        <v>52</v>
      </c>
      <c r="E46" s="211">
        <v>1250.6199999999999</v>
      </c>
      <c r="F46" s="212">
        <f>SUM(E46*2/1000)</f>
        <v>2.5012399999999997</v>
      </c>
      <c r="G46" s="20">
        <v>579.48</v>
      </c>
      <c r="H46" s="213">
        <f t="shared" si="5"/>
        <v>1.4494185551999998</v>
      </c>
      <c r="I46" s="20">
        <v>0</v>
      </c>
      <c r="J46" s="37"/>
    </row>
    <row r="47" spans="1:14" ht="15.75" hidden="1" customHeight="1">
      <c r="A47" s="50"/>
      <c r="B47" s="175" t="s">
        <v>43</v>
      </c>
      <c r="C47" s="210" t="s">
        <v>165</v>
      </c>
      <c r="D47" s="175" t="s">
        <v>52</v>
      </c>
      <c r="E47" s="211">
        <v>1295.68</v>
      </c>
      <c r="F47" s="212">
        <f>SUM(E47*2/1000)</f>
        <v>2.5913600000000003</v>
      </c>
      <c r="G47" s="20">
        <v>606.77</v>
      </c>
      <c r="H47" s="213">
        <f t="shared" si="5"/>
        <v>1.5723595072000001</v>
      </c>
      <c r="I47" s="20">
        <v>0</v>
      </c>
      <c r="J47" s="37"/>
    </row>
    <row r="48" spans="1:14" ht="15.75" hidden="1" customHeight="1">
      <c r="A48" s="50"/>
      <c r="B48" s="175" t="s">
        <v>39</v>
      </c>
      <c r="C48" s="210" t="s">
        <v>40</v>
      </c>
      <c r="D48" s="175" t="s">
        <v>52</v>
      </c>
      <c r="E48" s="211">
        <v>85.84</v>
      </c>
      <c r="F48" s="212">
        <f>E48*2/100</f>
        <v>1.7168000000000001</v>
      </c>
      <c r="G48" s="20">
        <v>72.81</v>
      </c>
      <c r="H48" s="213">
        <f>G48*F48/1000</f>
        <v>0.125000208</v>
      </c>
      <c r="I48" s="20">
        <v>0</v>
      </c>
      <c r="J48" s="37"/>
      <c r="L48" s="28"/>
      <c r="M48" s="29"/>
      <c r="N48" s="30"/>
    </row>
    <row r="49" spans="1:14" ht="31.5" hidden="1" customHeight="1">
      <c r="A49" s="50">
        <v>13</v>
      </c>
      <c r="B49" s="175" t="s">
        <v>72</v>
      </c>
      <c r="C49" s="210" t="s">
        <v>165</v>
      </c>
      <c r="D49" s="175" t="s">
        <v>237</v>
      </c>
      <c r="E49" s="211">
        <v>891.8</v>
      </c>
      <c r="F49" s="212">
        <f>SUM(E49*5/1000)</f>
        <v>4.4589999999999996</v>
      </c>
      <c r="G49" s="20">
        <v>1213.55</v>
      </c>
      <c r="H49" s="213">
        <f t="shared" si="5"/>
        <v>5.4112194499999999</v>
      </c>
      <c r="I49" s="20">
        <f>F49/5*G49</f>
        <v>1082.24389</v>
      </c>
      <c r="J49" s="37"/>
      <c r="L49" s="28"/>
      <c r="M49" s="29"/>
      <c r="N49" s="30"/>
    </row>
    <row r="50" spans="1:14" ht="31.5" hidden="1" customHeight="1">
      <c r="A50" s="171"/>
      <c r="B50" s="175" t="s">
        <v>210</v>
      </c>
      <c r="C50" s="210" t="s">
        <v>165</v>
      </c>
      <c r="D50" s="175" t="s">
        <v>52</v>
      </c>
      <c r="E50" s="211">
        <v>891.8</v>
      </c>
      <c r="F50" s="212">
        <f>SUM(E50*2/1000)</f>
        <v>1.7835999999999999</v>
      </c>
      <c r="G50" s="20">
        <v>1213.55</v>
      </c>
      <c r="H50" s="213">
        <f t="shared" si="5"/>
        <v>2.16448778</v>
      </c>
      <c r="I50" s="20">
        <v>0</v>
      </c>
      <c r="J50" s="37"/>
      <c r="L50" s="28"/>
      <c r="M50" s="29"/>
      <c r="N50" s="30"/>
    </row>
    <row r="51" spans="1:14" ht="31.5" hidden="1" customHeight="1">
      <c r="A51" s="171"/>
      <c r="B51" s="175" t="s">
        <v>211</v>
      </c>
      <c r="C51" s="210" t="s">
        <v>46</v>
      </c>
      <c r="D51" s="175" t="s">
        <v>52</v>
      </c>
      <c r="E51" s="211">
        <v>16</v>
      </c>
      <c r="F51" s="212">
        <f>SUM(E51*2/100)</f>
        <v>0.32</v>
      </c>
      <c r="G51" s="20">
        <v>2730.49</v>
      </c>
      <c r="H51" s="213">
        <f t="shared" si="5"/>
        <v>0.8737568</v>
      </c>
      <c r="I51" s="20">
        <v>0</v>
      </c>
      <c r="J51" s="37"/>
      <c r="L51" s="28"/>
      <c r="M51" s="29"/>
      <c r="N51" s="30"/>
    </row>
    <row r="52" spans="1:14" ht="15.75" hidden="1" customHeight="1">
      <c r="A52" s="171"/>
      <c r="B52" s="175" t="s">
        <v>47</v>
      </c>
      <c r="C52" s="210" t="s">
        <v>48</v>
      </c>
      <c r="D52" s="175" t="s">
        <v>52</v>
      </c>
      <c r="E52" s="211">
        <v>1</v>
      </c>
      <c r="F52" s="212">
        <v>0.02</v>
      </c>
      <c r="G52" s="20">
        <v>5652.13</v>
      </c>
      <c r="H52" s="213">
        <f t="shared" si="5"/>
        <v>0.11304260000000001</v>
      </c>
      <c r="I52" s="20">
        <v>0</v>
      </c>
      <c r="J52" s="37"/>
      <c r="L52" s="28"/>
      <c r="M52" s="29"/>
      <c r="N52" s="30"/>
    </row>
    <row r="53" spans="1:14" ht="15.75" customHeight="1">
      <c r="A53" s="171">
        <v>9</v>
      </c>
      <c r="B53" s="175" t="s">
        <v>212</v>
      </c>
      <c r="C53" s="210" t="s">
        <v>144</v>
      </c>
      <c r="D53" s="175" t="s">
        <v>87</v>
      </c>
      <c r="E53" s="211">
        <v>60</v>
      </c>
      <c r="F53" s="212">
        <f>E53*3</f>
        <v>180</v>
      </c>
      <c r="G53" s="20">
        <v>141.12</v>
      </c>
      <c r="H53" s="213">
        <f>F53*G53/1000</f>
        <v>25.401600000000002</v>
      </c>
      <c r="I53" s="20">
        <f>E53*G53</f>
        <v>8467.2000000000007</v>
      </c>
      <c r="J53" s="37"/>
      <c r="L53" s="28"/>
      <c r="M53" s="29"/>
      <c r="N53" s="30"/>
    </row>
    <row r="54" spans="1:14" ht="15.75" customHeight="1">
      <c r="A54" s="171">
        <v>10</v>
      </c>
      <c r="B54" s="175" t="s">
        <v>51</v>
      </c>
      <c r="C54" s="210" t="s">
        <v>144</v>
      </c>
      <c r="D54" s="175" t="s">
        <v>87</v>
      </c>
      <c r="E54" s="211">
        <v>120</v>
      </c>
      <c r="F54" s="212">
        <f>SUM(E54)*3</f>
        <v>360</v>
      </c>
      <c r="G54" s="20">
        <v>65.67</v>
      </c>
      <c r="H54" s="213">
        <f t="shared" si="5"/>
        <v>23.641200000000001</v>
      </c>
      <c r="I54" s="20">
        <f>E54*G54</f>
        <v>7880.4000000000005</v>
      </c>
      <c r="J54" s="37"/>
      <c r="L54" s="28"/>
      <c r="M54" s="29"/>
      <c r="N54" s="30"/>
    </row>
    <row r="55" spans="1:14" ht="15.75" hidden="1" customHeight="1">
      <c r="A55" s="252" t="s">
        <v>239</v>
      </c>
      <c r="B55" s="257"/>
      <c r="C55" s="257"/>
      <c r="D55" s="257"/>
      <c r="E55" s="257"/>
      <c r="F55" s="257"/>
      <c r="G55" s="257"/>
      <c r="H55" s="257"/>
      <c r="I55" s="258"/>
      <c r="J55" s="37"/>
      <c r="L55" s="28"/>
      <c r="M55" s="29"/>
      <c r="N55" s="30"/>
    </row>
    <row r="56" spans="1:14" ht="15.75" hidden="1" customHeight="1">
      <c r="A56" s="171"/>
      <c r="B56" s="233" t="s">
        <v>53</v>
      </c>
      <c r="C56" s="210"/>
      <c r="D56" s="175"/>
      <c r="E56" s="211"/>
      <c r="F56" s="212"/>
      <c r="G56" s="212"/>
      <c r="H56" s="213"/>
      <c r="I56" s="20"/>
      <c r="J56" s="37"/>
      <c r="L56" s="28"/>
      <c r="M56" s="29"/>
      <c r="N56" s="30"/>
    </row>
    <row r="57" spans="1:14" ht="31.5" hidden="1" customHeight="1">
      <c r="A57" s="171">
        <v>16</v>
      </c>
      <c r="B57" s="175" t="s">
        <v>213</v>
      </c>
      <c r="C57" s="210" t="s">
        <v>156</v>
      </c>
      <c r="D57" s="175" t="s">
        <v>214</v>
      </c>
      <c r="E57" s="211">
        <v>112.68</v>
      </c>
      <c r="F57" s="212">
        <f>SUM(E57*6/100)</f>
        <v>6.7608000000000006</v>
      </c>
      <c r="G57" s="20">
        <v>1547.28</v>
      </c>
      <c r="H57" s="213">
        <f>SUM(F57*G57/1000)</f>
        <v>10.460850624000001</v>
      </c>
      <c r="I57" s="20">
        <f>F57/6*G57</f>
        <v>1743.4751040000001</v>
      </c>
      <c r="J57" s="37"/>
      <c r="L57" s="28"/>
      <c r="M57" s="29"/>
      <c r="N57" s="30"/>
    </row>
    <row r="58" spans="1:14" ht="15.75" hidden="1" customHeight="1">
      <c r="A58" s="171"/>
      <c r="B58" s="232" t="s">
        <v>54</v>
      </c>
      <c r="C58" s="220"/>
      <c r="D58" s="219"/>
      <c r="E58" s="221"/>
      <c r="F58" s="222"/>
      <c r="G58" s="20"/>
      <c r="H58" s="223"/>
      <c r="I58" s="20"/>
      <c r="J58" s="37"/>
      <c r="L58" s="28"/>
      <c r="M58" s="29"/>
      <c r="N58" s="30"/>
    </row>
    <row r="59" spans="1:14" ht="15.75" hidden="1" customHeight="1">
      <c r="A59" s="206"/>
      <c r="B59" s="219" t="s">
        <v>215</v>
      </c>
      <c r="C59" s="220" t="s">
        <v>65</v>
      </c>
      <c r="D59" s="219" t="s">
        <v>66</v>
      </c>
      <c r="E59" s="221">
        <v>897</v>
      </c>
      <c r="F59" s="222">
        <v>8.9700000000000006</v>
      </c>
      <c r="G59" s="20">
        <v>793.61</v>
      </c>
      <c r="H59" s="223">
        <f>F59*G59/1000</f>
        <v>7.1186817000000007</v>
      </c>
      <c r="I59" s="20">
        <v>0</v>
      </c>
      <c r="J59" s="37"/>
      <c r="L59" s="28"/>
      <c r="M59" s="29"/>
      <c r="N59" s="30"/>
    </row>
    <row r="60" spans="1:14" ht="15.75" hidden="1" customHeight="1">
      <c r="A60" s="50"/>
      <c r="B60" s="232" t="s">
        <v>56</v>
      </c>
      <c r="C60" s="220"/>
      <c r="D60" s="219"/>
      <c r="E60" s="221"/>
      <c r="F60" s="224"/>
      <c r="G60" s="224"/>
      <c r="H60" s="222" t="s">
        <v>177</v>
      </c>
      <c r="I60" s="20"/>
      <c r="J60" s="37"/>
      <c r="L60" s="28"/>
      <c r="M60" s="29"/>
      <c r="N60" s="30"/>
    </row>
    <row r="61" spans="1:14" ht="15.75" hidden="1" customHeight="1">
      <c r="A61" s="171"/>
      <c r="B61" s="22" t="s">
        <v>57</v>
      </c>
      <c r="C61" s="24" t="s">
        <v>144</v>
      </c>
      <c r="D61" s="22" t="s">
        <v>199</v>
      </c>
      <c r="E61" s="26">
        <v>15</v>
      </c>
      <c r="F61" s="212">
        <v>15</v>
      </c>
      <c r="G61" s="20">
        <v>222.4</v>
      </c>
      <c r="H61" s="225">
        <f t="shared" ref="H61:H76" si="6">SUM(F61*G61/1000)</f>
        <v>3.3359999999999999</v>
      </c>
      <c r="I61" s="20">
        <v>0</v>
      </c>
      <c r="J61" s="37"/>
      <c r="L61" s="28"/>
      <c r="M61" s="29"/>
      <c r="N61" s="30"/>
    </row>
    <row r="62" spans="1:14" ht="15.75" hidden="1" customHeight="1">
      <c r="A62" s="171"/>
      <c r="B62" s="22" t="s">
        <v>58</v>
      </c>
      <c r="C62" s="24" t="s">
        <v>144</v>
      </c>
      <c r="D62" s="22" t="s">
        <v>199</v>
      </c>
      <c r="E62" s="26">
        <v>5</v>
      </c>
      <c r="F62" s="212">
        <v>5</v>
      </c>
      <c r="G62" s="20">
        <v>76.25</v>
      </c>
      <c r="H62" s="225">
        <f t="shared" si="6"/>
        <v>0.38124999999999998</v>
      </c>
      <c r="I62" s="20">
        <v>0</v>
      </c>
      <c r="J62" s="37"/>
      <c r="L62" s="28"/>
      <c r="M62" s="29"/>
      <c r="N62" s="30"/>
    </row>
    <row r="63" spans="1:14" ht="15.75" hidden="1" customHeight="1">
      <c r="A63" s="171"/>
      <c r="B63" s="22" t="s">
        <v>59</v>
      </c>
      <c r="C63" s="24" t="s">
        <v>168</v>
      </c>
      <c r="D63" s="22" t="s">
        <v>66</v>
      </c>
      <c r="E63" s="211">
        <v>10059</v>
      </c>
      <c r="F63" s="20">
        <f>SUM(E63/100)</f>
        <v>100.59</v>
      </c>
      <c r="G63" s="20">
        <v>212.15</v>
      </c>
      <c r="H63" s="225">
        <f t="shared" si="6"/>
        <v>21.340168500000001</v>
      </c>
      <c r="I63" s="20">
        <v>0</v>
      </c>
      <c r="J63" s="37"/>
      <c r="L63" s="28"/>
      <c r="M63" s="29"/>
      <c r="N63" s="30"/>
    </row>
    <row r="64" spans="1:14" ht="15.75" hidden="1" customHeight="1">
      <c r="A64" s="171"/>
      <c r="B64" s="22" t="s">
        <v>60</v>
      </c>
      <c r="C64" s="24" t="s">
        <v>169</v>
      </c>
      <c r="D64" s="22"/>
      <c r="E64" s="211">
        <v>10059</v>
      </c>
      <c r="F64" s="20">
        <f>SUM(E64/1000)</f>
        <v>10.058999999999999</v>
      </c>
      <c r="G64" s="20">
        <v>165.21</v>
      </c>
      <c r="H64" s="225">
        <f t="shared" si="6"/>
        <v>1.6618473899999999</v>
      </c>
      <c r="I64" s="20">
        <v>0</v>
      </c>
      <c r="J64" s="37"/>
      <c r="L64" s="28"/>
      <c r="M64" s="29"/>
      <c r="N64" s="30"/>
    </row>
    <row r="65" spans="1:14" ht="15.75" hidden="1" customHeight="1">
      <c r="A65" s="171"/>
      <c r="B65" s="22" t="s">
        <v>61</v>
      </c>
      <c r="C65" s="24" t="s">
        <v>94</v>
      </c>
      <c r="D65" s="22" t="s">
        <v>66</v>
      </c>
      <c r="E65" s="211">
        <v>2200</v>
      </c>
      <c r="F65" s="20">
        <f>SUM(E65/100)</f>
        <v>22</v>
      </c>
      <c r="G65" s="20">
        <v>2074.63</v>
      </c>
      <c r="H65" s="225">
        <f t="shared" si="6"/>
        <v>45.641860000000001</v>
      </c>
      <c r="I65" s="20">
        <v>0</v>
      </c>
      <c r="J65" s="37"/>
      <c r="L65" s="28"/>
      <c r="M65" s="29"/>
      <c r="N65" s="30"/>
    </row>
    <row r="66" spans="1:14" ht="15.75" hidden="1" customHeight="1">
      <c r="A66" s="171"/>
      <c r="B66" s="226" t="s">
        <v>170</v>
      </c>
      <c r="C66" s="24" t="s">
        <v>37</v>
      </c>
      <c r="D66" s="22"/>
      <c r="E66" s="211">
        <v>9.4</v>
      </c>
      <c r="F66" s="20">
        <f>SUM(E66)</f>
        <v>9.4</v>
      </c>
      <c r="G66" s="20">
        <v>42.67</v>
      </c>
      <c r="H66" s="225">
        <f t="shared" si="6"/>
        <v>0.40109800000000001</v>
      </c>
      <c r="I66" s="20">
        <v>0</v>
      </c>
      <c r="J66" s="37"/>
      <c r="L66" s="28"/>
      <c r="M66" s="29"/>
      <c r="N66" s="30"/>
    </row>
    <row r="67" spans="1:14" ht="15.75" hidden="1" customHeight="1">
      <c r="A67" s="171"/>
      <c r="B67" s="226" t="s">
        <v>171</v>
      </c>
      <c r="C67" s="24" t="s">
        <v>37</v>
      </c>
      <c r="D67" s="22"/>
      <c r="E67" s="211">
        <v>9.4</v>
      </c>
      <c r="F67" s="20">
        <f>SUM(E67)</f>
        <v>9.4</v>
      </c>
      <c r="G67" s="20">
        <v>39.81</v>
      </c>
      <c r="H67" s="225">
        <f t="shared" si="6"/>
        <v>0.37421400000000005</v>
      </c>
      <c r="I67" s="20">
        <v>0</v>
      </c>
      <c r="J67" s="37"/>
      <c r="L67" s="28"/>
      <c r="M67" s="29"/>
      <c r="N67" s="30"/>
    </row>
    <row r="68" spans="1:14" ht="15.75" hidden="1" customHeight="1">
      <c r="A68" s="171"/>
      <c r="B68" s="22" t="s">
        <v>73</v>
      </c>
      <c r="C68" s="24" t="s">
        <v>74</v>
      </c>
      <c r="D68" s="22" t="s">
        <v>66</v>
      </c>
      <c r="E68" s="26">
        <v>5</v>
      </c>
      <c r="F68" s="212">
        <v>5</v>
      </c>
      <c r="G68" s="20">
        <v>49.88</v>
      </c>
      <c r="H68" s="225">
        <f t="shared" si="6"/>
        <v>0.24940000000000001</v>
      </c>
      <c r="I68" s="20">
        <v>0</v>
      </c>
      <c r="J68" s="37"/>
      <c r="L68" s="28"/>
      <c r="M68" s="29"/>
      <c r="N68" s="30"/>
    </row>
    <row r="69" spans="1:14" ht="15.75" hidden="1" customHeight="1">
      <c r="A69" s="171"/>
      <c r="B69" s="201" t="s">
        <v>88</v>
      </c>
      <c r="C69" s="24"/>
      <c r="D69" s="22"/>
      <c r="E69" s="26"/>
      <c r="F69" s="20"/>
      <c r="G69" s="20"/>
      <c r="H69" s="225" t="s">
        <v>177</v>
      </c>
      <c r="I69" s="20"/>
      <c r="J69" s="37"/>
      <c r="L69" s="28"/>
      <c r="M69" s="29"/>
      <c r="N69" s="30"/>
    </row>
    <row r="70" spans="1:14" ht="15.75" hidden="1" customHeight="1">
      <c r="A70" s="171"/>
      <c r="B70" s="22" t="s">
        <v>89</v>
      </c>
      <c r="C70" s="24" t="s">
        <v>91</v>
      </c>
      <c r="D70" s="22"/>
      <c r="E70" s="26">
        <v>3</v>
      </c>
      <c r="F70" s="20">
        <v>0.3</v>
      </c>
      <c r="G70" s="20">
        <v>501.62</v>
      </c>
      <c r="H70" s="225">
        <f t="shared" si="6"/>
        <v>0.15048599999999998</v>
      </c>
      <c r="I70" s="20">
        <v>0</v>
      </c>
      <c r="J70" s="37"/>
      <c r="L70" s="28"/>
      <c r="M70" s="29"/>
      <c r="N70" s="30"/>
    </row>
    <row r="71" spans="1:14" ht="15.75" hidden="1" customHeight="1">
      <c r="A71" s="50"/>
      <c r="B71" s="22" t="s">
        <v>90</v>
      </c>
      <c r="C71" s="24" t="s">
        <v>35</v>
      </c>
      <c r="D71" s="22"/>
      <c r="E71" s="26">
        <v>1</v>
      </c>
      <c r="F71" s="202">
        <v>1</v>
      </c>
      <c r="G71" s="20">
        <v>852.99</v>
      </c>
      <c r="H71" s="225">
        <f>F71*G71/1000</f>
        <v>0.85299000000000003</v>
      </c>
      <c r="I71" s="20">
        <v>0</v>
      </c>
      <c r="J71" s="37"/>
      <c r="L71" s="28"/>
      <c r="M71" s="29"/>
      <c r="N71" s="30"/>
    </row>
    <row r="72" spans="1:14" ht="15.75" hidden="1" customHeight="1">
      <c r="A72" s="206"/>
      <c r="B72" s="22" t="s">
        <v>172</v>
      </c>
      <c r="C72" s="24" t="s">
        <v>35</v>
      </c>
      <c r="D72" s="22"/>
      <c r="E72" s="26">
        <v>1</v>
      </c>
      <c r="F72" s="20">
        <v>1</v>
      </c>
      <c r="G72" s="20">
        <v>358.51</v>
      </c>
      <c r="H72" s="225">
        <f>G72*F72/1000</f>
        <v>0.35851</v>
      </c>
      <c r="I72" s="20">
        <v>0</v>
      </c>
      <c r="J72" s="37"/>
      <c r="L72" s="28"/>
      <c r="M72" s="29"/>
      <c r="N72" s="30"/>
    </row>
    <row r="73" spans="1:14" ht="15.75" hidden="1" customHeight="1">
      <c r="A73" s="171"/>
      <c r="B73" s="22" t="s">
        <v>173</v>
      </c>
      <c r="C73" s="24" t="s">
        <v>35</v>
      </c>
      <c r="D73" s="22"/>
      <c r="E73" s="26">
        <v>2</v>
      </c>
      <c r="F73" s="20">
        <v>2</v>
      </c>
      <c r="G73" s="20">
        <v>784.67</v>
      </c>
      <c r="H73" s="225">
        <f>G73*F73/1000</f>
        <v>1.56934</v>
      </c>
      <c r="I73" s="20">
        <v>0</v>
      </c>
      <c r="J73" s="37"/>
      <c r="L73" s="28"/>
      <c r="M73" s="29"/>
      <c r="N73" s="30"/>
    </row>
    <row r="74" spans="1:14" ht="15.75" hidden="1" customHeight="1">
      <c r="A74" s="171"/>
      <c r="B74" s="22" t="s">
        <v>174</v>
      </c>
      <c r="C74" s="24" t="s">
        <v>175</v>
      </c>
      <c r="D74" s="22"/>
      <c r="E74" s="26">
        <v>2</v>
      </c>
      <c r="F74" s="20">
        <v>2</v>
      </c>
      <c r="G74" s="20">
        <v>1000</v>
      </c>
      <c r="H74" s="225">
        <f>G74*F74/1000</f>
        <v>2</v>
      </c>
      <c r="I74" s="20">
        <v>0</v>
      </c>
      <c r="J74" s="37"/>
      <c r="L74" s="28"/>
      <c r="M74" s="29"/>
      <c r="N74" s="30"/>
    </row>
    <row r="75" spans="1:14" ht="15.75" hidden="1" customHeight="1">
      <c r="A75" s="171"/>
      <c r="B75" s="234" t="s">
        <v>92</v>
      </c>
      <c r="C75" s="24"/>
      <c r="D75" s="22"/>
      <c r="E75" s="26"/>
      <c r="F75" s="20"/>
      <c r="G75" s="20" t="s">
        <v>177</v>
      </c>
      <c r="H75" s="225" t="s">
        <v>177</v>
      </c>
      <c r="I75" s="20"/>
      <c r="J75" s="37"/>
      <c r="L75" s="28"/>
      <c r="M75" s="29"/>
      <c r="N75" s="30"/>
    </row>
    <row r="76" spans="1:14" ht="15.75" hidden="1" customHeight="1">
      <c r="A76" s="171"/>
      <c r="B76" s="84" t="s">
        <v>93</v>
      </c>
      <c r="C76" s="24" t="s">
        <v>94</v>
      </c>
      <c r="D76" s="22"/>
      <c r="E76" s="26"/>
      <c r="F76" s="20">
        <v>1</v>
      </c>
      <c r="G76" s="20">
        <v>2579.44</v>
      </c>
      <c r="H76" s="225">
        <f t="shared" si="6"/>
        <v>2.57944</v>
      </c>
      <c r="I76" s="20">
        <v>0</v>
      </c>
      <c r="J76" s="37"/>
      <c r="L76" s="28"/>
      <c r="M76" s="29"/>
      <c r="N76" s="30"/>
    </row>
    <row r="77" spans="1:14" ht="15.75" hidden="1" customHeight="1">
      <c r="A77" s="171"/>
      <c r="B77" s="201" t="s">
        <v>166</v>
      </c>
      <c r="C77" s="24"/>
      <c r="D77" s="22"/>
      <c r="E77" s="26"/>
      <c r="F77" s="20"/>
      <c r="G77" s="20"/>
      <c r="H77" s="225">
        <f>SUM(H57:H76)</f>
        <v>98.476136213999993</v>
      </c>
      <c r="I77" s="20"/>
      <c r="J77" s="37"/>
      <c r="L77" s="28"/>
      <c r="M77" s="29"/>
      <c r="N77" s="30"/>
    </row>
    <row r="78" spans="1:14" ht="15.75" hidden="1" customHeight="1">
      <c r="A78" s="171"/>
      <c r="B78" s="175" t="s">
        <v>167</v>
      </c>
      <c r="C78" s="24"/>
      <c r="D78" s="22"/>
      <c r="E78" s="227"/>
      <c r="F78" s="20">
        <v>1</v>
      </c>
      <c r="G78" s="20">
        <v>20954</v>
      </c>
      <c r="H78" s="225">
        <f>G78*F78/1000</f>
        <v>20.954000000000001</v>
      </c>
      <c r="I78" s="20">
        <v>0</v>
      </c>
      <c r="J78" s="37"/>
      <c r="L78" s="28"/>
      <c r="M78" s="29"/>
      <c r="N78" s="30"/>
    </row>
    <row r="79" spans="1:14" ht="15.75" customHeight="1">
      <c r="A79" s="252" t="s">
        <v>263</v>
      </c>
      <c r="B79" s="262"/>
      <c r="C79" s="262"/>
      <c r="D79" s="262"/>
      <c r="E79" s="262"/>
      <c r="F79" s="262"/>
      <c r="G79" s="262"/>
      <c r="H79" s="262"/>
      <c r="I79" s="263"/>
      <c r="J79" s="37"/>
      <c r="L79" s="28"/>
      <c r="M79" s="29"/>
      <c r="N79" s="30"/>
    </row>
    <row r="80" spans="1:14" ht="15.75" customHeight="1">
      <c r="A80" s="171">
        <v>11</v>
      </c>
      <c r="B80" s="175" t="s">
        <v>216</v>
      </c>
      <c r="C80" s="24" t="s">
        <v>69</v>
      </c>
      <c r="D80" s="179" t="s">
        <v>70</v>
      </c>
      <c r="E80" s="20">
        <v>2566.6</v>
      </c>
      <c r="F80" s="20">
        <f>SUM(E80*12)</f>
        <v>30799.199999999997</v>
      </c>
      <c r="G80" s="20">
        <v>2.1</v>
      </c>
      <c r="H80" s="225">
        <f>SUM(F80*G80/1000)</f>
        <v>64.678319999999999</v>
      </c>
      <c r="I80" s="20">
        <f>F80/12*G80</f>
        <v>5389.86</v>
      </c>
      <c r="J80" s="37"/>
      <c r="L80" s="28"/>
      <c r="M80" s="29"/>
      <c r="N80" s="30"/>
    </row>
    <row r="81" spans="1:22" ht="31.5" customHeight="1">
      <c r="A81" s="171">
        <v>12</v>
      </c>
      <c r="B81" s="22" t="s">
        <v>95</v>
      </c>
      <c r="C81" s="24"/>
      <c r="D81" s="179" t="s">
        <v>70</v>
      </c>
      <c r="E81" s="211">
        <f>E80</f>
        <v>2566.6</v>
      </c>
      <c r="F81" s="20">
        <f>E81*12</f>
        <v>30799.199999999997</v>
      </c>
      <c r="G81" s="20">
        <v>1.63</v>
      </c>
      <c r="H81" s="225">
        <f>F81*G81/1000</f>
        <v>50.202695999999989</v>
      </c>
      <c r="I81" s="20">
        <f>F81/12*G81</f>
        <v>4183.558</v>
      </c>
      <c r="J81" s="37"/>
      <c r="L81" s="28"/>
      <c r="M81" s="29"/>
      <c r="N81" s="30"/>
    </row>
    <row r="82" spans="1:22" ht="15.75" customHeight="1">
      <c r="A82" s="171"/>
      <c r="B82" s="72" t="s">
        <v>100</v>
      </c>
      <c r="C82" s="24"/>
      <c r="D82" s="84"/>
      <c r="E82" s="20"/>
      <c r="F82" s="20"/>
      <c r="G82" s="20"/>
      <c r="H82" s="225">
        <f>H81</f>
        <v>50.202695999999989</v>
      </c>
      <c r="I82" s="235">
        <f>I15+I16+I17+I25+I26+I28+I29+I31+I53+I54+I80+I81</f>
        <v>47056.972199588883</v>
      </c>
      <c r="J82" s="37"/>
      <c r="L82" s="28"/>
      <c r="M82" s="29"/>
      <c r="N82" s="30"/>
    </row>
    <row r="83" spans="1:22" ht="15.75" customHeight="1">
      <c r="A83" s="171"/>
      <c r="B83" s="147" t="s">
        <v>75</v>
      </c>
      <c r="C83" s="24"/>
      <c r="D83" s="84"/>
      <c r="E83" s="20"/>
      <c r="F83" s="20"/>
      <c r="G83" s="20"/>
      <c r="H83" s="225" t="e">
        <f>SUM(H82+#REF!+H77+#REF!+#REF!+#REF!+#REF!)</f>
        <v>#REF!</v>
      </c>
      <c r="I83" s="20"/>
      <c r="J83" s="37"/>
      <c r="L83" s="28"/>
      <c r="M83" s="29"/>
      <c r="N83" s="30"/>
    </row>
    <row r="84" spans="1:22" ht="15.75" customHeight="1">
      <c r="A84" s="171">
        <v>13</v>
      </c>
      <c r="B84" s="189" t="s">
        <v>224</v>
      </c>
      <c r="C84" s="190" t="s">
        <v>143</v>
      </c>
      <c r="D84" s="22"/>
      <c r="E84" s="26"/>
      <c r="F84" s="20">
        <f>14/3</f>
        <v>4.666666666666667</v>
      </c>
      <c r="G84" s="20">
        <v>1063.47</v>
      </c>
      <c r="H84" s="225">
        <f t="shared" ref="H84:H85" si="7">G84*F84/1000</f>
        <v>4.9628600000000009</v>
      </c>
      <c r="I84" s="229">
        <f>G84</f>
        <v>1063.47</v>
      </c>
      <c r="J84" s="37"/>
      <c r="L84" s="28"/>
      <c r="M84" s="29"/>
      <c r="N84" s="30"/>
    </row>
    <row r="85" spans="1:22" ht="31.5" customHeight="1">
      <c r="A85" s="171">
        <v>14</v>
      </c>
      <c r="B85" s="148" t="s">
        <v>229</v>
      </c>
      <c r="C85" s="191" t="s">
        <v>102</v>
      </c>
      <c r="D85" s="22"/>
      <c r="E85" s="26"/>
      <c r="F85" s="20">
        <v>2</v>
      </c>
      <c r="G85" s="20">
        <v>1187</v>
      </c>
      <c r="H85" s="225">
        <f t="shared" si="7"/>
        <v>2.3740000000000001</v>
      </c>
      <c r="I85" s="229">
        <f>G85*2</f>
        <v>2374</v>
      </c>
      <c r="J85" s="37"/>
      <c r="L85" s="28"/>
      <c r="M85" s="29"/>
      <c r="N85" s="30"/>
    </row>
    <row r="86" spans="1:22" ht="15.75" customHeight="1">
      <c r="A86" s="50"/>
      <c r="B86" s="79" t="s">
        <v>63</v>
      </c>
      <c r="C86" s="75"/>
      <c r="D86" s="130"/>
      <c r="E86" s="75">
        <v>1</v>
      </c>
      <c r="F86" s="75"/>
      <c r="G86" s="59"/>
      <c r="H86" s="75"/>
      <c r="I86" s="59">
        <f>SUM(I84:I85)</f>
        <v>3437.4700000000003</v>
      </c>
      <c r="J86" s="37"/>
      <c r="L86" s="28"/>
      <c r="M86" s="29"/>
      <c r="N86" s="30"/>
    </row>
    <row r="87" spans="1:22" ht="15.75" customHeight="1">
      <c r="A87" s="50"/>
      <c r="B87" s="84" t="s">
        <v>96</v>
      </c>
      <c r="C87" s="23"/>
      <c r="D87" s="23"/>
      <c r="E87" s="76"/>
      <c r="F87" s="77"/>
      <c r="G87" s="25"/>
      <c r="H87" s="208"/>
      <c r="I87" s="26">
        <v>0</v>
      </c>
      <c r="J87" s="37"/>
      <c r="L87" s="28"/>
      <c r="M87" s="29"/>
      <c r="N87" s="30"/>
    </row>
    <row r="88" spans="1:22" ht="15.75" customHeight="1">
      <c r="A88" s="209"/>
      <c r="B88" s="80" t="s">
        <v>64</v>
      </c>
      <c r="C88" s="63"/>
      <c r="D88" s="63"/>
      <c r="E88" s="63"/>
      <c r="F88" s="63"/>
      <c r="G88" s="78"/>
      <c r="H88" s="64"/>
      <c r="I88" s="59">
        <f>I82+I86</f>
        <v>50494.442199588884</v>
      </c>
      <c r="J88" s="37"/>
      <c r="L88" s="28"/>
      <c r="M88" s="29"/>
      <c r="N88" s="30"/>
    </row>
    <row r="89" spans="1:22" ht="15" customHeight="1">
      <c r="A89" s="237" t="s">
        <v>264</v>
      </c>
      <c r="B89" s="237"/>
      <c r="C89" s="237"/>
      <c r="D89" s="237"/>
      <c r="E89" s="237"/>
      <c r="F89" s="237"/>
      <c r="G89" s="237"/>
      <c r="H89" s="237"/>
      <c r="I89" s="237"/>
      <c r="J89" s="37"/>
      <c r="L89" s="28"/>
      <c r="M89" s="29"/>
      <c r="N89" s="30"/>
    </row>
    <row r="90" spans="1:22" ht="15.75">
      <c r="A90" s="13"/>
      <c r="B90" s="259" t="s">
        <v>265</v>
      </c>
      <c r="C90" s="259"/>
      <c r="D90" s="259"/>
      <c r="E90" s="259"/>
      <c r="F90" s="259"/>
      <c r="G90" s="259"/>
      <c r="H90" s="197"/>
      <c r="I90" s="4"/>
      <c r="J90" s="37"/>
      <c r="L90" s="28"/>
    </row>
    <row r="91" spans="1:22" ht="15.75">
      <c r="A91" s="199"/>
      <c r="B91" s="239" t="s">
        <v>7</v>
      </c>
      <c r="C91" s="239"/>
      <c r="D91" s="239"/>
      <c r="E91" s="239"/>
      <c r="F91" s="239"/>
      <c r="G91" s="239"/>
      <c r="H91" s="41"/>
      <c r="I91" s="121"/>
    </row>
    <row r="92" spans="1:22" ht="15.75">
      <c r="A92" s="122"/>
      <c r="B92" s="122"/>
      <c r="C92" s="122"/>
      <c r="D92" s="122"/>
      <c r="E92" s="122"/>
      <c r="F92" s="122"/>
      <c r="G92" s="122"/>
      <c r="H92" s="122"/>
      <c r="I92" s="122"/>
    </row>
    <row r="93" spans="1:22" ht="15.75">
      <c r="A93" s="260" t="s">
        <v>8</v>
      </c>
      <c r="B93" s="260"/>
      <c r="C93" s="260"/>
      <c r="D93" s="260"/>
      <c r="E93" s="260"/>
      <c r="F93" s="260"/>
      <c r="G93" s="260"/>
      <c r="H93" s="260"/>
      <c r="I93" s="260"/>
    </row>
    <row r="94" spans="1:22" ht="15.75" customHeight="1">
      <c r="A94" s="260" t="s">
        <v>9</v>
      </c>
      <c r="B94" s="260"/>
      <c r="C94" s="260"/>
      <c r="D94" s="260"/>
      <c r="E94" s="260"/>
      <c r="F94" s="260"/>
      <c r="G94" s="260"/>
      <c r="H94" s="260"/>
      <c r="I94" s="26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2"/>
    </row>
    <row r="95" spans="1:22" ht="15.75" customHeight="1">
      <c r="A95" s="237" t="s">
        <v>10</v>
      </c>
      <c r="B95" s="237"/>
      <c r="C95" s="237"/>
      <c r="D95" s="237"/>
      <c r="E95" s="237"/>
      <c r="F95" s="237"/>
      <c r="G95" s="237"/>
      <c r="H95" s="237"/>
      <c r="I95" s="237"/>
      <c r="J95" s="42"/>
      <c r="K95" s="42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2" ht="15.75">
      <c r="A96" s="15"/>
      <c r="B96" s="119"/>
      <c r="C96" s="119"/>
      <c r="D96" s="119"/>
      <c r="E96" s="119"/>
      <c r="F96" s="119"/>
      <c r="G96" s="119"/>
      <c r="H96" s="119"/>
      <c r="I96" s="119"/>
      <c r="J96" s="6"/>
      <c r="K96" s="6"/>
      <c r="L96" s="6"/>
      <c r="M96" s="6"/>
      <c r="N96" s="6"/>
      <c r="O96" s="6"/>
      <c r="P96" s="6"/>
      <c r="Q96" s="6"/>
      <c r="R96" s="236"/>
      <c r="S96" s="236"/>
      <c r="T96" s="236"/>
      <c r="U96" s="236"/>
    </row>
    <row r="97" spans="1:21" ht="15.75">
      <c r="A97" s="261" t="s">
        <v>11</v>
      </c>
      <c r="B97" s="261"/>
      <c r="C97" s="261"/>
      <c r="D97" s="261"/>
      <c r="E97" s="261"/>
      <c r="F97" s="261"/>
      <c r="G97" s="261"/>
      <c r="H97" s="261"/>
      <c r="I97" s="261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 ht="15.75">
      <c r="A98" s="5"/>
      <c r="B98" s="119"/>
      <c r="C98" s="119"/>
      <c r="D98" s="119"/>
      <c r="E98" s="119"/>
      <c r="F98" s="119"/>
      <c r="G98" s="119"/>
      <c r="H98" s="119"/>
      <c r="I98" s="119"/>
    </row>
    <row r="99" spans="1:21" ht="15.75">
      <c r="A99" s="237" t="s">
        <v>12</v>
      </c>
      <c r="B99" s="237"/>
      <c r="C99" s="238" t="s">
        <v>133</v>
      </c>
      <c r="D99" s="238"/>
      <c r="E99" s="238"/>
      <c r="F99" s="203"/>
      <c r="I99" s="196"/>
    </row>
    <row r="100" spans="1:21" ht="15.75" customHeight="1">
      <c r="A100" s="199"/>
      <c r="B100" s="119"/>
      <c r="C100" s="239" t="s">
        <v>13</v>
      </c>
      <c r="D100" s="239"/>
      <c r="E100" s="239"/>
      <c r="F100" s="41"/>
      <c r="I100" s="195" t="s">
        <v>14</v>
      </c>
    </row>
    <row r="101" spans="1:21" ht="15.75">
      <c r="A101" s="42"/>
      <c r="B101" s="119"/>
      <c r="C101" s="16"/>
      <c r="D101" s="16"/>
      <c r="G101" s="16"/>
      <c r="H101" s="16"/>
    </row>
    <row r="102" spans="1:21" ht="15.75">
      <c r="A102" s="237" t="s">
        <v>15</v>
      </c>
      <c r="B102" s="237"/>
      <c r="C102" s="250"/>
      <c r="D102" s="250"/>
      <c r="E102" s="250"/>
      <c r="F102" s="204"/>
      <c r="I102" s="196"/>
    </row>
    <row r="103" spans="1:21">
      <c r="A103" s="194"/>
      <c r="C103" s="236" t="s">
        <v>13</v>
      </c>
      <c r="D103" s="236"/>
      <c r="E103" s="236"/>
      <c r="F103" s="194"/>
      <c r="I103" s="195" t="s">
        <v>14</v>
      </c>
    </row>
    <row r="104" spans="1:21" ht="15.75">
      <c r="A104" s="5" t="s">
        <v>16</v>
      </c>
    </row>
    <row r="105" spans="1:21">
      <c r="A105" s="251" t="s">
        <v>17</v>
      </c>
      <c r="B105" s="251"/>
      <c r="C105" s="251"/>
      <c r="D105" s="251"/>
      <c r="E105" s="251"/>
      <c r="F105" s="251"/>
      <c r="G105" s="251"/>
      <c r="H105" s="251"/>
      <c r="I105" s="251"/>
    </row>
    <row r="106" spans="1:21" ht="47.25" customHeight="1">
      <c r="A106" s="249" t="s">
        <v>18</v>
      </c>
      <c r="B106" s="249"/>
      <c r="C106" s="249"/>
      <c r="D106" s="249"/>
      <c r="E106" s="249"/>
      <c r="F106" s="249"/>
      <c r="G106" s="249"/>
      <c r="H106" s="249"/>
      <c r="I106" s="249"/>
    </row>
    <row r="107" spans="1:21" ht="31.5" customHeight="1">
      <c r="A107" s="249" t="s">
        <v>19</v>
      </c>
      <c r="B107" s="249"/>
      <c r="C107" s="249"/>
      <c r="D107" s="249"/>
      <c r="E107" s="249"/>
      <c r="F107" s="249"/>
      <c r="G107" s="249"/>
      <c r="H107" s="249"/>
      <c r="I107" s="249"/>
    </row>
    <row r="108" spans="1:21" ht="31.5" customHeight="1">
      <c r="A108" s="249" t="s">
        <v>24</v>
      </c>
      <c r="B108" s="249"/>
      <c r="C108" s="249"/>
      <c r="D108" s="249"/>
      <c r="E108" s="249"/>
      <c r="F108" s="249"/>
      <c r="G108" s="249"/>
      <c r="H108" s="249"/>
      <c r="I108" s="249"/>
    </row>
    <row r="109" spans="1:21" ht="15.75">
      <c r="A109" s="249" t="s">
        <v>23</v>
      </c>
      <c r="B109" s="249"/>
      <c r="C109" s="249"/>
      <c r="D109" s="249"/>
      <c r="E109" s="249"/>
      <c r="F109" s="249"/>
      <c r="G109" s="249"/>
      <c r="H109" s="249"/>
      <c r="I109" s="249"/>
    </row>
  </sheetData>
  <autoFilter ref="I14:I92"/>
  <mergeCells count="30">
    <mergeCell ref="A109:I109"/>
    <mergeCell ref="A97:I97"/>
    <mergeCell ref="A99:B99"/>
    <mergeCell ref="C99:E99"/>
    <mergeCell ref="C100:E100"/>
    <mergeCell ref="A102:B102"/>
    <mergeCell ref="C102:E102"/>
    <mergeCell ref="C103:E103"/>
    <mergeCell ref="A105:I105"/>
    <mergeCell ref="A106:I106"/>
    <mergeCell ref="A107:I107"/>
    <mergeCell ref="A108:I108"/>
    <mergeCell ref="R96:U96"/>
    <mergeCell ref="A27:I27"/>
    <mergeCell ref="A34:I34"/>
    <mergeCell ref="A43:I43"/>
    <mergeCell ref="A55:I55"/>
    <mergeCell ref="A79:I79"/>
    <mergeCell ref="A89:I89"/>
    <mergeCell ref="B90:G90"/>
    <mergeCell ref="B91:G91"/>
    <mergeCell ref="A93:I93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>
      <c r="B1" s="57" t="s">
        <v>118</v>
      </c>
      <c r="I1" s="56"/>
    </row>
    <row r="2" spans="1:13" ht="15.75">
      <c r="B2" s="45" t="s">
        <v>79</v>
      </c>
      <c r="J2" s="1"/>
      <c r="K2" s="1"/>
      <c r="L2" s="1"/>
      <c r="M2" s="1"/>
    </row>
    <row r="3" spans="1:13" ht="15.75" customHeight="1">
      <c r="A3" s="240" t="s">
        <v>266</v>
      </c>
      <c r="B3" s="240"/>
      <c r="C3" s="240"/>
      <c r="D3" s="240"/>
      <c r="E3" s="240"/>
      <c r="F3" s="240"/>
      <c r="G3" s="240"/>
      <c r="H3" s="240"/>
      <c r="I3" s="240"/>
      <c r="J3" s="2"/>
      <c r="K3" s="2"/>
      <c r="L3" s="2"/>
      <c r="M3" s="2"/>
    </row>
    <row r="4" spans="1:13" ht="33.75" customHeight="1">
      <c r="A4" s="241" t="s">
        <v>153</v>
      </c>
      <c r="B4" s="241"/>
      <c r="C4" s="241"/>
      <c r="D4" s="241"/>
      <c r="E4" s="241"/>
      <c r="F4" s="241"/>
      <c r="G4" s="241"/>
      <c r="H4" s="241"/>
      <c r="I4" s="241"/>
      <c r="J4" s="3"/>
      <c r="K4" s="3"/>
      <c r="L4" s="3"/>
      <c r="M4" s="3"/>
    </row>
    <row r="5" spans="1:13" ht="15.75" customHeight="1">
      <c r="A5" s="246" t="s">
        <v>108</v>
      </c>
      <c r="B5" s="247"/>
      <c r="C5" s="247"/>
      <c r="D5" s="247"/>
      <c r="E5" s="247"/>
      <c r="F5" s="247"/>
      <c r="G5" s="247"/>
      <c r="H5" s="247"/>
      <c r="I5" s="247"/>
      <c r="J5" s="4"/>
      <c r="K5" s="4"/>
      <c r="L5" s="4"/>
    </row>
    <row r="6" spans="1:13" ht="15.75" customHeight="1">
      <c r="A6" s="3"/>
      <c r="B6" s="192"/>
      <c r="C6" s="192"/>
      <c r="D6" s="192"/>
      <c r="E6" s="192"/>
      <c r="F6" s="192"/>
      <c r="G6" s="192"/>
      <c r="H6" s="192"/>
      <c r="I6" s="58">
        <v>42643</v>
      </c>
    </row>
    <row r="7" spans="1:13" ht="15.75">
      <c r="B7" s="193"/>
      <c r="C7" s="193"/>
      <c r="D7" s="193"/>
      <c r="E7" s="4"/>
      <c r="F7" s="4"/>
      <c r="G7" s="4"/>
      <c r="H7" s="4"/>
      <c r="J7" s="3"/>
      <c r="K7" s="3"/>
      <c r="L7" s="3"/>
      <c r="M7" s="3"/>
    </row>
    <row r="8" spans="1:13" ht="78.75" customHeight="1">
      <c r="A8" s="242" t="s">
        <v>274</v>
      </c>
      <c r="B8" s="242"/>
      <c r="C8" s="242"/>
      <c r="D8" s="242"/>
      <c r="E8" s="242"/>
      <c r="F8" s="242"/>
      <c r="G8" s="242"/>
      <c r="H8" s="242"/>
      <c r="I8" s="242"/>
      <c r="J8" s="3"/>
      <c r="K8" s="3"/>
      <c r="L8" s="3"/>
      <c r="M8" s="3"/>
    </row>
    <row r="9" spans="1:13" ht="15.75">
      <c r="A9" s="5"/>
      <c r="J9" s="4"/>
      <c r="K9" s="4"/>
      <c r="L9" s="4"/>
      <c r="M9" s="4"/>
    </row>
    <row r="10" spans="1:13" ht="47.25" customHeight="1">
      <c r="A10" s="248" t="s">
        <v>155</v>
      </c>
      <c r="B10" s="248"/>
      <c r="C10" s="248"/>
      <c r="D10" s="248"/>
      <c r="E10" s="248"/>
      <c r="F10" s="248"/>
      <c r="G10" s="248"/>
      <c r="H10" s="248"/>
      <c r="I10" s="248"/>
      <c r="J10" s="6"/>
      <c r="K10" s="6"/>
      <c r="L10" s="6"/>
      <c r="M10" s="6"/>
    </row>
    <row r="11" spans="1:13" ht="15.75" customHeight="1">
      <c r="A11" s="5"/>
      <c r="J11" s="3"/>
      <c r="K11" s="3"/>
      <c r="L11" s="3"/>
      <c r="M11" s="3"/>
    </row>
    <row r="12" spans="1:13" ht="47.25" customHeight="1">
      <c r="A12" s="7" t="s">
        <v>0</v>
      </c>
      <c r="B12" s="7" t="s">
        <v>1</v>
      </c>
      <c r="C12" s="7" t="s">
        <v>2</v>
      </c>
      <c r="D12" s="7" t="s">
        <v>20</v>
      </c>
      <c r="E12" s="7" t="s">
        <v>21</v>
      </c>
      <c r="F12" s="7"/>
      <c r="G12" s="7" t="s">
        <v>25</v>
      </c>
      <c r="H12" s="7"/>
      <c r="I12" s="7" t="s">
        <v>3</v>
      </c>
      <c r="J12" s="4"/>
    </row>
    <row r="13" spans="1:13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3">
      <c r="A14" s="243" t="s">
        <v>4</v>
      </c>
      <c r="B14" s="244"/>
      <c r="C14" s="244"/>
      <c r="D14" s="244"/>
      <c r="E14" s="244"/>
      <c r="F14" s="244"/>
      <c r="G14" s="244"/>
      <c r="H14" s="244"/>
      <c r="I14" s="245"/>
    </row>
    <row r="15" spans="1:13" ht="31.5" customHeight="1">
      <c r="A15" s="50">
        <v>1</v>
      </c>
      <c r="B15" s="175" t="s">
        <v>120</v>
      </c>
      <c r="C15" s="210" t="s">
        <v>156</v>
      </c>
      <c r="D15" s="175" t="s">
        <v>191</v>
      </c>
      <c r="E15" s="211">
        <v>66.2</v>
      </c>
      <c r="F15" s="212">
        <f>SUM(E15*156/100)</f>
        <v>103.27200000000001</v>
      </c>
      <c r="G15" s="212">
        <v>175.38</v>
      </c>
      <c r="H15" s="213">
        <f t="shared" ref="H15:H24" si="0">SUM(F15*G15/1000)</f>
        <v>18.111843359999998</v>
      </c>
      <c r="I15" s="20">
        <f>F15/12*G15</f>
        <v>1509.3202799999999</v>
      </c>
      <c r="J15" s="10"/>
      <c r="K15" s="10"/>
      <c r="L15" s="10"/>
      <c r="M15" s="10"/>
    </row>
    <row r="16" spans="1:13" ht="31.5" customHeight="1">
      <c r="A16" s="50">
        <v>2</v>
      </c>
      <c r="B16" s="175" t="s">
        <v>121</v>
      </c>
      <c r="C16" s="210" t="s">
        <v>156</v>
      </c>
      <c r="D16" s="175" t="s">
        <v>192</v>
      </c>
      <c r="E16" s="211">
        <v>198.7</v>
      </c>
      <c r="F16" s="212">
        <f>SUM(E16*104/100)</f>
        <v>206.648</v>
      </c>
      <c r="G16" s="212">
        <v>175.38</v>
      </c>
      <c r="H16" s="213">
        <f t="shared" si="0"/>
        <v>36.241926239999998</v>
      </c>
      <c r="I16" s="20">
        <f>F16/12*G16</f>
        <v>3020.1605199999999</v>
      </c>
      <c r="J16" s="10"/>
      <c r="K16" s="10"/>
      <c r="L16" s="10"/>
      <c r="M16" s="10"/>
    </row>
    <row r="17" spans="1:13" ht="31.5" customHeight="1">
      <c r="A17" s="50">
        <v>3</v>
      </c>
      <c r="B17" s="175" t="s">
        <v>122</v>
      </c>
      <c r="C17" s="210" t="s">
        <v>156</v>
      </c>
      <c r="D17" s="175" t="s">
        <v>234</v>
      </c>
      <c r="E17" s="211">
        <f>SUM(E15+E16)</f>
        <v>264.89999999999998</v>
      </c>
      <c r="F17" s="212">
        <f>SUM(E17*24/100)</f>
        <v>63.575999999999993</v>
      </c>
      <c r="G17" s="212">
        <v>504.5</v>
      </c>
      <c r="H17" s="213">
        <f t="shared" si="0"/>
        <v>32.074092</v>
      </c>
      <c r="I17" s="20">
        <f>F17/12*G17</f>
        <v>2672.8409999999994</v>
      </c>
      <c r="J17" s="10"/>
      <c r="K17" s="10"/>
      <c r="L17" s="10"/>
      <c r="M17" s="10"/>
    </row>
    <row r="18" spans="1:13" ht="15.75" hidden="1" customHeight="1">
      <c r="A18" s="50"/>
      <c r="B18" s="175" t="s">
        <v>157</v>
      </c>
      <c r="C18" s="210" t="s">
        <v>146</v>
      </c>
      <c r="D18" s="175" t="s">
        <v>158</v>
      </c>
      <c r="E18" s="211">
        <v>40</v>
      </c>
      <c r="F18" s="212">
        <f>SUM(E18/10)</f>
        <v>4</v>
      </c>
      <c r="G18" s="212">
        <v>170.16</v>
      </c>
      <c r="H18" s="213">
        <f t="shared" si="0"/>
        <v>0.68064000000000002</v>
      </c>
      <c r="I18" s="20">
        <v>0</v>
      </c>
      <c r="J18" s="10"/>
      <c r="K18" s="10"/>
      <c r="L18" s="10"/>
      <c r="M18" s="10"/>
    </row>
    <row r="19" spans="1:13" ht="15.75" hidden="1" customHeight="1">
      <c r="A19" s="50"/>
      <c r="B19" s="175" t="s">
        <v>159</v>
      </c>
      <c r="C19" s="210" t="s">
        <v>156</v>
      </c>
      <c r="D19" s="175" t="s">
        <v>66</v>
      </c>
      <c r="E19" s="211">
        <v>10.5</v>
      </c>
      <c r="F19" s="212">
        <f t="shared" ref="F19:F24" si="1">SUM(E19/100)</f>
        <v>0.105</v>
      </c>
      <c r="G19" s="212">
        <v>217.88</v>
      </c>
      <c r="H19" s="213">
        <f t="shared" si="0"/>
        <v>2.2877399999999999E-2</v>
      </c>
      <c r="I19" s="20">
        <v>0</v>
      </c>
      <c r="J19" s="10"/>
      <c r="K19" s="10"/>
      <c r="L19" s="10"/>
      <c r="M19" s="10"/>
    </row>
    <row r="20" spans="1:13" ht="15.75" hidden="1" customHeight="1">
      <c r="A20" s="50"/>
      <c r="B20" s="175" t="s">
        <v>160</v>
      </c>
      <c r="C20" s="210" t="s">
        <v>156</v>
      </c>
      <c r="D20" s="175" t="s">
        <v>66</v>
      </c>
      <c r="E20" s="211">
        <v>2.7</v>
      </c>
      <c r="F20" s="212">
        <f t="shared" si="1"/>
        <v>2.7000000000000003E-2</v>
      </c>
      <c r="G20" s="212">
        <v>216.12</v>
      </c>
      <c r="H20" s="213">
        <f t="shared" si="0"/>
        <v>5.8352400000000002E-3</v>
      </c>
      <c r="I20" s="20">
        <v>0</v>
      </c>
      <c r="J20" s="10"/>
      <c r="K20" s="10"/>
      <c r="L20" s="10"/>
      <c r="M20" s="10"/>
    </row>
    <row r="21" spans="1:13" ht="15.75" hidden="1" customHeight="1">
      <c r="A21" s="50"/>
      <c r="B21" s="175" t="s">
        <v>161</v>
      </c>
      <c r="C21" s="210" t="s">
        <v>65</v>
      </c>
      <c r="D21" s="175" t="s">
        <v>158</v>
      </c>
      <c r="E21" s="211">
        <v>357</v>
      </c>
      <c r="F21" s="212">
        <f t="shared" si="1"/>
        <v>3.57</v>
      </c>
      <c r="G21" s="212">
        <v>269.26</v>
      </c>
      <c r="H21" s="213">
        <f t="shared" si="0"/>
        <v>0.96125819999999984</v>
      </c>
      <c r="I21" s="20">
        <v>0</v>
      </c>
      <c r="J21" s="10"/>
      <c r="K21" s="10"/>
      <c r="L21" s="10"/>
      <c r="M21" s="10"/>
    </row>
    <row r="22" spans="1:13" ht="15.75" hidden="1" customHeight="1">
      <c r="A22" s="50"/>
      <c r="B22" s="175" t="s">
        <v>162</v>
      </c>
      <c r="C22" s="210" t="s">
        <v>65</v>
      </c>
      <c r="D22" s="175" t="s">
        <v>158</v>
      </c>
      <c r="E22" s="214">
        <v>38.64</v>
      </c>
      <c r="F22" s="212">
        <f t="shared" si="1"/>
        <v>0.38640000000000002</v>
      </c>
      <c r="G22" s="212">
        <v>44.29</v>
      </c>
      <c r="H22" s="213">
        <f t="shared" si="0"/>
        <v>1.7113655999999998E-2</v>
      </c>
      <c r="I22" s="20">
        <v>0</v>
      </c>
      <c r="J22" s="10"/>
      <c r="K22" s="10"/>
      <c r="L22" s="10"/>
      <c r="M22" s="10"/>
    </row>
    <row r="23" spans="1:13" ht="15.75" hidden="1" customHeight="1">
      <c r="A23" s="50"/>
      <c r="B23" s="175" t="s">
        <v>163</v>
      </c>
      <c r="C23" s="210" t="s">
        <v>65</v>
      </c>
      <c r="D23" s="176" t="s">
        <v>158</v>
      </c>
      <c r="E23" s="26">
        <v>15</v>
      </c>
      <c r="F23" s="215">
        <f t="shared" si="1"/>
        <v>0.15</v>
      </c>
      <c r="G23" s="212">
        <v>389.72</v>
      </c>
      <c r="H23" s="213">
        <f t="shared" si="0"/>
        <v>5.8457999999999996E-2</v>
      </c>
      <c r="I23" s="20">
        <v>0</v>
      </c>
      <c r="J23" s="10"/>
      <c r="K23" s="10"/>
      <c r="L23" s="10"/>
      <c r="M23" s="10"/>
    </row>
    <row r="24" spans="1:13" ht="15.75" hidden="1" customHeight="1">
      <c r="A24" s="50"/>
      <c r="B24" s="175" t="s">
        <v>164</v>
      </c>
      <c r="C24" s="210" t="s">
        <v>65</v>
      </c>
      <c r="D24" s="175" t="s">
        <v>158</v>
      </c>
      <c r="E24" s="216">
        <v>6.38</v>
      </c>
      <c r="F24" s="212">
        <f t="shared" si="1"/>
        <v>6.3799999999999996E-2</v>
      </c>
      <c r="G24" s="212">
        <v>520.79999999999995</v>
      </c>
      <c r="H24" s="213">
        <f t="shared" si="0"/>
        <v>3.3227039999999992E-2</v>
      </c>
      <c r="I24" s="20">
        <v>0</v>
      </c>
      <c r="J24" s="10"/>
      <c r="K24" s="10"/>
      <c r="L24" s="10"/>
      <c r="M24" s="10"/>
    </row>
    <row r="25" spans="1:13" ht="15.75" customHeight="1">
      <c r="A25" s="207">
        <v>4</v>
      </c>
      <c r="B25" s="175" t="s">
        <v>81</v>
      </c>
      <c r="C25" s="210" t="s">
        <v>37</v>
      </c>
      <c r="D25" s="175" t="s">
        <v>198</v>
      </c>
      <c r="E25" s="211">
        <v>0.1</v>
      </c>
      <c r="F25" s="212">
        <f>SUM(E25*365)</f>
        <v>36.5</v>
      </c>
      <c r="G25" s="212">
        <v>147.03</v>
      </c>
      <c r="H25" s="213">
        <f>SUM(F25*G25/1000)</f>
        <v>5.3665950000000002</v>
      </c>
      <c r="I25" s="20">
        <f>F25/12*G25</f>
        <v>447.21625</v>
      </c>
      <c r="J25" s="36"/>
      <c r="K25" s="10"/>
      <c r="L25" s="10"/>
      <c r="M25" s="10"/>
    </row>
    <row r="26" spans="1:13" ht="15.75" customHeight="1">
      <c r="A26" s="207">
        <v>5</v>
      </c>
      <c r="B26" s="218" t="s">
        <v>26</v>
      </c>
      <c r="C26" s="210" t="s">
        <v>27</v>
      </c>
      <c r="D26" s="218" t="s">
        <v>177</v>
      </c>
      <c r="E26" s="211">
        <v>2566.6</v>
      </c>
      <c r="F26" s="212">
        <f>SUM(E26*12)</f>
        <v>30799.199999999997</v>
      </c>
      <c r="G26" s="212">
        <v>4.53</v>
      </c>
      <c r="H26" s="213">
        <f>SUM(F26*G26/1000)</f>
        <v>139.520376</v>
      </c>
      <c r="I26" s="20">
        <f>F26/12*G26</f>
        <v>11626.698</v>
      </c>
      <c r="J26" s="36"/>
      <c r="K26" s="10"/>
      <c r="L26" s="10"/>
      <c r="M26" s="10"/>
    </row>
    <row r="27" spans="1:13" ht="15.75" customHeight="1">
      <c r="A27" s="252" t="s">
        <v>235</v>
      </c>
      <c r="B27" s="253"/>
      <c r="C27" s="253"/>
      <c r="D27" s="253"/>
      <c r="E27" s="253"/>
      <c r="F27" s="253"/>
      <c r="G27" s="253"/>
      <c r="H27" s="253"/>
      <c r="I27" s="254"/>
      <c r="J27" s="36"/>
      <c r="K27" s="10"/>
      <c r="L27" s="10"/>
      <c r="M27" s="10"/>
    </row>
    <row r="28" spans="1:13" ht="31.5" customHeight="1">
      <c r="A28" s="205">
        <v>6</v>
      </c>
      <c r="B28" s="175" t="s">
        <v>193</v>
      </c>
      <c r="C28" s="210" t="s">
        <v>165</v>
      </c>
      <c r="D28" s="175" t="s">
        <v>194</v>
      </c>
      <c r="E28" s="212">
        <v>852.6</v>
      </c>
      <c r="F28" s="212">
        <f>SUM(E28*52/1000)</f>
        <v>44.335200000000007</v>
      </c>
      <c r="G28" s="212">
        <v>155.88999999999999</v>
      </c>
      <c r="H28" s="213">
        <f t="shared" ref="H28:H33" si="2">SUM(F28*G28/1000)</f>
        <v>6.9114143280000011</v>
      </c>
      <c r="I28" s="20">
        <f>F28/6*G28</f>
        <v>1151.9023880000002</v>
      </c>
      <c r="J28" s="36"/>
      <c r="K28" s="10"/>
      <c r="L28" s="10"/>
      <c r="M28" s="10"/>
    </row>
    <row r="29" spans="1:13" ht="31.5" customHeight="1">
      <c r="A29" s="50">
        <v>7</v>
      </c>
      <c r="B29" s="175" t="s">
        <v>195</v>
      </c>
      <c r="C29" s="210" t="s">
        <v>165</v>
      </c>
      <c r="D29" s="175" t="s">
        <v>196</v>
      </c>
      <c r="E29" s="212">
        <v>65.33</v>
      </c>
      <c r="F29" s="212">
        <f>SUM(E29*78/1000)</f>
        <v>5.0957400000000002</v>
      </c>
      <c r="G29" s="212">
        <v>258.63</v>
      </c>
      <c r="H29" s="213">
        <f t="shared" si="2"/>
        <v>1.3179112362000001</v>
      </c>
      <c r="I29" s="20">
        <f t="shared" ref="I29:I31" si="3">F29/6*G29</f>
        <v>219.65187269999998</v>
      </c>
      <c r="J29" s="36"/>
      <c r="K29" s="10"/>
      <c r="L29" s="10"/>
      <c r="M29" s="10"/>
    </row>
    <row r="30" spans="1:13" ht="15.75" hidden="1" customHeight="1">
      <c r="A30" s="207"/>
      <c r="B30" s="175" t="s">
        <v>32</v>
      </c>
      <c r="C30" s="210" t="s">
        <v>165</v>
      </c>
      <c r="D30" s="175" t="s">
        <v>66</v>
      </c>
      <c r="E30" s="212">
        <v>852.6</v>
      </c>
      <c r="F30" s="212">
        <f>SUM(E30/1000)</f>
        <v>0.85260000000000002</v>
      </c>
      <c r="G30" s="212">
        <v>3020.33</v>
      </c>
      <c r="H30" s="213">
        <f t="shared" si="2"/>
        <v>2.575133358</v>
      </c>
      <c r="I30" s="20">
        <f t="shared" si="3"/>
        <v>429.18889300000001</v>
      </c>
      <c r="J30" s="36"/>
      <c r="K30" s="10"/>
      <c r="L30" s="10"/>
      <c r="M30" s="10"/>
    </row>
    <row r="31" spans="1:13" ht="15.75" customHeight="1">
      <c r="A31" s="207">
        <v>8</v>
      </c>
      <c r="B31" s="175" t="s">
        <v>197</v>
      </c>
      <c r="C31" s="210" t="s">
        <v>35</v>
      </c>
      <c r="D31" s="175" t="s">
        <v>80</v>
      </c>
      <c r="E31" s="217">
        <v>0.33333333333333331</v>
      </c>
      <c r="F31" s="212">
        <f>155/3</f>
        <v>51.666666666666664</v>
      </c>
      <c r="G31" s="212">
        <v>56.69</v>
      </c>
      <c r="H31" s="213">
        <f>SUM(G31*155/3/1000)</f>
        <v>2.9289833333333331</v>
      </c>
      <c r="I31" s="20">
        <f t="shared" si="3"/>
        <v>488.16388888888883</v>
      </c>
      <c r="J31" s="36"/>
      <c r="K31" s="10"/>
      <c r="L31" s="10"/>
      <c r="M31" s="10"/>
    </row>
    <row r="32" spans="1:13" ht="15.75" hidden="1" customHeight="1">
      <c r="A32" s="207"/>
      <c r="B32" s="175" t="s">
        <v>82</v>
      </c>
      <c r="C32" s="210" t="s">
        <v>37</v>
      </c>
      <c r="D32" s="175" t="s">
        <v>83</v>
      </c>
      <c r="E32" s="211"/>
      <c r="F32" s="212">
        <v>3</v>
      </c>
      <c r="G32" s="212">
        <v>191.32</v>
      </c>
      <c r="H32" s="213">
        <f t="shared" si="2"/>
        <v>0.57396000000000003</v>
      </c>
      <c r="I32" s="20">
        <v>0</v>
      </c>
      <c r="J32" s="36"/>
      <c r="K32" s="10"/>
      <c r="L32" s="10"/>
      <c r="M32" s="10"/>
    </row>
    <row r="33" spans="1:14" ht="15.75" hidden="1" customHeight="1">
      <c r="A33" s="207"/>
      <c r="B33" s="175" t="s">
        <v>200</v>
      </c>
      <c r="C33" s="210" t="s">
        <v>36</v>
      </c>
      <c r="D33" s="175" t="s">
        <v>83</v>
      </c>
      <c r="E33" s="211"/>
      <c r="F33" s="212">
        <v>2</v>
      </c>
      <c r="G33" s="212">
        <v>1136.33</v>
      </c>
      <c r="H33" s="213">
        <f t="shared" si="2"/>
        <v>2.2726599999999997</v>
      </c>
      <c r="I33" s="20">
        <v>0</v>
      </c>
      <c r="J33" s="36"/>
      <c r="K33" s="10"/>
      <c r="L33" s="10"/>
      <c r="M33" s="10"/>
    </row>
    <row r="34" spans="1:14" ht="15.75" hidden="1" customHeight="1">
      <c r="A34" s="252" t="s">
        <v>236</v>
      </c>
      <c r="B34" s="253"/>
      <c r="C34" s="253"/>
      <c r="D34" s="253"/>
      <c r="E34" s="253"/>
      <c r="F34" s="253"/>
      <c r="G34" s="253"/>
      <c r="H34" s="253"/>
      <c r="I34" s="254"/>
      <c r="J34" s="36"/>
      <c r="K34" s="10"/>
      <c r="L34" s="10"/>
      <c r="M34" s="10"/>
    </row>
    <row r="35" spans="1:14" ht="15.75" hidden="1" customHeight="1">
      <c r="A35" s="50">
        <v>6</v>
      </c>
      <c r="B35" s="175" t="s">
        <v>30</v>
      </c>
      <c r="C35" s="210" t="s">
        <v>36</v>
      </c>
      <c r="D35" s="175"/>
      <c r="E35" s="211"/>
      <c r="F35" s="212">
        <v>8</v>
      </c>
      <c r="G35" s="212">
        <v>1527.22</v>
      </c>
      <c r="H35" s="213">
        <f t="shared" ref="H35:H42" si="4">SUM(F35*G35/1000)</f>
        <v>12.21776</v>
      </c>
      <c r="I35" s="20">
        <f>F35/6*G35</f>
        <v>2036.2933333333333</v>
      </c>
      <c r="J35" s="36"/>
      <c r="K35" s="10"/>
      <c r="L35" s="10"/>
      <c r="M35" s="10"/>
    </row>
    <row r="36" spans="1:14" ht="15.75" hidden="1" customHeight="1">
      <c r="A36" s="50">
        <v>7</v>
      </c>
      <c r="B36" s="175" t="s">
        <v>136</v>
      </c>
      <c r="C36" s="210" t="s">
        <v>33</v>
      </c>
      <c r="D36" s="175" t="s">
        <v>201</v>
      </c>
      <c r="E36" s="211">
        <v>269.5</v>
      </c>
      <c r="F36" s="212">
        <f>E36*12/1000</f>
        <v>3.234</v>
      </c>
      <c r="G36" s="212">
        <v>2102.71</v>
      </c>
      <c r="H36" s="213">
        <f>G36*F36/1000</f>
        <v>6.8001641399999997</v>
      </c>
      <c r="I36" s="20">
        <f>F36/6*G36</f>
        <v>1133.3606900000002</v>
      </c>
      <c r="J36" s="36"/>
      <c r="K36" s="10"/>
      <c r="L36" s="10"/>
      <c r="M36" s="10"/>
    </row>
    <row r="37" spans="1:14" ht="15.75" hidden="1" customHeight="1">
      <c r="A37" s="50">
        <v>8</v>
      </c>
      <c r="B37" s="175" t="s">
        <v>202</v>
      </c>
      <c r="C37" s="210" t="s">
        <v>33</v>
      </c>
      <c r="D37" s="175" t="s">
        <v>203</v>
      </c>
      <c r="E37" s="211">
        <v>60</v>
      </c>
      <c r="F37" s="212">
        <f>E37*30/1000</f>
        <v>1.8</v>
      </c>
      <c r="G37" s="212">
        <v>2102.71</v>
      </c>
      <c r="H37" s="213">
        <f>G37*F37/1000</f>
        <v>3.784878</v>
      </c>
      <c r="I37" s="20">
        <f>F37/6*G37</f>
        <v>630.81299999999999</v>
      </c>
      <c r="J37" s="36"/>
      <c r="K37" s="10"/>
      <c r="L37" s="10"/>
      <c r="M37" s="10"/>
    </row>
    <row r="38" spans="1:14" ht="15.75" hidden="1" customHeight="1">
      <c r="A38" s="50"/>
      <c r="B38" s="175" t="s">
        <v>204</v>
      </c>
      <c r="C38" s="210" t="s">
        <v>205</v>
      </c>
      <c r="D38" s="175" t="s">
        <v>83</v>
      </c>
      <c r="E38" s="211"/>
      <c r="F38" s="212">
        <v>100</v>
      </c>
      <c r="G38" s="212">
        <v>213.2</v>
      </c>
      <c r="H38" s="213">
        <f>G38*F38/1000</f>
        <v>21.32</v>
      </c>
      <c r="I38" s="20">
        <v>0</v>
      </c>
      <c r="J38" s="36"/>
      <c r="K38" s="10"/>
      <c r="L38" s="10"/>
      <c r="M38" s="10"/>
    </row>
    <row r="39" spans="1:14" ht="15.75" hidden="1" customHeight="1">
      <c r="A39" s="50">
        <v>9</v>
      </c>
      <c r="B39" s="175" t="s">
        <v>84</v>
      </c>
      <c r="C39" s="210" t="s">
        <v>33</v>
      </c>
      <c r="D39" s="175" t="s">
        <v>206</v>
      </c>
      <c r="E39" s="212">
        <v>65.33</v>
      </c>
      <c r="F39" s="212">
        <f>SUM(E39*155/1000)</f>
        <v>10.126149999999999</v>
      </c>
      <c r="G39" s="212">
        <v>350.75</v>
      </c>
      <c r="H39" s="213">
        <f t="shared" si="4"/>
        <v>3.5517471124999997</v>
      </c>
      <c r="I39" s="20">
        <f>F39/6*G39</f>
        <v>591.95785208333325</v>
      </c>
      <c r="J39" s="36"/>
      <c r="K39" s="10"/>
      <c r="L39" s="10"/>
      <c r="M39" s="10"/>
    </row>
    <row r="40" spans="1:14" ht="47.25" hidden="1" customHeight="1">
      <c r="A40" s="50">
        <v>10</v>
      </c>
      <c r="B40" s="175" t="s">
        <v>110</v>
      </c>
      <c r="C40" s="210" t="s">
        <v>165</v>
      </c>
      <c r="D40" s="175" t="s">
        <v>207</v>
      </c>
      <c r="E40" s="212">
        <v>65.33</v>
      </c>
      <c r="F40" s="212">
        <f>SUM(E40*24/1000)</f>
        <v>1.56792</v>
      </c>
      <c r="G40" s="212">
        <v>5803.28</v>
      </c>
      <c r="H40" s="213">
        <f t="shared" si="4"/>
        <v>9.0990787775999991</v>
      </c>
      <c r="I40" s="20">
        <f>F40/6*G40</f>
        <v>1516.5131296</v>
      </c>
      <c r="J40" s="36"/>
      <c r="K40" s="10"/>
      <c r="L40" s="10"/>
      <c r="M40" s="10"/>
    </row>
    <row r="41" spans="1:14" ht="15.75" hidden="1" customHeight="1">
      <c r="A41" s="50">
        <v>11</v>
      </c>
      <c r="B41" s="175" t="s">
        <v>208</v>
      </c>
      <c r="C41" s="210" t="s">
        <v>165</v>
      </c>
      <c r="D41" s="175" t="s">
        <v>85</v>
      </c>
      <c r="E41" s="212">
        <v>65.33</v>
      </c>
      <c r="F41" s="212">
        <f>SUM(E41*45/1000)</f>
        <v>2.9398499999999999</v>
      </c>
      <c r="G41" s="212">
        <v>428.7</v>
      </c>
      <c r="H41" s="213">
        <f t="shared" si="4"/>
        <v>1.2603136949999998</v>
      </c>
      <c r="I41" s="20">
        <f>F41/6*G41</f>
        <v>210.05228249999999</v>
      </c>
      <c r="J41" s="36"/>
      <c r="K41" s="10"/>
    </row>
    <row r="42" spans="1:14" ht="15.75" hidden="1" customHeight="1">
      <c r="A42" s="50">
        <v>12</v>
      </c>
      <c r="B42" s="175" t="s">
        <v>86</v>
      </c>
      <c r="C42" s="210" t="s">
        <v>37</v>
      </c>
      <c r="D42" s="175"/>
      <c r="E42" s="211"/>
      <c r="F42" s="212">
        <v>0.8</v>
      </c>
      <c r="G42" s="212">
        <v>798</v>
      </c>
      <c r="H42" s="213">
        <f t="shared" si="4"/>
        <v>0.63840000000000008</v>
      </c>
      <c r="I42" s="20">
        <f>F42/6*G42</f>
        <v>106.39999999999999</v>
      </c>
      <c r="J42" s="37"/>
    </row>
    <row r="43" spans="1:14" ht="15.75" customHeight="1">
      <c r="A43" s="252" t="s">
        <v>238</v>
      </c>
      <c r="B43" s="255"/>
      <c r="C43" s="255"/>
      <c r="D43" s="255"/>
      <c r="E43" s="255"/>
      <c r="F43" s="255"/>
      <c r="G43" s="255"/>
      <c r="H43" s="255"/>
      <c r="I43" s="256"/>
      <c r="J43" s="37"/>
    </row>
    <row r="44" spans="1:14" ht="15.75" customHeight="1">
      <c r="A44" s="50">
        <v>9</v>
      </c>
      <c r="B44" s="175" t="s">
        <v>209</v>
      </c>
      <c r="C44" s="210" t="s">
        <v>165</v>
      </c>
      <c r="D44" s="175" t="s">
        <v>52</v>
      </c>
      <c r="E44" s="211">
        <v>1114.75</v>
      </c>
      <c r="F44" s="212">
        <f>SUM(E44*2/1000)</f>
        <v>2.2294999999999998</v>
      </c>
      <c r="G44" s="20">
        <v>809.74</v>
      </c>
      <c r="H44" s="213">
        <f t="shared" ref="H44:H54" si="5">SUM(F44*G44/1000)</f>
        <v>1.80531533</v>
      </c>
      <c r="I44" s="20">
        <f t="shared" ref="I44:I47" si="6">F44/2*G44</f>
        <v>902.65766499999995</v>
      </c>
      <c r="J44" s="37"/>
    </row>
    <row r="45" spans="1:14" ht="15.75" customHeight="1">
      <c r="A45" s="50">
        <v>10</v>
      </c>
      <c r="B45" s="175" t="s">
        <v>41</v>
      </c>
      <c r="C45" s="210" t="s">
        <v>165</v>
      </c>
      <c r="D45" s="175" t="s">
        <v>52</v>
      </c>
      <c r="E45" s="211">
        <v>88</v>
      </c>
      <c r="F45" s="212">
        <f>E45*2/1000</f>
        <v>0.17599999999999999</v>
      </c>
      <c r="G45" s="20">
        <v>579.48</v>
      </c>
      <c r="H45" s="213">
        <f t="shared" si="5"/>
        <v>0.10198847999999999</v>
      </c>
      <c r="I45" s="20">
        <f t="shared" si="6"/>
        <v>50.994239999999998</v>
      </c>
      <c r="J45" s="37"/>
    </row>
    <row r="46" spans="1:14" ht="15.75" customHeight="1">
      <c r="A46" s="171">
        <v>11</v>
      </c>
      <c r="B46" s="175" t="s">
        <v>42</v>
      </c>
      <c r="C46" s="210" t="s">
        <v>165</v>
      </c>
      <c r="D46" s="175" t="s">
        <v>52</v>
      </c>
      <c r="E46" s="211">
        <v>1250.6199999999999</v>
      </c>
      <c r="F46" s="212">
        <f>SUM(E46*2/1000)</f>
        <v>2.5012399999999997</v>
      </c>
      <c r="G46" s="20">
        <v>579.48</v>
      </c>
      <c r="H46" s="213">
        <f t="shared" si="5"/>
        <v>1.4494185551999998</v>
      </c>
      <c r="I46" s="20">
        <f t="shared" si="6"/>
        <v>724.70927759999995</v>
      </c>
      <c r="J46" s="37"/>
    </row>
    <row r="47" spans="1:14" ht="15.75" customHeight="1">
      <c r="A47" s="50">
        <v>12</v>
      </c>
      <c r="B47" s="175" t="s">
        <v>43</v>
      </c>
      <c r="C47" s="210" t="s">
        <v>165</v>
      </c>
      <c r="D47" s="175" t="s">
        <v>52</v>
      </c>
      <c r="E47" s="211">
        <v>1295.68</v>
      </c>
      <c r="F47" s="212">
        <f>SUM(E47*2/1000)</f>
        <v>2.5913600000000003</v>
      </c>
      <c r="G47" s="20">
        <v>606.77</v>
      </c>
      <c r="H47" s="213">
        <f t="shared" si="5"/>
        <v>1.5723595072000001</v>
      </c>
      <c r="I47" s="20">
        <f t="shared" si="6"/>
        <v>786.17975360000003</v>
      </c>
      <c r="J47" s="37"/>
    </row>
    <row r="48" spans="1:14" ht="15.75" customHeight="1">
      <c r="A48" s="50">
        <v>13</v>
      </c>
      <c r="B48" s="175" t="s">
        <v>39</v>
      </c>
      <c r="C48" s="210" t="s">
        <v>40</v>
      </c>
      <c r="D48" s="175" t="s">
        <v>52</v>
      </c>
      <c r="E48" s="211">
        <v>85.84</v>
      </c>
      <c r="F48" s="212">
        <f>E48*2/100</f>
        <v>1.7168000000000001</v>
      </c>
      <c r="G48" s="20">
        <v>72.81</v>
      </c>
      <c r="H48" s="213">
        <f>G48*F48/1000</f>
        <v>0.125000208</v>
      </c>
      <c r="I48" s="20">
        <f>F48/2*G48</f>
        <v>62.500104000000007</v>
      </c>
      <c r="J48" s="37"/>
      <c r="L48" s="28"/>
      <c r="M48" s="29"/>
      <c r="N48" s="30"/>
    </row>
    <row r="49" spans="1:14" ht="31.5" customHeight="1">
      <c r="A49" s="50">
        <v>14</v>
      </c>
      <c r="B49" s="175" t="s">
        <v>72</v>
      </c>
      <c r="C49" s="210" t="s">
        <v>165</v>
      </c>
      <c r="D49" s="175" t="s">
        <v>237</v>
      </c>
      <c r="E49" s="211">
        <v>891.8</v>
      </c>
      <c r="F49" s="212">
        <f>SUM(E49*5/1000)</f>
        <v>4.4589999999999996</v>
      </c>
      <c r="G49" s="20">
        <v>1213.55</v>
      </c>
      <c r="H49" s="213">
        <f t="shared" si="5"/>
        <v>5.4112194499999999</v>
      </c>
      <c r="I49" s="20">
        <f>F49/5*G49</f>
        <v>1082.24389</v>
      </c>
      <c r="J49" s="37"/>
      <c r="L49" s="28"/>
      <c r="M49" s="29"/>
      <c r="N49" s="30"/>
    </row>
    <row r="50" spans="1:14" ht="31.5" customHeight="1">
      <c r="A50" s="171">
        <v>15</v>
      </c>
      <c r="B50" s="175" t="s">
        <v>210</v>
      </c>
      <c r="C50" s="210" t="s">
        <v>165</v>
      </c>
      <c r="D50" s="175" t="s">
        <v>52</v>
      </c>
      <c r="E50" s="211">
        <v>891.8</v>
      </c>
      <c r="F50" s="212">
        <f>SUM(E50*2/1000)</f>
        <v>1.7835999999999999</v>
      </c>
      <c r="G50" s="20">
        <v>1213.55</v>
      </c>
      <c r="H50" s="213">
        <f t="shared" si="5"/>
        <v>2.16448778</v>
      </c>
      <c r="I50" s="20">
        <f>F50/2*G50</f>
        <v>1082.24389</v>
      </c>
      <c r="J50" s="37"/>
      <c r="L50" s="28"/>
      <c r="M50" s="29"/>
      <c r="N50" s="30"/>
    </row>
    <row r="51" spans="1:14" ht="31.5" customHeight="1">
      <c r="A51" s="171">
        <v>16</v>
      </c>
      <c r="B51" s="175" t="s">
        <v>211</v>
      </c>
      <c r="C51" s="210" t="s">
        <v>46</v>
      </c>
      <c r="D51" s="175" t="s">
        <v>52</v>
      </c>
      <c r="E51" s="211">
        <v>16</v>
      </c>
      <c r="F51" s="212">
        <f>SUM(E51*2/100)</f>
        <v>0.32</v>
      </c>
      <c r="G51" s="20">
        <v>2730.49</v>
      </c>
      <c r="H51" s="213">
        <f t="shared" si="5"/>
        <v>0.8737568</v>
      </c>
      <c r="I51" s="20">
        <f>F51/2*G51</f>
        <v>436.8784</v>
      </c>
      <c r="J51" s="37"/>
      <c r="L51" s="28"/>
      <c r="M51" s="29"/>
      <c r="N51" s="30"/>
    </row>
    <row r="52" spans="1:14" ht="15.75" hidden="1" customHeight="1">
      <c r="A52" s="171"/>
      <c r="B52" s="175" t="s">
        <v>47</v>
      </c>
      <c r="C52" s="210" t="s">
        <v>48</v>
      </c>
      <c r="D52" s="175" t="s">
        <v>52</v>
      </c>
      <c r="E52" s="211">
        <v>1</v>
      </c>
      <c r="F52" s="212">
        <v>0.02</v>
      </c>
      <c r="G52" s="20">
        <v>5652.13</v>
      </c>
      <c r="H52" s="213">
        <f t="shared" si="5"/>
        <v>0.11304260000000001</v>
      </c>
      <c r="I52" s="20">
        <v>0</v>
      </c>
      <c r="J52" s="37"/>
      <c r="L52" s="28"/>
      <c r="M52" s="29"/>
      <c r="N52" s="30"/>
    </row>
    <row r="53" spans="1:14" ht="15.75" hidden="1" customHeight="1">
      <c r="A53" s="171">
        <v>14</v>
      </c>
      <c r="B53" s="175" t="s">
        <v>212</v>
      </c>
      <c r="C53" s="210" t="s">
        <v>144</v>
      </c>
      <c r="D53" s="175" t="s">
        <v>87</v>
      </c>
      <c r="E53" s="211">
        <v>60</v>
      </c>
      <c r="F53" s="212">
        <f>E53*3</f>
        <v>180</v>
      </c>
      <c r="G53" s="20">
        <v>141.12</v>
      </c>
      <c r="H53" s="213">
        <f>F53*G53/1000</f>
        <v>25.401600000000002</v>
      </c>
      <c r="I53" s="20">
        <f>E53*G53</f>
        <v>8467.2000000000007</v>
      </c>
      <c r="J53" s="37"/>
      <c r="L53" s="28"/>
      <c r="M53" s="29"/>
      <c r="N53" s="30"/>
    </row>
    <row r="54" spans="1:14" ht="15.75" hidden="1" customHeight="1">
      <c r="A54" s="171">
        <v>15</v>
      </c>
      <c r="B54" s="175" t="s">
        <v>51</v>
      </c>
      <c r="C54" s="210" t="s">
        <v>144</v>
      </c>
      <c r="D54" s="175" t="s">
        <v>87</v>
      </c>
      <c r="E54" s="211">
        <v>120</v>
      </c>
      <c r="F54" s="212">
        <f>SUM(E54)*3</f>
        <v>360</v>
      </c>
      <c r="G54" s="20">
        <v>65.67</v>
      </c>
      <c r="H54" s="213">
        <f t="shared" si="5"/>
        <v>23.641200000000001</v>
      </c>
      <c r="I54" s="20">
        <f>E54*G54</f>
        <v>7880.4000000000005</v>
      </c>
      <c r="J54" s="37"/>
      <c r="L54" s="28"/>
      <c r="M54" s="29"/>
      <c r="N54" s="30"/>
    </row>
    <row r="55" spans="1:14" ht="15.75" customHeight="1">
      <c r="A55" s="252" t="s">
        <v>239</v>
      </c>
      <c r="B55" s="257"/>
      <c r="C55" s="257"/>
      <c r="D55" s="257"/>
      <c r="E55" s="257"/>
      <c r="F55" s="257"/>
      <c r="G55" s="257"/>
      <c r="H55" s="257"/>
      <c r="I55" s="258"/>
      <c r="J55" s="37"/>
      <c r="L55" s="28"/>
      <c r="M55" s="29"/>
      <c r="N55" s="30"/>
    </row>
    <row r="56" spans="1:14" ht="15.75" hidden="1" customHeight="1">
      <c r="A56" s="171"/>
      <c r="B56" s="233" t="s">
        <v>53</v>
      </c>
      <c r="C56" s="210"/>
      <c r="D56" s="175"/>
      <c r="E56" s="211"/>
      <c r="F56" s="212"/>
      <c r="G56" s="212"/>
      <c r="H56" s="213"/>
      <c r="I56" s="20"/>
      <c r="J56" s="37"/>
      <c r="L56" s="28"/>
      <c r="M56" s="29"/>
      <c r="N56" s="30"/>
    </row>
    <row r="57" spans="1:14" ht="31.5" hidden="1" customHeight="1">
      <c r="A57" s="171">
        <v>16</v>
      </c>
      <c r="B57" s="175" t="s">
        <v>213</v>
      </c>
      <c r="C57" s="210" t="s">
        <v>156</v>
      </c>
      <c r="D57" s="175" t="s">
        <v>214</v>
      </c>
      <c r="E57" s="211">
        <v>112.68</v>
      </c>
      <c r="F57" s="212">
        <f>SUM(E57*6/100)</f>
        <v>6.7608000000000006</v>
      </c>
      <c r="G57" s="20">
        <v>1547.28</v>
      </c>
      <c r="H57" s="213">
        <f>SUM(F57*G57/1000)</f>
        <v>10.460850624000001</v>
      </c>
      <c r="I57" s="20">
        <f>F57/6*G57</f>
        <v>1743.4751040000001</v>
      </c>
      <c r="J57" s="37"/>
      <c r="L57" s="28"/>
      <c r="M57" s="29"/>
      <c r="N57" s="30"/>
    </row>
    <row r="58" spans="1:14" ht="15.75" hidden="1" customHeight="1">
      <c r="A58" s="171"/>
      <c r="B58" s="232" t="s">
        <v>54</v>
      </c>
      <c r="C58" s="220"/>
      <c r="D58" s="219"/>
      <c r="E58" s="221"/>
      <c r="F58" s="222"/>
      <c r="G58" s="20"/>
      <c r="H58" s="223"/>
      <c r="I58" s="20"/>
      <c r="J58" s="37"/>
      <c r="L58" s="28"/>
      <c r="M58" s="29"/>
      <c r="N58" s="30"/>
    </row>
    <row r="59" spans="1:14" ht="15.75" hidden="1" customHeight="1">
      <c r="A59" s="206"/>
      <c r="B59" s="219" t="s">
        <v>215</v>
      </c>
      <c r="C59" s="220" t="s">
        <v>65</v>
      </c>
      <c r="D59" s="219" t="s">
        <v>66</v>
      </c>
      <c r="E59" s="221">
        <v>897</v>
      </c>
      <c r="F59" s="222">
        <v>8.9700000000000006</v>
      </c>
      <c r="G59" s="20">
        <v>793.61</v>
      </c>
      <c r="H59" s="223">
        <f>F59*G59/1000</f>
        <v>7.1186817000000007</v>
      </c>
      <c r="I59" s="20">
        <v>0</v>
      </c>
      <c r="J59" s="37"/>
      <c r="L59" s="28"/>
      <c r="M59" s="29"/>
      <c r="N59" s="30"/>
    </row>
    <row r="60" spans="1:14" ht="15.75" customHeight="1">
      <c r="A60" s="50"/>
      <c r="B60" s="232" t="s">
        <v>56</v>
      </c>
      <c r="C60" s="220"/>
      <c r="D60" s="219"/>
      <c r="E60" s="221"/>
      <c r="F60" s="224"/>
      <c r="G60" s="224"/>
      <c r="H60" s="222" t="s">
        <v>177</v>
      </c>
      <c r="I60" s="20"/>
      <c r="J60" s="37"/>
      <c r="L60" s="28"/>
      <c r="M60" s="29"/>
      <c r="N60" s="30"/>
    </row>
    <row r="61" spans="1:14" ht="15.75" hidden="1" customHeight="1">
      <c r="A61" s="171"/>
      <c r="B61" s="22" t="s">
        <v>57</v>
      </c>
      <c r="C61" s="24" t="s">
        <v>144</v>
      </c>
      <c r="D61" s="22" t="s">
        <v>199</v>
      </c>
      <c r="E61" s="26">
        <v>15</v>
      </c>
      <c r="F61" s="212">
        <v>15</v>
      </c>
      <c r="G61" s="20">
        <v>222.4</v>
      </c>
      <c r="H61" s="225">
        <f t="shared" ref="H61:H76" si="7">SUM(F61*G61/1000)</f>
        <v>3.3359999999999999</v>
      </c>
      <c r="I61" s="20">
        <v>0</v>
      </c>
      <c r="J61" s="37"/>
      <c r="L61" s="28"/>
      <c r="M61" s="29"/>
      <c r="N61" s="30"/>
    </row>
    <row r="62" spans="1:14" ht="15.75" hidden="1" customHeight="1">
      <c r="A62" s="171"/>
      <c r="B62" s="22" t="s">
        <v>58</v>
      </c>
      <c r="C62" s="24" t="s">
        <v>144</v>
      </c>
      <c r="D62" s="22" t="s">
        <v>199</v>
      </c>
      <c r="E62" s="26">
        <v>5</v>
      </c>
      <c r="F62" s="212">
        <v>5</v>
      </c>
      <c r="G62" s="20">
        <v>76.25</v>
      </c>
      <c r="H62" s="225">
        <f t="shared" si="7"/>
        <v>0.38124999999999998</v>
      </c>
      <c r="I62" s="20">
        <v>0</v>
      </c>
      <c r="J62" s="37"/>
      <c r="L62" s="28"/>
      <c r="M62" s="29"/>
      <c r="N62" s="30"/>
    </row>
    <row r="63" spans="1:14" ht="15.75" hidden="1" customHeight="1">
      <c r="A63" s="171"/>
      <c r="B63" s="22" t="s">
        <v>59</v>
      </c>
      <c r="C63" s="24" t="s">
        <v>168</v>
      </c>
      <c r="D63" s="22" t="s">
        <v>66</v>
      </c>
      <c r="E63" s="211">
        <v>10059</v>
      </c>
      <c r="F63" s="20">
        <f>SUM(E63/100)</f>
        <v>100.59</v>
      </c>
      <c r="G63" s="20">
        <v>212.15</v>
      </c>
      <c r="H63" s="225">
        <f t="shared" si="7"/>
        <v>21.340168500000001</v>
      </c>
      <c r="I63" s="20">
        <v>0</v>
      </c>
      <c r="J63" s="37"/>
      <c r="L63" s="28"/>
      <c r="M63" s="29"/>
      <c r="N63" s="30"/>
    </row>
    <row r="64" spans="1:14" ht="15.75" hidden="1" customHeight="1">
      <c r="A64" s="171"/>
      <c r="B64" s="22" t="s">
        <v>60</v>
      </c>
      <c r="C64" s="24" t="s">
        <v>169</v>
      </c>
      <c r="D64" s="22"/>
      <c r="E64" s="211">
        <v>10059</v>
      </c>
      <c r="F64" s="20">
        <f>SUM(E64/1000)</f>
        <v>10.058999999999999</v>
      </c>
      <c r="G64" s="20">
        <v>165.21</v>
      </c>
      <c r="H64" s="225">
        <f t="shared" si="7"/>
        <v>1.6618473899999999</v>
      </c>
      <c r="I64" s="20">
        <v>0</v>
      </c>
      <c r="J64" s="37"/>
      <c r="L64" s="28"/>
      <c r="M64" s="29"/>
      <c r="N64" s="30"/>
    </row>
    <row r="65" spans="1:14" ht="15.75" hidden="1" customHeight="1">
      <c r="A65" s="171"/>
      <c r="B65" s="22" t="s">
        <v>61</v>
      </c>
      <c r="C65" s="24" t="s">
        <v>94</v>
      </c>
      <c r="D65" s="22" t="s">
        <v>66</v>
      </c>
      <c r="E65" s="211">
        <v>2200</v>
      </c>
      <c r="F65" s="20">
        <f>SUM(E65/100)</f>
        <v>22</v>
      </c>
      <c r="G65" s="20">
        <v>2074.63</v>
      </c>
      <c r="H65" s="225">
        <f t="shared" si="7"/>
        <v>45.641860000000001</v>
      </c>
      <c r="I65" s="20">
        <v>0</v>
      </c>
      <c r="J65" s="37"/>
      <c r="L65" s="28"/>
      <c r="M65" s="29"/>
      <c r="N65" s="30"/>
    </row>
    <row r="66" spans="1:14" ht="15.75" hidden="1" customHeight="1">
      <c r="A66" s="171"/>
      <c r="B66" s="226" t="s">
        <v>170</v>
      </c>
      <c r="C66" s="24" t="s">
        <v>37</v>
      </c>
      <c r="D66" s="22"/>
      <c r="E66" s="211">
        <v>9.4</v>
      </c>
      <c r="F66" s="20">
        <f>SUM(E66)</f>
        <v>9.4</v>
      </c>
      <c r="G66" s="20">
        <v>42.67</v>
      </c>
      <c r="H66" s="225">
        <f t="shared" si="7"/>
        <v>0.40109800000000001</v>
      </c>
      <c r="I66" s="20">
        <v>0</v>
      </c>
      <c r="J66" s="37"/>
      <c r="L66" s="28"/>
      <c r="M66" s="29"/>
      <c r="N66" s="30"/>
    </row>
    <row r="67" spans="1:14" ht="15.75" hidden="1" customHeight="1">
      <c r="A67" s="171"/>
      <c r="B67" s="226" t="s">
        <v>171</v>
      </c>
      <c r="C67" s="24" t="s">
        <v>37</v>
      </c>
      <c r="D67" s="22"/>
      <c r="E67" s="211">
        <v>9.4</v>
      </c>
      <c r="F67" s="20">
        <f>SUM(E67)</f>
        <v>9.4</v>
      </c>
      <c r="G67" s="20">
        <v>39.81</v>
      </c>
      <c r="H67" s="225">
        <f t="shared" si="7"/>
        <v>0.37421400000000005</v>
      </c>
      <c r="I67" s="20">
        <v>0</v>
      </c>
      <c r="J67" s="37"/>
      <c r="L67" s="28"/>
      <c r="M67" s="29"/>
      <c r="N67" s="30"/>
    </row>
    <row r="68" spans="1:14" ht="15.75" customHeight="1">
      <c r="A68" s="171">
        <v>7</v>
      </c>
      <c r="B68" s="22" t="s">
        <v>73</v>
      </c>
      <c r="C68" s="24" t="s">
        <v>74</v>
      </c>
      <c r="D68" s="22" t="s">
        <v>66</v>
      </c>
      <c r="E68" s="26">
        <v>5</v>
      </c>
      <c r="F68" s="212">
        <v>5</v>
      </c>
      <c r="G68" s="20">
        <v>49.88</v>
      </c>
      <c r="H68" s="225">
        <f t="shared" si="7"/>
        <v>0.24940000000000001</v>
      </c>
      <c r="I68" s="20">
        <f>F68*G68</f>
        <v>249.4</v>
      </c>
      <c r="J68" s="37"/>
      <c r="L68" s="28"/>
      <c r="M68" s="29"/>
      <c r="N68" s="30"/>
    </row>
    <row r="69" spans="1:14" ht="15.75" hidden="1" customHeight="1">
      <c r="A69" s="171"/>
      <c r="B69" s="201" t="s">
        <v>88</v>
      </c>
      <c r="C69" s="24"/>
      <c r="D69" s="22"/>
      <c r="E69" s="26"/>
      <c r="F69" s="20"/>
      <c r="G69" s="20"/>
      <c r="H69" s="225" t="s">
        <v>177</v>
      </c>
      <c r="I69" s="20"/>
      <c r="J69" s="37"/>
      <c r="L69" s="28"/>
      <c r="M69" s="29"/>
      <c r="N69" s="30"/>
    </row>
    <row r="70" spans="1:14" ht="15.75" hidden="1" customHeight="1">
      <c r="A70" s="171"/>
      <c r="B70" s="22" t="s">
        <v>89</v>
      </c>
      <c r="C70" s="24" t="s">
        <v>91</v>
      </c>
      <c r="D70" s="22"/>
      <c r="E70" s="26">
        <v>3</v>
      </c>
      <c r="F70" s="20">
        <v>0.3</v>
      </c>
      <c r="G70" s="20">
        <v>501.62</v>
      </c>
      <c r="H70" s="225">
        <f t="shared" si="7"/>
        <v>0.15048599999999998</v>
      </c>
      <c r="I70" s="20">
        <v>0</v>
      </c>
      <c r="J70" s="37"/>
      <c r="L70" s="28"/>
      <c r="M70" s="29"/>
      <c r="N70" s="30"/>
    </row>
    <row r="71" spans="1:14" ht="15.75" hidden="1" customHeight="1">
      <c r="A71" s="50"/>
      <c r="B71" s="22" t="s">
        <v>90</v>
      </c>
      <c r="C71" s="24" t="s">
        <v>35</v>
      </c>
      <c r="D71" s="22"/>
      <c r="E71" s="26">
        <v>1</v>
      </c>
      <c r="F71" s="202">
        <v>1</v>
      </c>
      <c r="G71" s="20">
        <v>852.99</v>
      </c>
      <c r="H71" s="225">
        <f>F71*G71/1000</f>
        <v>0.85299000000000003</v>
      </c>
      <c r="I71" s="20">
        <v>0</v>
      </c>
      <c r="J71" s="37"/>
      <c r="L71" s="28"/>
      <c r="M71" s="29"/>
      <c r="N71" s="30"/>
    </row>
    <row r="72" spans="1:14" ht="15.75" hidden="1" customHeight="1">
      <c r="A72" s="206"/>
      <c r="B72" s="22" t="s">
        <v>172</v>
      </c>
      <c r="C72" s="24" t="s">
        <v>35</v>
      </c>
      <c r="D72" s="22"/>
      <c r="E72" s="26">
        <v>1</v>
      </c>
      <c r="F72" s="20">
        <v>1</v>
      </c>
      <c r="G72" s="20">
        <v>358.51</v>
      </c>
      <c r="H72" s="225">
        <f>G72*F72/1000</f>
        <v>0.35851</v>
      </c>
      <c r="I72" s="20">
        <v>0</v>
      </c>
      <c r="J72" s="37"/>
      <c r="L72" s="28"/>
      <c r="M72" s="29"/>
      <c r="N72" s="30"/>
    </row>
    <row r="73" spans="1:14" ht="15.75" hidden="1" customHeight="1">
      <c r="A73" s="171"/>
      <c r="B73" s="22" t="s">
        <v>173</v>
      </c>
      <c r="C73" s="24" t="s">
        <v>35</v>
      </c>
      <c r="D73" s="22"/>
      <c r="E73" s="26">
        <v>2</v>
      </c>
      <c r="F73" s="20">
        <v>2</v>
      </c>
      <c r="G73" s="20">
        <v>784.67</v>
      </c>
      <c r="H73" s="225">
        <f>G73*F73/1000</f>
        <v>1.56934</v>
      </c>
      <c r="I73" s="20">
        <v>0</v>
      </c>
      <c r="J73" s="37"/>
      <c r="L73" s="28"/>
      <c r="M73" s="29"/>
      <c r="N73" s="30"/>
    </row>
    <row r="74" spans="1:14" ht="15.75" hidden="1" customHeight="1">
      <c r="A74" s="171"/>
      <c r="B74" s="22" t="s">
        <v>174</v>
      </c>
      <c r="C74" s="24" t="s">
        <v>175</v>
      </c>
      <c r="D74" s="22"/>
      <c r="E74" s="26">
        <v>2</v>
      </c>
      <c r="F74" s="20">
        <v>2</v>
      </c>
      <c r="G74" s="20">
        <v>1000</v>
      </c>
      <c r="H74" s="225">
        <f>G74*F74/1000</f>
        <v>2</v>
      </c>
      <c r="I74" s="20">
        <v>0</v>
      </c>
      <c r="J74" s="37"/>
      <c r="L74" s="28"/>
      <c r="M74" s="29"/>
      <c r="N74" s="30"/>
    </row>
    <row r="75" spans="1:14" ht="15.75" hidden="1" customHeight="1">
      <c r="A75" s="171"/>
      <c r="B75" s="234" t="s">
        <v>92</v>
      </c>
      <c r="C75" s="24"/>
      <c r="D75" s="22"/>
      <c r="E75" s="26"/>
      <c r="F75" s="20"/>
      <c r="G75" s="20" t="s">
        <v>177</v>
      </c>
      <c r="H75" s="225" t="s">
        <v>177</v>
      </c>
      <c r="I75" s="20"/>
      <c r="J75" s="37"/>
      <c r="L75" s="28"/>
      <c r="M75" s="29"/>
      <c r="N75" s="30"/>
    </row>
    <row r="76" spans="1:14" ht="15.75" hidden="1" customHeight="1">
      <c r="A76" s="171"/>
      <c r="B76" s="84" t="s">
        <v>93</v>
      </c>
      <c r="C76" s="24" t="s">
        <v>94</v>
      </c>
      <c r="D76" s="22"/>
      <c r="E76" s="26"/>
      <c r="F76" s="20">
        <v>1</v>
      </c>
      <c r="G76" s="20">
        <v>2579.44</v>
      </c>
      <c r="H76" s="225">
        <f t="shared" si="7"/>
        <v>2.57944</v>
      </c>
      <c r="I76" s="20">
        <v>0</v>
      </c>
      <c r="J76" s="37"/>
      <c r="L76" s="28"/>
      <c r="M76" s="29"/>
      <c r="N76" s="30"/>
    </row>
    <row r="77" spans="1:14" ht="15.75" hidden="1" customHeight="1">
      <c r="A77" s="171"/>
      <c r="B77" s="201" t="s">
        <v>166</v>
      </c>
      <c r="C77" s="24"/>
      <c r="D77" s="22"/>
      <c r="E77" s="26"/>
      <c r="F77" s="20"/>
      <c r="G77" s="20"/>
      <c r="H77" s="225">
        <f>SUM(H57:H76)</f>
        <v>98.476136213999993</v>
      </c>
      <c r="I77" s="20"/>
      <c r="J77" s="37"/>
      <c r="L77" s="28"/>
      <c r="M77" s="29"/>
      <c r="N77" s="30"/>
    </row>
    <row r="78" spans="1:14" ht="15.75" hidden="1" customHeight="1">
      <c r="A78" s="171"/>
      <c r="B78" s="175" t="s">
        <v>167</v>
      </c>
      <c r="C78" s="24"/>
      <c r="D78" s="22"/>
      <c r="E78" s="227"/>
      <c r="F78" s="20">
        <v>1</v>
      </c>
      <c r="G78" s="20">
        <v>20954</v>
      </c>
      <c r="H78" s="225">
        <f>G78*F78/1000</f>
        <v>20.954000000000001</v>
      </c>
      <c r="I78" s="20">
        <v>0</v>
      </c>
      <c r="J78" s="37"/>
      <c r="L78" s="28"/>
      <c r="M78" s="29"/>
      <c r="N78" s="30"/>
    </row>
    <row r="79" spans="1:14" ht="15.75" customHeight="1">
      <c r="A79" s="252" t="s">
        <v>240</v>
      </c>
      <c r="B79" s="262"/>
      <c r="C79" s="262"/>
      <c r="D79" s="262"/>
      <c r="E79" s="262"/>
      <c r="F79" s="262"/>
      <c r="G79" s="262"/>
      <c r="H79" s="262"/>
      <c r="I79" s="263"/>
      <c r="J79" s="37"/>
      <c r="L79" s="28"/>
      <c r="M79" s="29"/>
      <c r="N79" s="30"/>
    </row>
    <row r="80" spans="1:14" ht="15.75" customHeight="1">
      <c r="A80" s="171">
        <v>18</v>
      </c>
      <c r="B80" s="175" t="s">
        <v>216</v>
      </c>
      <c r="C80" s="24" t="s">
        <v>69</v>
      </c>
      <c r="D80" s="179" t="s">
        <v>70</v>
      </c>
      <c r="E80" s="20">
        <v>2566.6</v>
      </c>
      <c r="F80" s="20">
        <f>SUM(E80*12)</f>
        <v>30799.199999999997</v>
      </c>
      <c r="G80" s="20">
        <v>2.1</v>
      </c>
      <c r="H80" s="225">
        <f>SUM(F80*G80/1000)</f>
        <v>64.678319999999999</v>
      </c>
      <c r="I80" s="20">
        <f>F80/12*G80</f>
        <v>5389.86</v>
      </c>
      <c r="J80" s="37"/>
      <c r="L80" s="28"/>
      <c r="M80" s="29"/>
      <c r="N80" s="30"/>
    </row>
    <row r="81" spans="1:22" ht="31.5" customHeight="1">
      <c r="A81" s="171">
        <v>19</v>
      </c>
      <c r="B81" s="22" t="s">
        <v>95</v>
      </c>
      <c r="C81" s="24"/>
      <c r="D81" s="179" t="s">
        <v>70</v>
      </c>
      <c r="E81" s="211">
        <f>E80</f>
        <v>2566.6</v>
      </c>
      <c r="F81" s="20">
        <f>E81*12</f>
        <v>30799.199999999997</v>
      </c>
      <c r="G81" s="20">
        <v>1.63</v>
      </c>
      <c r="H81" s="225">
        <f>F81*G81/1000</f>
        <v>50.202695999999989</v>
      </c>
      <c r="I81" s="20">
        <f>F81/12*G81</f>
        <v>4183.558</v>
      </c>
      <c r="J81" s="37"/>
      <c r="L81" s="28"/>
      <c r="M81" s="29"/>
      <c r="N81" s="30"/>
    </row>
    <row r="82" spans="1:22" ht="15.75" customHeight="1">
      <c r="A82" s="171"/>
      <c r="B82" s="72" t="s">
        <v>100</v>
      </c>
      <c r="C82" s="24"/>
      <c r="D82" s="84"/>
      <c r="E82" s="20"/>
      <c r="F82" s="20"/>
      <c r="G82" s="20"/>
      <c r="H82" s="225">
        <f>H81</f>
        <v>50.202695999999989</v>
      </c>
      <c r="I82" s="235">
        <f>I15+I16+I17+I25+I26+I28+I29+I31+I44+I45+I46+I47+I48+I49+I50+I51+I68+I80+I81</f>
        <v>36087.179419788888</v>
      </c>
      <c r="J82" s="37"/>
      <c r="L82" s="28"/>
      <c r="M82" s="29"/>
      <c r="N82" s="30"/>
    </row>
    <row r="83" spans="1:22" ht="15.75" customHeight="1">
      <c r="A83" s="171"/>
      <c r="B83" s="147" t="s">
        <v>75</v>
      </c>
      <c r="C83" s="24"/>
      <c r="D83" s="84"/>
      <c r="E83" s="20"/>
      <c r="F83" s="20"/>
      <c r="G83" s="20"/>
      <c r="H83" s="225" t="e">
        <f>SUM(H82+#REF!+H77+#REF!+#REF!+#REF!+#REF!)</f>
        <v>#REF!</v>
      </c>
      <c r="I83" s="20"/>
      <c r="J83" s="37"/>
      <c r="L83" s="28"/>
      <c r="M83" s="29"/>
      <c r="N83" s="30"/>
    </row>
    <row r="84" spans="1:22" ht="15.75" customHeight="1">
      <c r="A84" s="171">
        <v>20</v>
      </c>
      <c r="B84" s="148" t="s">
        <v>230</v>
      </c>
      <c r="C84" s="191" t="s">
        <v>144</v>
      </c>
      <c r="D84" s="22"/>
      <c r="E84" s="26"/>
      <c r="F84" s="20">
        <v>1</v>
      </c>
      <c r="G84" s="20">
        <v>149.63999999999999</v>
      </c>
      <c r="H84" s="225">
        <f t="shared" ref="H84:H85" si="8">G84*F84/1000</f>
        <v>0.14964</v>
      </c>
      <c r="I84" s="229">
        <f>G84</f>
        <v>149.63999999999999</v>
      </c>
      <c r="J84" s="37"/>
      <c r="L84" s="28"/>
      <c r="M84" s="29"/>
      <c r="N84" s="30"/>
    </row>
    <row r="85" spans="1:22" ht="31.5" customHeight="1">
      <c r="A85" s="171">
        <v>21</v>
      </c>
      <c r="B85" s="148" t="s">
        <v>99</v>
      </c>
      <c r="C85" s="191" t="s">
        <v>144</v>
      </c>
      <c r="D85" s="22"/>
      <c r="E85" s="26"/>
      <c r="F85" s="20">
        <v>2</v>
      </c>
      <c r="G85" s="20">
        <v>79.09</v>
      </c>
      <c r="H85" s="225">
        <f t="shared" si="8"/>
        <v>0.15818000000000002</v>
      </c>
      <c r="I85" s="229">
        <f>G85</f>
        <v>79.09</v>
      </c>
      <c r="J85" s="37"/>
      <c r="L85" s="28"/>
      <c r="M85" s="29"/>
      <c r="N85" s="30"/>
    </row>
    <row r="86" spans="1:22" ht="15.75" customHeight="1">
      <c r="A86" s="50"/>
      <c r="B86" s="79" t="s">
        <v>63</v>
      </c>
      <c r="C86" s="75"/>
      <c r="D86" s="130"/>
      <c r="E86" s="75">
        <v>1</v>
      </c>
      <c r="F86" s="75"/>
      <c r="G86" s="59"/>
      <c r="H86" s="75"/>
      <c r="I86" s="59">
        <f>SUM(I84:I85)</f>
        <v>228.73</v>
      </c>
      <c r="J86" s="37"/>
      <c r="L86" s="28"/>
      <c r="M86" s="29"/>
      <c r="N86" s="30"/>
    </row>
    <row r="87" spans="1:22" ht="15.75" customHeight="1">
      <c r="A87" s="50"/>
      <c r="B87" s="84" t="s">
        <v>96</v>
      </c>
      <c r="C87" s="23"/>
      <c r="D87" s="23"/>
      <c r="E87" s="76"/>
      <c r="F87" s="77"/>
      <c r="G87" s="25"/>
      <c r="H87" s="208"/>
      <c r="I87" s="26">
        <v>0</v>
      </c>
      <c r="J87" s="37"/>
      <c r="L87" s="28"/>
      <c r="M87" s="29"/>
      <c r="N87" s="30"/>
    </row>
    <row r="88" spans="1:22" ht="15.75" customHeight="1">
      <c r="A88" s="209"/>
      <c r="B88" s="80" t="s">
        <v>64</v>
      </c>
      <c r="C88" s="63"/>
      <c r="D88" s="63"/>
      <c r="E88" s="63"/>
      <c r="F88" s="63"/>
      <c r="G88" s="78"/>
      <c r="H88" s="64"/>
      <c r="I88" s="59">
        <f>I82+I86</f>
        <v>36315.909419788892</v>
      </c>
      <c r="J88" s="37"/>
      <c r="L88" s="28"/>
      <c r="M88" s="29"/>
      <c r="N88" s="30"/>
    </row>
    <row r="89" spans="1:22" ht="15" customHeight="1">
      <c r="A89" s="237" t="s">
        <v>267</v>
      </c>
      <c r="B89" s="237"/>
      <c r="C89" s="237"/>
      <c r="D89" s="237"/>
      <c r="E89" s="237"/>
      <c r="F89" s="237"/>
      <c r="G89" s="237"/>
      <c r="H89" s="237"/>
      <c r="I89" s="237"/>
      <c r="J89" s="37"/>
      <c r="L89" s="28"/>
      <c r="M89" s="29"/>
      <c r="N89" s="30"/>
    </row>
    <row r="90" spans="1:22" ht="15.75">
      <c r="A90" s="13"/>
      <c r="B90" s="259" t="s">
        <v>268</v>
      </c>
      <c r="C90" s="259"/>
      <c r="D90" s="259"/>
      <c r="E90" s="259"/>
      <c r="F90" s="259"/>
      <c r="G90" s="259"/>
      <c r="H90" s="197"/>
      <c r="I90" s="4"/>
      <c r="J90" s="37"/>
      <c r="L90" s="28"/>
    </row>
    <row r="91" spans="1:22" ht="15.75">
      <c r="A91" s="199"/>
      <c r="B91" s="239" t="s">
        <v>7</v>
      </c>
      <c r="C91" s="239"/>
      <c r="D91" s="239"/>
      <c r="E91" s="239"/>
      <c r="F91" s="239"/>
      <c r="G91" s="239"/>
      <c r="H91" s="41"/>
      <c r="I91" s="121"/>
    </row>
    <row r="92" spans="1:22" ht="15.75">
      <c r="A92" s="122"/>
      <c r="B92" s="122"/>
      <c r="C92" s="122"/>
      <c r="D92" s="122"/>
      <c r="E92" s="122"/>
      <c r="F92" s="122"/>
      <c r="G92" s="122"/>
      <c r="H92" s="122"/>
      <c r="I92" s="122"/>
    </row>
    <row r="93" spans="1:22" ht="15.75">
      <c r="A93" s="260" t="s">
        <v>8</v>
      </c>
      <c r="B93" s="260"/>
      <c r="C93" s="260"/>
      <c r="D93" s="260"/>
      <c r="E93" s="260"/>
      <c r="F93" s="260"/>
      <c r="G93" s="260"/>
      <c r="H93" s="260"/>
      <c r="I93" s="260"/>
    </row>
    <row r="94" spans="1:22" ht="15.75" customHeight="1">
      <c r="A94" s="260" t="s">
        <v>9</v>
      </c>
      <c r="B94" s="260"/>
      <c r="C94" s="260"/>
      <c r="D94" s="260"/>
      <c r="E94" s="260"/>
      <c r="F94" s="260"/>
      <c r="G94" s="260"/>
      <c r="H94" s="260"/>
      <c r="I94" s="26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2"/>
    </row>
    <row r="95" spans="1:22" ht="15.75" customHeight="1">
      <c r="A95" s="237" t="s">
        <v>10</v>
      </c>
      <c r="B95" s="237"/>
      <c r="C95" s="237"/>
      <c r="D95" s="237"/>
      <c r="E95" s="237"/>
      <c r="F95" s="237"/>
      <c r="G95" s="237"/>
      <c r="H95" s="237"/>
      <c r="I95" s="237"/>
      <c r="J95" s="42"/>
      <c r="K95" s="42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2" ht="15.75">
      <c r="A96" s="15"/>
      <c r="B96" s="119"/>
      <c r="C96" s="119"/>
      <c r="D96" s="119"/>
      <c r="E96" s="119"/>
      <c r="F96" s="119"/>
      <c r="G96" s="119"/>
      <c r="H96" s="119"/>
      <c r="I96" s="119"/>
      <c r="J96" s="6"/>
      <c r="K96" s="6"/>
      <c r="L96" s="6"/>
      <c r="M96" s="6"/>
      <c r="N96" s="6"/>
      <c r="O96" s="6"/>
      <c r="P96" s="6"/>
      <c r="Q96" s="6"/>
      <c r="R96" s="236"/>
      <c r="S96" s="236"/>
      <c r="T96" s="236"/>
      <c r="U96" s="236"/>
    </row>
    <row r="97" spans="1:21" ht="15.75">
      <c r="A97" s="261" t="s">
        <v>11</v>
      </c>
      <c r="B97" s="261"/>
      <c r="C97" s="261"/>
      <c r="D97" s="261"/>
      <c r="E97" s="261"/>
      <c r="F97" s="261"/>
      <c r="G97" s="261"/>
      <c r="H97" s="261"/>
      <c r="I97" s="261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 ht="15.75">
      <c r="A98" s="5"/>
      <c r="B98" s="119"/>
      <c r="C98" s="119"/>
      <c r="D98" s="119"/>
      <c r="E98" s="119"/>
      <c r="F98" s="119"/>
      <c r="G98" s="119"/>
      <c r="H98" s="119"/>
      <c r="I98" s="119"/>
    </row>
    <row r="99" spans="1:21" ht="15.75">
      <c r="A99" s="237" t="s">
        <v>12</v>
      </c>
      <c r="B99" s="237"/>
      <c r="C99" s="238" t="s">
        <v>133</v>
      </c>
      <c r="D99" s="238"/>
      <c r="E99" s="238"/>
      <c r="F99" s="203"/>
      <c r="I99" s="196"/>
    </row>
    <row r="100" spans="1:21" ht="15.75" customHeight="1">
      <c r="A100" s="199"/>
      <c r="B100" s="119"/>
      <c r="C100" s="239" t="s">
        <v>13</v>
      </c>
      <c r="D100" s="239"/>
      <c r="E100" s="239"/>
      <c r="F100" s="41"/>
      <c r="I100" s="195" t="s">
        <v>14</v>
      </c>
    </row>
    <row r="101" spans="1:21" ht="15.75">
      <c r="A101" s="42"/>
      <c r="B101" s="119"/>
      <c r="C101" s="16"/>
      <c r="D101" s="16"/>
      <c r="G101" s="16"/>
      <c r="H101" s="16"/>
    </row>
    <row r="102" spans="1:21" ht="15.75">
      <c r="A102" s="237" t="s">
        <v>15</v>
      </c>
      <c r="B102" s="237"/>
      <c r="C102" s="250"/>
      <c r="D102" s="250"/>
      <c r="E102" s="250"/>
      <c r="F102" s="204"/>
      <c r="I102" s="196"/>
    </row>
    <row r="103" spans="1:21">
      <c r="A103" s="194"/>
      <c r="C103" s="236" t="s">
        <v>13</v>
      </c>
      <c r="D103" s="236"/>
      <c r="E103" s="236"/>
      <c r="F103" s="194"/>
      <c r="I103" s="195" t="s">
        <v>14</v>
      </c>
    </row>
    <row r="104" spans="1:21" ht="15.75">
      <c r="A104" s="5" t="s">
        <v>16</v>
      </c>
    </row>
    <row r="105" spans="1:21">
      <c r="A105" s="251" t="s">
        <v>17</v>
      </c>
      <c r="B105" s="251"/>
      <c r="C105" s="251"/>
      <c r="D105" s="251"/>
      <c r="E105" s="251"/>
      <c r="F105" s="251"/>
      <c r="G105" s="251"/>
      <c r="H105" s="251"/>
      <c r="I105" s="251"/>
    </row>
    <row r="106" spans="1:21" ht="47.25" customHeight="1">
      <c r="A106" s="249" t="s">
        <v>18</v>
      </c>
      <c r="B106" s="249"/>
      <c r="C106" s="249"/>
      <c r="D106" s="249"/>
      <c r="E106" s="249"/>
      <c r="F106" s="249"/>
      <c r="G106" s="249"/>
      <c r="H106" s="249"/>
      <c r="I106" s="249"/>
    </row>
    <row r="107" spans="1:21" ht="31.5" customHeight="1">
      <c r="A107" s="249" t="s">
        <v>19</v>
      </c>
      <c r="B107" s="249"/>
      <c r="C107" s="249"/>
      <c r="D107" s="249"/>
      <c r="E107" s="249"/>
      <c r="F107" s="249"/>
      <c r="G107" s="249"/>
      <c r="H107" s="249"/>
      <c r="I107" s="249"/>
    </row>
    <row r="108" spans="1:21" ht="31.5" customHeight="1">
      <c r="A108" s="249" t="s">
        <v>24</v>
      </c>
      <c r="B108" s="249"/>
      <c r="C108" s="249"/>
      <c r="D108" s="249"/>
      <c r="E108" s="249"/>
      <c r="F108" s="249"/>
      <c r="G108" s="249"/>
      <c r="H108" s="249"/>
      <c r="I108" s="249"/>
    </row>
    <row r="109" spans="1:21" ht="15.75">
      <c r="A109" s="249" t="s">
        <v>23</v>
      </c>
      <c r="B109" s="249"/>
      <c r="C109" s="249"/>
      <c r="D109" s="249"/>
      <c r="E109" s="249"/>
      <c r="F109" s="249"/>
      <c r="G109" s="249"/>
      <c r="H109" s="249"/>
      <c r="I109" s="249"/>
    </row>
  </sheetData>
  <autoFilter ref="I14:I92"/>
  <mergeCells count="30">
    <mergeCell ref="A109:I109"/>
    <mergeCell ref="A97:I97"/>
    <mergeCell ref="A99:B99"/>
    <mergeCell ref="C99:E99"/>
    <mergeCell ref="C100:E100"/>
    <mergeCell ref="A102:B102"/>
    <mergeCell ref="C102:E102"/>
    <mergeCell ref="C103:E103"/>
    <mergeCell ref="A105:I105"/>
    <mergeCell ref="A106:I106"/>
    <mergeCell ref="A107:I107"/>
    <mergeCell ref="A108:I108"/>
    <mergeCell ref="R96:U96"/>
    <mergeCell ref="A27:I27"/>
    <mergeCell ref="A34:I34"/>
    <mergeCell ref="A43:I43"/>
    <mergeCell ref="A55:I55"/>
    <mergeCell ref="A79:I79"/>
    <mergeCell ref="A89:I89"/>
    <mergeCell ref="B90:G90"/>
    <mergeCell ref="B91:G91"/>
    <mergeCell ref="A93:I93"/>
    <mergeCell ref="A94:I94"/>
    <mergeCell ref="A95:I9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Лист1</vt:lpstr>
      <vt:lpstr>'11.16'!Заголовки_для_печати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2017-04-06T08:42:49Z</cp:lastPrinted>
  <dcterms:created xsi:type="dcterms:W3CDTF">2016-03-25T08:33:47Z</dcterms:created>
  <dcterms:modified xsi:type="dcterms:W3CDTF">2017-04-13T08:09:30Z</dcterms:modified>
</cp:coreProperties>
</file>